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_tableau" sheetId="1" r:id="rId3"/>
  </sheets>
  <definedNames/>
  <calcPr/>
</workbook>
</file>

<file path=xl/sharedStrings.xml><?xml version="1.0" encoding="utf-8"?>
<sst xmlns="http://schemas.openxmlformats.org/spreadsheetml/2006/main" count="12620" uniqueCount="5099">
  <si>
    <t>fips</t>
  </si>
  <si>
    <t>fips_st</t>
  </si>
  <si>
    <t>total_population</t>
  </si>
  <si>
    <t>area_sqmi</t>
  </si>
  <si>
    <t>county</t>
  </si>
  <si>
    <t>state_co</t>
  </si>
  <si>
    <t>population_density_per_sqmi</t>
  </si>
  <si>
    <t>percent_fair_or_poor_health</t>
  </si>
  <si>
    <t>average_number_of_mentally_unhealthy_days</t>
  </si>
  <si>
    <t>percent_low_birthweight</t>
  </si>
  <si>
    <t>percent_smokers</t>
  </si>
  <si>
    <t>percent_adults_with_obesity</t>
  </si>
  <si>
    <t>food_environment_index</t>
  </si>
  <si>
    <t>percent_physically_inactive</t>
  </si>
  <si>
    <t>percent_with_access_to_exercise_opportunities</t>
  </si>
  <si>
    <t>percent_uninsured</t>
  </si>
  <si>
    <t>primary_care_physicians_rate</t>
  </si>
  <si>
    <t>high_school_graduation_rate</t>
  </si>
  <si>
    <t>percent_children_in_poverty</t>
  </si>
  <si>
    <t>num_households_CHR</t>
  </si>
  <si>
    <t>percent_single_parent_households_CHR</t>
  </si>
  <si>
    <t>violent_crime_rate</t>
  </si>
  <si>
    <t>percent_severe_housing_problems</t>
  </si>
  <si>
    <t>severe_housing_cost_burden</t>
  </si>
  <si>
    <t>life_expectancy</t>
  </si>
  <si>
    <t>percent_adults_with_diabetes</t>
  </si>
  <si>
    <t>percent_limited_access_to_healthy_foods</t>
  </si>
  <si>
    <t>median_household_income</t>
  </si>
  <si>
    <t>percent_enrolled_in_free_or_reduced_lunch</t>
  </si>
  <si>
    <t>percent_homeowners</t>
  </si>
  <si>
    <t>percent_severe_housing_cost_burden</t>
  </si>
  <si>
    <t>percent_black</t>
  </si>
  <si>
    <t>percent_american_indian_alaska_native</t>
  </si>
  <si>
    <t>percent_asian</t>
  </si>
  <si>
    <t>percent_native_hawaiian_other_pacific_islander</t>
  </si>
  <si>
    <t>percent_hispanic</t>
  </si>
  <si>
    <t>percent_non_hispanic_white</t>
  </si>
  <si>
    <t>percent_not_proficient_in_english</t>
  </si>
  <si>
    <t>percent_female</t>
  </si>
  <si>
    <t>percent_rural</t>
  </si>
  <si>
    <t>per_capita_income</t>
  </si>
  <si>
    <t>percent_below_poverty</t>
  </si>
  <si>
    <t>percent_unemployed_CDC</t>
  </si>
  <si>
    <t>percent_no_highschool_diploma</t>
  </si>
  <si>
    <t>percent_age_65_and_older</t>
  </si>
  <si>
    <t>percent_age_17_and_younger</t>
  </si>
  <si>
    <t>percent_disabled</t>
  </si>
  <si>
    <t>percent_minorities</t>
  </si>
  <si>
    <t>percent_limited_english_abilities</t>
  </si>
  <si>
    <t>percentile_rank_social_vulnerability</t>
  </si>
  <si>
    <t>pct_overall_pov_19</t>
  </si>
  <si>
    <t>fi_rate_18</t>
  </si>
  <si>
    <t>ch_fi_rate_18</t>
  </si>
  <si>
    <t>cpm_18</t>
  </si>
  <si>
    <t>state_abr</t>
  </si>
  <si>
    <t>percent_of_adults_with_less_than_high_school_diploma</t>
  </si>
  <si>
    <t>percent_of_adults_with_high_school_diploma_only</t>
  </si>
  <si>
    <t>percent_of_adults_completing_some_college_or_associate_degree</t>
  </si>
  <si>
    <t>percent_of_adults_with_bachelor_degree_or_higher</t>
  </si>
  <si>
    <t>Autauga</t>
  </si>
  <si>
    <t>Autauga, AL</t>
  </si>
  <si>
    <t>AL</t>
  </si>
  <si>
    <t>Baldwin</t>
  </si>
  <si>
    <t>Baldwin, AL</t>
  </si>
  <si>
    <t>Barbour</t>
  </si>
  <si>
    <t>Barbour, AL</t>
  </si>
  <si>
    <t>Bibb</t>
  </si>
  <si>
    <t>Bibb, AL</t>
  </si>
  <si>
    <t>Blount</t>
  </si>
  <si>
    <t>Blount, AL</t>
  </si>
  <si>
    <t>Bullock</t>
  </si>
  <si>
    <t>Bullock, AL</t>
  </si>
  <si>
    <t>Butler</t>
  </si>
  <si>
    <t>Butler, AL</t>
  </si>
  <si>
    <t>Calhoun</t>
  </si>
  <si>
    <t>Calhoun, AL</t>
  </si>
  <si>
    <t>Chambers</t>
  </si>
  <si>
    <t>Chambers, AL</t>
  </si>
  <si>
    <t>Cherokee</t>
  </si>
  <si>
    <t>Cherokee, AL</t>
  </si>
  <si>
    <t>Chilton</t>
  </si>
  <si>
    <t>Chilton, AL</t>
  </si>
  <si>
    <t>Choctaw</t>
  </si>
  <si>
    <t>Choctaw, AL</t>
  </si>
  <si>
    <t>Clarke</t>
  </si>
  <si>
    <t>Clarke, AL</t>
  </si>
  <si>
    <t>Clay</t>
  </si>
  <si>
    <t>Clay, AL</t>
  </si>
  <si>
    <t>Cleburne</t>
  </si>
  <si>
    <t>Cleburne, AL</t>
  </si>
  <si>
    <t>Coffee</t>
  </si>
  <si>
    <t>Coffee, AL</t>
  </si>
  <si>
    <t>Colbert</t>
  </si>
  <si>
    <t>Colbert, AL</t>
  </si>
  <si>
    <t>Conecuh</t>
  </si>
  <si>
    <t>Conecuh, AL</t>
  </si>
  <si>
    <t>Coosa</t>
  </si>
  <si>
    <t>Coosa, AL</t>
  </si>
  <si>
    <t>Covington</t>
  </si>
  <si>
    <t>Covington, AL</t>
  </si>
  <si>
    <t>Crenshaw</t>
  </si>
  <si>
    <t>Crenshaw, AL</t>
  </si>
  <si>
    <t>Cullman</t>
  </si>
  <si>
    <t>Cullman, AL</t>
  </si>
  <si>
    <t>Dale</t>
  </si>
  <si>
    <t>Dale, AL</t>
  </si>
  <si>
    <t>Dallas</t>
  </si>
  <si>
    <t>Dallas, AL</t>
  </si>
  <si>
    <t>DeKalb</t>
  </si>
  <si>
    <t>DeKalb, AL</t>
  </si>
  <si>
    <t>Elmore</t>
  </si>
  <si>
    <t>Elmore, AL</t>
  </si>
  <si>
    <t>Escambia</t>
  </si>
  <si>
    <t>Escambia, AL</t>
  </si>
  <si>
    <t>Etowah</t>
  </si>
  <si>
    <t>Etowah, AL</t>
  </si>
  <si>
    <t>Fayette</t>
  </si>
  <si>
    <t>Fayette, AL</t>
  </si>
  <si>
    <t>Franklin</t>
  </si>
  <si>
    <t>Franklin, AL</t>
  </si>
  <si>
    <t>Geneva</t>
  </si>
  <si>
    <t>Geneva, AL</t>
  </si>
  <si>
    <t>Greene</t>
  </si>
  <si>
    <t>Greene, AL</t>
  </si>
  <si>
    <t>Hale</t>
  </si>
  <si>
    <t>Hale, AL</t>
  </si>
  <si>
    <t>Henry</t>
  </si>
  <si>
    <t>Henry, AL</t>
  </si>
  <si>
    <t>Houston</t>
  </si>
  <si>
    <t>Houston, AL</t>
  </si>
  <si>
    <t>Jackson</t>
  </si>
  <si>
    <t>Jackson, AL</t>
  </si>
  <si>
    <t>Jefferson</t>
  </si>
  <si>
    <t>Jefferson, AL</t>
  </si>
  <si>
    <t>Lamar</t>
  </si>
  <si>
    <t>Lamar, AL</t>
  </si>
  <si>
    <t>Lauderdale</t>
  </si>
  <si>
    <t>Lauderdale, AL</t>
  </si>
  <si>
    <t>Lawrence</t>
  </si>
  <si>
    <t>Lawrence, AL</t>
  </si>
  <si>
    <t>Lee</t>
  </si>
  <si>
    <t>Lee, AL</t>
  </si>
  <si>
    <t>Limestone</t>
  </si>
  <si>
    <t>Limestone, AL</t>
  </si>
  <si>
    <t>Lowndes</t>
  </si>
  <si>
    <t>Lowndes, AL</t>
  </si>
  <si>
    <t>Macon</t>
  </si>
  <si>
    <t>Macon, AL</t>
  </si>
  <si>
    <t>Madison</t>
  </si>
  <si>
    <t>Madison, AL</t>
  </si>
  <si>
    <t>Marengo</t>
  </si>
  <si>
    <t>Marengo, AL</t>
  </si>
  <si>
    <t>Marion</t>
  </si>
  <si>
    <t>Marion, AL</t>
  </si>
  <si>
    <t>Marshall</t>
  </si>
  <si>
    <t>Marshall, AL</t>
  </si>
  <si>
    <t>Mobile</t>
  </si>
  <si>
    <t>Mobile, AL</t>
  </si>
  <si>
    <t>Monroe</t>
  </si>
  <si>
    <t>Monroe, AL</t>
  </si>
  <si>
    <t>Montgomery</t>
  </si>
  <si>
    <t>Montgomery, AL</t>
  </si>
  <si>
    <t>Morgan</t>
  </si>
  <si>
    <t>Morgan, AL</t>
  </si>
  <si>
    <t>Perry</t>
  </si>
  <si>
    <t>Perry, AL</t>
  </si>
  <si>
    <t>Pickens</t>
  </si>
  <si>
    <t>Pickens, AL</t>
  </si>
  <si>
    <t>Pike</t>
  </si>
  <si>
    <t>Pike, AL</t>
  </si>
  <si>
    <t>Randolph</t>
  </si>
  <si>
    <t>Randolph, AL</t>
  </si>
  <si>
    <t>Russell</t>
  </si>
  <si>
    <t>Russell, AL</t>
  </si>
  <si>
    <t>St. Clair</t>
  </si>
  <si>
    <t>St. Clair, AL</t>
  </si>
  <si>
    <t>Shelby</t>
  </si>
  <si>
    <t>Shelby, AL</t>
  </si>
  <si>
    <t>Sumter</t>
  </si>
  <si>
    <t>Sumter, AL</t>
  </si>
  <si>
    <t>Talladega</t>
  </si>
  <si>
    <t>Talladega, AL</t>
  </si>
  <si>
    <t>Tallapoosa</t>
  </si>
  <si>
    <t>Tallapoosa, AL</t>
  </si>
  <si>
    <t>Tuscaloosa</t>
  </si>
  <si>
    <t>Tuscaloosa, AL</t>
  </si>
  <si>
    <t>Walker</t>
  </si>
  <si>
    <t>Walker, AL</t>
  </si>
  <si>
    <t>Washington</t>
  </si>
  <si>
    <t>Washington, AL</t>
  </si>
  <si>
    <t>Wilcox</t>
  </si>
  <si>
    <t>Wilcox, AL</t>
  </si>
  <si>
    <t>Winston</t>
  </si>
  <si>
    <t>Winston, AL</t>
  </si>
  <si>
    <t>Aleutians East</t>
  </si>
  <si>
    <t>Aleutians East, AK</t>
  </si>
  <si>
    <t>AK</t>
  </si>
  <si>
    <t>Aleutians West</t>
  </si>
  <si>
    <t>Aleutians West, AK</t>
  </si>
  <si>
    <t>Anchorage</t>
  </si>
  <si>
    <t>Anchorage, AK</t>
  </si>
  <si>
    <t>Bethel</t>
  </si>
  <si>
    <t>Bethel, AK</t>
  </si>
  <si>
    <t>Bristol Bay</t>
  </si>
  <si>
    <t>Bristol Bay, AK</t>
  </si>
  <si>
    <t>Denali</t>
  </si>
  <si>
    <t>Denali, AK</t>
  </si>
  <si>
    <t>Dillingham</t>
  </si>
  <si>
    <t>Dillingham, AK</t>
  </si>
  <si>
    <t>Fairbanks North Star</t>
  </si>
  <si>
    <t>Fairbanks North Star, AK</t>
  </si>
  <si>
    <t>Haines</t>
  </si>
  <si>
    <t>Haines, AK</t>
  </si>
  <si>
    <t>Hoonah-Angoon</t>
  </si>
  <si>
    <t>Hoonah-Angoon, AK</t>
  </si>
  <si>
    <t>Juneau</t>
  </si>
  <si>
    <t>Juneau, AK</t>
  </si>
  <si>
    <t>Kenai Peninsula</t>
  </si>
  <si>
    <t>Kenai Peninsula, AK</t>
  </si>
  <si>
    <t>Ketchikan Gateway</t>
  </si>
  <si>
    <t>Ketchikan Gateway, AK</t>
  </si>
  <si>
    <t>Kodiak Island</t>
  </si>
  <si>
    <t>Kodiak Island, AK</t>
  </si>
  <si>
    <t>Kusilvak</t>
  </si>
  <si>
    <t>Kusilvak, AK</t>
  </si>
  <si>
    <t>Lake and Peninsula</t>
  </si>
  <si>
    <t>Lake and Peninsula, AK</t>
  </si>
  <si>
    <t>Matanuska-Susitna</t>
  </si>
  <si>
    <t>Matanuska-Susitna, AK</t>
  </si>
  <si>
    <t>Nome</t>
  </si>
  <si>
    <t>Nome, AK</t>
  </si>
  <si>
    <t>North Slope</t>
  </si>
  <si>
    <t>North Slope, AK</t>
  </si>
  <si>
    <t>Northwest Arctic</t>
  </si>
  <si>
    <t>Northwest Arctic, AK</t>
  </si>
  <si>
    <t>Petersburg</t>
  </si>
  <si>
    <t>Petersburg, AK</t>
  </si>
  <si>
    <t>Prince of Wales-Hyder</t>
  </si>
  <si>
    <t>Prince of Wales-Hyder, AK</t>
  </si>
  <si>
    <t>Sitka</t>
  </si>
  <si>
    <t>Sitka, AK</t>
  </si>
  <si>
    <t>Skagway</t>
  </si>
  <si>
    <t>Skagway, AK</t>
  </si>
  <si>
    <t>Southeast Fairbanks</t>
  </si>
  <si>
    <t>Southeast Fairbanks, AK</t>
  </si>
  <si>
    <t>Valdez-Cordova</t>
  </si>
  <si>
    <t>Valdez-Cordova, AK</t>
  </si>
  <si>
    <t>Wrangell</t>
  </si>
  <si>
    <t>Wrangell, AK</t>
  </si>
  <si>
    <t>Yakutat</t>
  </si>
  <si>
    <t>Yakutat, AK</t>
  </si>
  <si>
    <t>Yukon-Koyukuk</t>
  </si>
  <si>
    <t>Yukon-Koyukuk, AK</t>
  </si>
  <si>
    <t>Apache</t>
  </si>
  <si>
    <t>Apache, AZ</t>
  </si>
  <si>
    <t>AZ</t>
  </si>
  <si>
    <t>Cochise</t>
  </si>
  <si>
    <t>Cochise, AZ</t>
  </si>
  <si>
    <t>Coconino</t>
  </si>
  <si>
    <t>Coconino, AZ</t>
  </si>
  <si>
    <t>Gila</t>
  </si>
  <si>
    <t>Gila, AZ</t>
  </si>
  <si>
    <t>Graham</t>
  </si>
  <si>
    <t>Graham, AZ</t>
  </si>
  <si>
    <t>Greenlee</t>
  </si>
  <si>
    <t>Greenlee, AZ</t>
  </si>
  <si>
    <t>La Paz</t>
  </si>
  <si>
    <t>La Paz, AZ</t>
  </si>
  <si>
    <t>Maricopa</t>
  </si>
  <si>
    <t>Maricopa, AZ</t>
  </si>
  <si>
    <t>Mohave</t>
  </si>
  <si>
    <t>Mohave, AZ</t>
  </si>
  <si>
    <t>Navajo</t>
  </si>
  <si>
    <t>Navajo, AZ</t>
  </si>
  <si>
    <t>Pima</t>
  </si>
  <si>
    <t>Pima, AZ</t>
  </si>
  <si>
    <t>Pinal</t>
  </si>
  <si>
    <t>Pinal, AZ</t>
  </si>
  <si>
    <t>Santa Cruz</t>
  </si>
  <si>
    <t>Santa Cruz, AZ</t>
  </si>
  <si>
    <t>Yavapai</t>
  </si>
  <si>
    <t>Yavapai, AZ</t>
  </si>
  <si>
    <t>Yuma</t>
  </si>
  <si>
    <t>Yuma, AZ</t>
  </si>
  <si>
    <t>Arkansas</t>
  </si>
  <si>
    <t>Arkansas, AR</t>
  </si>
  <si>
    <t>AR</t>
  </si>
  <si>
    <t>Ashley</t>
  </si>
  <si>
    <t>Ashley, AR</t>
  </si>
  <si>
    <t>Baxter</t>
  </si>
  <si>
    <t>Baxter, AR</t>
  </si>
  <si>
    <t>Benton</t>
  </si>
  <si>
    <t>Benton, AR</t>
  </si>
  <si>
    <t>Boone</t>
  </si>
  <si>
    <t>Boone, AR</t>
  </si>
  <si>
    <t>Bradley</t>
  </si>
  <si>
    <t>Bradley, AR</t>
  </si>
  <si>
    <t>Calhoun, AR</t>
  </si>
  <si>
    <t>Carroll</t>
  </si>
  <si>
    <t>Carroll, AR</t>
  </si>
  <si>
    <t>Chicot</t>
  </si>
  <si>
    <t>Chicot, AR</t>
  </si>
  <si>
    <t>Clark</t>
  </si>
  <si>
    <t>Clark, AR</t>
  </si>
  <si>
    <t>Clay, AR</t>
  </si>
  <si>
    <t>Cleburne, AR</t>
  </si>
  <si>
    <t>Cleveland</t>
  </si>
  <si>
    <t>Cleveland, AR</t>
  </si>
  <si>
    <t>Columbia</t>
  </si>
  <si>
    <t>Columbia, AR</t>
  </si>
  <si>
    <t>Conway</t>
  </si>
  <si>
    <t>Conway, AR</t>
  </si>
  <si>
    <t>Craighead</t>
  </si>
  <si>
    <t>Craighead, AR</t>
  </si>
  <si>
    <t>Crawford</t>
  </si>
  <si>
    <t>Crawford, AR</t>
  </si>
  <si>
    <t>Crittenden</t>
  </si>
  <si>
    <t>Crittenden, AR</t>
  </si>
  <si>
    <t>Cross</t>
  </si>
  <si>
    <t>Cross, AR</t>
  </si>
  <si>
    <t>Dallas, AR</t>
  </si>
  <si>
    <t>Desha</t>
  </si>
  <si>
    <t>Desha, AR</t>
  </si>
  <si>
    <t>Drew</t>
  </si>
  <si>
    <t>Drew, AR</t>
  </si>
  <si>
    <t>Faulkner</t>
  </si>
  <si>
    <t>Faulkner, AR</t>
  </si>
  <si>
    <t>Franklin, AR</t>
  </si>
  <si>
    <t>Fulton</t>
  </si>
  <si>
    <t>Fulton, AR</t>
  </si>
  <si>
    <t>Garland</t>
  </si>
  <si>
    <t>Garland, AR</t>
  </si>
  <si>
    <t>Grant</t>
  </si>
  <si>
    <t>Grant, AR</t>
  </si>
  <si>
    <t>Greene, AR</t>
  </si>
  <si>
    <t>Hempstead</t>
  </si>
  <si>
    <t>Hempstead, AR</t>
  </si>
  <si>
    <t>Hot Spring</t>
  </si>
  <si>
    <t>Hot Spring, AR</t>
  </si>
  <si>
    <t>Howard</t>
  </si>
  <si>
    <t>Howard, AR</t>
  </si>
  <si>
    <t>Independence</t>
  </si>
  <si>
    <t>Independence, AR</t>
  </si>
  <si>
    <t>Izard</t>
  </si>
  <si>
    <t>Izard, AR</t>
  </si>
  <si>
    <t>Jackson, AR</t>
  </si>
  <si>
    <t>Jefferson, AR</t>
  </si>
  <si>
    <t>Johnson</t>
  </si>
  <si>
    <t>Johnson, AR</t>
  </si>
  <si>
    <t>Lafayette</t>
  </si>
  <si>
    <t>Lafayette, AR</t>
  </si>
  <si>
    <t>Lawrence, AR</t>
  </si>
  <si>
    <t>Lee, AR</t>
  </si>
  <si>
    <t>Lincoln</t>
  </si>
  <si>
    <t>Lincoln, AR</t>
  </si>
  <si>
    <t>Little River</t>
  </si>
  <si>
    <t>Little River, AR</t>
  </si>
  <si>
    <t>Logan</t>
  </si>
  <si>
    <t>Logan, AR</t>
  </si>
  <si>
    <t>Lonoke</t>
  </si>
  <si>
    <t>Lonoke, AR</t>
  </si>
  <si>
    <t>Madison, AR</t>
  </si>
  <si>
    <t>Marion, AR</t>
  </si>
  <si>
    <t>Miller</t>
  </si>
  <si>
    <t>Miller, AR</t>
  </si>
  <si>
    <t>Mississippi</t>
  </si>
  <si>
    <t>Mississippi, AR</t>
  </si>
  <si>
    <t>Monroe, AR</t>
  </si>
  <si>
    <t>Montgomery, AR</t>
  </si>
  <si>
    <t>Nevada</t>
  </si>
  <si>
    <t>Nevada, AR</t>
  </si>
  <si>
    <t>Newton</t>
  </si>
  <si>
    <t>Newton, AR</t>
  </si>
  <si>
    <t>Ouachita</t>
  </si>
  <si>
    <t>Ouachita, AR</t>
  </si>
  <si>
    <t>Perry, AR</t>
  </si>
  <si>
    <t>Phillips</t>
  </si>
  <si>
    <t>Phillips, AR</t>
  </si>
  <si>
    <t>Pike, AR</t>
  </si>
  <si>
    <t>Poinsett</t>
  </si>
  <si>
    <t>Poinsett, AR</t>
  </si>
  <si>
    <t>Polk</t>
  </si>
  <si>
    <t>Polk, AR</t>
  </si>
  <si>
    <t>Pope</t>
  </si>
  <si>
    <t>Pope, AR</t>
  </si>
  <si>
    <t>Prairie</t>
  </si>
  <si>
    <t>Prairie, AR</t>
  </si>
  <si>
    <t>Pulaski</t>
  </si>
  <si>
    <t>Pulaski, AR</t>
  </si>
  <si>
    <t>Randolph, AR</t>
  </si>
  <si>
    <t>St. Francis</t>
  </si>
  <si>
    <t>St. Francis, AR</t>
  </si>
  <si>
    <t>Saline</t>
  </si>
  <si>
    <t>Saline, AR</t>
  </si>
  <si>
    <t>Scott</t>
  </si>
  <si>
    <t>Scott, AR</t>
  </si>
  <si>
    <t>Searcy</t>
  </si>
  <si>
    <t>Searcy, AR</t>
  </si>
  <si>
    <t>Sebastian</t>
  </si>
  <si>
    <t>Sebastian, AR</t>
  </si>
  <si>
    <t>Sevier</t>
  </si>
  <si>
    <t>Sevier, AR</t>
  </si>
  <si>
    <t>Sharp</t>
  </si>
  <si>
    <t>Sharp, AR</t>
  </si>
  <si>
    <t>Stone</t>
  </si>
  <si>
    <t>Stone, AR</t>
  </si>
  <si>
    <t>Union</t>
  </si>
  <si>
    <t>Union, AR</t>
  </si>
  <si>
    <t>Van Buren</t>
  </si>
  <si>
    <t>Van Buren, AR</t>
  </si>
  <si>
    <t>Washington, AR</t>
  </si>
  <si>
    <t>White</t>
  </si>
  <si>
    <t>White, AR</t>
  </si>
  <si>
    <t>Woodruff</t>
  </si>
  <si>
    <t>Woodruff, AR</t>
  </si>
  <si>
    <t>Yell</t>
  </si>
  <si>
    <t>Yell, AR</t>
  </si>
  <si>
    <t>Alameda</t>
  </si>
  <si>
    <t>Alameda, CA</t>
  </si>
  <si>
    <t>CA</t>
  </si>
  <si>
    <t>Alpine</t>
  </si>
  <si>
    <t>Alpine, CA</t>
  </si>
  <si>
    <t>Amador</t>
  </si>
  <si>
    <t>Amador, CA</t>
  </si>
  <si>
    <t>Butte</t>
  </si>
  <si>
    <t>Butte, CA</t>
  </si>
  <si>
    <t>Calaveras</t>
  </si>
  <si>
    <t>Calaveras, CA</t>
  </si>
  <si>
    <t>Colusa</t>
  </si>
  <si>
    <t>Colusa, CA</t>
  </si>
  <si>
    <t>Contra Costa</t>
  </si>
  <si>
    <t>Contra Costa, CA</t>
  </si>
  <si>
    <t>Del Norte</t>
  </si>
  <si>
    <t>Del Norte, CA</t>
  </si>
  <si>
    <t>El Dorado</t>
  </si>
  <si>
    <t>El Dorado, CA</t>
  </si>
  <si>
    <t>Fresno</t>
  </si>
  <si>
    <t>Fresno, CA</t>
  </si>
  <si>
    <t>Glenn</t>
  </si>
  <si>
    <t>Glenn, CA</t>
  </si>
  <si>
    <t>Humboldt</t>
  </si>
  <si>
    <t>Humboldt, CA</t>
  </si>
  <si>
    <t>Imperial</t>
  </si>
  <si>
    <t>Imperial, CA</t>
  </si>
  <si>
    <t>Inyo</t>
  </si>
  <si>
    <t>Inyo, CA</t>
  </si>
  <si>
    <t>Kern</t>
  </si>
  <si>
    <t>Kern, CA</t>
  </si>
  <si>
    <t>Kings</t>
  </si>
  <si>
    <t>Kings, CA</t>
  </si>
  <si>
    <t>Lake</t>
  </si>
  <si>
    <t>Lake, CA</t>
  </si>
  <si>
    <t>Lassen</t>
  </si>
  <si>
    <t>Lassen, CA</t>
  </si>
  <si>
    <t>Los Angeles</t>
  </si>
  <si>
    <t>Los Angeles, CA</t>
  </si>
  <si>
    <t>Madera</t>
  </si>
  <si>
    <t>Madera, CA</t>
  </si>
  <si>
    <t>Marin</t>
  </si>
  <si>
    <t>Marin, CA</t>
  </si>
  <si>
    <t>Mariposa</t>
  </si>
  <si>
    <t>Mariposa, CA</t>
  </si>
  <si>
    <t>Mendocino</t>
  </si>
  <si>
    <t>Mendocino, CA</t>
  </si>
  <si>
    <t>Merced</t>
  </si>
  <si>
    <t>Merced, CA</t>
  </si>
  <si>
    <t>Modoc</t>
  </si>
  <si>
    <t>Modoc, CA</t>
  </si>
  <si>
    <t>Mono</t>
  </si>
  <si>
    <t>Mono, CA</t>
  </si>
  <si>
    <t>Monterey</t>
  </si>
  <si>
    <t>Monterey, CA</t>
  </si>
  <si>
    <t>Napa</t>
  </si>
  <si>
    <t>Napa, CA</t>
  </si>
  <si>
    <t>Nevada, CA</t>
  </si>
  <si>
    <t>Orange</t>
  </si>
  <si>
    <t>Orange, CA</t>
  </si>
  <si>
    <t>Placer</t>
  </si>
  <si>
    <t>Placer, CA</t>
  </si>
  <si>
    <t>Plumas</t>
  </si>
  <si>
    <t>Plumas, CA</t>
  </si>
  <si>
    <t>Riverside</t>
  </si>
  <si>
    <t>Riverside, CA</t>
  </si>
  <si>
    <t>Sacramento</t>
  </si>
  <si>
    <t>Sacramento, CA</t>
  </si>
  <si>
    <t>San Benito</t>
  </si>
  <si>
    <t>San Benito, CA</t>
  </si>
  <si>
    <t>San Bernardino</t>
  </si>
  <si>
    <t>San Bernardino, CA</t>
  </si>
  <si>
    <t>San Diego</t>
  </si>
  <si>
    <t>San Diego, CA</t>
  </si>
  <si>
    <t>San Francisco</t>
  </si>
  <si>
    <t>San Francisco, CA</t>
  </si>
  <si>
    <t>San Joaquin</t>
  </si>
  <si>
    <t>San Joaquin, CA</t>
  </si>
  <si>
    <t>San Luis Obispo</t>
  </si>
  <si>
    <t>San Luis Obispo, CA</t>
  </si>
  <si>
    <t>San Mateo</t>
  </si>
  <si>
    <t>San Mateo, CA</t>
  </si>
  <si>
    <t>Santa Barbara</t>
  </si>
  <si>
    <t>Santa Barbara, CA</t>
  </si>
  <si>
    <t>Santa Clara</t>
  </si>
  <si>
    <t>Santa Clara, CA</t>
  </si>
  <si>
    <t>Santa Cruz, CA</t>
  </si>
  <si>
    <t>Shasta</t>
  </si>
  <si>
    <t>Shasta, CA</t>
  </si>
  <si>
    <t>Sierra</t>
  </si>
  <si>
    <t>Sierra, CA</t>
  </si>
  <si>
    <t>Siskiyou</t>
  </si>
  <si>
    <t>Siskiyou, CA</t>
  </si>
  <si>
    <t>Solano</t>
  </si>
  <si>
    <t>Solano, CA</t>
  </si>
  <si>
    <t>Sonoma</t>
  </si>
  <si>
    <t>Sonoma, CA</t>
  </si>
  <si>
    <t>Stanislaus</t>
  </si>
  <si>
    <t>Stanislaus, CA</t>
  </si>
  <si>
    <t>Sutter</t>
  </si>
  <si>
    <t>Sutter, CA</t>
  </si>
  <si>
    <t>Tehama</t>
  </si>
  <si>
    <t>Tehama, CA</t>
  </si>
  <si>
    <t>Trinity</t>
  </si>
  <si>
    <t>Trinity, CA</t>
  </si>
  <si>
    <t>Tulare</t>
  </si>
  <si>
    <t>Tulare, CA</t>
  </si>
  <si>
    <t>Tuolumne</t>
  </si>
  <si>
    <t>Tuolumne, CA</t>
  </si>
  <si>
    <t>Ventura</t>
  </si>
  <si>
    <t>Ventura, CA</t>
  </si>
  <si>
    <t>Yolo</t>
  </si>
  <si>
    <t>Yolo, CA</t>
  </si>
  <si>
    <t>Yuba</t>
  </si>
  <si>
    <t>Yuba, CA</t>
  </si>
  <si>
    <t>Adams</t>
  </si>
  <si>
    <t>Adams, CO</t>
  </si>
  <si>
    <t>CO</t>
  </si>
  <si>
    <t>Alamosa</t>
  </si>
  <si>
    <t>Alamosa, CO</t>
  </si>
  <si>
    <t>Arapahoe</t>
  </si>
  <si>
    <t>Arapahoe, CO</t>
  </si>
  <si>
    <t>Archuleta</t>
  </si>
  <si>
    <t>Archuleta, CO</t>
  </si>
  <si>
    <t>Baca</t>
  </si>
  <si>
    <t>Baca, CO</t>
  </si>
  <si>
    <t>Bent</t>
  </si>
  <si>
    <t>Bent, CO</t>
  </si>
  <si>
    <t>Boulder</t>
  </si>
  <si>
    <t>Boulder, CO</t>
  </si>
  <si>
    <t>Broomfield</t>
  </si>
  <si>
    <t>Broomfield, CO</t>
  </si>
  <si>
    <t>Chaffee</t>
  </si>
  <si>
    <t>Chaffee, CO</t>
  </si>
  <si>
    <t>Cheyenne</t>
  </si>
  <si>
    <t>Cheyenne, CO</t>
  </si>
  <si>
    <t>Clear Creek</t>
  </si>
  <si>
    <t>Clear Creek, CO</t>
  </si>
  <si>
    <t>Conejos</t>
  </si>
  <si>
    <t>Conejos, CO</t>
  </si>
  <si>
    <t>Costilla</t>
  </si>
  <si>
    <t>Costilla, CO</t>
  </si>
  <si>
    <t>Crowley</t>
  </si>
  <si>
    <t>Crowley, CO</t>
  </si>
  <si>
    <t>Custer</t>
  </si>
  <si>
    <t>Custer, CO</t>
  </si>
  <si>
    <t>Delta</t>
  </si>
  <si>
    <t>Delta, CO</t>
  </si>
  <si>
    <t>Denver</t>
  </si>
  <si>
    <t>Denver, CO</t>
  </si>
  <si>
    <t>Dolores</t>
  </si>
  <si>
    <t>Dolores, CO</t>
  </si>
  <si>
    <t>Douglas</t>
  </si>
  <si>
    <t>Douglas, CO</t>
  </si>
  <si>
    <t>Eagle</t>
  </si>
  <si>
    <t>Eagle, CO</t>
  </si>
  <si>
    <t>Elbert</t>
  </si>
  <si>
    <t>Elbert, CO</t>
  </si>
  <si>
    <t>El Paso</t>
  </si>
  <si>
    <t>El Paso, CO</t>
  </si>
  <si>
    <t>Fremont</t>
  </si>
  <si>
    <t>Fremont, CO</t>
  </si>
  <si>
    <t>Garfield</t>
  </si>
  <si>
    <t>Garfield, CO</t>
  </si>
  <si>
    <t>Gilpin</t>
  </si>
  <si>
    <t>Gilpin, CO</t>
  </si>
  <si>
    <t>Grand</t>
  </si>
  <si>
    <t>Grand, CO</t>
  </si>
  <si>
    <t>Gunnison</t>
  </si>
  <si>
    <t>Gunnison, CO</t>
  </si>
  <si>
    <t>Hinsdale</t>
  </si>
  <si>
    <t>Hinsdale, CO</t>
  </si>
  <si>
    <t>Huerfano</t>
  </si>
  <si>
    <t>Huerfano, CO</t>
  </si>
  <si>
    <t>Jackson, CO</t>
  </si>
  <si>
    <t>Jefferson, CO</t>
  </si>
  <si>
    <t>Kiowa</t>
  </si>
  <si>
    <t>Kiowa, CO</t>
  </si>
  <si>
    <t>Kit Carson</t>
  </si>
  <si>
    <t>Kit Carson, CO</t>
  </si>
  <si>
    <t>Lake, CO</t>
  </si>
  <si>
    <t>La Plata</t>
  </si>
  <si>
    <t>La Plata, CO</t>
  </si>
  <si>
    <t>Larimer</t>
  </si>
  <si>
    <t>Larimer, CO</t>
  </si>
  <si>
    <t>Las Animas</t>
  </si>
  <si>
    <t>Las Animas, CO</t>
  </si>
  <si>
    <t>Lincoln, CO</t>
  </si>
  <si>
    <t>Logan, CO</t>
  </si>
  <si>
    <t>Mesa</t>
  </si>
  <si>
    <t>Mesa, CO</t>
  </si>
  <si>
    <t>Mineral</t>
  </si>
  <si>
    <t>Mineral, CO</t>
  </si>
  <si>
    <t>Moffat</t>
  </si>
  <si>
    <t>Moffat, CO</t>
  </si>
  <si>
    <t>Montezuma</t>
  </si>
  <si>
    <t>Montezuma, CO</t>
  </si>
  <si>
    <t>Montrose</t>
  </si>
  <si>
    <t>Montrose, CO</t>
  </si>
  <si>
    <t>Morgan, CO</t>
  </si>
  <si>
    <t>Otero</t>
  </si>
  <si>
    <t>Otero, CO</t>
  </si>
  <si>
    <t>Ouray</t>
  </si>
  <si>
    <t>Ouray, CO</t>
  </si>
  <si>
    <t>Park</t>
  </si>
  <si>
    <t>Park, CO</t>
  </si>
  <si>
    <t>Phillips, CO</t>
  </si>
  <si>
    <t>Pitkin</t>
  </si>
  <si>
    <t>Pitkin, CO</t>
  </si>
  <si>
    <t>Prowers</t>
  </si>
  <si>
    <t>Prowers, CO</t>
  </si>
  <si>
    <t>Pueblo</t>
  </si>
  <si>
    <t>Pueblo, CO</t>
  </si>
  <si>
    <t>Rio Blanco</t>
  </si>
  <si>
    <t>Rio Blanco, CO</t>
  </si>
  <si>
    <t>Rio Grande</t>
  </si>
  <si>
    <t>Rio Grande, CO</t>
  </si>
  <si>
    <t>Routt</t>
  </si>
  <si>
    <t>Routt, CO</t>
  </si>
  <si>
    <t>Saguache</t>
  </si>
  <si>
    <t>Saguache, CO</t>
  </si>
  <si>
    <t>San Juan</t>
  </si>
  <si>
    <t>San Juan, CO</t>
  </si>
  <si>
    <t>San Miguel</t>
  </si>
  <si>
    <t>San Miguel, CO</t>
  </si>
  <si>
    <t>Sedgwick</t>
  </si>
  <si>
    <t>Sedgwick, CO</t>
  </si>
  <si>
    <t>Summit</t>
  </si>
  <si>
    <t>Summit, CO</t>
  </si>
  <si>
    <t>Teller</t>
  </si>
  <si>
    <t>Teller, CO</t>
  </si>
  <si>
    <t>Washington, CO</t>
  </si>
  <si>
    <t>Weld</t>
  </si>
  <si>
    <t>Weld, CO</t>
  </si>
  <si>
    <t>Yuma, CO</t>
  </si>
  <si>
    <t>Fairfield</t>
  </si>
  <si>
    <t>Fairfield, CT</t>
  </si>
  <si>
    <t>CT</t>
  </si>
  <si>
    <t>Hartford</t>
  </si>
  <si>
    <t>Hartford, CT</t>
  </si>
  <si>
    <t>Litchfield</t>
  </si>
  <si>
    <t>Litchfield, CT</t>
  </si>
  <si>
    <t>Middlesex</t>
  </si>
  <si>
    <t>Middlesex, CT</t>
  </si>
  <si>
    <t>New Haven</t>
  </si>
  <si>
    <t>New Haven, CT</t>
  </si>
  <si>
    <t>New London</t>
  </si>
  <si>
    <t>New London, CT</t>
  </si>
  <si>
    <t>Tolland</t>
  </si>
  <si>
    <t>Tolland, CT</t>
  </si>
  <si>
    <t>Windham</t>
  </si>
  <si>
    <t>Windham, CT</t>
  </si>
  <si>
    <t>Kent</t>
  </si>
  <si>
    <t>Kent, DE</t>
  </si>
  <si>
    <t>DE</t>
  </si>
  <si>
    <t>New Castle</t>
  </si>
  <si>
    <t>New Castle, DE</t>
  </si>
  <si>
    <t>Sussex</t>
  </si>
  <si>
    <t>Sussex, DE</t>
  </si>
  <si>
    <t>District of Columbia</t>
  </si>
  <si>
    <t>District of Columbia, DC</t>
  </si>
  <si>
    <t>DC</t>
  </si>
  <si>
    <t>Alachua</t>
  </si>
  <si>
    <t>Alachua, FL</t>
  </si>
  <si>
    <t>FL</t>
  </si>
  <si>
    <t>Baker</t>
  </si>
  <si>
    <t>Baker, FL</t>
  </si>
  <si>
    <t>Bay</t>
  </si>
  <si>
    <t>Bay, FL</t>
  </si>
  <si>
    <t>Bradford</t>
  </si>
  <si>
    <t>Bradford, FL</t>
  </si>
  <si>
    <t>Brevard</t>
  </si>
  <si>
    <t>Brevard, FL</t>
  </si>
  <si>
    <t>Broward</t>
  </si>
  <si>
    <t>Broward, FL</t>
  </si>
  <si>
    <t>Calhoun, FL</t>
  </si>
  <si>
    <t>Charlotte</t>
  </si>
  <si>
    <t>Charlotte, FL</t>
  </si>
  <si>
    <t>Citrus</t>
  </si>
  <si>
    <t>Citrus, FL</t>
  </si>
  <si>
    <t>Clay, FL</t>
  </si>
  <si>
    <t>Collier</t>
  </si>
  <si>
    <t>Collier, FL</t>
  </si>
  <si>
    <t>Columbia, FL</t>
  </si>
  <si>
    <t>DeSoto</t>
  </si>
  <si>
    <t>DeSoto, FL</t>
  </si>
  <si>
    <t>Dixie</t>
  </si>
  <si>
    <t>Dixie, FL</t>
  </si>
  <si>
    <t>Duval</t>
  </si>
  <si>
    <t>Duval, FL</t>
  </si>
  <si>
    <t>Escambia, FL</t>
  </si>
  <si>
    <t>Flagler</t>
  </si>
  <si>
    <t>Flagler, FL</t>
  </si>
  <si>
    <t>Franklin, FL</t>
  </si>
  <si>
    <t>Gadsden</t>
  </si>
  <si>
    <t>Gadsden, FL</t>
  </si>
  <si>
    <t>Gilchrist</t>
  </si>
  <si>
    <t>Gilchrist, FL</t>
  </si>
  <si>
    <t>Glades</t>
  </si>
  <si>
    <t>Glades, FL</t>
  </si>
  <si>
    <t>Gulf</t>
  </si>
  <si>
    <t>Gulf, FL</t>
  </si>
  <si>
    <t>Hamilton</t>
  </si>
  <si>
    <t>Hamilton, FL</t>
  </si>
  <si>
    <t>Hardee</t>
  </si>
  <si>
    <t>Hardee, FL</t>
  </si>
  <si>
    <t>Hendry</t>
  </si>
  <si>
    <t>Hendry, FL</t>
  </si>
  <si>
    <t>Hernando</t>
  </si>
  <si>
    <t>Hernando, FL</t>
  </si>
  <si>
    <t>Highlands</t>
  </si>
  <si>
    <t>Highlands, FL</t>
  </si>
  <si>
    <t>Hillsborough</t>
  </si>
  <si>
    <t>Hillsborough, FL</t>
  </si>
  <si>
    <t>Holmes</t>
  </si>
  <si>
    <t>Holmes, FL</t>
  </si>
  <si>
    <t>Indian River</t>
  </si>
  <si>
    <t>Indian River, FL</t>
  </si>
  <si>
    <t>Jackson, FL</t>
  </si>
  <si>
    <t>Jefferson, FL</t>
  </si>
  <si>
    <t>Lafayette, FL</t>
  </si>
  <si>
    <t>Lake, FL</t>
  </si>
  <si>
    <t>Lee, FL</t>
  </si>
  <si>
    <t>Leon</t>
  </si>
  <si>
    <t>Leon, FL</t>
  </si>
  <si>
    <t>Levy</t>
  </si>
  <si>
    <t>Levy, FL</t>
  </si>
  <si>
    <t>Liberty</t>
  </si>
  <si>
    <t>Liberty, FL</t>
  </si>
  <si>
    <t>Madison, FL</t>
  </si>
  <si>
    <t>Manatee</t>
  </si>
  <si>
    <t>Manatee, FL</t>
  </si>
  <si>
    <t>Marion, FL</t>
  </si>
  <si>
    <t>Martin</t>
  </si>
  <si>
    <t>Martin, FL</t>
  </si>
  <si>
    <t>Miami-Dade</t>
  </si>
  <si>
    <t>Miami-Dade, FL</t>
  </si>
  <si>
    <t>Monroe, FL</t>
  </si>
  <si>
    <t>Nassau</t>
  </si>
  <si>
    <t>Nassau, FL</t>
  </si>
  <si>
    <t>Okaloosa</t>
  </si>
  <si>
    <t>Okaloosa, FL</t>
  </si>
  <si>
    <t>Okeechobee</t>
  </si>
  <si>
    <t>Okeechobee, FL</t>
  </si>
  <si>
    <t>Orange, FL</t>
  </si>
  <si>
    <t>Osceola</t>
  </si>
  <si>
    <t>Osceola, FL</t>
  </si>
  <si>
    <t>Palm Beach</t>
  </si>
  <si>
    <t>Palm Beach, FL</t>
  </si>
  <si>
    <t>Pasco</t>
  </si>
  <si>
    <t>Pasco, FL</t>
  </si>
  <si>
    <t>Pinellas</t>
  </si>
  <si>
    <t>Pinellas, FL</t>
  </si>
  <si>
    <t>Polk, FL</t>
  </si>
  <si>
    <t>Putnam</t>
  </si>
  <si>
    <t>Putnam, FL</t>
  </si>
  <si>
    <t>St. Johns</t>
  </si>
  <si>
    <t>St. Johns, FL</t>
  </si>
  <si>
    <t>St. Lucie</t>
  </si>
  <si>
    <t>St. Lucie, FL</t>
  </si>
  <si>
    <t>Santa Rosa</t>
  </si>
  <si>
    <t>Santa Rosa, FL</t>
  </si>
  <si>
    <t>Sarasota</t>
  </si>
  <si>
    <t>Sarasota, FL</t>
  </si>
  <si>
    <t>Seminole</t>
  </si>
  <si>
    <t>Seminole, FL</t>
  </si>
  <si>
    <t>Sumter, FL</t>
  </si>
  <si>
    <t>Suwannee</t>
  </si>
  <si>
    <t>Suwannee, FL</t>
  </si>
  <si>
    <t>Taylor</t>
  </si>
  <si>
    <t>Taylor, FL</t>
  </si>
  <si>
    <t>Union, FL</t>
  </si>
  <si>
    <t>Volusia</t>
  </si>
  <si>
    <t>Volusia, FL</t>
  </si>
  <si>
    <t>Wakulla</t>
  </si>
  <si>
    <t>Wakulla, FL</t>
  </si>
  <si>
    <t>Walton</t>
  </si>
  <si>
    <t>Walton, FL</t>
  </si>
  <si>
    <t>Washington, FL</t>
  </si>
  <si>
    <t>Appling</t>
  </si>
  <si>
    <t>Appling, GA</t>
  </si>
  <si>
    <t>GA</t>
  </si>
  <si>
    <t>Atkinson</t>
  </si>
  <si>
    <t>Atkinson, GA</t>
  </si>
  <si>
    <t>Bacon</t>
  </si>
  <si>
    <t>Bacon, GA</t>
  </si>
  <si>
    <t>Baker, GA</t>
  </si>
  <si>
    <t>Baldwin, GA</t>
  </si>
  <si>
    <t>Banks</t>
  </si>
  <si>
    <t>Banks, GA</t>
  </si>
  <si>
    <t>Barrow</t>
  </si>
  <si>
    <t>Barrow, GA</t>
  </si>
  <si>
    <t>Bartow</t>
  </si>
  <si>
    <t>Bartow, GA</t>
  </si>
  <si>
    <t>Ben Hill</t>
  </si>
  <si>
    <t>Ben Hill, GA</t>
  </si>
  <si>
    <t>Berrien</t>
  </si>
  <si>
    <t>Berrien, GA</t>
  </si>
  <si>
    <t>Bibb, GA</t>
  </si>
  <si>
    <t>Bleckley</t>
  </si>
  <si>
    <t>Bleckley, GA</t>
  </si>
  <si>
    <t>Brantley</t>
  </si>
  <si>
    <t>Brantley, GA</t>
  </si>
  <si>
    <t>Brooks</t>
  </si>
  <si>
    <t>Brooks, GA</t>
  </si>
  <si>
    <t>Bryan</t>
  </si>
  <si>
    <t>Bryan, GA</t>
  </si>
  <si>
    <t>Bulloch</t>
  </si>
  <si>
    <t>Bulloch, GA</t>
  </si>
  <si>
    <t>Burke</t>
  </si>
  <si>
    <t>Burke, GA</t>
  </si>
  <si>
    <t>Butts</t>
  </si>
  <si>
    <t>Butts, GA</t>
  </si>
  <si>
    <t>Calhoun, GA</t>
  </si>
  <si>
    <t>Camden</t>
  </si>
  <si>
    <t>Camden, GA</t>
  </si>
  <si>
    <t>Candler</t>
  </si>
  <si>
    <t>Candler, GA</t>
  </si>
  <si>
    <t>Carroll, GA</t>
  </si>
  <si>
    <t>Catoosa</t>
  </si>
  <si>
    <t>Catoosa, GA</t>
  </si>
  <si>
    <t>Charlton</t>
  </si>
  <si>
    <t>Charlton, GA</t>
  </si>
  <si>
    <t>Chatham</t>
  </si>
  <si>
    <t>Chatham, GA</t>
  </si>
  <si>
    <t>Chattahoochee</t>
  </si>
  <si>
    <t>Chattahoochee, GA</t>
  </si>
  <si>
    <t>Chattooga</t>
  </si>
  <si>
    <t>Chattooga, GA</t>
  </si>
  <si>
    <t>Cherokee, GA</t>
  </si>
  <si>
    <t>Clarke, GA</t>
  </si>
  <si>
    <t>Clay, GA</t>
  </si>
  <si>
    <t>Clayton</t>
  </si>
  <si>
    <t>Clayton, GA</t>
  </si>
  <si>
    <t>Clinch</t>
  </si>
  <si>
    <t>Clinch, GA</t>
  </si>
  <si>
    <t>Cobb</t>
  </si>
  <si>
    <t>Cobb, GA</t>
  </si>
  <si>
    <t>Coffee, GA</t>
  </si>
  <si>
    <t>Colquitt</t>
  </si>
  <si>
    <t>Colquitt, GA</t>
  </si>
  <si>
    <t>Columbia, GA</t>
  </si>
  <si>
    <t>Cook</t>
  </si>
  <si>
    <t>Cook, GA</t>
  </si>
  <si>
    <t>Coweta</t>
  </si>
  <si>
    <t>Coweta, GA</t>
  </si>
  <si>
    <t>Crawford, GA</t>
  </si>
  <si>
    <t>Crisp</t>
  </si>
  <si>
    <t>Crisp, GA</t>
  </si>
  <si>
    <t>Dade</t>
  </si>
  <si>
    <t>Dade, GA</t>
  </si>
  <si>
    <t>Dawson</t>
  </si>
  <si>
    <t>Dawson, GA</t>
  </si>
  <si>
    <t>Decatur</t>
  </si>
  <si>
    <t>Decatur, GA</t>
  </si>
  <si>
    <t>DeKalb, GA</t>
  </si>
  <si>
    <t>Dodge</t>
  </si>
  <si>
    <t>Dodge, GA</t>
  </si>
  <si>
    <t>Dooly</t>
  </si>
  <si>
    <t>Dooly, GA</t>
  </si>
  <si>
    <t>Dougherty</t>
  </si>
  <si>
    <t>Dougherty, GA</t>
  </si>
  <si>
    <t>Douglas, GA</t>
  </si>
  <si>
    <t>Early</t>
  </si>
  <si>
    <t>Early, GA</t>
  </si>
  <si>
    <t>Echols</t>
  </si>
  <si>
    <t>Echols, GA</t>
  </si>
  <si>
    <t>Effingham</t>
  </si>
  <si>
    <t>Effingham, GA</t>
  </si>
  <si>
    <t>Elbert, GA</t>
  </si>
  <si>
    <t>Emanuel</t>
  </si>
  <si>
    <t>Emanuel, GA</t>
  </si>
  <si>
    <t>Evans</t>
  </si>
  <si>
    <t>Evans, GA</t>
  </si>
  <si>
    <t>Fannin</t>
  </si>
  <si>
    <t>Fannin, GA</t>
  </si>
  <si>
    <t>Fayette, GA</t>
  </si>
  <si>
    <t>Floyd</t>
  </si>
  <si>
    <t>Floyd, GA</t>
  </si>
  <si>
    <t>Forsyth</t>
  </si>
  <si>
    <t>Forsyth, GA</t>
  </si>
  <si>
    <t>Franklin, GA</t>
  </si>
  <si>
    <t>Fulton, GA</t>
  </si>
  <si>
    <t>Gilmer</t>
  </si>
  <si>
    <t>Gilmer, GA</t>
  </si>
  <si>
    <t>Glascock</t>
  </si>
  <si>
    <t>Glascock, GA</t>
  </si>
  <si>
    <t>Glynn</t>
  </si>
  <si>
    <t>Glynn, GA</t>
  </si>
  <si>
    <t>Gordon</t>
  </si>
  <si>
    <t>Gordon, GA</t>
  </si>
  <si>
    <t>Grady</t>
  </si>
  <si>
    <t>Grady, GA</t>
  </si>
  <si>
    <t>Greene, GA</t>
  </si>
  <si>
    <t>Gwinnett</t>
  </si>
  <si>
    <t>Gwinnett, GA</t>
  </si>
  <si>
    <t>Habersham</t>
  </si>
  <si>
    <t>Habersham, GA</t>
  </si>
  <si>
    <t>Hall</t>
  </si>
  <si>
    <t>Hall, GA</t>
  </si>
  <si>
    <t>Hancock</t>
  </si>
  <si>
    <t>Hancock, GA</t>
  </si>
  <si>
    <t>Haralson</t>
  </si>
  <si>
    <t>Haralson, GA</t>
  </si>
  <si>
    <t>Harris</t>
  </si>
  <si>
    <t>Harris, GA</t>
  </si>
  <si>
    <t>Hart</t>
  </si>
  <si>
    <t>Hart, GA</t>
  </si>
  <si>
    <t>Heard</t>
  </si>
  <si>
    <t>Heard, GA</t>
  </si>
  <si>
    <t>Henry, GA</t>
  </si>
  <si>
    <t>Houston, GA</t>
  </si>
  <si>
    <t>Irwin</t>
  </si>
  <si>
    <t>Irwin, GA</t>
  </si>
  <si>
    <t>Jackson, GA</t>
  </si>
  <si>
    <t>Jasper</t>
  </si>
  <si>
    <t>Jasper, GA</t>
  </si>
  <si>
    <t>Jeff Davis</t>
  </si>
  <si>
    <t>Jeff Davis, GA</t>
  </si>
  <si>
    <t>Jefferson, GA</t>
  </si>
  <si>
    <t>Jenkins</t>
  </si>
  <si>
    <t>Jenkins, GA</t>
  </si>
  <si>
    <t>Johnson, GA</t>
  </si>
  <si>
    <t>Jones</t>
  </si>
  <si>
    <t>Jones, GA</t>
  </si>
  <si>
    <t>Lamar, GA</t>
  </si>
  <si>
    <t>Lanier</t>
  </si>
  <si>
    <t>Lanier, GA</t>
  </si>
  <si>
    <t>Laurens</t>
  </si>
  <si>
    <t>Laurens, GA</t>
  </si>
  <si>
    <t>Lee, GA</t>
  </si>
  <si>
    <t>Liberty, GA</t>
  </si>
  <si>
    <t>Lincoln, GA</t>
  </si>
  <si>
    <t>Long</t>
  </si>
  <si>
    <t>Long, GA</t>
  </si>
  <si>
    <t>Lowndes, GA</t>
  </si>
  <si>
    <t>Lumpkin</t>
  </si>
  <si>
    <t>Lumpkin, GA</t>
  </si>
  <si>
    <t>McDuffie</t>
  </si>
  <si>
    <t>McDuffie, GA</t>
  </si>
  <si>
    <t>McIntosh</t>
  </si>
  <si>
    <t>McIntosh, GA</t>
  </si>
  <si>
    <t>Macon, GA</t>
  </si>
  <si>
    <t>Madison, GA</t>
  </si>
  <si>
    <t>Marion, GA</t>
  </si>
  <si>
    <t>Meriwether</t>
  </si>
  <si>
    <t>Meriwether, GA</t>
  </si>
  <si>
    <t>Miller, GA</t>
  </si>
  <si>
    <t>Mitchell</t>
  </si>
  <si>
    <t>Mitchell, GA</t>
  </si>
  <si>
    <t>Monroe, GA</t>
  </si>
  <si>
    <t>Montgomery, GA</t>
  </si>
  <si>
    <t>Morgan, GA</t>
  </si>
  <si>
    <t>Murray</t>
  </si>
  <si>
    <t>Murray, GA</t>
  </si>
  <si>
    <t>Muscogee</t>
  </si>
  <si>
    <t>Muscogee, GA</t>
  </si>
  <si>
    <t>Newton, GA</t>
  </si>
  <si>
    <t>Oconee</t>
  </si>
  <si>
    <t>Oconee, GA</t>
  </si>
  <si>
    <t>Oglethorpe</t>
  </si>
  <si>
    <t>Oglethorpe, GA</t>
  </si>
  <si>
    <t>Paulding</t>
  </si>
  <si>
    <t>Paulding, GA</t>
  </si>
  <si>
    <t>Peach</t>
  </si>
  <si>
    <t>Peach, GA</t>
  </si>
  <si>
    <t>Pickens, GA</t>
  </si>
  <si>
    <t>Pierce</t>
  </si>
  <si>
    <t>Pierce, GA</t>
  </si>
  <si>
    <t>Pike, GA</t>
  </si>
  <si>
    <t>Polk, GA</t>
  </si>
  <si>
    <t>Pulaski, GA</t>
  </si>
  <si>
    <t>Putnam, GA</t>
  </si>
  <si>
    <t>Quitman</t>
  </si>
  <si>
    <t>Quitman, GA</t>
  </si>
  <si>
    <t>Rabun</t>
  </si>
  <si>
    <t>Rabun, GA</t>
  </si>
  <si>
    <t>Randolph, GA</t>
  </si>
  <si>
    <t>Richmond</t>
  </si>
  <si>
    <t>Richmond, GA</t>
  </si>
  <si>
    <t>Rockdale</t>
  </si>
  <si>
    <t>Rockdale, GA</t>
  </si>
  <si>
    <t>Schley</t>
  </si>
  <si>
    <t>Schley, GA</t>
  </si>
  <si>
    <t>Screven</t>
  </si>
  <si>
    <t>Screven, GA</t>
  </si>
  <si>
    <t>Seminole, GA</t>
  </si>
  <si>
    <t>Spalding</t>
  </si>
  <si>
    <t>Spalding, GA</t>
  </si>
  <si>
    <t>Stephens</t>
  </si>
  <si>
    <t>Stephens, GA</t>
  </si>
  <si>
    <t>Stewart</t>
  </si>
  <si>
    <t>Stewart, GA</t>
  </si>
  <si>
    <t>Sumter, GA</t>
  </si>
  <si>
    <t>Talbot</t>
  </si>
  <si>
    <t>Talbot, GA</t>
  </si>
  <si>
    <t>Taliaferro</t>
  </si>
  <si>
    <t>Taliaferro, GA</t>
  </si>
  <si>
    <t>Tattnall</t>
  </si>
  <si>
    <t>Tattnall, GA</t>
  </si>
  <si>
    <t>Taylor, GA</t>
  </si>
  <si>
    <t>Telfair</t>
  </si>
  <si>
    <t>Telfair, GA</t>
  </si>
  <si>
    <t>Terrell</t>
  </si>
  <si>
    <t>Terrell, GA</t>
  </si>
  <si>
    <t>Thomas</t>
  </si>
  <si>
    <t>Thomas, GA</t>
  </si>
  <si>
    <t>Tift</t>
  </si>
  <si>
    <t>Tift, GA</t>
  </si>
  <si>
    <t>Toombs</t>
  </si>
  <si>
    <t>Toombs, GA</t>
  </si>
  <si>
    <t>Towns</t>
  </si>
  <si>
    <t>Towns, GA</t>
  </si>
  <si>
    <t>Treutlen</t>
  </si>
  <si>
    <t>Treutlen, GA</t>
  </si>
  <si>
    <t>Troup</t>
  </si>
  <si>
    <t>Troup, GA</t>
  </si>
  <si>
    <t>Turner</t>
  </si>
  <si>
    <t>Turner, GA</t>
  </si>
  <si>
    <t>Twiggs</t>
  </si>
  <si>
    <t>Twiggs, GA</t>
  </si>
  <si>
    <t>Union, GA</t>
  </si>
  <si>
    <t>Upson</t>
  </si>
  <si>
    <t>Upson, GA</t>
  </si>
  <si>
    <t>Walker, GA</t>
  </si>
  <si>
    <t>Walton, GA</t>
  </si>
  <si>
    <t>Ware</t>
  </si>
  <si>
    <t>Ware, GA</t>
  </si>
  <si>
    <t>Warren</t>
  </si>
  <si>
    <t>Warren, GA</t>
  </si>
  <si>
    <t>Washington, GA</t>
  </si>
  <si>
    <t>Wayne</t>
  </si>
  <si>
    <t>Wayne, GA</t>
  </si>
  <si>
    <t>Webster</t>
  </si>
  <si>
    <t>Webster, GA</t>
  </si>
  <si>
    <t>Wheeler</t>
  </si>
  <si>
    <t>Wheeler, GA</t>
  </si>
  <si>
    <t>White, GA</t>
  </si>
  <si>
    <t>Whitfield</t>
  </si>
  <si>
    <t>Whitfield, GA</t>
  </si>
  <si>
    <t>Wilcox, GA</t>
  </si>
  <si>
    <t>Wilkes</t>
  </si>
  <si>
    <t>Wilkes, GA</t>
  </si>
  <si>
    <t>Wilkinson</t>
  </si>
  <si>
    <t>Wilkinson, GA</t>
  </si>
  <si>
    <t>Worth</t>
  </si>
  <si>
    <t>Worth, GA</t>
  </si>
  <si>
    <t>Hawaii</t>
  </si>
  <si>
    <t>Hawaii, HI</t>
  </si>
  <si>
    <t>HI</t>
  </si>
  <si>
    <t>Honolulu</t>
  </si>
  <si>
    <t>Honolulu, HI</t>
  </si>
  <si>
    <t>Kauai</t>
  </si>
  <si>
    <t>Kauai, HI</t>
  </si>
  <si>
    <t>Maui</t>
  </si>
  <si>
    <t>Maui, HI</t>
  </si>
  <si>
    <t>Ada</t>
  </si>
  <si>
    <t>Ada, ID</t>
  </si>
  <si>
    <t>ID</t>
  </si>
  <si>
    <t>Adams, ID</t>
  </si>
  <si>
    <t>Bannock</t>
  </si>
  <si>
    <t>Bannock, ID</t>
  </si>
  <si>
    <t>Bear Lake</t>
  </si>
  <si>
    <t>Bear Lake, ID</t>
  </si>
  <si>
    <t>Benewah</t>
  </si>
  <si>
    <t>Benewah, ID</t>
  </si>
  <si>
    <t>Bingham</t>
  </si>
  <si>
    <t>Bingham, ID</t>
  </si>
  <si>
    <t>Blaine</t>
  </si>
  <si>
    <t>Blaine, ID</t>
  </si>
  <si>
    <t>Boise</t>
  </si>
  <si>
    <t>Boise, ID</t>
  </si>
  <si>
    <t>Bonner</t>
  </si>
  <si>
    <t>Bonner, ID</t>
  </si>
  <si>
    <t>Bonneville</t>
  </si>
  <si>
    <t>Bonneville, ID</t>
  </si>
  <si>
    <t>Boundary</t>
  </si>
  <si>
    <t>Boundary, ID</t>
  </si>
  <si>
    <t>Butte, ID</t>
  </si>
  <si>
    <t>Camas</t>
  </si>
  <si>
    <t>Camas, ID</t>
  </si>
  <si>
    <t>Canyon</t>
  </si>
  <si>
    <t>Canyon, ID</t>
  </si>
  <si>
    <t>Caribou</t>
  </si>
  <si>
    <t>Caribou, ID</t>
  </si>
  <si>
    <t>Cassia</t>
  </si>
  <si>
    <t>Cassia, ID</t>
  </si>
  <si>
    <t>Clark, ID</t>
  </si>
  <si>
    <t>Clearwater</t>
  </si>
  <si>
    <t>Clearwater, ID</t>
  </si>
  <si>
    <t>Custer, ID</t>
  </si>
  <si>
    <t>Elmore, ID</t>
  </si>
  <si>
    <t>Franklin, ID</t>
  </si>
  <si>
    <t>Fremont, ID</t>
  </si>
  <si>
    <t>Gem</t>
  </si>
  <si>
    <t>Gem, ID</t>
  </si>
  <si>
    <t>Gooding</t>
  </si>
  <si>
    <t>Gooding, ID</t>
  </si>
  <si>
    <t>Idaho</t>
  </si>
  <si>
    <t>Idaho, ID</t>
  </si>
  <si>
    <t>Jefferson, ID</t>
  </si>
  <si>
    <t>Jerome</t>
  </si>
  <si>
    <t>Jerome, ID</t>
  </si>
  <si>
    <t>Kootenai</t>
  </si>
  <si>
    <t>Kootenai, ID</t>
  </si>
  <si>
    <t>Latah</t>
  </si>
  <si>
    <t>Latah, ID</t>
  </si>
  <si>
    <t>Lemhi</t>
  </si>
  <si>
    <t>Lemhi, ID</t>
  </si>
  <si>
    <t>Lewis</t>
  </si>
  <si>
    <t>Lewis, ID</t>
  </si>
  <si>
    <t>Lincoln, ID</t>
  </si>
  <si>
    <t>Madison, ID</t>
  </si>
  <si>
    <t>Minidoka</t>
  </si>
  <si>
    <t>Minidoka, ID</t>
  </si>
  <si>
    <t>Nez Perce</t>
  </si>
  <si>
    <t>Nez Perce, ID</t>
  </si>
  <si>
    <t>Oneida</t>
  </si>
  <si>
    <t>Oneida, ID</t>
  </si>
  <si>
    <t>Owyhee</t>
  </si>
  <si>
    <t>Owyhee, ID</t>
  </si>
  <si>
    <t>Payette</t>
  </si>
  <si>
    <t>Payette, ID</t>
  </si>
  <si>
    <t>Power</t>
  </si>
  <si>
    <t>Power, ID</t>
  </si>
  <si>
    <t>Shoshone</t>
  </si>
  <si>
    <t>Shoshone, ID</t>
  </si>
  <si>
    <t>Teton</t>
  </si>
  <si>
    <t>Teton, ID</t>
  </si>
  <si>
    <t>Twin Falls</t>
  </si>
  <si>
    <t>Twin Falls, ID</t>
  </si>
  <si>
    <t>Valley</t>
  </si>
  <si>
    <t>Valley, ID</t>
  </si>
  <si>
    <t>Washington, ID</t>
  </si>
  <si>
    <t>Adams, IL</t>
  </si>
  <si>
    <t>IL</t>
  </si>
  <si>
    <t>Alexander</t>
  </si>
  <si>
    <t>Alexander, IL</t>
  </si>
  <si>
    <t>Bond</t>
  </si>
  <si>
    <t>Bond, IL</t>
  </si>
  <si>
    <t>Boone, IL</t>
  </si>
  <si>
    <t>Brown</t>
  </si>
  <si>
    <t>Brown, IL</t>
  </si>
  <si>
    <t>Bureau</t>
  </si>
  <si>
    <t>Bureau, IL</t>
  </si>
  <si>
    <t>Calhoun, IL</t>
  </si>
  <si>
    <t>Carroll, IL</t>
  </si>
  <si>
    <t>Cass</t>
  </si>
  <si>
    <t>Cass, IL</t>
  </si>
  <si>
    <t>Champaign</t>
  </si>
  <si>
    <t>Champaign, IL</t>
  </si>
  <si>
    <t>Christian</t>
  </si>
  <si>
    <t>Christian, IL</t>
  </si>
  <si>
    <t>Clark, IL</t>
  </si>
  <si>
    <t>Clay, IL</t>
  </si>
  <si>
    <t>Clinton</t>
  </si>
  <si>
    <t>Clinton, IL</t>
  </si>
  <si>
    <t>Coles</t>
  </si>
  <si>
    <t>Coles, IL</t>
  </si>
  <si>
    <t>Cook, IL</t>
  </si>
  <si>
    <t>Crawford, IL</t>
  </si>
  <si>
    <t>Cumberland</t>
  </si>
  <si>
    <t>Cumberland, IL</t>
  </si>
  <si>
    <t>DeKalb, IL</t>
  </si>
  <si>
    <t>De Witt</t>
  </si>
  <si>
    <t>De Witt, IL</t>
  </si>
  <si>
    <t>Douglas, IL</t>
  </si>
  <si>
    <t>DuPage</t>
  </si>
  <si>
    <t>DuPage, IL</t>
  </si>
  <si>
    <t>Edgar</t>
  </si>
  <si>
    <t>Edgar, IL</t>
  </si>
  <si>
    <t>Edwards</t>
  </si>
  <si>
    <t>Edwards, IL</t>
  </si>
  <si>
    <t>Effingham, IL</t>
  </si>
  <si>
    <t>Fayette, IL</t>
  </si>
  <si>
    <t>Ford</t>
  </si>
  <si>
    <t>Ford, IL</t>
  </si>
  <si>
    <t>Franklin, IL</t>
  </si>
  <si>
    <t>Fulton, IL</t>
  </si>
  <si>
    <t>Gallatin</t>
  </si>
  <si>
    <t>Gallatin, IL</t>
  </si>
  <si>
    <t>Greene, IL</t>
  </si>
  <si>
    <t>Grundy</t>
  </si>
  <si>
    <t>Grundy, IL</t>
  </si>
  <si>
    <t>Hamilton, IL</t>
  </si>
  <si>
    <t>Hancock, IL</t>
  </si>
  <si>
    <t>Hardin</t>
  </si>
  <si>
    <t>Hardin, IL</t>
  </si>
  <si>
    <t>Henderson</t>
  </si>
  <si>
    <t>Henderson, IL</t>
  </si>
  <si>
    <t>Henry, IL</t>
  </si>
  <si>
    <t>Iroquois</t>
  </si>
  <si>
    <t>Iroquois, IL</t>
  </si>
  <si>
    <t>Jackson, IL</t>
  </si>
  <si>
    <t>Jasper, IL</t>
  </si>
  <si>
    <t>Jefferson, IL</t>
  </si>
  <si>
    <t>Jersey</t>
  </si>
  <si>
    <t>Jersey, IL</t>
  </si>
  <si>
    <t>Jo Daviess</t>
  </si>
  <si>
    <t>Jo Daviess, IL</t>
  </si>
  <si>
    <t>Johnson, IL</t>
  </si>
  <si>
    <t>Kane</t>
  </si>
  <si>
    <t>Kane, IL</t>
  </si>
  <si>
    <t>Kankakee</t>
  </si>
  <si>
    <t>Kankakee, IL</t>
  </si>
  <si>
    <t>Kendall</t>
  </si>
  <si>
    <t>Kendall, IL</t>
  </si>
  <si>
    <t>Knox</t>
  </si>
  <si>
    <t>Knox, IL</t>
  </si>
  <si>
    <t>Lake, IL</t>
  </si>
  <si>
    <t>LaSalle</t>
  </si>
  <si>
    <t>LaSalle, IL</t>
  </si>
  <si>
    <t>Lawrence, IL</t>
  </si>
  <si>
    <t>Lee, IL</t>
  </si>
  <si>
    <t>Livingston</t>
  </si>
  <si>
    <t>Livingston, IL</t>
  </si>
  <si>
    <t>Logan, IL</t>
  </si>
  <si>
    <t>McDonough</t>
  </si>
  <si>
    <t>McDonough, IL</t>
  </si>
  <si>
    <t>McHenry</t>
  </si>
  <si>
    <t>McHenry, IL</t>
  </si>
  <si>
    <t>McLean</t>
  </si>
  <si>
    <t>McLean, IL</t>
  </si>
  <si>
    <t>Macon, IL</t>
  </si>
  <si>
    <t>Macoupin</t>
  </si>
  <si>
    <t>Macoupin, IL</t>
  </si>
  <si>
    <t>Madison, IL</t>
  </si>
  <si>
    <t>Marion, IL</t>
  </si>
  <si>
    <t>Marshall, IL</t>
  </si>
  <si>
    <t>Mason</t>
  </si>
  <si>
    <t>Mason, IL</t>
  </si>
  <si>
    <t>Massac</t>
  </si>
  <si>
    <t>Massac, IL</t>
  </si>
  <si>
    <t>Menard</t>
  </si>
  <si>
    <t>Menard, IL</t>
  </si>
  <si>
    <t>Mercer</t>
  </si>
  <si>
    <t>Mercer, IL</t>
  </si>
  <si>
    <t>Monroe, IL</t>
  </si>
  <si>
    <t>Montgomery, IL</t>
  </si>
  <si>
    <t>Morgan, IL</t>
  </si>
  <si>
    <t>Moultrie</t>
  </si>
  <si>
    <t>Moultrie, IL</t>
  </si>
  <si>
    <t>Ogle</t>
  </si>
  <si>
    <t>Ogle, IL</t>
  </si>
  <si>
    <t>Peoria</t>
  </si>
  <si>
    <t>Peoria, IL</t>
  </si>
  <si>
    <t>Perry, IL</t>
  </si>
  <si>
    <t>Piatt</t>
  </si>
  <si>
    <t>Piatt, IL</t>
  </si>
  <si>
    <t>Pike, IL</t>
  </si>
  <si>
    <t>Pope, IL</t>
  </si>
  <si>
    <t>Pulaski, IL</t>
  </si>
  <si>
    <t>Putnam, IL</t>
  </si>
  <si>
    <t>Randolph, IL</t>
  </si>
  <si>
    <t>Richland</t>
  </si>
  <si>
    <t>Richland, IL</t>
  </si>
  <si>
    <t>Rock Island</t>
  </si>
  <si>
    <t>Rock Island, IL</t>
  </si>
  <si>
    <t>St. Clair, IL</t>
  </si>
  <si>
    <t>Saline, IL</t>
  </si>
  <si>
    <t>Sangamon</t>
  </si>
  <si>
    <t>Sangamon, IL</t>
  </si>
  <si>
    <t>Schuyler</t>
  </si>
  <si>
    <t>Schuyler, IL</t>
  </si>
  <si>
    <t>Scott, IL</t>
  </si>
  <si>
    <t>Shelby, IL</t>
  </si>
  <si>
    <t>Stark</t>
  </si>
  <si>
    <t>Stark, IL</t>
  </si>
  <si>
    <t>Stephenson</t>
  </si>
  <si>
    <t>Stephenson, IL</t>
  </si>
  <si>
    <t>Tazewell</t>
  </si>
  <si>
    <t>Tazewell, IL</t>
  </si>
  <si>
    <t>Union, IL</t>
  </si>
  <si>
    <t>Vermilion</t>
  </si>
  <si>
    <t>Vermilion, IL</t>
  </si>
  <si>
    <t>Wabash</t>
  </si>
  <si>
    <t>Wabash, IL</t>
  </si>
  <si>
    <t>Warren, IL</t>
  </si>
  <si>
    <t>Washington, IL</t>
  </si>
  <si>
    <t>Wayne, IL</t>
  </si>
  <si>
    <t>White, IL</t>
  </si>
  <si>
    <t>Whiteside</t>
  </si>
  <si>
    <t>Whiteside, IL</t>
  </si>
  <si>
    <t>Will</t>
  </si>
  <si>
    <t>Will, IL</t>
  </si>
  <si>
    <t>Williamson</t>
  </si>
  <si>
    <t>Williamson, IL</t>
  </si>
  <si>
    <t>Winnebago</t>
  </si>
  <si>
    <t>Winnebago, IL</t>
  </si>
  <si>
    <t>Woodford</t>
  </si>
  <si>
    <t>Woodford, IL</t>
  </si>
  <si>
    <t>Adams, IN</t>
  </si>
  <si>
    <t>IN</t>
  </si>
  <si>
    <t>Allen</t>
  </si>
  <si>
    <t>Allen, IN</t>
  </si>
  <si>
    <t>Bartholomew</t>
  </si>
  <si>
    <t>Bartholomew, IN</t>
  </si>
  <si>
    <t>Benton, IN</t>
  </si>
  <si>
    <t>Blackford</t>
  </si>
  <si>
    <t>Blackford, IN</t>
  </si>
  <si>
    <t>Boone, IN</t>
  </si>
  <si>
    <t>Brown, IN</t>
  </si>
  <si>
    <t>Carroll, IN</t>
  </si>
  <si>
    <t>Cass, IN</t>
  </si>
  <si>
    <t>Clark, IN</t>
  </si>
  <si>
    <t>Clay, IN</t>
  </si>
  <si>
    <t>Clinton, IN</t>
  </si>
  <si>
    <t>Crawford, IN</t>
  </si>
  <si>
    <t>Daviess</t>
  </si>
  <si>
    <t>Daviess, IN</t>
  </si>
  <si>
    <t>Dearborn</t>
  </si>
  <si>
    <t>Dearborn, IN</t>
  </si>
  <si>
    <t>Decatur, IN</t>
  </si>
  <si>
    <t>DeKalb, IN</t>
  </si>
  <si>
    <t>Delaware</t>
  </si>
  <si>
    <t>Delaware, IN</t>
  </si>
  <si>
    <t>Dubois</t>
  </si>
  <si>
    <t>Dubois, IN</t>
  </si>
  <si>
    <t>Elkhart</t>
  </si>
  <si>
    <t>Elkhart, IN</t>
  </si>
  <si>
    <t>Fayette, IN</t>
  </si>
  <si>
    <t>Floyd, IN</t>
  </si>
  <si>
    <t>Fountain</t>
  </si>
  <si>
    <t>Fountain, IN</t>
  </si>
  <si>
    <t>Franklin, IN</t>
  </si>
  <si>
    <t>Fulton, IN</t>
  </si>
  <si>
    <t>Gibson</t>
  </si>
  <si>
    <t>Gibson, IN</t>
  </si>
  <si>
    <t>Grant, IN</t>
  </si>
  <si>
    <t>Greene, IN</t>
  </si>
  <si>
    <t>Hamilton, IN</t>
  </si>
  <si>
    <t>Hancock, IN</t>
  </si>
  <si>
    <t>Harrison</t>
  </si>
  <si>
    <t>Harrison, IN</t>
  </si>
  <si>
    <t>Hendricks</t>
  </si>
  <si>
    <t>Hendricks, IN</t>
  </si>
  <si>
    <t>Henry, IN</t>
  </si>
  <si>
    <t>Howard, IN</t>
  </si>
  <si>
    <t>Huntington</t>
  </si>
  <si>
    <t>Huntington, IN</t>
  </si>
  <si>
    <t>Jackson, IN</t>
  </si>
  <si>
    <t>Jasper, IN</t>
  </si>
  <si>
    <t>Jay</t>
  </si>
  <si>
    <t>Jay, IN</t>
  </si>
  <si>
    <t>Jefferson, IN</t>
  </si>
  <si>
    <t>Jennings</t>
  </si>
  <si>
    <t>Jennings, IN</t>
  </si>
  <si>
    <t>Johnson, IN</t>
  </si>
  <si>
    <t>Knox, IN</t>
  </si>
  <si>
    <t>Kosciusko</t>
  </si>
  <si>
    <t>Kosciusko, IN</t>
  </si>
  <si>
    <t>LaGrange</t>
  </si>
  <si>
    <t>LaGrange, IN</t>
  </si>
  <si>
    <t>Lake, IN</t>
  </si>
  <si>
    <t>LaPorte</t>
  </si>
  <si>
    <t>LaPorte, IN</t>
  </si>
  <si>
    <t>Lawrence, IN</t>
  </si>
  <si>
    <t>Madison, IN</t>
  </si>
  <si>
    <t>Marion, IN</t>
  </si>
  <si>
    <t>Marshall, IN</t>
  </si>
  <si>
    <t>Martin, IN</t>
  </si>
  <si>
    <t>Miami</t>
  </si>
  <si>
    <t>Miami, IN</t>
  </si>
  <si>
    <t>Monroe, IN</t>
  </si>
  <si>
    <t>Montgomery, IN</t>
  </si>
  <si>
    <t>Morgan, IN</t>
  </si>
  <si>
    <t>Newton, IN</t>
  </si>
  <si>
    <t>Noble</t>
  </si>
  <si>
    <t>Noble, IN</t>
  </si>
  <si>
    <t>Ohio</t>
  </si>
  <si>
    <t>Ohio, IN</t>
  </si>
  <si>
    <t>Orange, IN</t>
  </si>
  <si>
    <t>Owen</t>
  </si>
  <si>
    <t>Owen, IN</t>
  </si>
  <si>
    <t>Parke</t>
  </si>
  <si>
    <t>Parke, IN</t>
  </si>
  <si>
    <t>Perry, IN</t>
  </si>
  <si>
    <t>Pike, IN</t>
  </si>
  <si>
    <t>Porter</t>
  </si>
  <si>
    <t>Porter, IN</t>
  </si>
  <si>
    <t>Posey</t>
  </si>
  <si>
    <t>Posey, IN</t>
  </si>
  <si>
    <t>Pulaski, IN</t>
  </si>
  <si>
    <t>Putnam, IN</t>
  </si>
  <si>
    <t>Randolph, IN</t>
  </si>
  <si>
    <t>Ripley</t>
  </si>
  <si>
    <t>Ripley, IN</t>
  </si>
  <si>
    <t>Rush</t>
  </si>
  <si>
    <t>Rush, IN</t>
  </si>
  <si>
    <t>St. Joseph</t>
  </si>
  <si>
    <t>St. Joseph, IN</t>
  </si>
  <si>
    <t>Scott, IN</t>
  </si>
  <si>
    <t>Shelby, IN</t>
  </si>
  <si>
    <t>Spencer</t>
  </si>
  <si>
    <t>Spencer, IN</t>
  </si>
  <si>
    <t>Starke</t>
  </si>
  <si>
    <t>Starke, IN</t>
  </si>
  <si>
    <t>Steuben</t>
  </si>
  <si>
    <t>Steuben, IN</t>
  </si>
  <si>
    <t>Sullivan</t>
  </si>
  <si>
    <t>Sullivan, IN</t>
  </si>
  <si>
    <t>Switzerland</t>
  </si>
  <si>
    <t>Switzerland, IN</t>
  </si>
  <si>
    <t>Tippecanoe</t>
  </si>
  <si>
    <t>Tippecanoe, IN</t>
  </si>
  <si>
    <t>Tipton</t>
  </si>
  <si>
    <t>Tipton, IN</t>
  </si>
  <si>
    <t>Union, IN</t>
  </si>
  <si>
    <t>Vanderburgh</t>
  </si>
  <si>
    <t>Vanderburgh, IN</t>
  </si>
  <si>
    <t>Vermillion</t>
  </si>
  <si>
    <t>Vermillion, IN</t>
  </si>
  <si>
    <t>Vigo</t>
  </si>
  <si>
    <t>Vigo, IN</t>
  </si>
  <si>
    <t>Wabash, IN</t>
  </si>
  <si>
    <t>Warren, IN</t>
  </si>
  <si>
    <t>Warrick</t>
  </si>
  <si>
    <t>Warrick, IN</t>
  </si>
  <si>
    <t>Washington, IN</t>
  </si>
  <si>
    <t>Wayne, IN</t>
  </si>
  <si>
    <t>Wells</t>
  </si>
  <si>
    <t>Wells, IN</t>
  </si>
  <si>
    <t>White, IN</t>
  </si>
  <si>
    <t>Whitley</t>
  </si>
  <si>
    <t>Whitley, IN</t>
  </si>
  <si>
    <t>Adair</t>
  </si>
  <si>
    <t>Adair, IA</t>
  </si>
  <si>
    <t>IA</t>
  </si>
  <si>
    <t>Adams, IA</t>
  </si>
  <si>
    <t>Allamakee</t>
  </si>
  <si>
    <t>Allamakee, IA</t>
  </si>
  <si>
    <t>Appanoose</t>
  </si>
  <si>
    <t>Appanoose, IA</t>
  </si>
  <si>
    <t>Audubon</t>
  </si>
  <si>
    <t>Audubon, IA</t>
  </si>
  <si>
    <t>Benton, IA</t>
  </si>
  <si>
    <t>Black Hawk</t>
  </si>
  <si>
    <t>Black Hawk, IA</t>
  </si>
  <si>
    <t>Boone, IA</t>
  </si>
  <si>
    <t>Bremer</t>
  </si>
  <si>
    <t>Bremer, IA</t>
  </si>
  <si>
    <t>Buchanan</t>
  </si>
  <si>
    <t>Buchanan, IA</t>
  </si>
  <si>
    <t>Buena Vista</t>
  </si>
  <si>
    <t>Buena Vista, IA</t>
  </si>
  <si>
    <t>Butler, IA</t>
  </si>
  <si>
    <t>Calhoun, IA</t>
  </si>
  <si>
    <t>Carroll, IA</t>
  </si>
  <si>
    <t>Cass, IA</t>
  </si>
  <si>
    <t>Cedar</t>
  </si>
  <si>
    <t>Cedar, IA</t>
  </si>
  <si>
    <t>Cerro Gordo</t>
  </si>
  <si>
    <t>Cerro Gordo, IA</t>
  </si>
  <si>
    <t>Cherokee, IA</t>
  </si>
  <si>
    <t>Chickasaw</t>
  </si>
  <si>
    <t>Chickasaw, IA</t>
  </si>
  <si>
    <t>Clarke, IA</t>
  </si>
  <si>
    <t>Clay, IA</t>
  </si>
  <si>
    <t>Clayton, IA</t>
  </si>
  <si>
    <t>Clinton, IA</t>
  </si>
  <si>
    <t>Crawford, IA</t>
  </si>
  <si>
    <t>Dallas, IA</t>
  </si>
  <si>
    <t>Davis</t>
  </si>
  <si>
    <t>Davis, IA</t>
  </si>
  <si>
    <t>Decatur, IA</t>
  </si>
  <si>
    <t>Delaware, IA</t>
  </si>
  <si>
    <t>Des Moines</t>
  </si>
  <si>
    <t>Des Moines, IA</t>
  </si>
  <si>
    <t>Dickinson</t>
  </si>
  <si>
    <t>Dickinson, IA</t>
  </si>
  <si>
    <t>Dubuque</t>
  </si>
  <si>
    <t>Dubuque, IA</t>
  </si>
  <si>
    <t>Emmet</t>
  </si>
  <si>
    <t>Emmet, IA</t>
  </si>
  <si>
    <t>Fayette, IA</t>
  </si>
  <si>
    <t>Floyd, IA</t>
  </si>
  <si>
    <t>Franklin, IA</t>
  </si>
  <si>
    <t>Fremont, IA</t>
  </si>
  <si>
    <t>Greene, IA</t>
  </si>
  <si>
    <t>Grundy, IA</t>
  </si>
  <si>
    <t>Guthrie</t>
  </si>
  <si>
    <t>Guthrie, IA</t>
  </si>
  <si>
    <t>Hamilton, IA</t>
  </si>
  <si>
    <t>Hancock, IA</t>
  </si>
  <si>
    <t>Hardin, IA</t>
  </si>
  <si>
    <t>Harrison, IA</t>
  </si>
  <si>
    <t>Henry, IA</t>
  </si>
  <si>
    <t>Howard, IA</t>
  </si>
  <si>
    <t>Humboldt, IA</t>
  </si>
  <si>
    <t>Ida</t>
  </si>
  <si>
    <t>Ida, IA</t>
  </si>
  <si>
    <t>Iowa</t>
  </si>
  <si>
    <t>Iowa, IA</t>
  </si>
  <si>
    <t>Jackson, IA</t>
  </si>
  <si>
    <t>Jasper, IA</t>
  </si>
  <si>
    <t>Jefferson, IA</t>
  </si>
  <si>
    <t>Johnson, IA</t>
  </si>
  <si>
    <t>Jones, IA</t>
  </si>
  <si>
    <t>Keokuk</t>
  </si>
  <si>
    <t>Keokuk, IA</t>
  </si>
  <si>
    <t>Kossuth</t>
  </si>
  <si>
    <t>Kossuth, IA</t>
  </si>
  <si>
    <t>Lee, IA</t>
  </si>
  <si>
    <t>Linn</t>
  </si>
  <si>
    <t>Linn, IA</t>
  </si>
  <si>
    <t>Louisa</t>
  </si>
  <si>
    <t>Louisa, IA</t>
  </si>
  <si>
    <t>Lucas</t>
  </si>
  <si>
    <t>Lucas, IA</t>
  </si>
  <si>
    <t>Lyon</t>
  </si>
  <si>
    <t>Lyon, IA</t>
  </si>
  <si>
    <t>Madison, IA</t>
  </si>
  <si>
    <t>Mahaska</t>
  </si>
  <si>
    <t>Mahaska, IA</t>
  </si>
  <si>
    <t>Marion, IA</t>
  </si>
  <si>
    <t>Marshall, IA</t>
  </si>
  <si>
    <t>Mills</t>
  </si>
  <si>
    <t>Mills, IA</t>
  </si>
  <si>
    <t>Mitchell, IA</t>
  </si>
  <si>
    <t>Monona</t>
  </si>
  <si>
    <t>Monona, IA</t>
  </si>
  <si>
    <t>Monroe, IA</t>
  </si>
  <si>
    <t>Montgomery, IA</t>
  </si>
  <si>
    <t>Muscatine</t>
  </si>
  <si>
    <t>Muscatine, IA</t>
  </si>
  <si>
    <t>O'Brien</t>
  </si>
  <si>
    <t>O'Brien, IA</t>
  </si>
  <si>
    <t>Osceola, IA</t>
  </si>
  <si>
    <t>Page</t>
  </si>
  <si>
    <t>Page, IA</t>
  </si>
  <si>
    <t>Palo Alto</t>
  </si>
  <si>
    <t>Palo Alto, IA</t>
  </si>
  <si>
    <t>Plymouth</t>
  </si>
  <si>
    <t>Plymouth, IA</t>
  </si>
  <si>
    <t>Pocahontas</t>
  </si>
  <si>
    <t>Pocahontas, IA</t>
  </si>
  <si>
    <t>Polk, IA</t>
  </si>
  <si>
    <t>Pottawattamie</t>
  </si>
  <si>
    <t>Pottawattamie, IA</t>
  </si>
  <si>
    <t>Poweshiek</t>
  </si>
  <si>
    <t>Poweshiek, IA</t>
  </si>
  <si>
    <t>Ringgold</t>
  </si>
  <si>
    <t>Ringgold, IA</t>
  </si>
  <si>
    <t>Sac</t>
  </si>
  <si>
    <t>Sac, IA</t>
  </si>
  <si>
    <t>Scott, IA</t>
  </si>
  <si>
    <t>Shelby, IA</t>
  </si>
  <si>
    <t>Sioux</t>
  </si>
  <si>
    <t>Sioux, IA</t>
  </si>
  <si>
    <t>Story</t>
  </si>
  <si>
    <t>Story, IA</t>
  </si>
  <si>
    <t>Tama</t>
  </si>
  <si>
    <t>Tama, IA</t>
  </si>
  <si>
    <t>Taylor, IA</t>
  </si>
  <si>
    <t>Union, IA</t>
  </si>
  <si>
    <t>Van Buren, IA</t>
  </si>
  <si>
    <t>Wapello</t>
  </si>
  <si>
    <t>Wapello, IA</t>
  </si>
  <si>
    <t>Warren, IA</t>
  </si>
  <si>
    <t>Washington, IA</t>
  </si>
  <si>
    <t>Wayne, IA</t>
  </si>
  <si>
    <t>Webster, IA</t>
  </si>
  <si>
    <t>Winnebago, IA</t>
  </si>
  <si>
    <t>Winneshiek</t>
  </si>
  <si>
    <t>Winneshiek, IA</t>
  </si>
  <si>
    <t>Woodbury</t>
  </si>
  <si>
    <t>Woodbury, IA</t>
  </si>
  <si>
    <t>Worth, IA</t>
  </si>
  <si>
    <t>Wright</t>
  </si>
  <si>
    <t>Wright, IA</t>
  </si>
  <si>
    <t>Allen, KS</t>
  </si>
  <si>
    <t>KS</t>
  </si>
  <si>
    <t>Anderson</t>
  </si>
  <si>
    <t>Anderson, KS</t>
  </si>
  <si>
    <t>Atchison</t>
  </si>
  <si>
    <t>Atchison, KS</t>
  </si>
  <si>
    <t>Barber</t>
  </si>
  <si>
    <t>Barber, KS</t>
  </si>
  <si>
    <t>Barton</t>
  </si>
  <si>
    <t>Barton, KS</t>
  </si>
  <si>
    <t>Bourbon</t>
  </si>
  <si>
    <t>Bourbon, KS</t>
  </si>
  <si>
    <t>Brown, KS</t>
  </si>
  <si>
    <t>Butler, KS</t>
  </si>
  <si>
    <t>Chase</t>
  </si>
  <si>
    <t>Chase, KS</t>
  </si>
  <si>
    <t>Chautauqua</t>
  </si>
  <si>
    <t>Chautauqua, KS</t>
  </si>
  <si>
    <t>Cherokee, KS</t>
  </si>
  <si>
    <t>Cheyenne, KS</t>
  </si>
  <si>
    <t>Clark, KS</t>
  </si>
  <si>
    <t>Clay, KS</t>
  </si>
  <si>
    <t>Cloud</t>
  </si>
  <si>
    <t>Cloud, KS</t>
  </si>
  <si>
    <t>Coffey</t>
  </si>
  <si>
    <t>Coffey, KS</t>
  </si>
  <si>
    <t>Comanche</t>
  </si>
  <si>
    <t>Comanche, KS</t>
  </si>
  <si>
    <t>Cowley</t>
  </si>
  <si>
    <t>Cowley, KS</t>
  </si>
  <si>
    <t>Crawford, KS</t>
  </si>
  <si>
    <t>Decatur, KS</t>
  </si>
  <si>
    <t>Dickinson, KS</t>
  </si>
  <si>
    <t>Doniphan</t>
  </si>
  <si>
    <t>Doniphan, KS</t>
  </si>
  <si>
    <t>Douglas, KS</t>
  </si>
  <si>
    <t>Edwards, KS</t>
  </si>
  <si>
    <t>Elk</t>
  </si>
  <si>
    <t>Elk, KS</t>
  </si>
  <si>
    <t>Ellis</t>
  </si>
  <si>
    <t>Ellis, KS</t>
  </si>
  <si>
    <t>Ellsworth</t>
  </si>
  <si>
    <t>Ellsworth, KS</t>
  </si>
  <si>
    <t>Finney</t>
  </si>
  <si>
    <t>Finney, KS</t>
  </si>
  <si>
    <t>Ford, KS</t>
  </si>
  <si>
    <t>Franklin, KS</t>
  </si>
  <si>
    <t>Geary</t>
  </si>
  <si>
    <t>Geary, KS</t>
  </si>
  <si>
    <t>Gove</t>
  </si>
  <si>
    <t>Gove, KS</t>
  </si>
  <si>
    <t>Graham, KS</t>
  </si>
  <si>
    <t>Grant, KS</t>
  </si>
  <si>
    <t>Gray</t>
  </si>
  <si>
    <t>Gray, KS</t>
  </si>
  <si>
    <t>Greeley</t>
  </si>
  <si>
    <t>Greeley, KS</t>
  </si>
  <si>
    <t>Greenwood</t>
  </si>
  <si>
    <t>Greenwood, KS</t>
  </si>
  <si>
    <t>Hamilton, KS</t>
  </si>
  <si>
    <t>Harper</t>
  </si>
  <si>
    <t>Harper, KS</t>
  </si>
  <si>
    <t>Harvey</t>
  </si>
  <si>
    <t>Harvey, KS</t>
  </si>
  <si>
    <t>Haskell</t>
  </si>
  <si>
    <t>Haskell, KS</t>
  </si>
  <si>
    <t>Hodgeman</t>
  </si>
  <si>
    <t>Hodgeman, KS</t>
  </si>
  <si>
    <t>Jackson, KS</t>
  </si>
  <si>
    <t>Jefferson, KS</t>
  </si>
  <si>
    <t>Jewell</t>
  </si>
  <si>
    <t>Jewell, KS</t>
  </si>
  <si>
    <t>Johnson, KS</t>
  </si>
  <si>
    <t>Kearny</t>
  </si>
  <si>
    <t>Kearny, KS</t>
  </si>
  <si>
    <t>Kingman</t>
  </si>
  <si>
    <t>Kingman, KS</t>
  </si>
  <si>
    <t>Kiowa, KS</t>
  </si>
  <si>
    <t>Labette</t>
  </si>
  <si>
    <t>Labette, KS</t>
  </si>
  <si>
    <t>Lane</t>
  </si>
  <si>
    <t>Lane, KS</t>
  </si>
  <si>
    <t>Leavenworth</t>
  </si>
  <si>
    <t>Leavenworth, KS</t>
  </si>
  <si>
    <t>Lincoln, KS</t>
  </si>
  <si>
    <t>Linn, KS</t>
  </si>
  <si>
    <t>Logan, KS</t>
  </si>
  <si>
    <t>Lyon, KS</t>
  </si>
  <si>
    <t>McPherson</t>
  </si>
  <si>
    <t>McPherson, KS</t>
  </si>
  <si>
    <t>Marion, KS</t>
  </si>
  <si>
    <t>Marshall, KS</t>
  </si>
  <si>
    <t>Meade</t>
  </si>
  <si>
    <t>Meade, KS</t>
  </si>
  <si>
    <t>Miami, KS</t>
  </si>
  <si>
    <t>Mitchell, KS</t>
  </si>
  <si>
    <t>Montgomery, KS</t>
  </si>
  <si>
    <t>Morris</t>
  </si>
  <si>
    <t>Morris, KS</t>
  </si>
  <si>
    <t>Morton</t>
  </si>
  <si>
    <t>Morton, KS</t>
  </si>
  <si>
    <t>Nemaha</t>
  </si>
  <si>
    <t>Nemaha, KS</t>
  </si>
  <si>
    <t>Neosho</t>
  </si>
  <si>
    <t>Neosho, KS</t>
  </si>
  <si>
    <t>Ness</t>
  </si>
  <si>
    <t>Ness, KS</t>
  </si>
  <si>
    <t>Norton</t>
  </si>
  <si>
    <t>Norton, KS</t>
  </si>
  <si>
    <t>Osage</t>
  </si>
  <si>
    <t>Osage, KS</t>
  </si>
  <si>
    <t>Osborne</t>
  </si>
  <si>
    <t>Osborne, KS</t>
  </si>
  <si>
    <t>Ottawa</t>
  </si>
  <si>
    <t>Ottawa, KS</t>
  </si>
  <si>
    <t>Pawnee</t>
  </si>
  <si>
    <t>Pawnee, KS</t>
  </si>
  <si>
    <t>Phillips, KS</t>
  </si>
  <si>
    <t>Pottawatomie</t>
  </si>
  <si>
    <t>Pottawatomie, KS</t>
  </si>
  <si>
    <t>Pratt</t>
  </si>
  <si>
    <t>Pratt, KS</t>
  </si>
  <si>
    <t>Rawlins</t>
  </si>
  <si>
    <t>Rawlins, KS</t>
  </si>
  <si>
    <t>Reno</t>
  </si>
  <si>
    <t>Reno, KS</t>
  </si>
  <si>
    <t>Republic</t>
  </si>
  <si>
    <t>Republic, KS</t>
  </si>
  <si>
    <t>Rice</t>
  </si>
  <si>
    <t>Rice, KS</t>
  </si>
  <si>
    <t>Riley</t>
  </si>
  <si>
    <t>Riley, KS</t>
  </si>
  <si>
    <t>Rooks</t>
  </si>
  <si>
    <t>Rooks, KS</t>
  </si>
  <si>
    <t>Rush, KS</t>
  </si>
  <si>
    <t>Russell, KS</t>
  </si>
  <si>
    <t>Saline, KS</t>
  </si>
  <si>
    <t>Scott, KS</t>
  </si>
  <si>
    <t>Sedgwick, KS</t>
  </si>
  <si>
    <t>Seward</t>
  </si>
  <si>
    <t>Seward, KS</t>
  </si>
  <si>
    <t>Shawnee</t>
  </si>
  <si>
    <t>Shawnee, KS</t>
  </si>
  <si>
    <t>Sheridan</t>
  </si>
  <si>
    <t>Sheridan, KS</t>
  </si>
  <si>
    <t>Sherman</t>
  </si>
  <si>
    <t>Sherman, KS</t>
  </si>
  <si>
    <t>Smith</t>
  </si>
  <si>
    <t>Smith, KS</t>
  </si>
  <si>
    <t>Stafford</t>
  </si>
  <si>
    <t>Stafford, KS</t>
  </si>
  <si>
    <t>Stanton</t>
  </si>
  <si>
    <t>Stanton, KS</t>
  </si>
  <si>
    <t>Stevens</t>
  </si>
  <si>
    <t>Stevens, KS</t>
  </si>
  <si>
    <t>Sumner</t>
  </si>
  <si>
    <t>Sumner, KS</t>
  </si>
  <si>
    <t>Thomas, KS</t>
  </si>
  <si>
    <t>Trego</t>
  </si>
  <si>
    <t>Trego, KS</t>
  </si>
  <si>
    <t>Wabaunsee</t>
  </si>
  <si>
    <t>Wabaunsee, KS</t>
  </si>
  <si>
    <t>Wallace</t>
  </si>
  <si>
    <t>Wallace, KS</t>
  </si>
  <si>
    <t>Washington, KS</t>
  </si>
  <si>
    <t>Wichita</t>
  </si>
  <si>
    <t>Wichita, KS</t>
  </si>
  <si>
    <t>Wilson</t>
  </si>
  <si>
    <t>Wilson, KS</t>
  </si>
  <si>
    <t>Woodson</t>
  </si>
  <si>
    <t>Woodson, KS</t>
  </si>
  <si>
    <t>Wyandotte</t>
  </si>
  <si>
    <t>Wyandotte, KS</t>
  </si>
  <si>
    <t>Adair, KY</t>
  </si>
  <si>
    <t>KY</t>
  </si>
  <si>
    <t>Allen, KY</t>
  </si>
  <si>
    <t>Anderson, KY</t>
  </si>
  <si>
    <t>Ballard</t>
  </si>
  <si>
    <t>Ballard, KY</t>
  </si>
  <si>
    <t>Barren</t>
  </si>
  <si>
    <t>Barren, KY</t>
  </si>
  <si>
    <t>Bath</t>
  </si>
  <si>
    <t>Bath, KY</t>
  </si>
  <si>
    <t>Bell</t>
  </si>
  <si>
    <t>Bell, KY</t>
  </si>
  <si>
    <t>Boone, KY</t>
  </si>
  <si>
    <t>Bourbon, KY</t>
  </si>
  <si>
    <t>Boyd</t>
  </si>
  <si>
    <t>Boyd, KY</t>
  </si>
  <si>
    <t>Boyle</t>
  </si>
  <si>
    <t>Boyle, KY</t>
  </si>
  <si>
    <t>Bracken</t>
  </si>
  <si>
    <t>Bracken, KY</t>
  </si>
  <si>
    <t>Breathitt</t>
  </si>
  <si>
    <t>Breathitt, KY</t>
  </si>
  <si>
    <t>Breckinridge</t>
  </si>
  <si>
    <t>Breckinridge, KY</t>
  </si>
  <si>
    <t>Bullitt</t>
  </si>
  <si>
    <t>Bullitt, KY</t>
  </si>
  <si>
    <t>Butler, KY</t>
  </si>
  <si>
    <t>Caldwell</t>
  </si>
  <si>
    <t>Caldwell, KY</t>
  </si>
  <si>
    <t>Calloway</t>
  </si>
  <si>
    <t>Calloway, KY</t>
  </si>
  <si>
    <t>Campbell</t>
  </si>
  <si>
    <t>Campbell, KY</t>
  </si>
  <si>
    <t>Carlisle</t>
  </si>
  <si>
    <t>Carlisle, KY</t>
  </si>
  <si>
    <t>Carroll, KY</t>
  </si>
  <si>
    <t>Carter</t>
  </si>
  <si>
    <t>Carter, KY</t>
  </si>
  <si>
    <t>Casey</t>
  </si>
  <si>
    <t>Casey, KY</t>
  </si>
  <si>
    <t>Christian, KY</t>
  </si>
  <si>
    <t>Clark, KY</t>
  </si>
  <si>
    <t>Clay, KY</t>
  </si>
  <si>
    <t>Clinton, KY</t>
  </si>
  <si>
    <t>Crittenden, KY</t>
  </si>
  <si>
    <t>Cumberland, KY</t>
  </si>
  <si>
    <t>Daviess, KY</t>
  </si>
  <si>
    <t>Edmonson</t>
  </si>
  <si>
    <t>Edmonson, KY</t>
  </si>
  <si>
    <t>Elliott</t>
  </si>
  <si>
    <t>Elliott, KY</t>
  </si>
  <si>
    <t>Estill</t>
  </si>
  <si>
    <t>Estill, KY</t>
  </si>
  <si>
    <t>Fayette, KY</t>
  </si>
  <si>
    <t>Fleming</t>
  </si>
  <si>
    <t>Fleming, KY</t>
  </si>
  <si>
    <t>Floyd, KY</t>
  </si>
  <si>
    <t>Franklin, KY</t>
  </si>
  <si>
    <t>Fulton, KY</t>
  </si>
  <si>
    <t>Gallatin, KY</t>
  </si>
  <si>
    <t>Garrard</t>
  </si>
  <si>
    <t>Garrard, KY</t>
  </si>
  <si>
    <t>Grant, KY</t>
  </si>
  <si>
    <t>Graves</t>
  </si>
  <si>
    <t>Graves, KY</t>
  </si>
  <si>
    <t>Grayson</t>
  </si>
  <si>
    <t>Grayson, KY</t>
  </si>
  <si>
    <t>Green</t>
  </si>
  <si>
    <t>Green, KY</t>
  </si>
  <si>
    <t>Greenup</t>
  </si>
  <si>
    <t>Greenup, KY</t>
  </si>
  <si>
    <t>Hancock, KY</t>
  </si>
  <si>
    <t>Hardin, KY</t>
  </si>
  <si>
    <t>Harlan</t>
  </si>
  <si>
    <t>Harlan, KY</t>
  </si>
  <si>
    <t>Harrison, KY</t>
  </si>
  <si>
    <t>Hart, KY</t>
  </si>
  <si>
    <t>Henderson, KY</t>
  </si>
  <si>
    <t>Henry, KY</t>
  </si>
  <si>
    <t>Hickman</t>
  </si>
  <si>
    <t>Hickman, KY</t>
  </si>
  <si>
    <t>Hopkins</t>
  </si>
  <si>
    <t>Hopkins, KY</t>
  </si>
  <si>
    <t>Jackson, KY</t>
  </si>
  <si>
    <t>Jefferson, KY</t>
  </si>
  <si>
    <t>Jessamine</t>
  </si>
  <si>
    <t>Jessamine, KY</t>
  </si>
  <si>
    <t>Johnson, KY</t>
  </si>
  <si>
    <t>Kenton</t>
  </si>
  <si>
    <t>Kenton, KY</t>
  </si>
  <si>
    <t>Knott</t>
  </si>
  <si>
    <t>Knott, KY</t>
  </si>
  <si>
    <t>Knox, KY</t>
  </si>
  <si>
    <t>Larue</t>
  </si>
  <si>
    <t>Larue, KY</t>
  </si>
  <si>
    <t>Laurel</t>
  </si>
  <si>
    <t>Laurel, KY</t>
  </si>
  <si>
    <t>Lawrence, KY</t>
  </si>
  <si>
    <t>Lee, KY</t>
  </si>
  <si>
    <t>Leslie</t>
  </si>
  <si>
    <t>Leslie, KY</t>
  </si>
  <si>
    <t>Letcher</t>
  </si>
  <si>
    <t>Letcher, KY</t>
  </si>
  <si>
    <t>Lewis, KY</t>
  </si>
  <si>
    <t>Lincoln, KY</t>
  </si>
  <si>
    <t>Livingston, KY</t>
  </si>
  <si>
    <t>Logan, KY</t>
  </si>
  <si>
    <t>Lyon, KY</t>
  </si>
  <si>
    <t>McCracken</t>
  </si>
  <si>
    <t>McCracken, KY</t>
  </si>
  <si>
    <t>McCreary</t>
  </si>
  <si>
    <t>McCreary, KY</t>
  </si>
  <si>
    <t>McLean, KY</t>
  </si>
  <si>
    <t>Madison, KY</t>
  </si>
  <si>
    <t>Magoffin</t>
  </si>
  <si>
    <t>Magoffin, KY</t>
  </si>
  <si>
    <t>Marion, KY</t>
  </si>
  <si>
    <t>Marshall, KY</t>
  </si>
  <si>
    <t>Martin, KY</t>
  </si>
  <si>
    <t>Mason, KY</t>
  </si>
  <si>
    <t>Meade, KY</t>
  </si>
  <si>
    <t>Menifee</t>
  </si>
  <si>
    <t>Menifee, KY</t>
  </si>
  <si>
    <t>Mercer, KY</t>
  </si>
  <si>
    <t>Metcalfe</t>
  </si>
  <si>
    <t>Metcalfe, KY</t>
  </si>
  <si>
    <t>Monroe, KY</t>
  </si>
  <si>
    <t>Montgomery, KY</t>
  </si>
  <si>
    <t>Morgan, KY</t>
  </si>
  <si>
    <t>Muhlenberg</t>
  </si>
  <si>
    <t>Muhlenberg, KY</t>
  </si>
  <si>
    <t>Nelson</t>
  </si>
  <si>
    <t>Nelson, KY</t>
  </si>
  <si>
    <t>Nicholas</t>
  </si>
  <si>
    <t>Nicholas, KY</t>
  </si>
  <si>
    <t>Ohio, KY</t>
  </si>
  <si>
    <t>Oldham</t>
  </si>
  <si>
    <t>Oldham, KY</t>
  </si>
  <si>
    <t>Owen, KY</t>
  </si>
  <si>
    <t>Owsley</t>
  </si>
  <si>
    <t>Owsley, KY</t>
  </si>
  <si>
    <t>Pendleton</t>
  </si>
  <si>
    <t>Pendleton, KY</t>
  </si>
  <si>
    <t>Perry, KY</t>
  </si>
  <si>
    <t>Pike, KY</t>
  </si>
  <si>
    <t>Powell</t>
  </si>
  <si>
    <t>Powell, KY</t>
  </si>
  <si>
    <t>Pulaski, KY</t>
  </si>
  <si>
    <t>Robertson</t>
  </si>
  <si>
    <t>Robertson, KY</t>
  </si>
  <si>
    <t>Rockcastle</t>
  </si>
  <si>
    <t>Rockcastle, KY</t>
  </si>
  <si>
    <t>Rowan</t>
  </si>
  <si>
    <t>Rowan, KY</t>
  </si>
  <si>
    <t>Russell, KY</t>
  </si>
  <si>
    <t>Scott, KY</t>
  </si>
  <si>
    <t>Shelby, KY</t>
  </si>
  <si>
    <t>Simpson</t>
  </si>
  <si>
    <t>Simpson, KY</t>
  </si>
  <si>
    <t>Spencer, KY</t>
  </si>
  <si>
    <t>Taylor, KY</t>
  </si>
  <si>
    <t>Todd</t>
  </si>
  <si>
    <t>Todd, KY</t>
  </si>
  <si>
    <t>Trigg</t>
  </si>
  <si>
    <t>Trigg, KY</t>
  </si>
  <si>
    <t>Trimble</t>
  </si>
  <si>
    <t>Trimble, KY</t>
  </si>
  <si>
    <t>Union, KY</t>
  </si>
  <si>
    <t>Warren, KY</t>
  </si>
  <si>
    <t>Washington, KY</t>
  </si>
  <si>
    <t>Wayne, KY</t>
  </si>
  <si>
    <t>Webster, KY</t>
  </si>
  <si>
    <t>Whitley, KY</t>
  </si>
  <si>
    <t>Wolfe</t>
  </si>
  <si>
    <t>Wolfe, KY</t>
  </si>
  <si>
    <t>Woodford, KY</t>
  </si>
  <si>
    <t>Acadia</t>
  </si>
  <si>
    <t>Acadia, LA</t>
  </si>
  <si>
    <t>LA</t>
  </si>
  <si>
    <t>Allen, LA</t>
  </si>
  <si>
    <t>Ascension</t>
  </si>
  <si>
    <t>Ascension, LA</t>
  </si>
  <si>
    <t>Assumption</t>
  </si>
  <si>
    <t>Assumption, LA</t>
  </si>
  <si>
    <t>Avoyelles</t>
  </si>
  <si>
    <t>Avoyelles, LA</t>
  </si>
  <si>
    <t>Beauregard</t>
  </si>
  <si>
    <t>Beauregard, LA</t>
  </si>
  <si>
    <t>Bienville</t>
  </si>
  <si>
    <t>Bienville, LA</t>
  </si>
  <si>
    <t>Bossier</t>
  </si>
  <si>
    <t>Bossier, LA</t>
  </si>
  <si>
    <t>Caddo</t>
  </si>
  <si>
    <t>Caddo, LA</t>
  </si>
  <si>
    <t>Calcasieu</t>
  </si>
  <si>
    <t>Calcasieu, LA</t>
  </si>
  <si>
    <t>Caldwell, LA</t>
  </si>
  <si>
    <t>Cameron</t>
  </si>
  <si>
    <t>Cameron, LA</t>
  </si>
  <si>
    <t>Catahoula</t>
  </si>
  <si>
    <t>Catahoula, LA</t>
  </si>
  <si>
    <t>Claiborne</t>
  </si>
  <si>
    <t>Claiborne, LA</t>
  </si>
  <si>
    <t>Concordia</t>
  </si>
  <si>
    <t>Concordia, LA</t>
  </si>
  <si>
    <t>De Soto</t>
  </si>
  <si>
    <t>De Soto, LA</t>
  </si>
  <si>
    <t>East Baton Rouge</t>
  </si>
  <si>
    <t>East Baton Rouge, LA</t>
  </si>
  <si>
    <t>East Carroll</t>
  </si>
  <si>
    <t>East Carroll, LA</t>
  </si>
  <si>
    <t>East Feliciana</t>
  </si>
  <si>
    <t>East Feliciana, LA</t>
  </si>
  <si>
    <t>Evangeline</t>
  </si>
  <si>
    <t>Evangeline, LA</t>
  </si>
  <si>
    <t>Franklin, LA</t>
  </si>
  <si>
    <t>Grant, LA</t>
  </si>
  <si>
    <t>Iberia</t>
  </si>
  <si>
    <t>Iberia, LA</t>
  </si>
  <si>
    <t>Iberville</t>
  </si>
  <si>
    <t>Iberville, LA</t>
  </si>
  <si>
    <t>Jackson, LA</t>
  </si>
  <si>
    <t>Jefferson, LA</t>
  </si>
  <si>
    <t>Jefferson Davis</t>
  </si>
  <si>
    <t>Jefferson Davis, LA</t>
  </si>
  <si>
    <t>Lafayette, LA</t>
  </si>
  <si>
    <t>Lafourche</t>
  </si>
  <si>
    <t>Lafourche, LA</t>
  </si>
  <si>
    <t>La Salle</t>
  </si>
  <si>
    <t>La Salle, LA</t>
  </si>
  <si>
    <t>Lincoln, LA</t>
  </si>
  <si>
    <t>Livingston, LA</t>
  </si>
  <si>
    <t>Madison, LA</t>
  </si>
  <si>
    <t>Morehouse</t>
  </si>
  <si>
    <t>Morehouse, LA</t>
  </si>
  <si>
    <t>Natchitoches</t>
  </si>
  <si>
    <t>Natchitoches, LA</t>
  </si>
  <si>
    <t>Orleans</t>
  </si>
  <si>
    <t>Orleans, LA</t>
  </si>
  <si>
    <t>Ouachita, LA</t>
  </si>
  <si>
    <t>Plaquemines</t>
  </si>
  <si>
    <t>Plaquemines, LA</t>
  </si>
  <si>
    <t>Pointe Coupee</t>
  </si>
  <si>
    <t>Pointe Coupee, LA</t>
  </si>
  <si>
    <t>Rapides</t>
  </si>
  <si>
    <t>Rapides, LA</t>
  </si>
  <si>
    <t>Red River</t>
  </si>
  <si>
    <t>Red River, LA</t>
  </si>
  <si>
    <t>Richland, LA</t>
  </si>
  <si>
    <t>Sabine</t>
  </si>
  <si>
    <t>Sabine, LA</t>
  </si>
  <si>
    <t>St. Bernard</t>
  </si>
  <si>
    <t>St. Bernard, LA</t>
  </si>
  <si>
    <t>St. Charles</t>
  </si>
  <si>
    <t>St. Charles, LA</t>
  </si>
  <si>
    <t>St. Helena</t>
  </si>
  <si>
    <t>St. Helena, LA</t>
  </si>
  <si>
    <t>St. James</t>
  </si>
  <si>
    <t>St. James, LA</t>
  </si>
  <si>
    <t>St. John the Baptist</t>
  </si>
  <si>
    <t>St. John the Baptist, LA</t>
  </si>
  <si>
    <t>St. Landry</t>
  </si>
  <si>
    <t>St. Landry, LA</t>
  </si>
  <si>
    <t>St. Martin</t>
  </si>
  <si>
    <t>St. Martin, LA</t>
  </si>
  <si>
    <t>St. Mary</t>
  </si>
  <si>
    <t>St. Mary, LA</t>
  </si>
  <si>
    <t>St. Tammany</t>
  </si>
  <si>
    <t>St. Tammany, LA</t>
  </si>
  <si>
    <t>Tangipahoa</t>
  </si>
  <si>
    <t>Tangipahoa, LA</t>
  </si>
  <si>
    <t>Tensas</t>
  </si>
  <si>
    <t>Tensas, LA</t>
  </si>
  <si>
    <t>Terrebonne</t>
  </si>
  <si>
    <t>Terrebonne, LA</t>
  </si>
  <si>
    <t>Union, LA</t>
  </si>
  <si>
    <t>Vermilion, LA</t>
  </si>
  <si>
    <t>Vernon</t>
  </si>
  <si>
    <t>Vernon, LA</t>
  </si>
  <si>
    <t>Washington, LA</t>
  </si>
  <si>
    <t>Webster, LA</t>
  </si>
  <si>
    <t>West Baton Rouge</t>
  </si>
  <si>
    <t>West Baton Rouge, LA</t>
  </si>
  <si>
    <t>West Carroll</t>
  </si>
  <si>
    <t>West Carroll, LA</t>
  </si>
  <si>
    <t>West Feliciana</t>
  </si>
  <si>
    <t>West Feliciana, LA</t>
  </si>
  <si>
    <t>Winn</t>
  </si>
  <si>
    <t>Winn, LA</t>
  </si>
  <si>
    <t>Androscoggin</t>
  </si>
  <si>
    <t>Androscoggin, ME</t>
  </si>
  <si>
    <t>ME</t>
  </si>
  <si>
    <t>Aroostook</t>
  </si>
  <si>
    <t>Aroostook, ME</t>
  </si>
  <si>
    <t>Cumberland, ME</t>
  </si>
  <si>
    <t>Franklin, ME</t>
  </si>
  <si>
    <t>Hancock, ME</t>
  </si>
  <si>
    <t>Kennebec</t>
  </si>
  <si>
    <t>Kennebec, ME</t>
  </si>
  <si>
    <t>Knox, ME</t>
  </si>
  <si>
    <t>Lincoln, ME</t>
  </si>
  <si>
    <t>Oxford</t>
  </si>
  <si>
    <t>Oxford, ME</t>
  </si>
  <si>
    <t>Penobscot</t>
  </si>
  <si>
    <t>Penobscot, ME</t>
  </si>
  <si>
    <t>Piscataquis</t>
  </si>
  <si>
    <t>Piscataquis, ME</t>
  </si>
  <si>
    <t>Sagadahoc</t>
  </si>
  <si>
    <t>Sagadahoc, ME</t>
  </si>
  <si>
    <t>Somerset</t>
  </si>
  <si>
    <t>Somerset, ME</t>
  </si>
  <si>
    <t>Waldo</t>
  </si>
  <si>
    <t>Waldo, ME</t>
  </si>
  <si>
    <t>Washington, ME</t>
  </si>
  <si>
    <t>York</t>
  </si>
  <si>
    <t>York, ME</t>
  </si>
  <si>
    <t>Anne Arundel</t>
  </si>
  <si>
    <t>Anne Arundel, MD</t>
  </si>
  <si>
    <t>MD</t>
  </si>
  <si>
    <t>Baltimore</t>
  </si>
  <si>
    <t>Baltimore, MD</t>
  </si>
  <si>
    <t>Calvert</t>
  </si>
  <si>
    <t>Calvert, MD</t>
  </si>
  <si>
    <t>Caroline</t>
  </si>
  <si>
    <t>Caroline, MD</t>
  </si>
  <si>
    <t>Carroll, MD</t>
  </si>
  <si>
    <t>Cecil</t>
  </si>
  <si>
    <t>Cecil, MD</t>
  </si>
  <si>
    <t>Charles</t>
  </si>
  <si>
    <t>Charles, MD</t>
  </si>
  <si>
    <t>Dorchester</t>
  </si>
  <si>
    <t>Dorchester, MD</t>
  </si>
  <si>
    <t>Frederick</t>
  </si>
  <si>
    <t>Frederick, MD</t>
  </si>
  <si>
    <t>Garrett</t>
  </si>
  <si>
    <t>Garrett, MD</t>
  </si>
  <si>
    <t>Harford</t>
  </si>
  <si>
    <t>Harford, MD</t>
  </si>
  <si>
    <t>Howard, MD</t>
  </si>
  <si>
    <t>Kent, MD</t>
  </si>
  <si>
    <t>Montgomery, MD</t>
  </si>
  <si>
    <t>Prince George's</t>
  </si>
  <si>
    <t>Prince George's, MD</t>
  </si>
  <si>
    <t>Queen Anne's</t>
  </si>
  <si>
    <t>Queen Anne's, MD</t>
  </si>
  <si>
    <t>St. Mary's</t>
  </si>
  <si>
    <t>St. Mary's, MD</t>
  </si>
  <si>
    <t>Somerset, MD</t>
  </si>
  <si>
    <t>Talbot, MD</t>
  </si>
  <si>
    <t>Washington, MD</t>
  </si>
  <si>
    <t>Wicomico</t>
  </si>
  <si>
    <t>Wicomico, MD</t>
  </si>
  <si>
    <t>Worcester</t>
  </si>
  <si>
    <t>Worcester, MD</t>
  </si>
  <si>
    <t>Baltimore City</t>
  </si>
  <si>
    <t>Baltimore City, MD</t>
  </si>
  <si>
    <t>Barnstable</t>
  </si>
  <si>
    <t>Barnstable, MA</t>
  </si>
  <si>
    <t>MA</t>
  </si>
  <si>
    <t>Berkshire</t>
  </si>
  <si>
    <t>Berkshire, MA</t>
  </si>
  <si>
    <t>Bristol</t>
  </si>
  <si>
    <t>Bristol, MA</t>
  </si>
  <si>
    <t>Dukes</t>
  </si>
  <si>
    <t>Dukes, MA</t>
  </si>
  <si>
    <t>Essex</t>
  </si>
  <si>
    <t>Essex, MA</t>
  </si>
  <si>
    <t>Franklin, MA</t>
  </si>
  <si>
    <t>Hampden</t>
  </si>
  <si>
    <t>Hampden, MA</t>
  </si>
  <si>
    <t>Hampshire</t>
  </si>
  <si>
    <t>Hampshire, MA</t>
  </si>
  <si>
    <t>Middlesex, MA</t>
  </si>
  <si>
    <t>Nantucket</t>
  </si>
  <si>
    <t>Nantucket, MA</t>
  </si>
  <si>
    <t>Norfolk</t>
  </si>
  <si>
    <t>Norfolk, MA</t>
  </si>
  <si>
    <t>Plymouth, MA</t>
  </si>
  <si>
    <t>Suffolk</t>
  </si>
  <si>
    <t>Suffolk, MA</t>
  </si>
  <si>
    <t>Worcester, MA</t>
  </si>
  <si>
    <t>Alcona</t>
  </si>
  <si>
    <t>Alcona, MI</t>
  </si>
  <si>
    <t>MI</t>
  </si>
  <si>
    <t>Alger</t>
  </si>
  <si>
    <t>Alger, MI</t>
  </si>
  <si>
    <t>Allegan</t>
  </si>
  <si>
    <t>Allegan, MI</t>
  </si>
  <si>
    <t>Alpena</t>
  </si>
  <si>
    <t>Alpena, MI</t>
  </si>
  <si>
    <t>Antrim</t>
  </si>
  <si>
    <t>Antrim, MI</t>
  </si>
  <si>
    <t>Arenac</t>
  </si>
  <si>
    <t>Arenac, MI</t>
  </si>
  <si>
    <t>Baraga</t>
  </si>
  <si>
    <t>Baraga, MI</t>
  </si>
  <si>
    <t>Barry</t>
  </si>
  <si>
    <t>Barry, MI</t>
  </si>
  <si>
    <t>Bay, MI</t>
  </si>
  <si>
    <t>Benzie</t>
  </si>
  <si>
    <t>Benzie, MI</t>
  </si>
  <si>
    <t>Berrien, MI</t>
  </si>
  <si>
    <t>Branch</t>
  </si>
  <si>
    <t>Branch, MI</t>
  </si>
  <si>
    <t>Calhoun, MI</t>
  </si>
  <si>
    <t>Cass, MI</t>
  </si>
  <si>
    <t>Charlevoix</t>
  </si>
  <si>
    <t>Charlevoix, MI</t>
  </si>
  <si>
    <t>Cheboygan</t>
  </si>
  <si>
    <t>Cheboygan, MI</t>
  </si>
  <si>
    <t>Chippewa</t>
  </si>
  <si>
    <t>Chippewa, MI</t>
  </si>
  <si>
    <t>Clare</t>
  </si>
  <si>
    <t>Clare, MI</t>
  </si>
  <si>
    <t>Clinton, MI</t>
  </si>
  <si>
    <t>Crawford, MI</t>
  </si>
  <si>
    <t>Delta, MI</t>
  </si>
  <si>
    <t>Dickinson, MI</t>
  </si>
  <si>
    <t>Eaton</t>
  </si>
  <si>
    <t>Eaton, MI</t>
  </si>
  <si>
    <t>Emmet, MI</t>
  </si>
  <si>
    <t>Genesee</t>
  </si>
  <si>
    <t>Genesee, MI</t>
  </si>
  <si>
    <t>Gladwin</t>
  </si>
  <si>
    <t>Gladwin, MI</t>
  </si>
  <si>
    <t>Gogebic</t>
  </si>
  <si>
    <t>Gogebic, MI</t>
  </si>
  <si>
    <t>Grand Traverse</t>
  </si>
  <si>
    <t>Grand Traverse, MI</t>
  </si>
  <si>
    <t>Gratiot</t>
  </si>
  <si>
    <t>Gratiot, MI</t>
  </si>
  <si>
    <t>Hillsdale</t>
  </si>
  <si>
    <t>Hillsdale, MI</t>
  </si>
  <si>
    <t>Houghton</t>
  </si>
  <si>
    <t>Houghton, MI</t>
  </si>
  <si>
    <t>Huron</t>
  </si>
  <si>
    <t>Huron, MI</t>
  </si>
  <si>
    <t>Ingham</t>
  </si>
  <si>
    <t>Ingham, MI</t>
  </si>
  <si>
    <t>Ionia</t>
  </si>
  <si>
    <t>Ionia, MI</t>
  </si>
  <si>
    <t>Iosco</t>
  </si>
  <si>
    <t>Iosco, MI</t>
  </si>
  <si>
    <t>Iron</t>
  </si>
  <si>
    <t>Iron, MI</t>
  </si>
  <si>
    <t>Isabella</t>
  </si>
  <si>
    <t>Isabella, MI</t>
  </si>
  <si>
    <t>Jackson, MI</t>
  </si>
  <si>
    <t>Kalamazoo</t>
  </si>
  <si>
    <t>Kalamazoo, MI</t>
  </si>
  <si>
    <t>Kalkaska</t>
  </si>
  <si>
    <t>Kalkaska, MI</t>
  </si>
  <si>
    <t>Kent, MI</t>
  </si>
  <si>
    <t>Keweenaw</t>
  </si>
  <si>
    <t>Keweenaw, MI</t>
  </si>
  <si>
    <t>Lake, MI</t>
  </si>
  <si>
    <t>Lapeer</t>
  </si>
  <si>
    <t>Lapeer, MI</t>
  </si>
  <si>
    <t>Leelanau</t>
  </si>
  <si>
    <t>Leelanau, MI</t>
  </si>
  <si>
    <t>Lenawee</t>
  </si>
  <si>
    <t>Lenawee, MI</t>
  </si>
  <si>
    <t>Livingston, MI</t>
  </si>
  <si>
    <t>Luce</t>
  </si>
  <si>
    <t>Luce, MI</t>
  </si>
  <si>
    <t>Mackinac</t>
  </si>
  <si>
    <t>Mackinac, MI</t>
  </si>
  <si>
    <t>Macomb</t>
  </si>
  <si>
    <t>Macomb, MI</t>
  </si>
  <si>
    <t>Manistee</t>
  </si>
  <si>
    <t>Manistee, MI</t>
  </si>
  <si>
    <t>Marquette</t>
  </si>
  <si>
    <t>Marquette, MI</t>
  </si>
  <si>
    <t>Mason, MI</t>
  </si>
  <si>
    <t>Mecosta</t>
  </si>
  <si>
    <t>Mecosta, MI</t>
  </si>
  <si>
    <t>Menominee</t>
  </si>
  <si>
    <t>Menominee, MI</t>
  </si>
  <si>
    <t>Midland</t>
  </si>
  <si>
    <t>Midland, MI</t>
  </si>
  <si>
    <t>Missaukee</t>
  </si>
  <si>
    <t>Missaukee, MI</t>
  </si>
  <si>
    <t>Monroe, MI</t>
  </si>
  <si>
    <t>Montcalm</t>
  </si>
  <si>
    <t>Montcalm, MI</t>
  </si>
  <si>
    <t>Montmorency</t>
  </si>
  <si>
    <t>Montmorency, MI</t>
  </si>
  <si>
    <t>Muskegon</t>
  </si>
  <si>
    <t>Muskegon, MI</t>
  </si>
  <si>
    <t>Newaygo</t>
  </si>
  <si>
    <t>Newaygo, MI</t>
  </si>
  <si>
    <t>Oakland</t>
  </si>
  <si>
    <t>Oakland, MI</t>
  </si>
  <si>
    <t>Oceana</t>
  </si>
  <si>
    <t>Oceana, MI</t>
  </si>
  <si>
    <t>Ogemaw</t>
  </si>
  <si>
    <t>Ogemaw, MI</t>
  </si>
  <si>
    <t>Ontonagon</t>
  </si>
  <si>
    <t>Ontonagon, MI</t>
  </si>
  <si>
    <t>Osceola, MI</t>
  </si>
  <si>
    <t>Oscoda</t>
  </si>
  <si>
    <t>Oscoda, MI</t>
  </si>
  <si>
    <t>Otsego</t>
  </si>
  <si>
    <t>Otsego, MI</t>
  </si>
  <si>
    <t>Ottawa, MI</t>
  </si>
  <si>
    <t>Presque Isle</t>
  </si>
  <si>
    <t>Presque Isle, MI</t>
  </si>
  <si>
    <t>Roscommon</t>
  </si>
  <si>
    <t>Roscommon, MI</t>
  </si>
  <si>
    <t>Saginaw</t>
  </si>
  <si>
    <t>Saginaw, MI</t>
  </si>
  <si>
    <t>St. Clair, MI</t>
  </si>
  <si>
    <t>St. Joseph, MI</t>
  </si>
  <si>
    <t>Sanilac</t>
  </si>
  <si>
    <t>Sanilac, MI</t>
  </si>
  <si>
    <t>Schoolcraft</t>
  </si>
  <si>
    <t>Schoolcraft, MI</t>
  </si>
  <si>
    <t>Shiawassee</t>
  </si>
  <si>
    <t>Shiawassee, MI</t>
  </si>
  <si>
    <t>Tuscola</t>
  </si>
  <si>
    <t>Tuscola, MI</t>
  </si>
  <si>
    <t>Van Buren, MI</t>
  </si>
  <si>
    <t>Washtenaw</t>
  </si>
  <si>
    <t>Washtenaw, MI</t>
  </si>
  <si>
    <t>Wayne, MI</t>
  </si>
  <si>
    <t>Wexford</t>
  </si>
  <si>
    <t>Wexford, MI</t>
  </si>
  <si>
    <t>Aitkin</t>
  </si>
  <si>
    <t>Aitkin, MN</t>
  </si>
  <si>
    <t>MN</t>
  </si>
  <si>
    <t>Anoka</t>
  </si>
  <si>
    <t>Anoka, MN</t>
  </si>
  <si>
    <t>Becker</t>
  </si>
  <si>
    <t>Becker, MN</t>
  </si>
  <si>
    <t>Beltrami</t>
  </si>
  <si>
    <t>Beltrami, MN</t>
  </si>
  <si>
    <t>Benton, MN</t>
  </si>
  <si>
    <t>Big Stone</t>
  </si>
  <si>
    <t>Big Stone, MN</t>
  </si>
  <si>
    <t>Blue Earth</t>
  </si>
  <si>
    <t>Blue Earth, MN</t>
  </si>
  <si>
    <t>Brown, MN</t>
  </si>
  <si>
    <t>Carlton</t>
  </si>
  <si>
    <t>Carlton, MN</t>
  </si>
  <si>
    <t>Carver</t>
  </si>
  <si>
    <t>Carver, MN</t>
  </si>
  <si>
    <t>Cass, MN</t>
  </si>
  <si>
    <t>Chippewa, MN</t>
  </si>
  <si>
    <t>Chisago</t>
  </si>
  <si>
    <t>Chisago, MN</t>
  </si>
  <si>
    <t>Clay, MN</t>
  </si>
  <si>
    <t>Clearwater, MN</t>
  </si>
  <si>
    <t>Cook, MN</t>
  </si>
  <si>
    <t>Cottonwood</t>
  </si>
  <si>
    <t>Cottonwood, MN</t>
  </si>
  <si>
    <t>Crow Wing</t>
  </si>
  <si>
    <t>Crow Wing, MN</t>
  </si>
  <si>
    <t>Dakota</t>
  </si>
  <si>
    <t>Dakota, MN</t>
  </si>
  <si>
    <t>Dodge, MN</t>
  </si>
  <si>
    <t>Douglas, MN</t>
  </si>
  <si>
    <t>Faribault</t>
  </si>
  <si>
    <t>Faribault, MN</t>
  </si>
  <si>
    <t>Fillmore</t>
  </si>
  <si>
    <t>Fillmore, MN</t>
  </si>
  <si>
    <t>Freeborn</t>
  </si>
  <si>
    <t>Freeborn, MN</t>
  </si>
  <si>
    <t>Goodhue</t>
  </si>
  <si>
    <t>Goodhue, MN</t>
  </si>
  <si>
    <t>Grant, MN</t>
  </si>
  <si>
    <t>Hennepin</t>
  </si>
  <si>
    <t>Hennepin, MN</t>
  </si>
  <si>
    <t>Houston, MN</t>
  </si>
  <si>
    <t>Hubbard</t>
  </si>
  <si>
    <t>Hubbard, MN</t>
  </si>
  <si>
    <t>Isanti</t>
  </si>
  <si>
    <t>Isanti, MN</t>
  </si>
  <si>
    <t>Itasca</t>
  </si>
  <si>
    <t>Itasca, MN</t>
  </si>
  <si>
    <t>Jackson, MN</t>
  </si>
  <si>
    <t>Kanabec</t>
  </si>
  <si>
    <t>Kanabec, MN</t>
  </si>
  <si>
    <t>Kandiyohi</t>
  </si>
  <si>
    <t>Kandiyohi, MN</t>
  </si>
  <si>
    <t>Kittson</t>
  </si>
  <si>
    <t>Kittson, MN</t>
  </si>
  <si>
    <t>Koochiching</t>
  </si>
  <si>
    <t>Koochiching, MN</t>
  </si>
  <si>
    <t>Lac qui Parle</t>
  </si>
  <si>
    <t>Lac qui Parle, MN</t>
  </si>
  <si>
    <t>Lake, MN</t>
  </si>
  <si>
    <t>Lake of the Woods</t>
  </si>
  <si>
    <t>Lake of the Woods, MN</t>
  </si>
  <si>
    <t>Le Sueur</t>
  </si>
  <si>
    <t>Le Sueur, MN</t>
  </si>
  <si>
    <t>Lincoln, MN</t>
  </si>
  <si>
    <t>Lyon, MN</t>
  </si>
  <si>
    <t>McLeod</t>
  </si>
  <si>
    <t>McLeod, MN</t>
  </si>
  <si>
    <t>Mahnomen</t>
  </si>
  <si>
    <t>Mahnomen, MN</t>
  </si>
  <si>
    <t>Marshall, MN</t>
  </si>
  <si>
    <t>Martin, MN</t>
  </si>
  <si>
    <t>Meeker</t>
  </si>
  <si>
    <t>Meeker, MN</t>
  </si>
  <si>
    <t>Mille Lacs</t>
  </si>
  <si>
    <t>Mille Lacs, MN</t>
  </si>
  <si>
    <t>Morrison</t>
  </si>
  <si>
    <t>Morrison, MN</t>
  </si>
  <si>
    <t>Mower</t>
  </si>
  <si>
    <t>Mower, MN</t>
  </si>
  <si>
    <t>Murray, MN</t>
  </si>
  <si>
    <t>Nicollet</t>
  </si>
  <si>
    <t>Nicollet, MN</t>
  </si>
  <si>
    <t>Nobles</t>
  </si>
  <si>
    <t>Nobles, MN</t>
  </si>
  <si>
    <t>Norman</t>
  </si>
  <si>
    <t>Norman, MN</t>
  </si>
  <si>
    <t>Olmsted</t>
  </si>
  <si>
    <t>Olmsted, MN</t>
  </si>
  <si>
    <t>Otter Tail</t>
  </si>
  <si>
    <t>Otter Tail, MN</t>
  </si>
  <si>
    <t>Pennington</t>
  </si>
  <si>
    <t>Pennington, MN</t>
  </si>
  <si>
    <t>Pine</t>
  </si>
  <si>
    <t>Pine, MN</t>
  </si>
  <si>
    <t>Pipestone</t>
  </si>
  <si>
    <t>Pipestone, MN</t>
  </si>
  <si>
    <t>Polk, MN</t>
  </si>
  <si>
    <t>Pope, MN</t>
  </si>
  <si>
    <t>Ramsey</t>
  </si>
  <si>
    <t>Ramsey, MN</t>
  </si>
  <si>
    <t>Red Lake</t>
  </si>
  <si>
    <t>Red Lake, MN</t>
  </si>
  <si>
    <t>Redwood</t>
  </si>
  <si>
    <t>Redwood, MN</t>
  </si>
  <si>
    <t>Renville</t>
  </si>
  <si>
    <t>Renville, MN</t>
  </si>
  <si>
    <t>Rice, MN</t>
  </si>
  <si>
    <t>Rock</t>
  </si>
  <si>
    <t>Rock, MN</t>
  </si>
  <si>
    <t>Roseau</t>
  </si>
  <si>
    <t>Roseau, MN</t>
  </si>
  <si>
    <t>St. Louis</t>
  </si>
  <si>
    <t>St. Louis, MN</t>
  </si>
  <si>
    <t>Scott, MN</t>
  </si>
  <si>
    <t>Sherburne</t>
  </si>
  <si>
    <t>Sherburne, MN</t>
  </si>
  <si>
    <t>Sibley</t>
  </si>
  <si>
    <t>Sibley, MN</t>
  </si>
  <si>
    <t>Stearns</t>
  </si>
  <si>
    <t>Stearns, MN</t>
  </si>
  <si>
    <t>Steele</t>
  </si>
  <si>
    <t>Steele, MN</t>
  </si>
  <si>
    <t>Stevens, MN</t>
  </si>
  <si>
    <t>Swift</t>
  </si>
  <si>
    <t>Swift, MN</t>
  </si>
  <si>
    <t>Todd, MN</t>
  </si>
  <si>
    <t>Traverse</t>
  </si>
  <si>
    <t>Traverse, MN</t>
  </si>
  <si>
    <t>Wabasha</t>
  </si>
  <si>
    <t>Wabasha, MN</t>
  </si>
  <si>
    <t>Wadena</t>
  </si>
  <si>
    <t>Wadena, MN</t>
  </si>
  <si>
    <t>Waseca</t>
  </si>
  <si>
    <t>Waseca, MN</t>
  </si>
  <si>
    <t>Washington, MN</t>
  </si>
  <si>
    <t>Watonwan</t>
  </si>
  <si>
    <t>Watonwan, MN</t>
  </si>
  <si>
    <t>Wilkin</t>
  </si>
  <si>
    <t>Wilkin, MN</t>
  </si>
  <si>
    <t>Winona</t>
  </si>
  <si>
    <t>Winona, MN</t>
  </si>
  <si>
    <t>Wright, MN</t>
  </si>
  <si>
    <t>Yellow Medicine</t>
  </si>
  <si>
    <t>Yellow Medicine, MN</t>
  </si>
  <si>
    <t>Adams, MS</t>
  </si>
  <si>
    <t>MS</t>
  </si>
  <si>
    <t>Alcorn</t>
  </si>
  <si>
    <t>Alcorn, MS</t>
  </si>
  <si>
    <t>Amite</t>
  </si>
  <si>
    <t>Amite, MS</t>
  </si>
  <si>
    <t>Attala</t>
  </si>
  <si>
    <t>Attala, MS</t>
  </si>
  <si>
    <t>Benton, MS</t>
  </si>
  <si>
    <t>Bolivar</t>
  </si>
  <si>
    <t>Bolivar, MS</t>
  </si>
  <si>
    <t>Calhoun, MS</t>
  </si>
  <si>
    <t>Carroll, MS</t>
  </si>
  <si>
    <t>Chickasaw, MS</t>
  </si>
  <si>
    <t>Choctaw, MS</t>
  </si>
  <si>
    <t>Claiborne, MS</t>
  </si>
  <si>
    <t>Clarke, MS</t>
  </si>
  <si>
    <t>Clay, MS</t>
  </si>
  <si>
    <t>Coahoma</t>
  </si>
  <si>
    <t>Coahoma, MS</t>
  </si>
  <si>
    <t>Copiah</t>
  </si>
  <si>
    <t>Copiah, MS</t>
  </si>
  <si>
    <t>Covington, MS</t>
  </si>
  <si>
    <t>DeSoto, MS</t>
  </si>
  <si>
    <t>Forrest</t>
  </si>
  <si>
    <t>Forrest, MS</t>
  </si>
  <si>
    <t>Franklin, MS</t>
  </si>
  <si>
    <t>George</t>
  </si>
  <si>
    <t>George, MS</t>
  </si>
  <si>
    <t>Greene, MS</t>
  </si>
  <si>
    <t>Grenada</t>
  </si>
  <si>
    <t>Grenada, MS</t>
  </si>
  <si>
    <t>Hancock, MS</t>
  </si>
  <si>
    <t>Harrison, MS</t>
  </si>
  <si>
    <t>Hinds</t>
  </si>
  <si>
    <t>Hinds, MS</t>
  </si>
  <si>
    <t>Holmes, MS</t>
  </si>
  <si>
    <t>Humphreys</t>
  </si>
  <si>
    <t>Humphreys, MS</t>
  </si>
  <si>
    <t>Issaquena</t>
  </si>
  <si>
    <t>Issaquena, MS</t>
  </si>
  <si>
    <t>Itawamba</t>
  </si>
  <si>
    <t>Itawamba, MS</t>
  </si>
  <si>
    <t>Jackson, MS</t>
  </si>
  <si>
    <t>Jasper, MS</t>
  </si>
  <si>
    <t>Jefferson, MS</t>
  </si>
  <si>
    <t>Jefferson Davis, MS</t>
  </si>
  <si>
    <t>Jones, MS</t>
  </si>
  <si>
    <t>Kemper</t>
  </si>
  <si>
    <t>Kemper, MS</t>
  </si>
  <si>
    <t>Lafayette, MS</t>
  </si>
  <si>
    <t>Lamar, MS</t>
  </si>
  <si>
    <t>Lauderdale, MS</t>
  </si>
  <si>
    <t>Lawrence, MS</t>
  </si>
  <si>
    <t>Leake</t>
  </si>
  <si>
    <t>Leake, MS</t>
  </si>
  <si>
    <t>Lee, MS</t>
  </si>
  <si>
    <t>Leflore</t>
  </si>
  <si>
    <t>Leflore, MS</t>
  </si>
  <si>
    <t>Lincoln, MS</t>
  </si>
  <si>
    <t>Lowndes, MS</t>
  </si>
  <si>
    <t>Madison, MS</t>
  </si>
  <si>
    <t>Marion, MS</t>
  </si>
  <si>
    <t>Marshall, MS</t>
  </si>
  <si>
    <t>Monroe, MS</t>
  </si>
  <si>
    <t>Montgomery, MS</t>
  </si>
  <si>
    <t>Neshoba</t>
  </si>
  <si>
    <t>Neshoba, MS</t>
  </si>
  <si>
    <t>Newton, MS</t>
  </si>
  <si>
    <t>Noxubee</t>
  </si>
  <si>
    <t>Noxubee, MS</t>
  </si>
  <si>
    <t>Oktibbeha</t>
  </si>
  <si>
    <t>Oktibbeha, MS</t>
  </si>
  <si>
    <t>Panola</t>
  </si>
  <si>
    <t>Panola, MS</t>
  </si>
  <si>
    <t>Pearl River</t>
  </si>
  <si>
    <t>Pearl River, MS</t>
  </si>
  <si>
    <t>Perry, MS</t>
  </si>
  <si>
    <t>Pike, MS</t>
  </si>
  <si>
    <t>Pontotoc</t>
  </si>
  <si>
    <t>Pontotoc, MS</t>
  </si>
  <si>
    <t>Prentiss</t>
  </si>
  <si>
    <t>Prentiss, MS</t>
  </si>
  <si>
    <t>Quitman, MS</t>
  </si>
  <si>
    <t>Rankin</t>
  </si>
  <si>
    <t>Rankin, MS</t>
  </si>
  <si>
    <t>Scott, MS</t>
  </si>
  <si>
    <t>Sharkey</t>
  </si>
  <si>
    <t>Sharkey, MS</t>
  </si>
  <si>
    <t>Simpson, MS</t>
  </si>
  <si>
    <t>Smith, MS</t>
  </si>
  <si>
    <t>Stone, MS</t>
  </si>
  <si>
    <t>Sunflower</t>
  </si>
  <si>
    <t>Sunflower, MS</t>
  </si>
  <si>
    <t>Tallahatchie</t>
  </si>
  <si>
    <t>Tallahatchie, MS</t>
  </si>
  <si>
    <t>Tate</t>
  </si>
  <si>
    <t>Tate, MS</t>
  </si>
  <si>
    <t>Tippah</t>
  </si>
  <si>
    <t>Tippah, MS</t>
  </si>
  <si>
    <t>Tishomingo</t>
  </si>
  <si>
    <t>Tishomingo, MS</t>
  </si>
  <si>
    <t>Tunica</t>
  </si>
  <si>
    <t>Tunica, MS</t>
  </si>
  <si>
    <t>Union, MS</t>
  </si>
  <si>
    <t>Walthall</t>
  </si>
  <si>
    <t>Walthall, MS</t>
  </si>
  <si>
    <t>Warren, MS</t>
  </si>
  <si>
    <t>Washington, MS</t>
  </si>
  <si>
    <t>Wayne, MS</t>
  </si>
  <si>
    <t>Webster, MS</t>
  </si>
  <si>
    <t>Wilkinson, MS</t>
  </si>
  <si>
    <t>Winston, MS</t>
  </si>
  <si>
    <t>Yalobusha</t>
  </si>
  <si>
    <t>Yalobusha, MS</t>
  </si>
  <si>
    <t>Yazoo</t>
  </si>
  <si>
    <t>Yazoo, MS</t>
  </si>
  <si>
    <t>Adair, MO</t>
  </si>
  <si>
    <t>MO</t>
  </si>
  <si>
    <t>Andrew</t>
  </si>
  <si>
    <t>Andrew, MO</t>
  </si>
  <si>
    <t>Atchison, MO</t>
  </si>
  <si>
    <t>Audrain</t>
  </si>
  <si>
    <t>Audrain, MO</t>
  </si>
  <si>
    <t>Barry, MO</t>
  </si>
  <si>
    <t>Barton, MO</t>
  </si>
  <si>
    <t>Bates</t>
  </si>
  <si>
    <t>Bates, MO</t>
  </si>
  <si>
    <t>Benton, MO</t>
  </si>
  <si>
    <t>Bollinger</t>
  </si>
  <si>
    <t>Bollinger, MO</t>
  </si>
  <si>
    <t>Boone, MO</t>
  </si>
  <si>
    <t>Buchanan, MO</t>
  </si>
  <si>
    <t>Butler, MO</t>
  </si>
  <si>
    <t>Caldwell, MO</t>
  </si>
  <si>
    <t>Callaway</t>
  </si>
  <si>
    <t>Callaway, MO</t>
  </si>
  <si>
    <t>Camden, MO</t>
  </si>
  <si>
    <t>Cape Girardeau</t>
  </si>
  <si>
    <t>Cape Girardeau, MO</t>
  </si>
  <si>
    <t>Carroll, MO</t>
  </si>
  <si>
    <t>Carter, MO</t>
  </si>
  <si>
    <t>Cass, MO</t>
  </si>
  <si>
    <t>Cedar, MO</t>
  </si>
  <si>
    <t>Chariton</t>
  </si>
  <si>
    <t>Chariton, MO</t>
  </si>
  <si>
    <t>Christian, MO</t>
  </si>
  <si>
    <t>Clark, MO</t>
  </si>
  <si>
    <t>Clay, MO</t>
  </si>
  <si>
    <t>Clinton, MO</t>
  </si>
  <si>
    <t>Cole</t>
  </si>
  <si>
    <t>Cole, MO</t>
  </si>
  <si>
    <t>Cooper</t>
  </si>
  <si>
    <t>Cooper, MO</t>
  </si>
  <si>
    <t>Crawford, MO</t>
  </si>
  <si>
    <t>Dade, MO</t>
  </si>
  <si>
    <t>Dallas, MO</t>
  </si>
  <si>
    <t>Daviess, MO</t>
  </si>
  <si>
    <t>DeKalb, MO</t>
  </si>
  <si>
    <t>Dent</t>
  </si>
  <si>
    <t>Dent, MO</t>
  </si>
  <si>
    <t>Douglas, MO</t>
  </si>
  <si>
    <t>Dunklin</t>
  </si>
  <si>
    <t>Dunklin, MO</t>
  </si>
  <si>
    <t>Franklin, MO</t>
  </si>
  <si>
    <t>Gasconade</t>
  </si>
  <si>
    <t>Gasconade, MO</t>
  </si>
  <si>
    <t>Gentry</t>
  </si>
  <si>
    <t>Gentry, MO</t>
  </si>
  <si>
    <t>Greene, MO</t>
  </si>
  <si>
    <t>Grundy, MO</t>
  </si>
  <si>
    <t>Harrison, MO</t>
  </si>
  <si>
    <t>Henry, MO</t>
  </si>
  <si>
    <t>Hickory</t>
  </si>
  <si>
    <t>Hickory, MO</t>
  </si>
  <si>
    <t>Holt</t>
  </si>
  <si>
    <t>Holt, MO</t>
  </si>
  <si>
    <t>Howard, MO</t>
  </si>
  <si>
    <t>Howell</t>
  </si>
  <si>
    <t>Howell, MO</t>
  </si>
  <si>
    <t>Iron, MO</t>
  </si>
  <si>
    <t>Jackson, MO</t>
  </si>
  <si>
    <t>Jasper, MO</t>
  </si>
  <si>
    <t>Jefferson, MO</t>
  </si>
  <si>
    <t>Johnson, MO</t>
  </si>
  <si>
    <t>Knox, MO</t>
  </si>
  <si>
    <t>Laclede</t>
  </si>
  <si>
    <t>Laclede, MO</t>
  </si>
  <si>
    <t>Lafayette, MO</t>
  </si>
  <si>
    <t>Lawrence, MO</t>
  </si>
  <si>
    <t>Lewis, MO</t>
  </si>
  <si>
    <t>Lincoln, MO</t>
  </si>
  <si>
    <t>Linn, MO</t>
  </si>
  <si>
    <t>Livingston, MO</t>
  </si>
  <si>
    <t>McDonald</t>
  </si>
  <si>
    <t>McDonald, MO</t>
  </si>
  <si>
    <t>Macon, MO</t>
  </si>
  <si>
    <t>Madison, MO</t>
  </si>
  <si>
    <t>Maries</t>
  </si>
  <si>
    <t>Maries, MO</t>
  </si>
  <si>
    <t>Marion, MO</t>
  </si>
  <si>
    <t>Mercer, MO</t>
  </si>
  <si>
    <t>Miller, MO</t>
  </si>
  <si>
    <t>Mississippi, MO</t>
  </si>
  <si>
    <t>Moniteau</t>
  </si>
  <si>
    <t>Moniteau, MO</t>
  </si>
  <si>
    <t>Monroe, MO</t>
  </si>
  <si>
    <t>Montgomery, MO</t>
  </si>
  <si>
    <t>Morgan, MO</t>
  </si>
  <si>
    <t>New Madrid</t>
  </si>
  <si>
    <t>New Madrid, MO</t>
  </si>
  <si>
    <t>Newton, MO</t>
  </si>
  <si>
    <t>Nodaway</t>
  </si>
  <si>
    <t>Nodaway, MO</t>
  </si>
  <si>
    <t>Oregon</t>
  </si>
  <si>
    <t>Oregon, MO</t>
  </si>
  <si>
    <t>Osage, MO</t>
  </si>
  <si>
    <t>Ozark</t>
  </si>
  <si>
    <t>Ozark, MO</t>
  </si>
  <si>
    <t>Pemiscot</t>
  </si>
  <si>
    <t>Pemiscot, MO</t>
  </si>
  <si>
    <t>Perry, MO</t>
  </si>
  <si>
    <t>Pettis</t>
  </si>
  <si>
    <t>Pettis, MO</t>
  </si>
  <si>
    <t>Phelps</t>
  </si>
  <si>
    <t>Phelps, MO</t>
  </si>
  <si>
    <t>Pike, MO</t>
  </si>
  <si>
    <t>Platte</t>
  </si>
  <si>
    <t>Platte, MO</t>
  </si>
  <si>
    <t>Polk, MO</t>
  </si>
  <si>
    <t>Pulaski, MO</t>
  </si>
  <si>
    <t>Putnam, MO</t>
  </si>
  <si>
    <t>Ralls</t>
  </si>
  <si>
    <t>Ralls, MO</t>
  </si>
  <si>
    <t>Randolph, MO</t>
  </si>
  <si>
    <t>Ray</t>
  </si>
  <si>
    <t>Ray, MO</t>
  </si>
  <si>
    <t>Reynolds</t>
  </si>
  <si>
    <t>Reynolds, MO</t>
  </si>
  <si>
    <t>Ripley, MO</t>
  </si>
  <si>
    <t>St. Charles, MO</t>
  </si>
  <si>
    <t>St. Clair, MO</t>
  </si>
  <si>
    <t>Ste. Genevieve</t>
  </si>
  <si>
    <t>Ste. Genevieve, MO</t>
  </si>
  <si>
    <t>St. Francois</t>
  </si>
  <si>
    <t>St. Francois, MO</t>
  </si>
  <si>
    <t>St. Louis, MO</t>
  </si>
  <si>
    <t>Saline, MO</t>
  </si>
  <si>
    <t>Schuyler, MO</t>
  </si>
  <si>
    <t>Scotland</t>
  </si>
  <si>
    <t>Scotland, MO</t>
  </si>
  <si>
    <t>Scott, MO</t>
  </si>
  <si>
    <t>Shannon</t>
  </si>
  <si>
    <t>Shannon, MO</t>
  </si>
  <si>
    <t>Shelby, MO</t>
  </si>
  <si>
    <t>Stoddard</t>
  </si>
  <si>
    <t>Stoddard, MO</t>
  </si>
  <si>
    <t>Stone, MO</t>
  </si>
  <si>
    <t>Sullivan, MO</t>
  </si>
  <si>
    <t>Taney</t>
  </si>
  <si>
    <t>Taney, MO</t>
  </si>
  <si>
    <t>Texas</t>
  </si>
  <si>
    <t>Texas, MO</t>
  </si>
  <si>
    <t>Vernon, MO</t>
  </si>
  <si>
    <t>Warren, MO</t>
  </si>
  <si>
    <t>Washington, MO</t>
  </si>
  <si>
    <t>Wayne, MO</t>
  </si>
  <si>
    <t>Webster, MO</t>
  </si>
  <si>
    <t>Worth, MO</t>
  </si>
  <si>
    <t>Wright, MO</t>
  </si>
  <si>
    <t>St. Louis City</t>
  </si>
  <si>
    <t>St. Louis City, MO</t>
  </si>
  <si>
    <t>Beaverhead</t>
  </si>
  <si>
    <t>Beaverhead, MT</t>
  </si>
  <si>
    <t>MT</t>
  </si>
  <si>
    <t>Big Horn</t>
  </si>
  <si>
    <t>Big Horn, MT</t>
  </si>
  <si>
    <t>Blaine, MT</t>
  </si>
  <si>
    <t>Broadwater</t>
  </si>
  <si>
    <t>Broadwater, MT</t>
  </si>
  <si>
    <t>Carbon</t>
  </si>
  <si>
    <t>Carbon, MT</t>
  </si>
  <si>
    <t>Carter, MT</t>
  </si>
  <si>
    <t>Cascade</t>
  </si>
  <si>
    <t>Cascade, MT</t>
  </si>
  <si>
    <t>Chouteau</t>
  </si>
  <si>
    <t>Chouteau, MT</t>
  </si>
  <si>
    <t>Custer, MT</t>
  </si>
  <si>
    <t>Daniels</t>
  </si>
  <si>
    <t>Daniels, MT</t>
  </si>
  <si>
    <t>Dawson, MT</t>
  </si>
  <si>
    <t>Deer Lodge</t>
  </si>
  <si>
    <t>Deer Lodge, MT</t>
  </si>
  <si>
    <t>Fallon</t>
  </si>
  <si>
    <t>Fallon, MT</t>
  </si>
  <si>
    <t>Fergus</t>
  </si>
  <si>
    <t>Fergus, MT</t>
  </si>
  <si>
    <t>Flathead</t>
  </si>
  <si>
    <t>Flathead, MT</t>
  </si>
  <si>
    <t>Gallatin, MT</t>
  </si>
  <si>
    <t>Garfield, MT</t>
  </si>
  <si>
    <t>Glacier</t>
  </si>
  <si>
    <t>Glacier, MT</t>
  </si>
  <si>
    <t>Golden Valley</t>
  </si>
  <si>
    <t>Golden Valley, MT</t>
  </si>
  <si>
    <t>Granite</t>
  </si>
  <si>
    <t>Granite, MT</t>
  </si>
  <si>
    <t>Hill</t>
  </si>
  <si>
    <t>Hill, MT</t>
  </si>
  <si>
    <t>Jefferson, MT</t>
  </si>
  <si>
    <t>Judith Basin</t>
  </si>
  <si>
    <t>Judith Basin, MT</t>
  </si>
  <si>
    <t>Lake, MT</t>
  </si>
  <si>
    <t>Lewis and Clark</t>
  </si>
  <si>
    <t>Lewis and Clark, MT</t>
  </si>
  <si>
    <t>Liberty, MT</t>
  </si>
  <si>
    <t>Lincoln, MT</t>
  </si>
  <si>
    <t>McCone</t>
  </si>
  <si>
    <t>McCone, MT</t>
  </si>
  <si>
    <t>Madison, MT</t>
  </si>
  <si>
    <t>Meagher</t>
  </si>
  <si>
    <t>Meagher, MT</t>
  </si>
  <si>
    <t>Mineral, MT</t>
  </si>
  <si>
    <t>Missoula</t>
  </si>
  <si>
    <t>Missoula, MT</t>
  </si>
  <si>
    <t>Musselshell</t>
  </si>
  <si>
    <t>Musselshell, MT</t>
  </si>
  <si>
    <t>Park, MT</t>
  </si>
  <si>
    <t>Petroleum</t>
  </si>
  <si>
    <t>Petroleum, MT</t>
  </si>
  <si>
    <t>Phillips, MT</t>
  </si>
  <si>
    <t>Pondera</t>
  </si>
  <si>
    <t>Pondera, MT</t>
  </si>
  <si>
    <t>Powder River</t>
  </si>
  <si>
    <t>Powder River, MT</t>
  </si>
  <si>
    <t>Powell, MT</t>
  </si>
  <si>
    <t>Prairie, MT</t>
  </si>
  <si>
    <t>Ravalli</t>
  </si>
  <si>
    <t>Ravalli, MT</t>
  </si>
  <si>
    <t>Richland, MT</t>
  </si>
  <si>
    <t>Roosevelt</t>
  </si>
  <si>
    <t>Roosevelt, MT</t>
  </si>
  <si>
    <t>Rosebud</t>
  </si>
  <si>
    <t>Rosebud, MT</t>
  </si>
  <si>
    <t>Sanders</t>
  </si>
  <si>
    <t>Sanders, MT</t>
  </si>
  <si>
    <t>Sheridan, MT</t>
  </si>
  <si>
    <t>Silver Bow</t>
  </si>
  <si>
    <t>Silver Bow, MT</t>
  </si>
  <si>
    <t>Stillwater</t>
  </si>
  <si>
    <t>Stillwater, MT</t>
  </si>
  <si>
    <t>Sweet Grass</t>
  </si>
  <si>
    <t>Sweet Grass, MT</t>
  </si>
  <si>
    <t>Teton, MT</t>
  </si>
  <si>
    <t>Toole</t>
  </si>
  <si>
    <t>Toole, MT</t>
  </si>
  <si>
    <t>Treasure</t>
  </si>
  <si>
    <t>Treasure, MT</t>
  </si>
  <si>
    <t>Valley, MT</t>
  </si>
  <si>
    <t>Wheatland</t>
  </si>
  <si>
    <t>Wheatland, MT</t>
  </si>
  <si>
    <t>Wibaux</t>
  </si>
  <si>
    <t>Wibaux, MT</t>
  </si>
  <si>
    <t>Yellowstone</t>
  </si>
  <si>
    <t>Yellowstone, MT</t>
  </si>
  <si>
    <t>Adams, NE</t>
  </si>
  <si>
    <t>NE</t>
  </si>
  <si>
    <t>Antelope</t>
  </si>
  <si>
    <t>Antelope, NE</t>
  </si>
  <si>
    <t>Arthur</t>
  </si>
  <si>
    <t>Arthur, NE</t>
  </si>
  <si>
    <t>Banner</t>
  </si>
  <si>
    <t>Banner, NE</t>
  </si>
  <si>
    <t>Blaine, NE</t>
  </si>
  <si>
    <t>Boone, NE</t>
  </si>
  <si>
    <t>Box Butte</t>
  </si>
  <si>
    <t>Box Butte, NE</t>
  </si>
  <si>
    <t>Boyd, NE</t>
  </si>
  <si>
    <t>Brown, NE</t>
  </si>
  <si>
    <t>Buffalo</t>
  </si>
  <si>
    <t>Buffalo, NE</t>
  </si>
  <si>
    <t>Burt</t>
  </si>
  <si>
    <t>Burt, NE</t>
  </si>
  <si>
    <t>Butler, NE</t>
  </si>
  <si>
    <t>Cass, NE</t>
  </si>
  <si>
    <t>Cedar, NE</t>
  </si>
  <si>
    <t>Chase, NE</t>
  </si>
  <si>
    <t>Cherry</t>
  </si>
  <si>
    <t>Cherry, NE</t>
  </si>
  <si>
    <t>Cheyenne, NE</t>
  </si>
  <si>
    <t>Clay, NE</t>
  </si>
  <si>
    <t>Colfax</t>
  </si>
  <si>
    <t>Colfax, NE</t>
  </si>
  <si>
    <t>Cuming</t>
  </si>
  <si>
    <t>Cuming, NE</t>
  </si>
  <si>
    <t>Custer, NE</t>
  </si>
  <si>
    <t>Dakota, NE</t>
  </si>
  <si>
    <t>Dawes</t>
  </si>
  <si>
    <t>Dawes, NE</t>
  </si>
  <si>
    <t>Dawson, NE</t>
  </si>
  <si>
    <t>Deuel</t>
  </si>
  <si>
    <t>Deuel, NE</t>
  </si>
  <si>
    <t>Dixon</t>
  </si>
  <si>
    <t>Dixon, NE</t>
  </si>
  <si>
    <t>Dodge, NE</t>
  </si>
  <si>
    <t>Douglas, NE</t>
  </si>
  <si>
    <t>Dundy</t>
  </si>
  <si>
    <t>Dundy, NE</t>
  </si>
  <si>
    <t>Fillmore, NE</t>
  </si>
  <si>
    <t>Franklin, NE</t>
  </si>
  <si>
    <t>Frontier</t>
  </si>
  <si>
    <t>Frontier, NE</t>
  </si>
  <si>
    <t>Furnas</t>
  </si>
  <si>
    <t>Furnas, NE</t>
  </si>
  <si>
    <t>Gage</t>
  </si>
  <si>
    <t>Gage, NE</t>
  </si>
  <si>
    <t>Garden</t>
  </si>
  <si>
    <t>Garden, NE</t>
  </si>
  <si>
    <t>Garfield, NE</t>
  </si>
  <si>
    <t>Gosper</t>
  </si>
  <si>
    <t>Gosper, NE</t>
  </si>
  <si>
    <t>Grant, NE</t>
  </si>
  <si>
    <t>Greeley, NE</t>
  </si>
  <si>
    <t>Hall, NE</t>
  </si>
  <si>
    <t>Hamilton, NE</t>
  </si>
  <si>
    <t>Harlan, NE</t>
  </si>
  <si>
    <t>Hayes</t>
  </si>
  <si>
    <t>Hayes, NE</t>
  </si>
  <si>
    <t>Hitchcock</t>
  </si>
  <si>
    <t>Hitchcock, NE</t>
  </si>
  <si>
    <t>Holt, NE</t>
  </si>
  <si>
    <t>Hooker</t>
  </si>
  <si>
    <t>Hooker, NE</t>
  </si>
  <si>
    <t>Howard, NE</t>
  </si>
  <si>
    <t>Jefferson, NE</t>
  </si>
  <si>
    <t>Johnson, NE</t>
  </si>
  <si>
    <t>Kearney</t>
  </si>
  <si>
    <t>Kearney, NE</t>
  </si>
  <si>
    <t>Keith</t>
  </si>
  <si>
    <t>Keith, NE</t>
  </si>
  <si>
    <t>Keya Paha</t>
  </si>
  <si>
    <t>Keya Paha, NE</t>
  </si>
  <si>
    <t>Kimball</t>
  </si>
  <si>
    <t>Kimball, NE</t>
  </si>
  <si>
    <t>Knox, NE</t>
  </si>
  <si>
    <t>Lancaster</t>
  </si>
  <si>
    <t>Lancaster, NE</t>
  </si>
  <si>
    <t>Lincoln, NE</t>
  </si>
  <si>
    <t>Logan, NE</t>
  </si>
  <si>
    <t>Loup</t>
  </si>
  <si>
    <t>Loup, NE</t>
  </si>
  <si>
    <t>McPherson, NE</t>
  </si>
  <si>
    <t>Madison, NE</t>
  </si>
  <si>
    <t>Merrick</t>
  </si>
  <si>
    <t>Merrick, NE</t>
  </si>
  <si>
    <t>Morrill</t>
  </si>
  <si>
    <t>Morrill, NE</t>
  </si>
  <si>
    <t>Nance</t>
  </si>
  <si>
    <t>Nance, NE</t>
  </si>
  <si>
    <t>Nemaha, NE</t>
  </si>
  <si>
    <t>Nuckolls</t>
  </si>
  <si>
    <t>Nuckolls, NE</t>
  </si>
  <si>
    <t>Otoe</t>
  </si>
  <si>
    <t>Otoe, NE</t>
  </si>
  <si>
    <t>Pawnee, NE</t>
  </si>
  <si>
    <t>Perkins</t>
  </si>
  <si>
    <t>Perkins, NE</t>
  </si>
  <si>
    <t>Phelps, NE</t>
  </si>
  <si>
    <t>Pierce, NE</t>
  </si>
  <si>
    <t>Platte, NE</t>
  </si>
  <si>
    <t>Polk, NE</t>
  </si>
  <si>
    <t>Red Willow</t>
  </si>
  <si>
    <t>Red Willow, NE</t>
  </si>
  <si>
    <t>Richardson</t>
  </si>
  <si>
    <t>Richardson, NE</t>
  </si>
  <si>
    <t>Rock, NE</t>
  </si>
  <si>
    <t>Saline, NE</t>
  </si>
  <si>
    <t>Sarpy</t>
  </si>
  <si>
    <t>Sarpy, NE</t>
  </si>
  <si>
    <t>Saunders</t>
  </si>
  <si>
    <t>Saunders, NE</t>
  </si>
  <si>
    <t>Scotts Bluff</t>
  </si>
  <si>
    <t>Scotts Bluff, NE</t>
  </si>
  <si>
    <t>Seward, NE</t>
  </si>
  <si>
    <t>Sheridan, NE</t>
  </si>
  <si>
    <t>Sherman, NE</t>
  </si>
  <si>
    <t>Sioux, NE</t>
  </si>
  <si>
    <t>Stanton, NE</t>
  </si>
  <si>
    <t>Thayer</t>
  </si>
  <si>
    <t>Thayer, NE</t>
  </si>
  <si>
    <t>Thomas, NE</t>
  </si>
  <si>
    <t>Thurston</t>
  </si>
  <si>
    <t>Thurston, NE</t>
  </si>
  <si>
    <t>Valley, NE</t>
  </si>
  <si>
    <t>Washington, NE</t>
  </si>
  <si>
    <t>Wayne, NE</t>
  </si>
  <si>
    <t>Webster, NE</t>
  </si>
  <si>
    <t>Wheeler, NE</t>
  </si>
  <si>
    <t>York, NE</t>
  </si>
  <si>
    <t>Churchill</t>
  </si>
  <si>
    <t>Churchill, NV</t>
  </si>
  <si>
    <t>NV</t>
  </si>
  <si>
    <t>Clark, NV</t>
  </si>
  <si>
    <t>Douglas, NV</t>
  </si>
  <si>
    <t>Elko</t>
  </si>
  <si>
    <t>Elko, NV</t>
  </si>
  <si>
    <t>Esmeralda</t>
  </si>
  <si>
    <t>Esmeralda, NV</t>
  </si>
  <si>
    <t>Eureka</t>
  </si>
  <si>
    <t>Eureka, NV</t>
  </si>
  <si>
    <t>Humboldt, NV</t>
  </si>
  <si>
    <t>Lander</t>
  </si>
  <si>
    <t>Lander, NV</t>
  </si>
  <si>
    <t>Lincoln, NV</t>
  </si>
  <si>
    <t>Lyon, NV</t>
  </si>
  <si>
    <t>Mineral, NV</t>
  </si>
  <si>
    <t>Nye</t>
  </si>
  <si>
    <t>Nye, NV</t>
  </si>
  <si>
    <t>Pershing</t>
  </si>
  <si>
    <t>Pershing, NV</t>
  </si>
  <si>
    <t>Storey</t>
  </si>
  <si>
    <t>Storey, NV</t>
  </si>
  <si>
    <t>Washoe</t>
  </si>
  <si>
    <t>Washoe, NV</t>
  </si>
  <si>
    <t>White Pine</t>
  </si>
  <si>
    <t>White Pine, NV</t>
  </si>
  <si>
    <t>Carson City</t>
  </si>
  <si>
    <t>Carson City, NV</t>
  </si>
  <si>
    <t>Belknap</t>
  </si>
  <si>
    <t>Belknap, NH</t>
  </si>
  <si>
    <t>NH</t>
  </si>
  <si>
    <t>Carroll, NH</t>
  </si>
  <si>
    <t>Cheshire</t>
  </si>
  <si>
    <t>Cheshire, NH</t>
  </si>
  <si>
    <t>Coos</t>
  </si>
  <si>
    <t>Coos, NH</t>
  </si>
  <si>
    <t>Grafton</t>
  </si>
  <si>
    <t>Grafton, NH</t>
  </si>
  <si>
    <t>Hillsborough, NH</t>
  </si>
  <si>
    <t>Merrimack</t>
  </si>
  <si>
    <t>Merrimack, NH</t>
  </si>
  <si>
    <t>Rockingham</t>
  </si>
  <si>
    <t>Rockingham, NH</t>
  </si>
  <si>
    <t>Strafford</t>
  </si>
  <si>
    <t>Strafford, NH</t>
  </si>
  <si>
    <t>Sullivan, NH</t>
  </si>
  <si>
    <t>Atlantic</t>
  </si>
  <si>
    <t>Atlantic, NJ</t>
  </si>
  <si>
    <t>NJ</t>
  </si>
  <si>
    <t>Bergen</t>
  </si>
  <si>
    <t>Bergen, NJ</t>
  </si>
  <si>
    <t>Burlington</t>
  </si>
  <si>
    <t>Burlington, NJ</t>
  </si>
  <si>
    <t>Camden, NJ</t>
  </si>
  <si>
    <t>Cape May</t>
  </si>
  <si>
    <t>Cape May, NJ</t>
  </si>
  <si>
    <t>Cumberland, NJ</t>
  </si>
  <si>
    <t>Essex, NJ</t>
  </si>
  <si>
    <t>Gloucester</t>
  </si>
  <si>
    <t>Gloucester, NJ</t>
  </si>
  <si>
    <t>Hudson</t>
  </si>
  <si>
    <t>Hudson, NJ</t>
  </si>
  <si>
    <t>Hunterdon</t>
  </si>
  <si>
    <t>Hunterdon, NJ</t>
  </si>
  <si>
    <t>Mercer, NJ</t>
  </si>
  <si>
    <t>Middlesex, NJ</t>
  </si>
  <si>
    <t>Monmouth</t>
  </si>
  <si>
    <t>Monmouth, NJ</t>
  </si>
  <si>
    <t>Morris, NJ</t>
  </si>
  <si>
    <t>Ocean</t>
  </si>
  <si>
    <t>Ocean, NJ</t>
  </si>
  <si>
    <t>Passaic</t>
  </si>
  <si>
    <t>Passaic, NJ</t>
  </si>
  <si>
    <t>Salem</t>
  </si>
  <si>
    <t>Salem, NJ</t>
  </si>
  <si>
    <t>Somerset, NJ</t>
  </si>
  <si>
    <t>Sussex, NJ</t>
  </si>
  <si>
    <t>Union, NJ</t>
  </si>
  <si>
    <t>Warren, NJ</t>
  </si>
  <si>
    <t>Bernalillo</t>
  </si>
  <si>
    <t>Bernalillo, NM</t>
  </si>
  <si>
    <t>NM</t>
  </si>
  <si>
    <t>Catron</t>
  </si>
  <si>
    <t>Catron, NM</t>
  </si>
  <si>
    <t>Chaves</t>
  </si>
  <si>
    <t>Chaves, NM</t>
  </si>
  <si>
    <t>Cibola</t>
  </si>
  <si>
    <t>Cibola, NM</t>
  </si>
  <si>
    <t>Colfax, NM</t>
  </si>
  <si>
    <t>Curry</t>
  </si>
  <si>
    <t>Curry, NM</t>
  </si>
  <si>
    <t>De Baca</t>
  </si>
  <si>
    <t>De Baca, NM</t>
  </si>
  <si>
    <t>Dona Ana</t>
  </si>
  <si>
    <t>Dona Ana, NM</t>
  </si>
  <si>
    <t>Eddy</t>
  </si>
  <si>
    <t>Eddy, NM</t>
  </si>
  <si>
    <t>Grant, NM</t>
  </si>
  <si>
    <t>Guadalupe</t>
  </si>
  <si>
    <t>Guadalupe, NM</t>
  </si>
  <si>
    <t>Harding</t>
  </si>
  <si>
    <t>Harding, NM</t>
  </si>
  <si>
    <t>Hidalgo</t>
  </si>
  <si>
    <t>Hidalgo, NM</t>
  </si>
  <si>
    <t>Lea</t>
  </si>
  <si>
    <t>Lea, NM</t>
  </si>
  <si>
    <t>Lincoln, NM</t>
  </si>
  <si>
    <t>Los Alamos</t>
  </si>
  <si>
    <t>Los Alamos, NM</t>
  </si>
  <si>
    <t>Luna</t>
  </si>
  <si>
    <t>Luna, NM</t>
  </si>
  <si>
    <t>McKinley</t>
  </si>
  <si>
    <t>McKinley, NM</t>
  </si>
  <si>
    <t>Mora</t>
  </si>
  <si>
    <t>Mora, NM</t>
  </si>
  <si>
    <t>Otero, NM</t>
  </si>
  <si>
    <t>Quay</t>
  </si>
  <si>
    <t>Quay, NM</t>
  </si>
  <si>
    <t>Rio Arriba</t>
  </si>
  <si>
    <t>Rio Arriba, NM</t>
  </si>
  <si>
    <t>Roosevelt, NM</t>
  </si>
  <si>
    <t>Sandoval</t>
  </si>
  <si>
    <t>Sandoval, NM</t>
  </si>
  <si>
    <t>San Juan, NM</t>
  </si>
  <si>
    <t>San Miguel, NM</t>
  </si>
  <si>
    <t>Santa Fe</t>
  </si>
  <si>
    <t>Santa Fe, NM</t>
  </si>
  <si>
    <t>Sierra, NM</t>
  </si>
  <si>
    <t>Socorro</t>
  </si>
  <si>
    <t>Socorro, NM</t>
  </si>
  <si>
    <t>Taos</t>
  </si>
  <si>
    <t>Taos, NM</t>
  </si>
  <si>
    <t>Torrance</t>
  </si>
  <si>
    <t>Torrance, NM</t>
  </si>
  <si>
    <t>Union, NM</t>
  </si>
  <si>
    <t>Valencia</t>
  </si>
  <si>
    <t>Valencia, NM</t>
  </si>
  <si>
    <t>Albany</t>
  </si>
  <si>
    <t>Albany, NY</t>
  </si>
  <si>
    <t>NY</t>
  </si>
  <si>
    <t>Allegany</t>
  </si>
  <si>
    <t>Allegany, NY</t>
  </si>
  <si>
    <t>Bronx</t>
  </si>
  <si>
    <t>Bronx, NY</t>
  </si>
  <si>
    <t>Broome</t>
  </si>
  <si>
    <t>Broome, NY</t>
  </si>
  <si>
    <t>Cattaraugus</t>
  </si>
  <si>
    <t>Cattaraugus, NY</t>
  </si>
  <si>
    <t>Cayuga</t>
  </si>
  <si>
    <t>Cayuga, NY</t>
  </si>
  <si>
    <t>Chautauqua, NY</t>
  </si>
  <si>
    <t>Chemung</t>
  </si>
  <si>
    <t>Chemung, NY</t>
  </si>
  <si>
    <t>Chenango</t>
  </si>
  <si>
    <t>Chenango, NY</t>
  </si>
  <si>
    <t>Clinton, NY</t>
  </si>
  <si>
    <t>Columbia, NY</t>
  </si>
  <si>
    <t>Cortland</t>
  </si>
  <si>
    <t>Cortland, NY</t>
  </si>
  <si>
    <t>Delaware, NY</t>
  </si>
  <si>
    <t>Dutchess</t>
  </si>
  <si>
    <t>Dutchess, NY</t>
  </si>
  <si>
    <t>Erie</t>
  </si>
  <si>
    <t>Erie, NY</t>
  </si>
  <si>
    <t>Essex, NY</t>
  </si>
  <si>
    <t>Franklin, NY</t>
  </si>
  <si>
    <t>Fulton, NY</t>
  </si>
  <si>
    <t>Genesee, NY</t>
  </si>
  <si>
    <t>Greene, NY</t>
  </si>
  <si>
    <t>Hamilton, NY</t>
  </si>
  <si>
    <t>Herkimer</t>
  </si>
  <si>
    <t>Herkimer, NY</t>
  </si>
  <si>
    <t>Jefferson, NY</t>
  </si>
  <si>
    <t>Kings, NY</t>
  </si>
  <si>
    <t>Lewis, NY</t>
  </si>
  <si>
    <t>Livingston, NY</t>
  </si>
  <si>
    <t>Madison, NY</t>
  </si>
  <si>
    <t>Monroe, NY</t>
  </si>
  <si>
    <t>Montgomery, NY</t>
  </si>
  <si>
    <t>Nassau, NY</t>
  </si>
  <si>
    <t>New York</t>
  </si>
  <si>
    <t>New York, NY</t>
  </si>
  <si>
    <t>Niagara</t>
  </si>
  <si>
    <t>Niagara, NY</t>
  </si>
  <si>
    <t>Oneida, NY</t>
  </si>
  <si>
    <t>Onondaga</t>
  </si>
  <si>
    <t>Onondaga, NY</t>
  </si>
  <si>
    <t>Ontario</t>
  </si>
  <si>
    <t>Ontario, NY</t>
  </si>
  <si>
    <t>Orange, NY</t>
  </si>
  <si>
    <t>Orleans, NY</t>
  </si>
  <si>
    <t>Oswego</t>
  </si>
  <si>
    <t>Oswego, NY</t>
  </si>
  <si>
    <t>Otsego, NY</t>
  </si>
  <si>
    <t>Putnam, NY</t>
  </si>
  <si>
    <t>Queens</t>
  </si>
  <si>
    <t>Queens, NY</t>
  </si>
  <si>
    <t>Rensselaer</t>
  </si>
  <si>
    <t>Rensselaer, NY</t>
  </si>
  <si>
    <t>Richmond, NY</t>
  </si>
  <si>
    <t>Rockland</t>
  </si>
  <si>
    <t>Rockland, NY</t>
  </si>
  <si>
    <t>St. Lawrence</t>
  </si>
  <si>
    <t>St. Lawrence, NY</t>
  </si>
  <si>
    <t>Saratoga</t>
  </si>
  <si>
    <t>Saratoga, NY</t>
  </si>
  <si>
    <t>Schenectady</t>
  </si>
  <si>
    <t>Schenectady, NY</t>
  </si>
  <si>
    <t>Schoharie</t>
  </si>
  <si>
    <t>Schoharie, NY</t>
  </si>
  <si>
    <t>Schuyler, NY</t>
  </si>
  <si>
    <t>Seneca</t>
  </si>
  <si>
    <t>Seneca, NY</t>
  </si>
  <si>
    <t>Steuben, NY</t>
  </si>
  <si>
    <t>Suffolk, NY</t>
  </si>
  <si>
    <t>Sullivan, NY</t>
  </si>
  <si>
    <t>Tioga</t>
  </si>
  <si>
    <t>Tioga, NY</t>
  </si>
  <si>
    <t>Tompkins</t>
  </si>
  <si>
    <t>Tompkins, NY</t>
  </si>
  <si>
    <t>Ulster</t>
  </si>
  <si>
    <t>Ulster, NY</t>
  </si>
  <si>
    <t>Warren, NY</t>
  </si>
  <si>
    <t>Washington, NY</t>
  </si>
  <si>
    <t>Wayne, NY</t>
  </si>
  <si>
    <t>Westchester</t>
  </si>
  <si>
    <t>Westchester, NY</t>
  </si>
  <si>
    <t>Wyoming</t>
  </si>
  <si>
    <t>Wyoming, NY</t>
  </si>
  <si>
    <t>Yates</t>
  </si>
  <si>
    <t>Yates, NY</t>
  </si>
  <si>
    <t>Alamance</t>
  </si>
  <si>
    <t>Alamance, NC</t>
  </si>
  <si>
    <t>NC</t>
  </si>
  <si>
    <t>Alexander, NC</t>
  </si>
  <si>
    <t>Alleghany</t>
  </si>
  <si>
    <t>Alleghany, NC</t>
  </si>
  <si>
    <t>Anson</t>
  </si>
  <si>
    <t>Anson, NC</t>
  </si>
  <si>
    <t>Ashe</t>
  </si>
  <si>
    <t>Ashe, NC</t>
  </si>
  <si>
    <t>Avery</t>
  </si>
  <si>
    <t>Avery, NC</t>
  </si>
  <si>
    <t>Beaufort</t>
  </si>
  <si>
    <t>Beaufort, NC</t>
  </si>
  <si>
    <t>Bertie</t>
  </si>
  <si>
    <t>Bertie, NC</t>
  </si>
  <si>
    <t>Bladen</t>
  </si>
  <si>
    <t>Bladen, NC</t>
  </si>
  <si>
    <t>Brunswick</t>
  </si>
  <si>
    <t>Brunswick, NC</t>
  </si>
  <si>
    <t>Buncombe</t>
  </si>
  <si>
    <t>Buncombe, NC</t>
  </si>
  <si>
    <t>Burke, NC</t>
  </si>
  <si>
    <t>Cabarrus</t>
  </si>
  <si>
    <t>Cabarrus, NC</t>
  </si>
  <si>
    <t>Caldwell, NC</t>
  </si>
  <si>
    <t>Camden, NC</t>
  </si>
  <si>
    <t>Carteret</t>
  </si>
  <si>
    <t>Carteret, NC</t>
  </si>
  <si>
    <t>Caswell</t>
  </si>
  <si>
    <t>Caswell, NC</t>
  </si>
  <si>
    <t>Catawba</t>
  </si>
  <si>
    <t>Catawba, NC</t>
  </si>
  <si>
    <t>Chatham, NC</t>
  </si>
  <si>
    <t>Cherokee, NC</t>
  </si>
  <si>
    <t>Chowan</t>
  </si>
  <si>
    <t>Chowan, NC</t>
  </si>
  <si>
    <t>Clay, NC</t>
  </si>
  <si>
    <t>Cleveland, NC</t>
  </si>
  <si>
    <t>Columbus</t>
  </si>
  <si>
    <t>Columbus, NC</t>
  </si>
  <si>
    <t>Craven</t>
  </si>
  <si>
    <t>Craven, NC</t>
  </si>
  <si>
    <t>Cumberland, NC</t>
  </si>
  <si>
    <t>Currituck</t>
  </si>
  <si>
    <t>Currituck, NC</t>
  </si>
  <si>
    <t>Dare</t>
  </si>
  <si>
    <t>Dare, NC</t>
  </si>
  <si>
    <t>Davidson</t>
  </si>
  <si>
    <t>Davidson, NC</t>
  </si>
  <si>
    <t>Davie</t>
  </si>
  <si>
    <t>Davie, NC</t>
  </si>
  <si>
    <t>Duplin</t>
  </si>
  <si>
    <t>Duplin, NC</t>
  </si>
  <si>
    <t>Durham</t>
  </si>
  <si>
    <t>Durham, NC</t>
  </si>
  <si>
    <t>Edgecombe</t>
  </si>
  <si>
    <t>Edgecombe, NC</t>
  </si>
  <si>
    <t>Forsyth, NC</t>
  </si>
  <si>
    <t>Franklin, NC</t>
  </si>
  <si>
    <t>Gaston</t>
  </si>
  <si>
    <t>Gaston, NC</t>
  </si>
  <si>
    <t>Gates</t>
  </si>
  <si>
    <t>Gates, NC</t>
  </si>
  <si>
    <t>Graham, NC</t>
  </si>
  <si>
    <t>Granville</t>
  </si>
  <si>
    <t>Granville, NC</t>
  </si>
  <si>
    <t>Greene, NC</t>
  </si>
  <si>
    <t>Guilford</t>
  </si>
  <si>
    <t>Guilford, NC</t>
  </si>
  <si>
    <t>Halifax</t>
  </si>
  <si>
    <t>Halifax, NC</t>
  </si>
  <si>
    <t>Harnett</t>
  </si>
  <si>
    <t>Harnett, NC</t>
  </si>
  <si>
    <t>Haywood</t>
  </si>
  <si>
    <t>Haywood, NC</t>
  </si>
  <si>
    <t>Henderson, NC</t>
  </si>
  <si>
    <t>Hertford</t>
  </si>
  <si>
    <t>Hertford, NC</t>
  </si>
  <si>
    <t>Hoke</t>
  </si>
  <si>
    <t>Hoke, NC</t>
  </si>
  <si>
    <t>Hyde</t>
  </si>
  <si>
    <t>Hyde, NC</t>
  </si>
  <si>
    <t>Iredell</t>
  </si>
  <si>
    <t>Iredell, NC</t>
  </si>
  <si>
    <t>Jackson, NC</t>
  </si>
  <si>
    <t>Johnston</t>
  </si>
  <si>
    <t>Johnston, NC</t>
  </si>
  <si>
    <t>Jones, NC</t>
  </si>
  <si>
    <t>Lee, NC</t>
  </si>
  <si>
    <t>Lenoir</t>
  </si>
  <si>
    <t>Lenoir, NC</t>
  </si>
  <si>
    <t>Lincoln, NC</t>
  </si>
  <si>
    <t>McDowell</t>
  </si>
  <si>
    <t>McDowell, NC</t>
  </si>
  <si>
    <t>Macon, NC</t>
  </si>
  <si>
    <t>Madison, NC</t>
  </si>
  <si>
    <t>Martin, NC</t>
  </si>
  <si>
    <t>Mecklenburg</t>
  </si>
  <si>
    <t>Mecklenburg, NC</t>
  </si>
  <si>
    <t>Mitchell, NC</t>
  </si>
  <si>
    <t>Montgomery, NC</t>
  </si>
  <si>
    <t>Moore</t>
  </si>
  <si>
    <t>Moore, NC</t>
  </si>
  <si>
    <t>Nash</t>
  </si>
  <si>
    <t>Nash, NC</t>
  </si>
  <si>
    <t>New Hanover</t>
  </si>
  <si>
    <t>New Hanover, NC</t>
  </si>
  <si>
    <t>Northampton</t>
  </si>
  <si>
    <t>Northampton, NC</t>
  </si>
  <si>
    <t>Onslow</t>
  </si>
  <si>
    <t>Onslow, NC</t>
  </si>
  <si>
    <t>Orange, NC</t>
  </si>
  <si>
    <t>Pamlico</t>
  </si>
  <si>
    <t>Pamlico, NC</t>
  </si>
  <si>
    <t>Pasquotank</t>
  </si>
  <si>
    <t>Pasquotank, NC</t>
  </si>
  <si>
    <t>Pender</t>
  </si>
  <si>
    <t>Pender, NC</t>
  </si>
  <si>
    <t>Perquimans</t>
  </si>
  <si>
    <t>Perquimans, NC</t>
  </si>
  <si>
    <t>Person</t>
  </si>
  <si>
    <t>Person, NC</t>
  </si>
  <si>
    <t>Pitt</t>
  </si>
  <si>
    <t>Pitt, NC</t>
  </si>
  <si>
    <t>Polk, NC</t>
  </si>
  <si>
    <t>Randolph, NC</t>
  </si>
  <si>
    <t>Richmond, NC</t>
  </si>
  <si>
    <t>Robeson</t>
  </si>
  <si>
    <t>Robeson, NC</t>
  </si>
  <si>
    <t>Rockingham, NC</t>
  </si>
  <si>
    <t>Rowan, NC</t>
  </si>
  <si>
    <t>Rutherford</t>
  </si>
  <si>
    <t>Rutherford, NC</t>
  </si>
  <si>
    <t>Sampson</t>
  </si>
  <si>
    <t>Sampson, NC</t>
  </si>
  <si>
    <t>Scotland, NC</t>
  </si>
  <si>
    <t>Stanly</t>
  </si>
  <si>
    <t>Stanly, NC</t>
  </si>
  <si>
    <t>Stokes</t>
  </si>
  <si>
    <t>Stokes, NC</t>
  </si>
  <si>
    <t>Surry</t>
  </si>
  <si>
    <t>Surry, NC</t>
  </si>
  <si>
    <t>Swain</t>
  </si>
  <si>
    <t>Swain, NC</t>
  </si>
  <si>
    <t>Transylvania</t>
  </si>
  <si>
    <t>Transylvania, NC</t>
  </si>
  <si>
    <t>Tyrrell</t>
  </si>
  <si>
    <t>Tyrrell, NC</t>
  </si>
  <si>
    <t>Union, NC</t>
  </si>
  <si>
    <t>Vance</t>
  </si>
  <si>
    <t>Vance, NC</t>
  </si>
  <si>
    <t>Wake</t>
  </si>
  <si>
    <t>Wake, NC</t>
  </si>
  <si>
    <t>Warren, NC</t>
  </si>
  <si>
    <t>Washington, NC</t>
  </si>
  <si>
    <t>Watauga</t>
  </si>
  <si>
    <t>Watauga, NC</t>
  </si>
  <si>
    <t>Wayne, NC</t>
  </si>
  <si>
    <t>Wilkes, NC</t>
  </si>
  <si>
    <t>Wilson, NC</t>
  </si>
  <si>
    <t>Yadkin</t>
  </si>
  <si>
    <t>Yadkin, NC</t>
  </si>
  <si>
    <t>Yancey</t>
  </si>
  <si>
    <t>Yancey, NC</t>
  </si>
  <si>
    <t>Adams, ND</t>
  </si>
  <si>
    <t>ND</t>
  </si>
  <si>
    <t>Barnes</t>
  </si>
  <si>
    <t>Barnes, ND</t>
  </si>
  <si>
    <t>Benson</t>
  </si>
  <si>
    <t>Benson, ND</t>
  </si>
  <si>
    <t>Billings</t>
  </si>
  <si>
    <t>Billings, ND</t>
  </si>
  <si>
    <t>Bottineau</t>
  </si>
  <si>
    <t>Bottineau, ND</t>
  </si>
  <si>
    <t>Bowman</t>
  </si>
  <si>
    <t>Bowman, ND</t>
  </si>
  <si>
    <t>Burke, ND</t>
  </si>
  <si>
    <t>Burleigh</t>
  </si>
  <si>
    <t>Burleigh, ND</t>
  </si>
  <si>
    <t>Cass, ND</t>
  </si>
  <si>
    <t>Cavalier</t>
  </si>
  <si>
    <t>Cavalier, ND</t>
  </si>
  <si>
    <t>Dickey</t>
  </si>
  <si>
    <t>Dickey, ND</t>
  </si>
  <si>
    <t>Divide</t>
  </si>
  <si>
    <t>Divide, ND</t>
  </si>
  <si>
    <t>Dunn</t>
  </si>
  <si>
    <t>Dunn, ND</t>
  </si>
  <si>
    <t>Eddy, ND</t>
  </si>
  <si>
    <t>Emmons</t>
  </si>
  <si>
    <t>Emmons, ND</t>
  </si>
  <si>
    <t>Foster</t>
  </si>
  <si>
    <t>Foster, ND</t>
  </si>
  <si>
    <t>Golden Valley, ND</t>
  </si>
  <si>
    <t>Grand Forks</t>
  </si>
  <si>
    <t>Grand Forks, ND</t>
  </si>
  <si>
    <t>Grant, ND</t>
  </si>
  <si>
    <t>Griggs</t>
  </si>
  <si>
    <t>Griggs, ND</t>
  </si>
  <si>
    <t>Hettinger</t>
  </si>
  <si>
    <t>Hettinger, ND</t>
  </si>
  <si>
    <t>Kidder</t>
  </si>
  <si>
    <t>Kidder, ND</t>
  </si>
  <si>
    <t>LaMoure</t>
  </si>
  <si>
    <t>LaMoure, ND</t>
  </si>
  <si>
    <t>Logan, ND</t>
  </si>
  <si>
    <t>McHenry, ND</t>
  </si>
  <si>
    <t>McIntosh, ND</t>
  </si>
  <si>
    <t>McKenzie</t>
  </si>
  <si>
    <t>McKenzie, ND</t>
  </si>
  <si>
    <t>McLean, ND</t>
  </si>
  <si>
    <t>Mercer, ND</t>
  </si>
  <si>
    <t>Morton, ND</t>
  </si>
  <si>
    <t>Mountrail</t>
  </si>
  <si>
    <t>Mountrail, ND</t>
  </si>
  <si>
    <t>Nelson, ND</t>
  </si>
  <si>
    <t>Oliver</t>
  </si>
  <si>
    <t>Oliver, ND</t>
  </si>
  <si>
    <t>Pembina</t>
  </si>
  <si>
    <t>Pembina, ND</t>
  </si>
  <si>
    <t>Pierce, ND</t>
  </si>
  <si>
    <t>Ramsey, ND</t>
  </si>
  <si>
    <t>Ransom</t>
  </si>
  <si>
    <t>Ransom, ND</t>
  </si>
  <si>
    <t>Renville, ND</t>
  </si>
  <si>
    <t>Richland, ND</t>
  </si>
  <si>
    <t>Rolette</t>
  </si>
  <si>
    <t>Rolette, ND</t>
  </si>
  <si>
    <t>Sargent</t>
  </si>
  <si>
    <t>Sargent, ND</t>
  </si>
  <si>
    <t>Sheridan, ND</t>
  </si>
  <si>
    <t>Sioux, ND</t>
  </si>
  <si>
    <t>Slope</t>
  </si>
  <si>
    <t>Slope, ND</t>
  </si>
  <si>
    <t>Stark, ND</t>
  </si>
  <si>
    <t>Steele, ND</t>
  </si>
  <si>
    <t>Stutsman</t>
  </si>
  <si>
    <t>Stutsman, ND</t>
  </si>
  <si>
    <t>Towner</t>
  </si>
  <si>
    <t>Towner, ND</t>
  </si>
  <si>
    <t>Traill</t>
  </si>
  <si>
    <t>Traill, ND</t>
  </si>
  <si>
    <t>Walsh</t>
  </si>
  <si>
    <t>Walsh, ND</t>
  </si>
  <si>
    <t>Ward</t>
  </si>
  <si>
    <t>Ward, ND</t>
  </si>
  <si>
    <t>Wells, ND</t>
  </si>
  <si>
    <t>Williams</t>
  </si>
  <si>
    <t>Williams, ND</t>
  </si>
  <si>
    <t>Adams, OH</t>
  </si>
  <si>
    <t>OH</t>
  </si>
  <si>
    <t>Allen, OH</t>
  </si>
  <si>
    <t>Ashland</t>
  </si>
  <si>
    <t>Ashland, OH</t>
  </si>
  <si>
    <t>Ashtabula</t>
  </si>
  <si>
    <t>Ashtabula, OH</t>
  </si>
  <si>
    <t>Athens</t>
  </si>
  <si>
    <t>Athens, OH</t>
  </si>
  <si>
    <t>Auglaize</t>
  </si>
  <si>
    <t>Auglaize, OH</t>
  </si>
  <si>
    <t>Belmont</t>
  </si>
  <si>
    <t>Belmont, OH</t>
  </si>
  <si>
    <t>Brown, OH</t>
  </si>
  <si>
    <t>Butler, OH</t>
  </si>
  <si>
    <t>Carroll, OH</t>
  </si>
  <si>
    <t>Champaign, OH</t>
  </si>
  <si>
    <t>Clark, OH</t>
  </si>
  <si>
    <t>Clermont</t>
  </si>
  <si>
    <t>Clermont, OH</t>
  </si>
  <si>
    <t>Clinton, OH</t>
  </si>
  <si>
    <t>Columbiana</t>
  </si>
  <si>
    <t>Columbiana, OH</t>
  </si>
  <si>
    <t>Coshocton</t>
  </si>
  <si>
    <t>Coshocton, OH</t>
  </si>
  <si>
    <t>Crawford, OH</t>
  </si>
  <si>
    <t>Cuyahoga</t>
  </si>
  <si>
    <t>Cuyahoga, OH</t>
  </si>
  <si>
    <t>Darke</t>
  </si>
  <si>
    <t>Darke, OH</t>
  </si>
  <si>
    <t>Defiance</t>
  </si>
  <si>
    <t>Defiance, OH</t>
  </si>
  <si>
    <t>Delaware, OH</t>
  </si>
  <si>
    <t>Erie, OH</t>
  </si>
  <si>
    <t>Fairfield, OH</t>
  </si>
  <si>
    <t>Fayette, OH</t>
  </si>
  <si>
    <t>Franklin, OH</t>
  </si>
  <si>
    <t>Fulton, OH</t>
  </si>
  <si>
    <t>Gallia</t>
  </si>
  <si>
    <t>Gallia, OH</t>
  </si>
  <si>
    <t>Geauga</t>
  </si>
  <si>
    <t>Geauga, OH</t>
  </si>
  <si>
    <t>Greene, OH</t>
  </si>
  <si>
    <t>Guernsey</t>
  </si>
  <si>
    <t>Guernsey, OH</t>
  </si>
  <si>
    <t>Hamilton, OH</t>
  </si>
  <si>
    <t>Hancock, OH</t>
  </si>
  <si>
    <t>Hardin, OH</t>
  </si>
  <si>
    <t>Harrison, OH</t>
  </si>
  <si>
    <t>Henry, OH</t>
  </si>
  <si>
    <t>Highland</t>
  </si>
  <si>
    <t>Highland, OH</t>
  </si>
  <si>
    <t>Hocking</t>
  </si>
  <si>
    <t>Hocking, OH</t>
  </si>
  <si>
    <t>Holmes, OH</t>
  </si>
  <si>
    <t>Huron, OH</t>
  </si>
  <si>
    <t>Jackson, OH</t>
  </si>
  <si>
    <t>Jefferson, OH</t>
  </si>
  <si>
    <t>Knox, OH</t>
  </si>
  <si>
    <t>Lake, OH</t>
  </si>
  <si>
    <t>Lawrence, OH</t>
  </si>
  <si>
    <t>Licking</t>
  </si>
  <si>
    <t>Licking, OH</t>
  </si>
  <si>
    <t>Logan, OH</t>
  </si>
  <si>
    <t>Lorain</t>
  </si>
  <si>
    <t>Lorain, OH</t>
  </si>
  <si>
    <t>Lucas, OH</t>
  </si>
  <si>
    <t>Madison, OH</t>
  </si>
  <si>
    <t>Mahoning</t>
  </si>
  <si>
    <t>Mahoning, OH</t>
  </si>
  <si>
    <t>Marion, OH</t>
  </si>
  <si>
    <t>Medina</t>
  </si>
  <si>
    <t>Medina, OH</t>
  </si>
  <si>
    <t>Meigs</t>
  </si>
  <si>
    <t>Meigs, OH</t>
  </si>
  <si>
    <t>Mercer, OH</t>
  </si>
  <si>
    <t>Miami, OH</t>
  </si>
  <si>
    <t>Monroe, OH</t>
  </si>
  <si>
    <t>Montgomery, OH</t>
  </si>
  <si>
    <t>Morgan, OH</t>
  </si>
  <si>
    <t>Morrow</t>
  </si>
  <si>
    <t>Morrow, OH</t>
  </si>
  <si>
    <t>Muskingum</t>
  </si>
  <si>
    <t>Muskingum, OH</t>
  </si>
  <si>
    <t>Noble, OH</t>
  </si>
  <si>
    <t>Ottawa, OH</t>
  </si>
  <si>
    <t>Paulding, OH</t>
  </si>
  <si>
    <t>Perry, OH</t>
  </si>
  <si>
    <t>Pickaway</t>
  </si>
  <si>
    <t>Pickaway, OH</t>
  </si>
  <si>
    <t>Pike, OH</t>
  </si>
  <si>
    <t>Portage</t>
  </si>
  <si>
    <t>Portage, OH</t>
  </si>
  <si>
    <t>Preble</t>
  </si>
  <si>
    <t>Preble, OH</t>
  </si>
  <si>
    <t>Putnam, OH</t>
  </si>
  <si>
    <t>Richland, OH</t>
  </si>
  <si>
    <t>Ross</t>
  </si>
  <si>
    <t>Ross, OH</t>
  </si>
  <si>
    <t>Sandusky</t>
  </si>
  <si>
    <t>Sandusky, OH</t>
  </si>
  <si>
    <t>Scioto</t>
  </si>
  <si>
    <t>Scioto, OH</t>
  </si>
  <si>
    <t>Seneca, OH</t>
  </si>
  <si>
    <t>Shelby, OH</t>
  </si>
  <si>
    <t>Stark, OH</t>
  </si>
  <si>
    <t>Summit, OH</t>
  </si>
  <si>
    <t>Trumbull</t>
  </si>
  <si>
    <t>Trumbull, OH</t>
  </si>
  <si>
    <t>Tuscarawas</t>
  </si>
  <si>
    <t>Tuscarawas, OH</t>
  </si>
  <si>
    <t>Union, OH</t>
  </si>
  <si>
    <t>Van Wert</t>
  </si>
  <si>
    <t>Van Wert, OH</t>
  </si>
  <si>
    <t>Vinton</t>
  </si>
  <si>
    <t>Vinton, OH</t>
  </si>
  <si>
    <t>Warren, OH</t>
  </si>
  <si>
    <t>Washington, OH</t>
  </si>
  <si>
    <t>Wayne, OH</t>
  </si>
  <si>
    <t>Williams, OH</t>
  </si>
  <si>
    <t>Wood</t>
  </si>
  <si>
    <t>Wood, OH</t>
  </si>
  <si>
    <t>Wyandot</t>
  </si>
  <si>
    <t>Wyandot, OH</t>
  </si>
  <si>
    <t>Adair, OK</t>
  </si>
  <si>
    <t>OK</t>
  </si>
  <si>
    <t>Alfalfa</t>
  </si>
  <si>
    <t>Alfalfa, OK</t>
  </si>
  <si>
    <t>Atoka</t>
  </si>
  <si>
    <t>Atoka, OK</t>
  </si>
  <si>
    <t>Beaver</t>
  </si>
  <si>
    <t>Beaver, OK</t>
  </si>
  <si>
    <t>Beckham</t>
  </si>
  <si>
    <t>Beckham, OK</t>
  </si>
  <si>
    <t>Blaine, OK</t>
  </si>
  <si>
    <t>Bryan, OK</t>
  </si>
  <si>
    <t>Caddo, OK</t>
  </si>
  <si>
    <t>Canadian</t>
  </si>
  <si>
    <t>Canadian, OK</t>
  </si>
  <si>
    <t>Carter, OK</t>
  </si>
  <si>
    <t>Cherokee, OK</t>
  </si>
  <si>
    <t>Choctaw, OK</t>
  </si>
  <si>
    <t>Cimarron</t>
  </si>
  <si>
    <t>Cimarron, OK</t>
  </si>
  <si>
    <t>Cleveland, OK</t>
  </si>
  <si>
    <t>Coal</t>
  </si>
  <si>
    <t>Coal, OK</t>
  </si>
  <si>
    <t>Comanche, OK</t>
  </si>
  <si>
    <t>Cotton</t>
  </si>
  <si>
    <t>Cotton, OK</t>
  </si>
  <si>
    <t>Craig</t>
  </si>
  <si>
    <t>Craig, OK</t>
  </si>
  <si>
    <t>Creek</t>
  </si>
  <si>
    <t>Creek, OK</t>
  </si>
  <si>
    <t>Custer, OK</t>
  </si>
  <si>
    <t>Delaware, OK</t>
  </si>
  <si>
    <t>Dewey</t>
  </si>
  <si>
    <t>Dewey, OK</t>
  </si>
  <si>
    <t>Ellis, OK</t>
  </si>
  <si>
    <t>Garfield, OK</t>
  </si>
  <si>
    <t>Garvin</t>
  </si>
  <si>
    <t>Garvin, OK</t>
  </si>
  <si>
    <t>Grady, OK</t>
  </si>
  <si>
    <t>Grant, OK</t>
  </si>
  <si>
    <t>Greer</t>
  </si>
  <si>
    <t>Greer, OK</t>
  </si>
  <si>
    <t>Harmon</t>
  </si>
  <si>
    <t>Harmon, OK</t>
  </si>
  <si>
    <t>Harper, OK</t>
  </si>
  <si>
    <t>Haskell, OK</t>
  </si>
  <si>
    <t>Hughes</t>
  </si>
  <si>
    <t>Hughes, OK</t>
  </si>
  <si>
    <t>Jackson, OK</t>
  </si>
  <si>
    <t>Jefferson, OK</t>
  </si>
  <si>
    <t>Johnston, OK</t>
  </si>
  <si>
    <t>Kay</t>
  </si>
  <si>
    <t>Kay, OK</t>
  </si>
  <si>
    <t>Kingfisher</t>
  </si>
  <si>
    <t>Kingfisher, OK</t>
  </si>
  <si>
    <t>Kiowa, OK</t>
  </si>
  <si>
    <t>Latimer</t>
  </si>
  <si>
    <t>Latimer, OK</t>
  </si>
  <si>
    <t>Le Flore</t>
  </si>
  <si>
    <t>Le Flore, OK</t>
  </si>
  <si>
    <t>Lincoln, OK</t>
  </si>
  <si>
    <t>Logan, OK</t>
  </si>
  <si>
    <t>Love</t>
  </si>
  <si>
    <t>Love, OK</t>
  </si>
  <si>
    <t>McClain</t>
  </si>
  <si>
    <t>McClain, OK</t>
  </si>
  <si>
    <t>McCurtain</t>
  </si>
  <si>
    <t>McCurtain, OK</t>
  </si>
  <si>
    <t>McIntosh, OK</t>
  </si>
  <si>
    <t>Major</t>
  </si>
  <si>
    <t>Major, OK</t>
  </si>
  <si>
    <t>Marshall, OK</t>
  </si>
  <si>
    <t>Mayes</t>
  </si>
  <si>
    <t>Mayes, OK</t>
  </si>
  <si>
    <t>Murray, OK</t>
  </si>
  <si>
    <t>Muskogee</t>
  </si>
  <si>
    <t>Muskogee, OK</t>
  </si>
  <si>
    <t>Noble, OK</t>
  </si>
  <si>
    <t>Nowata</t>
  </si>
  <si>
    <t>Nowata, OK</t>
  </si>
  <si>
    <t>Okfuskee</t>
  </si>
  <si>
    <t>Okfuskee, OK</t>
  </si>
  <si>
    <t>Oklahoma</t>
  </si>
  <si>
    <t>Oklahoma, OK</t>
  </si>
  <si>
    <t>Okmulgee</t>
  </si>
  <si>
    <t>Okmulgee, OK</t>
  </si>
  <si>
    <t>Osage, OK</t>
  </si>
  <si>
    <t>Ottawa, OK</t>
  </si>
  <si>
    <t>Pawnee, OK</t>
  </si>
  <si>
    <t>Payne</t>
  </si>
  <si>
    <t>Payne, OK</t>
  </si>
  <si>
    <t>Pittsburg</t>
  </si>
  <si>
    <t>Pittsburg, OK</t>
  </si>
  <si>
    <t>Pontotoc, OK</t>
  </si>
  <si>
    <t>Pottawatomie, OK</t>
  </si>
  <si>
    <t>Pushmataha</t>
  </si>
  <si>
    <t>Pushmataha, OK</t>
  </si>
  <si>
    <t>Roger Mills</t>
  </si>
  <si>
    <t>Roger Mills, OK</t>
  </si>
  <si>
    <t>Rogers</t>
  </si>
  <si>
    <t>Rogers, OK</t>
  </si>
  <si>
    <t>Seminole, OK</t>
  </si>
  <si>
    <t>Sequoyah</t>
  </si>
  <si>
    <t>Sequoyah, OK</t>
  </si>
  <si>
    <t>Stephens, OK</t>
  </si>
  <si>
    <t>Texas, OK</t>
  </si>
  <si>
    <t>Tillman</t>
  </si>
  <si>
    <t>Tillman, OK</t>
  </si>
  <si>
    <t>Tulsa</t>
  </si>
  <si>
    <t>Tulsa, OK</t>
  </si>
  <si>
    <t>Wagoner</t>
  </si>
  <si>
    <t>Wagoner, OK</t>
  </si>
  <si>
    <t>Washington, OK</t>
  </si>
  <si>
    <t>Washita</t>
  </si>
  <si>
    <t>Washita, OK</t>
  </si>
  <si>
    <t>Woods</t>
  </si>
  <si>
    <t>Woods, OK</t>
  </si>
  <si>
    <t>Woodward</t>
  </si>
  <si>
    <t>Woodward, OK</t>
  </si>
  <si>
    <t>Baker, OR</t>
  </si>
  <si>
    <t>OR</t>
  </si>
  <si>
    <t>Benton, OR</t>
  </si>
  <si>
    <t>Clackamas</t>
  </si>
  <si>
    <t>Clackamas, OR</t>
  </si>
  <si>
    <t>Clatsop</t>
  </si>
  <si>
    <t>Clatsop, OR</t>
  </si>
  <si>
    <t>Columbia, OR</t>
  </si>
  <si>
    <t>Coos, OR</t>
  </si>
  <si>
    <t>Crook</t>
  </si>
  <si>
    <t>Crook, OR</t>
  </si>
  <si>
    <t>Curry, OR</t>
  </si>
  <si>
    <t>Deschutes</t>
  </si>
  <si>
    <t>Deschutes, OR</t>
  </si>
  <si>
    <t>Douglas, OR</t>
  </si>
  <si>
    <t>Gilliam</t>
  </si>
  <si>
    <t>Gilliam, OR</t>
  </si>
  <si>
    <t>Grant, OR</t>
  </si>
  <si>
    <t>Harney</t>
  </si>
  <si>
    <t>Harney, OR</t>
  </si>
  <si>
    <t>Hood River</t>
  </si>
  <si>
    <t>Hood River, OR</t>
  </si>
  <si>
    <t>Jackson, OR</t>
  </si>
  <si>
    <t>Jefferson, OR</t>
  </si>
  <si>
    <t>Josephine</t>
  </si>
  <si>
    <t>Josephine, OR</t>
  </si>
  <si>
    <t>Klamath</t>
  </si>
  <si>
    <t>Klamath, OR</t>
  </si>
  <si>
    <t>Lake, OR</t>
  </si>
  <si>
    <t>Lane, OR</t>
  </si>
  <si>
    <t>Lincoln, OR</t>
  </si>
  <si>
    <t>Linn, OR</t>
  </si>
  <si>
    <t>Malheur</t>
  </si>
  <si>
    <t>Malheur, OR</t>
  </si>
  <si>
    <t>Marion, OR</t>
  </si>
  <si>
    <t>Morrow, OR</t>
  </si>
  <si>
    <t>Multnomah</t>
  </si>
  <si>
    <t>Multnomah, OR</t>
  </si>
  <si>
    <t>Polk, OR</t>
  </si>
  <si>
    <t>Sherman, OR</t>
  </si>
  <si>
    <t>Tillamook</t>
  </si>
  <si>
    <t>Tillamook, OR</t>
  </si>
  <si>
    <t>Umatilla</t>
  </si>
  <si>
    <t>Umatilla, OR</t>
  </si>
  <si>
    <t>Union, OR</t>
  </si>
  <si>
    <t>Wallowa</t>
  </si>
  <si>
    <t>Wallowa, OR</t>
  </si>
  <si>
    <t>Wasco</t>
  </si>
  <si>
    <t>Wasco, OR</t>
  </si>
  <si>
    <t>Washington, OR</t>
  </si>
  <si>
    <t>Wheeler, OR</t>
  </si>
  <si>
    <t>Yamhill</t>
  </si>
  <si>
    <t>Yamhill, OR</t>
  </si>
  <si>
    <t>Adams, PA</t>
  </si>
  <si>
    <t>PA</t>
  </si>
  <si>
    <t>Allegheny</t>
  </si>
  <si>
    <t>Allegheny, PA</t>
  </si>
  <si>
    <t>Armstrong</t>
  </si>
  <si>
    <t>Armstrong, PA</t>
  </si>
  <si>
    <t>Beaver, PA</t>
  </si>
  <si>
    <t>Bedford</t>
  </si>
  <si>
    <t>Bedford, PA</t>
  </si>
  <si>
    <t>Berks</t>
  </si>
  <si>
    <t>Berks, PA</t>
  </si>
  <si>
    <t>Blair</t>
  </si>
  <si>
    <t>Blair, PA</t>
  </si>
  <si>
    <t>Bradford, PA</t>
  </si>
  <si>
    <t>Bucks</t>
  </si>
  <si>
    <t>Bucks, PA</t>
  </si>
  <si>
    <t>Butler, PA</t>
  </si>
  <si>
    <t>Cambria</t>
  </si>
  <si>
    <t>Cambria, PA</t>
  </si>
  <si>
    <t>Cameron, PA</t>
  </si>
  <si>
    <t>Carbon, PA</t>
  </si>
  <si>
    <t>Centre</t>
  </si>
  <si>
    <t>Centre, PA</t>
  </si>
  <si>
    <t>Chester</t>
  </si>
  <si>
    <t>Chester, PA</t>
  </si>
  <si>
    <t>Clarion</t>
  </si>
  <si>
    <t>Clarion, PA</t>
  </si>
  <si>
    <t>Clearfield</t>
  </si>
  <si>
    <t>Clearfield, PA</t>
  </si>
  <si>
    <t>Clinton, PA</t>
  </si>
  <si>
    <t>Columbia, PA</t>
  </si>
  <si>
    <t>Crawford, PA</t>
  </si>
  <si>
    <t>Cumberland, PA</t>
  </si>
  <si>
    <t>Dauphin</t>
  </si>
  <si>
    <t>Dauphin, PA</t>
  </si>
  <si>
    <t>Delaware, PA</t>
  </si>
  <si>
    <t>Elk, PA</t>
  </si>
  <si>
    <t>Erie, PA</t>
  </si>
  <si>
    <t>Fayette, PA</t>
  </si>
  <si>
    <t>Forest</t>
  </si>
  <si>
    <t>Forest, PA</t>
  </si>
  <si>
    <t>Franklin, PA</t>
  </si>
  <si>
    <t>Fulton, PA</t>
  </si>
  <si>
    <t>Greene, PA</t>
  </si>
  <si>
    <t>Huntingdon</t>
  </si>
  <si>
    <t>Huntingdon, PA</t>
  </si>
  <si>
    <t>Indiana</t>
  </si>
  <si>
    <t>Indiana, PA</t>
  </si>
  <si>
    <t>Jefferson, PA</t>
  </si>
  <si>
    <t>Juniata</t>
  </si>
  <si>
    <t>Juniata, PA</t>
  </si>
  <si>
    <t>Lackawanna</t>
  </si>
  <si>
    <t>Lackawanna, PA</t>
  </si>
  <si>
    <t>Lancaster, PA</t>
  </si>
  <si>
    <t>Lawrence, PA</t>
  </si>
  <si>
    <t>Lebanon</t>
  </si>
  <si>
    <t>Lebanon, PA</t>
  </si>
  <si>
    <t>Lehigh</t>
  </si>
  <si>
    <t>Lehigh, PA</t>
  </si>
  <si>
    <t>Luzerne</t>
  </si>
  <si>
    <t>Luzerne, PA</t>
  </si>
  <si>
    <t>Lycoming</t>
  </si>
  <si>
    <t>Lycoming, PA</t>
  </si>
  <si>
    <t>McKean</t>
  </si>
  <si>
    <t>McKean, PA</t>
  </si>
  <si>
    <t>Mercer, PA</t>
  </si>
  <si>
    <t>Mifflin</t>
  </si>
  <si>
    <t>Mifflin, PA</t>
  </si>
  <si>
    <t>Monroe, PA</t>
  </si>
  <si>
    <t>Montgomery, PA</t>
  </si>
  <si>
    <t>Montour</t>
  </si>
  <si>
    <t>Montour, PA</t>
  </si>
  <si>
    <t>Northampton, PA</t>
  </si>
  <si>
    <t>Northumberland</t>
  </si>
  <si>
    <t>Northumberland, PA</t>
  </si>
  <si>
    <t>Perry, PA</t>
  </si>
  <si>
    <t>Philadelphia</t>
  </si>
  <si>
    <t>Philadelphia, PA</t>
  </si>
  <si>
    <t>Pike, PA</t>
  </si>
  <si>
    <t>Potter</t>
  </si>
  <si>
    <t>Potter, PA</t>
  </si>
  <si>
    <t>Schuylkill</t>
  </si>
  <si>
    <t>Schuylkill, PA</t>
  </si>
  <si>
    <t>Snyder</t>
  </si>
  <si>
    <t>Snyder, PA</t>
  </si>
  <si>
    <t>Somerset, PA</t>
  </si>
  <si>
    <t>Sullivan, PA</t>
  </si>
  <si>
    <t>Susquehanna</t>
  </si>
  <si>
    <t>Susquehanna, PA</t>
  </si>
  <si>
    <t>Tioga, PA</t>
  </si>
  <si>
    <t>Union, PA</t>
  </si>
  <si>
    <t>Venango</t>
  </si>
  <si>
    <t>Venango, PA</t>
  </si>
  <si>
    <t>Warren, PA</t>
  </si>
  <si>
    <t>Washington, PA</t>
  </si>
  <si>
    <t>Wayne, PA</t>
  </si>
  <si>
    <t>Westmoreland</t>
  </si>
  <si>
    <t>Westmoreland, PA</t>
  </si>
  <si>
    <t>Wyoming, PA</t>
  </si>
  <si>
    <t>York, PA</t>
  </si>
  <si>
    <t>Bristol, RI</t>
  </si>
  <si>
    <t>RI</t>
  </si>
  <si>
    <t>Kent, RI</t>
  </si>
  <si>
    <t>Newport</t>
  </si>
  <si>
    <t>Newport, RI</t>
  </si>
  <si>
    <t>Providence</t>
  </si>
  <si>
    <t>Providence, RI</t>
  </si>
  <si>
    <t>Washington, RI</t>
  </si>
  <si>
    <t>Abbeville</t>
  </si>
  <si>
    <t>Abbeville, SC</t>
  </si>
  <si>
    <t>SC</t>
  </si>
  <si>
    <t>Aiken</t>
  </si>
  <si>
    <t>Aiken, SC</t>
  </si>
  <si>
    <t>Allendale</t>
  </si>
  <si>
    <t>Allendale, SC</t>
  </si>
  <si>
    <t>Anderson, SC</t>
  </si>
  <si>
    <t>Bamberg</t>
  </si>
  <si>
    <t>Bamberg, SC</t>
  </si>
  <si>
    <t>Barnwell</t>
  </si>
  <si>
    <t>Barnwell, SC</t>
  </si>
  <si>
    <t>Beaufort, SC</t>
  </si>
  <si>
    <t>Berkeley</t>
  </si>
  <si>
    <t>Berkeley, SC</t>
  </si>
  <si>
    <t>Calhoun, SC</t>
  </si>
  <si>
    <t>Charleston</t>
  </si>
  <si>
    <t>Charleston, SC</t>
  </si>
  <si>
    <t>Cherokee, SC</t>
  </si>
  <si>
    <t>Chester, SC</t>
  </si>
  <si>
    <t>Chesterfield</t>
  </si>
  <si>
    <t>Chesterfield, SC</t>
  </si>
  <si>
    <t>Clarendon</t>
  </si>
  <si>
    <t>Clarendon, SC</t>
  </si>
  <si>
    <t>Colleton</t>
  </si>
  <si>
    <t>Colleton, SC</t>
  </si>
  <si>
    <t>Darlington</t>
  </si>
  <si>
    <t>Darlington, SC</t>
  </si>
  <si>
    <t>Dillon</t>
  </si>
  <si>
    <t>Dillon, SC</t>
  </si>
  <si>
    <t>Dorchester, SC</t>
  </si>
  <si>
    <t>Edgefield</t>
  </si>
  <si>
    <t>Edgefield, SC</t>
  </si>
  <si>
    <t>Fairfield, SC</t>
  </si>
  <si>
    <t>Florence</t>
  </si>
  <si>
    <t>Florence, SC</t>
  </si>
  <si>
    <t>Georgetown</t>
  </si>
  <si>
    <t>Georgetown, SC</t>
  </si>
  <si>
    <t>Greenville</t>
  </si>
  <si>
    <t>Greenville, SC</t>
  </si>
  <si>
    <t>Greenwood, SC</t>
  </si>
  <si>
    <t>Hampton</t>
  </si>
  <si>
    <t>Hampton, SC</t>
  </si>
  <si>
    <t>Horry</t>
  </si>
  <si>
    <t>Horry, SC</t>
  </si>
  <si>
    <t>Jasper, SC</t>
  </si>
  <si>
    <t>Kershaw</t>
  </si>
  <si>
    <t>Kershaw, SC</t>
  </si>
  <si>
    <t>Lancaster, SC</t>
  </si>
  <si>
    <t>Laurens, SC</t>
  </si>
  <si>
    <t>Lee, SC</t>
  </si>
  <si>
    <t>Lexington</t>
  </si>
  <si>
    <t>Lexington, SC</t>
  </si>
  <si>
    <t>McCormick</t>
  </si>
  <si>
    <t>McCormick, SC</t>
  </si>
  <si>
    <t>Marion, SC</t>
  </si>
  <si>
    <t>Marlboro</t>
  </si>
  <si>
    <t>Marlboro, SC</t>
  </si>
  <si>
    <t>Newberry</t>
  </si>
  <si>
    <t>Newberry, SC</t>
  </si>
  <si>
    <t>Oconee, SC</t>
  </si>
  <si>
    <t>Orangeburg</t>
  </si>
  <si>
    <t>Orangeburg, SC</t>
  </si>
  <si>
    <t>Pickens, SC</t>
  </si>
  <si>
    <t>Richland, SC</t>
  </si>
  <si>
    <t>Saluda</t>
  </si>
  <si>
    <t>Saluda, SC</t>
  </si>
  <si>
    <t>Spartanburg</t>
  </si>
  <si>
    <t>Spartanburg, SC</t>
  </si>
  <si>
    <t>Sumter, SC</t>
  </si>
  <si>
    <t>Union, SC</t>
  </si>
  <si>
    <t>Williamsburg</t>
  </si>
  <si>
    <t>Williamsburg, SC</t>
  </si>
  <si>
    <t>York, SC</t>
  </si>
  <si>
    <t>Aurora</t>
  </si>
  <si>
    <t>Aurora, SD</t>
  </si>
  <si>
    <t>SD</t>
  </si>
  <si>
    <t>Beadle</t>
  </si>
  <si>
    <t>Beadle, SD</t>
  </si>
  <si>
    <t>Bennett</t>
  </si>
  <si>
    <t>Bennett, SD</t>
  </si>
  <si>
    <t>Bon Homme</t>
  </si>
  <si>
    <t>Bon Homme, SD</t>
  </si>
  <si>
    <t>Brookings</t>
  </si>
  <si>
    <t>Brookings, SD</t>
  </si>
  <si>
    <t>Brown, SD</t>
  </si>
  <si>
    <t>Brule</t>
  </si>
  <si>
    <t>Brule, SD</t>
  </si>
  <si>
    <t>Buffalo, SD</t>
  </si>
  <si>
    <t>Butte, SD</t>
  </si>
  <si>
    <t>Campbell, SD</t>
  </si>
  <si>
    <t>Charles Mix</t>
  </si>
  <si>
    <t>Charles Mix, SD</t>
  </si>
  <si>
    <t>Clark, SD</t>
  </si>
  <si>
    <t>Clay, SD</t>
  </si>
  <si>
    <t>Codington</t>
  </si>
  <si>
    <t>Codington, SD</t>
  </si>
  <si>
    <t>Corson</t>
  </si>
  <si>
    <t>Corson, SD</t>
  </si>
  <si>
    <t>Custer, SD</t>
  </si>
  <si>
    <t>Davison</t>
  </si>
  <si>
    <t>Davison, SD</t>
  </si>
  <si>
    <t>Day</t>
  </si>
  <si>
    <t>Day, SD</t>
  </si>
  <si>
    <t>Deuel, SD</t>
  </si>
  <si>
    <t>Dewey, SD</t>
  </si>
  <si>
    <t>Douglas, SD</t>
  </si>
  <si>
    <t>Edmunds</t>
  </si>
  <si>
    <t>Edmunds, SD</t>
  </si>
  <si>
    <t>Fall River</t>
  </si>
  <si>
    <t>Fall River, SD</t>
  </si>
  <si>
    <t>Faulk</t>
  </si>
  <si>
    <t>Faulk, SD</t>
  </si>
  <si>
    <t>Grant, SD</t>
  </si>
  <si>
    <t>Gregory</t>
  </si>
  <si>
    <t>Gregory, SD</t>
  </si>
  <si>
    <t>Haakon</t>
  </si>
  <si>
    <t>Haakon, SD</t>
  </si>
  <si>
    <t>Hamlin</t>
  </si>
  <si>
    <t>Hamlin, SD</t>
  </si>
  <si>
    <t>Hand</t>
  </si>
  <si>
    <t>Hand, SD</t>
  </si>
  <si>
    <t>Hanson</t>
  </si>
  <si>
    <t>Hanson, SD</t>
  </si>
  <si>
    <t>Harding, SD</t>
  </si>
  <si>
    <t>Hughes, SD</t>
  </si>
  <si>
    <t>Hutchinson</t>
  </si>
  <si>
    <t>Hutchinson, SD</t>
  </si>
  <si>
    <t>Hyde, SD</t>
  </si>
  <si>
    <t>Jackson, SD</t>
  </si>
  <si>
    <t>Jerauld</t>
  </si>
  <si>
    <t>Jerauld, SD</t>
  </si>
  <si>
    <t>Jones, SD</t>
  </si>
  <si>
    <t>Kingsbury</t>
  </si>
  <si>
    <t>Kingsbury, SD</t>
  </si>
  <si>
    <t>Lake, SD</t>
  </si>
  <si>
    <t>Lawrence, SD</t>
  </si>
  <si>
    <t>Lincoln, SD</t>
  </si>
  <si>
    <t>Lyman</t>
  </si>
  <si>
    <t>Lyman, SD</t>
  </si>
  <si>
    <t>McCook</t>
  </si>
  <si>
    <t>McCook, SD</t>
  </si>
  <si>
    <t>McPherson, SD</t>
  </si>
  <si>
    <t>Marshall, SD</t>
  </si>
  <si>
    <t>Meade, SD</t>
  </si>
  <si>
    <t>Mellette</t>
  </si>
  <si>
    <t>Mellette, SD</t>
  </si>
  <si>
    <t>Miner</t>
  </si>
  <si>
    <t>Miner, SD</t>
  </si>
  <si>
    <t>Minnehaha</t>
  </si>
  <si>
    <t>Minnehaha, SD</t>
  </si>
  <si>
    <t>Moody</t>
  </si>
  <si>
    <t>Moody, SD</t>
  </si>
  <si>
    <t>Oglala Lakota</t>
  </si>
  <si>
    <t>Oglala Lakota, SD</t>
  </si>
  <si>
    <t>Pennington, SD</t>
  </si>
  <si>
    <t>Perkins, SD</t>
  </si>
  <si>
    <t>Potter, SD</t>
  </si>
  <si>
    <t>Roberts</t>
  </si>
  <si>
    <t>Roberts, SD</t>
  </si>
  <si>
    <t>Sanborn</t>
  </si>
  <si>
    <t>Sanborn, SD</t>
  </si>
  <si>
    <t>Spink</t>
  </si>
  <si>
    <t>Spink, SD</t>
  </si>
  <si>
    <t>Stanley</t>
  </si>
  <si>
    <t>Stanley, SD</t>
  </si>
  <si>
    <t>Sully</t>
  </si>
  <si>
    <t>Sully, SD</t>
  </si>
  <si>
    <t>Todd, SD</t>
  </si>
  <si>
    <t>Tripp</t>
  </si>
  <si>
    <t>Tripp, SD</t>
  </si>
  <si>
    <t>Turner, SD</t>
  </si>
  <si>
    <t>Union, SD</t>
  </si>
  <si>
    <t>Walworth</t>
  </si>
  <si>
    <t>Walworth, SD</t>
  </si>
  <si>
    <t>Yankton</t>
  </si>
  <si>
    <t>Yankton, SD</t>
  </si>
  <si>
    <t>Ziebach</t>
  </si>
  <si>
    <t>Ziebach, SD</t>
  </si>
  <si>
    <t>Anderson, TN</t>
  </si>
  <si>
    <t>TN</t>
  </si>
  <si>
    <t>Bedford, TN</t>
  </si>
  <si>
    <t>Benton, TN</t>
  </si>
  <si>
    <t>Bledsoe</t>
  </si>
  <si>
    <t>Bledsoe, TN</t>
  </si>
  <si>
    <t>Blount, TN</t>
  </si>
  <si>
    <t>Bradley, TN</t>
  </si>
  <si>
    <t>Campbell, TN</t>
  </si>
  <si>
    <t>Cannon</t>
  </si>
  <si>
    <t>Cannon, TN</t>
  </si>
  <si>
    <t>Carroll, TN</t>
  </si>
  <si>
    <t>Carter, TN</t>
  </si>
  <si>
    <t>Cheatham</t>
  </si>
  <si>
    <t>Cheatham, TN</t>
  </si>
  <si>
    <t>Chester, TN</t>
  </si>
  <si>
    <t>Claiborne, TN</t>
  </si>
  <si>
    <t>Clay, TN</t>
  </si>
  <si>
    <t>Cocke</t>
  </si>
  <si>
    <t>Cocke, TN</t>
  </si>
  <si>
    <t>Coffee, TN</t>
  </si>
  <si>
    <t>Crockett</t>
  </si>
  <si>
    <t>Crockett, TN</t>
  </si>
  <si>
    <t>Cumberland, TN</t>
  </si>
  <si>
    <t>Davidson, TN</t>
  </si>
  <si>
    <t>Decatur, TN</t>
  </si>
  <si>
    <t>DeKalb, TN</t>
  </si>
  <si>
    <t>Dickson</t>
  </si>
  <si>
    <t>Dickson, TN</t>
  </si>
  <si>
    <t>Dyer</t>
  </si>
  <si>
    <t>Dyer, TN</t>
  </si>
  <si>
    <t>Fayette, TN</t>
  </si>
  <si>
    <t>Fentress</t>
  </si>
  <si>
    <t>Fentress, TN</t>
  </si>
  <si>
    <t>Franklin, TN</t>
  </si>
  <si>
    <t>Gibson, TN</t>
  </si>
  <si>
    <t>Giles</t>
  </si>
  <si>
    <t>Giles, TN</t>
  </si>
  <si>
    <t>Grainger</t>
  </si>
  <si>
    <t>Grainger, TN</t>
  </si>
  <si>
    <t>Greene, TN</t>
  </si>
  <si>
    <t>Grundy, TN</t>
  </si>
  <si>
    <t>Hamblen</t>
  </si>
  <si>
    <t>Hamblen, TN</t>
  </si>
  <si>
    <t>Hamilton, TN</t>
  </si>
  <si>
    <t>Hancock, TN</t>
  </si>
  <si>
    <t>Hardeman</t>
  </si>
  <si>
    <t>Hardeman, TN</t>
  </si>
  <si>
    <t>Hardin, TN</t>
  </si>
  <si>
    <t>Hawkins</t>
  </si>
  <si>
    <t>Hawkins, TN</t>
  </si>
  <si>
    <t>Haywood, TN</t>
  </si>
  <si>
    <t>Henderson, TN</t>
  </si>
  <si>
    <t>Henry, TN</t>
  </si>
  <si>
    <t>Hickman, TN</t>
  </si>
  <si>
    <t>Houston, TN</t>
  </si>
  <si>
    <t>Humphreys, TN</t>
  </si>
  <si>
    <t>Jackson, TN</t>
  </si>
  <si>
    <t>Jefferson, TN</t>
  </si>
  <si>
    <t>Johnson, TN</t>
  </si>
  <si>
    <t>Knox, TN</t>
  </si>
  <si>
    <t>Lake, TN</t>
  </si>
  <si>
    <t>Lauderdale, TN</t>
  </si>
  <si>
    <t>Lawrence, TN</t>
  </si>
  <si>
    <t>Lewis, TN</t>
  </si>
  <si>
    <t>Lincoln, TN</t>
  </si>
  <si>
    <t>Loudon</t>
  </si>
  <si>
    <t>Loudon, TN</t>
  </si>
  <si>
    <t>McMinn</t>
  </si>
  <si>
    <t>McMinn, TN</t>
  </si>
  <si>
    <t>McNairy</t>
  </si>
  <si>
    <t>McNairy, TN</t>
  </si>
  <si>
    <t>Macon, TN</t>
  </si>
  <si>
    <t>Madison, TN</t>
  </si>
  <si>
    <t>Marion, TN</t>
  </si>
  <si>
    <t>Marshall, TN</t>
  </si>
  <si>
    <t>Maury</t>
  </si>
  <si>
    <t>Maury, TN</t>
  </si>
  <si>
    <t>Meigs, TN</t>
  </si>
  <si>
    <t>Monroe, TN</t>
  </si>
  <si>
    <t>Montgomery, TN</t>
  </si>
  <si>
    <t>Moore, TN</t>
  </si>
  <si>
    <t>Morgan, TN</t>
  </si>
  <si>
    <t>Obion</t>
  </si>
  <si>
    <t>Obion, TN</t>
  </si>
  <si>
    <t>Overton</t>
  </si>
  <si>
    <t>Overton, TN</t>
  </si>
  <si>
    <t>Perry, TN</t>
  </si>
  <si>
    <t>Pickett</t>
  </si>
  <si>
    <t>Pickett, TN</t>
  </si>
  <si>
    <t>Polk, TN</t>
  </si>
  <si>
    <t>Putnam, TN</t>
  </si>
  <si>
    <t>Rhea</t>
  </si>
  <si>
    <t>Rhea, TN</t>
  </si>
  <si>
    <t>Roane</t>
  </si>
  <si>
    <t>Roane, TN</t>
  </si>
  <si>
    <t>Robertson, TN</t>
  </si>
  <si>
    <t>Rutherford, TN</t>
  </si>
  <si>
    <t>Scott, TN</t>
  </si>
  <si>
    <t>Sequatchie</t>
  </si>
  <si>
    <t>Sequatchie, TN</t>
  </si>
  <si>
    <t>Sevier, TN</t>
  </si>
  <si>
    <t>Shelby, TN</t>
  </si>
  <si>
    <t>Smith, TN</t>
  </si>
  <si>
    <t>Stewart, TN</t>
  </si>
  <si>
    <t>Sullivan, TN</t>
  </si>
  <si>
    <t>Sumner, TN</t>
  </si>
  <si>
    <t>Tipton, TN</t>
  </si>
  <si>
    <t>Trousdale</t>
  </si>
  <si>
    <t>Trousdale, TN</t>
  </si>
  <si>
    <t>Unicoi</t>
  </si>
  <si>
    <t>Unicoi, TN</t>
  </si>
  <si>
    <t>Union, TN</t>
  </si>
  <si>
    <t>Van Buren, TN</t>
  </si>
  <si>
    <t>Warren, TN</t>
  </si>
  <si>
    <t>Washington, TN</t>
  </si>
  <si>
    <t>Wayne, TN</t>
  </si>
  <si>
    <t>Weakley</t>
  </si>
  <si>
    <t>Weakley, TN</t>
  </si>
  <si>
    <t>White, TN</t>
  </si>
  <si>
    <t>Williamson, TN</t>
  </si>
  <si>
    <t>Wilson, TN</t>
  </si>
  <si>
    <t>Anderson, TX</t>
  </si>
  <si>
    <t>TX</t>
  </si>
  <si>
    <t>Andrews</t>
  </si>
  <si>
    <t>Andrews, TX</t>
  </si>
  <si>
    <t>Angelina</t>
  </si>
  <si>
    <t>Angelina, TX</t>
  </si>
  <si>
    <t>Aransas</t>
  </si>
  <si>
    <t>Aransas, TX</t>
  </si>
  <si>
    <t>Archer</t>
  </si>
  <si>
    <t>Archer, TX</t>
  </si>
  <si>
    <t>Armstrong, TX</t>
  </si>
  <si>
    <t>Atascosa</t>
  </si>
  <si>
    <t>Atascosa, TX</t>
  </si>
  <si>
    <t>Austin</t>
  </si>
  <si>
    <t>Austin, TX</t>
  </si>
  <si>
    <t>Bailey</t>
  </si>
  <si>
    <t>Bailey, TX</t>
  </si>
  <si>
    <t>Bandera</t>
  </si>
  <si>
    <t>Bandera, TX</t>
  </si>
  <si>
    <t>Bastrop</t>
  </si>
  <si>
    <t>Bastrop, TX</t>
  </si>
  <si>
    <t>Baylor</t>
  </si>
  <si>
    <t>Baylor, TX</t>
  </si>
  <si>
    <t>Bee</t>
  </si>
  <si>
    <t>Bee, TX</t>
  </si>
  <si>
    <t>Bell, TX</t>
  </si>
  <si>
    <t>Bexar</t>
  </si>
  <si>
    <t>Bexar, TX</t>
  </si>
  <si>
    <t>Blanco</t>
  </si>
  <si>
    <t>Blanco, TX</t>
  </si>
  <si>
    <t>Borden</t>
  </si>
  <si>
    <t>Borden, TX</t>
  </si>
  <si>
    <t>Bosque</t>
  </si>
  <si>
    <t>Bosque, TX</t>
  </si>
  <si>
    <t>Bowie</t>
  </si>
  <si>
    <t>Bowie, TX</t>
  </si>
  <si>
    <t>Brazoria</t>
  </si>
  <si>
    <t>Brazoria, TX</t>
  </si>
  <si>
    <t>Brazos</t>
  </si>
  <si>
    <t>Brazos, TX</t>
  </si>
  <si>
    <t>Brewster</t>
  </si>
  <si>
    <t>Brewster, TX</t>
  </si>
  <si>
    <t>Briscoe</t>
  </si>
  <si>
    <t>Briscoe, TX</t>
  </si>
  <si>
    <t>Brooks, TX</t>
  </si>
  <si>
    <t>Brown, TX</t>
  </si>
  <si>
    <t>Burleson</t>
  </si>
  <si>
    <t>Burleson, TX</t>
  </si>
  <si>
    <t>Burnet</t>
  </si>
  <si>
    <t>Burnet, TX</t>
  </si>
  <si>
    <t>Caldwell, TX</t>
  </si>
  <si>
    <t>Calhoun, TX</t>
  </si>
  <si>
    <t>Callahan</t>
  </si>
  <si>
    <t>Callahan, TX</t>
  </si>
  <si>
    <t>Cameron, TX</t>
  </si>
  <si>
    <t>Camp</t>
  </si>
  <si>
    <t>Camp, TX</t>
  </si>
  <si>
    <t>Carson</t>
  </si>
  <si>
    <t>Carson, TX</t>
  </si>
  <si>
    <t>Cass, TX</t>
  </si>
  <si>
    <t>Castro</t>
  </si>
  <si>
    <t>Castro, TX</t>
  </si>
  <si>
    <t>Chambers, TX</t>
  </si>
  <si>
    <t>Cherokee, TX</t>
  </si>
  <si>
    <t>Childress</t>
  </si>
  <si>
    <t>Childress, TX</t>
  </si>
  <si>
    <t>Clay, TX</t>
  </si>
  <si>
    <t>Cochran</t>
  </si>
  <si>
    <t>Cochran, TX</t>
  </si>
  <si>
    <t>Coke</t>
  </si>
  <si>
    <t>Coke, TX</t>
  </si>
  <si>
    <t>Coleman</t>
  </si>
  <si>
    <t>Coleman, TX</t>
  </si>
  <si>
    <t>Collin</t>
  </si>
  <si>
    <t>Collin, TX</t>
  </si>
  <si>
    <t>Collingsworth</t>
  </si>
  <si>
    <t>Collingsworth, TX</t>
  </si>
  <si>
    <t>Colorado</t>
  </si>
  <si>
    <t>Colorado, TX</t>
  </si>
  <si>
    <t>Comal</t>
  </si>
  <si>
    <t>Comal, TX</t>
  </si>
  <si>
    <t>Comanche, TX</t>
  </si>
  <si>
    <t>Concho</t>
  </si>
  <si>
    <t>Concho, TX</t>
  </si>
  <si>
    <t>Cooke</t>
  </si>
  <si>
    <t>Cooke, TX</t>
  </si>
  <si>
    <t>Coryell</t>
  </si>
  <si>
    <t>Coryell, TX</t>
  </si>
  <si>
    <t>Cottle</t>
  </si>
  <si>
    <t>Cottle, TX</t>
  </si>
  <si>
    <t>Crane</t>
  </si>
  <si>
    <t>Crane, TX</t>
  </si>
  <si>
    <t>Crockett, TX</t>
  </si>
  <si>
    <t>Crosby</t>
  </si>
  <si>
    <t>Crosby, TX</t>
  </si>
  <si>
    <t>Culberson</t>
  </si>
  <si>
    <t>Culberson, TX</t>
  </si>
  <si>
    <t>Dallam</t>
  </si>
  <si>
    <t>Dallam, TX</t>
  </si>
  <si>
    <t>Dallas, TX</t>
  </si>
  <si>
    <t>Dawson, TX</t>
  </si>
  <si>
    <t>Deaf Smith</t>
  </si>
  <si>
    <t>Deaf Smith, TX</t>
  </si>
  <si>
    <t>Delta, TX</t>
  </si>
  <si>
    <t>Denton</t>
  </si>
  <si>
    <t>Denton, TX</t>
  </si>
  <si>
    <t>DeWitt</t>
  </si>
  <si>
    <t>DeWitt, TX</t>
  </si>
  <si>
    <t>Dickens</t>
  </si>
  <si>
    <t>Dickens, TX</t>
  </si>
  <si>
    <t>Dimmit</t>
  </si>
  <si>
    <t>Dimmit, TX</t>
  </si>
  <si>
    <t>Donley</t>
  </si>
  <si>
    <t>Donley, TX</t>
  </si>
  <si>
    <t>Duval, TX</t>
  </si>
  <si>
    <t>Eastland</t>
  </si>
  <si>
    <t>Eastland, TX</t>
  </si>
  <si>
    <t>Ector</t>
  </si>
  <si>
    <t>Ector, TX</t>
  </si>
  <si>
    <t>Edwards, TX</t>
  </si>
  <si>
    <t>Ellis, TX</t>
  </si>
  <si>
    <t>El Paso, TX</t>
  </si>
  <si>
    <t>Erath</t>
  </si>
  <si>
    <t>Erath, TX</t>
  </si>
  <si>
    <t>Falls</t>
  </si>
  <si>
    <t>Falls, TX</t>
  </si>
  <si>
    <t>Fannin, TX</t>
  </si>
  <si>
    <t>Fayette, TX</t>
  </si>
  <si>
    <t>Fisher</t>
  </si>
  <si>
    <t>Fisher, TX</t>
  </si>
  <si>
    <t>Floyd, TX</t>
  </si>
  <si>
    <t>Foard</t>
  </si>
  <si>
    <t>Foard, TX</t>
  </si>
  <si>
    <t>Fort Bend</t>
  </si>
  <si>
    <t>Fort Bend, TX</t>
  </si>
  <si>
    <t>Franklin, TX</t>
  </si>
  <si>
    <t>Freestone</t>
  </si>
  <si>
    <t>Freestone, TX</t>
  </si>
  <si>
    <t>Frio</t>
  </si>
  <si>
    <t>Frio, TX</t>
  </si>
  <si>
    <t>Gaines</t>
  </si>
  <si>
    <t>Gaines, TX</t>
  </si>
  <si>
    <t>Galveston</t>
  </si>
  <si>
    <t>Galveston, TX</t>
  </si>
  <si>
    <t>Garza</t>
  </si>
  <si>
    <t>Garza, TX</t>
  </si>
  <si>
    <t>Gillespie</t>
  </si>
  <si>
    <t>Gillespie, TX</t>
  </si>
  <si>
    <t>Glasscock</t>
  </si>
  <si>
    <t>Glasscock, TX</t>
  </si>
  <si>
    <t>Goliad</t>
  </si>
  <si>
    <t>Goliad, TX</t>
  </si>
  <si>
    <t>Gonzales</t>
  </si>
  <si>
    <t>Gonzales, TX</t>
  </si>
  <si>
    <t>Gray, TX</t>
  </si>
  <si>
    <t>Grayson, TX</t>
  </si>
  <si>
    <t>Gregg</t>
  </si>
  <si>
    <t>Gregg, TX</t>
  </si>
  <si>
    <t>Grimes</t>
  </si>
  <si>
    <t>Grimes, TX</t>
  </si>
  <si>
    <t>Guadalupe, TX</t>
  </si>
  <si>
    <t>Hale, TX</t>
  </si>
  <si>
    <t>Hall, TX</t>
  </si>
  <si>
    <t>Hamilton, TX</t>
  </si>
  <si>
    <t>Hansford</t>
  </si>
  <si>
    <t>Hansford, TX</t>
  </si>
  <si>
    <t>Hardeman, TX</t>
  </si>
  <si>
    <t>Hardin, TX</t>
  </si>
  <si>
    <t>Harris, TX</t>
  </si>
  <si>
    <t>Harrison, TX</t>
  </si>
  <si>
    <t>Hartley</t>
  </si>
  <si>
    <t>Hartley, TX</t>
  </si>
  <si>
    <t>Haskell, TX</t>
  </si>
  <si>
    <t>Hays</t>
  </si>
  <si>
    <t>Hays, TX</t>
  </si>
  <si>
    <t>Hemphill</t>
  </si>
  <si>
    <t>Hemphill, TX</t>
  </si>
  <si>
    <t>Henderson, TX</t>
  </si>
  <si>
    <t>Hidalgo, TX</t>
  </si>
  <si>
    <t>Hill, TX</t>
  </si>
  <si>
    <t>Hockley</t>
  </si>
  <si>
    <t>Hockley, TX</t>
  </si>
  <si>
    <t>Hood</t>
  </si>
  <si>
    <t>Hood, TX</t>
  </si>
  <si>
    <t>Hopkins, TX</t>
  </si>
  <si>
    <t>Houston, TX</t>
  </si>
  <si>
    <t>Howard, TX</t>
  </si>
  <si>
    <t>Hudspeth</t>
  </si>
  <si>
    <t>Hudspeth, TX</t>
  </si>
  <si>
    <t>Hunt</t>
  </si>
  <si>
    <t>Hunt, TX</t>
  </si>
  <si>
    <t>Hutchinson, TX</t>
  </si>
  <si>
    <t>Irion</t>
  </si>
  <si>
    <t>Irion, TX</t>
  </si>
  <si>
    <t>Jack</t>
  </si>
  <si>
    <t>Jack, TX</t>
  </si>
  <si>
    <t>Jackson, TX</t>
  </si>
  <si>
    <t>Jasper, TX</t>
  </si>
  <si>
    <t>Jeff Davis, TX</t>
  </si>
  <si>
    <t>Jefferson, TX</t>
  </si>
  <si>
    <t>Jim Hogg</t>
  </si>
  <si>
    <t>Jim Hogg, TX</t>
  </si>
  <si>
    <t>Jim Wells</t>
  </si>
  <si>
    <t>Jim Wells, TX</t>
  </si>
  <si>
    <t>Johnson, TX</t>
  </si>
  <si>
    <t>Jones, TX</t>
  </si>
  <si>
    <t>Karnes</t>
  </si>
  <si>
    <t>Karnes, TX</t>
  </si>
  <si>
    <t>Kaufman</t>
  </si>
  <si>
    <t>Kaufman, TX</t>
  </si>
  <si>
    <t>Kendall, TX</t>
  </si>
  <si>
    <t>Kenedy</t>
  </si>
  <si>
    <t>Kenedy, TX</t>
  </si>
  <si>
    <t>Kent, TX</t>
  </si>
  <si>
    <t>Kerr</t>
  </si>
  <si>
    <t>Kerr, TX</t>
  </si>
  <si>
    <t>Kimble</t>
  </si>
  <si>
    <t>Kimble, TX</t>
  </si>
  <si>
    <t>King</t>
  </si>
  <si>
    <t>King, TX</t>
  </si>
  <si>
    <t>Kinney</t>
  </si>
  <si>
    <t>Kinney, TX</t>
  </si>
  <si>
    <t>Kleberg</t>
  </si>
  <si>
    <t>Kleberg, TX</t>
  </si>
  <si>
    <t>Knox, TX</t>
  </si>
  <si>
    <t>Lamar, TX</t>
  </si>
  <si>
    <t>Lamb</t>
  </si>
  <si>
    <t>Lamb, TX</t>
  </si>
  <si>
    <t>Lampasas</t>
  </si>
  <si>
    <t>Lampasas, TX</t>
  </si>
  <si>
    <t>La Salle, TX</t>
  </si>
  <si>
    <t>Lavaca</t>
  </si>
  <si>
    <t>Lavaca, TX</t>
  </si>
  <si>
    <t>Lee, TX</t>
  </si>
  <si>
    <t>Leon, TX</t>
  </si>
  <si>
    <t>Liberty, TX</t>
  </si>
  <si>
    <t>Limestone, TX</t>
  </si>
  <si>
    <t>Lipscomb</t>
  </si>
  <si>
    <t>Lipscomb, TX</t>
  </si>
  <si>
    <t>Live Oak</t>
  </si>
  <si>
    <t>Live Oak, TX</t>
  </si>
  <si>
    <t>Llano</t>
  </si>
  <si>
    <t>Llano, TX</t>
  </si>
  <si>
    <t>Loving</t>
  </si>
  <si>
    <t>Loving, TX</t>
  </si>
  <si>
    <t>Lubbock</t>
  </si>
  <si>
    <t>Lubbock, TX</t>
  </si>
  <si>
    <t>Lynn</t>
  </si>
  <si>
    <t>Lynn, TX</t>
  </si>
  <si>
    <t>McCulloch</t>
  </si>
  <si>
    <t>McCulloch, TX</t>
  </si>
  <si>
    <t>McLennan</t>
  </si>
  <si>
    <t>McLennan, TX</t>
  </si>
  <si>
    <t>McMullen</t>
  </si>
  <si>
    <t>McMullen, TX</t>
  </si>
  <si>
    <t>Madison, TX</t>
  </si>
  <si>
    <t>Marion, TX</t>
  </si>
  <si>
    <t>Martin, TX</t>
  </si>
  <si>
    <t>Mason, TX</t>
  </si>
  <si>
    <t>Matagorda</t>
  </si>
  <si>
    <t>Matagorda, TX</t>
  </si>
  <si>
    <t>Maverick</t>
  </si>
  <si>
    <t>Maverick, TX</t>
  </si>
  <si>
    <t>Medina, TX</t>
  </si>
  <si>
    <t>Menard, TX</t>
  </si>
  <si>
    <t>Midland, TX</t>
  </si>
  <si>
    <t>Milam</t>
  </si>
  <si>
    <t>Milam, TX</t>
  </si>
  <si>
    <t>Mills, TX</t>
  </si>
  <si>
    <t>Mitchell, TX</t>
  </si>
  <si>
    <t>Montague</t>
  </si>
  <si>
    <t>Montague, TX</t>
  </si>
  <si>
    <t>Montgomery, TX</t>
  </si>
  <si>
    <t>Moore, TX</t>
  </si>
  <si>
    <t>Morris, TX</t>
  </si>
  <si>
    <t>Motley</t>
  </si>
  <si>
    <t>Motley, TX</t>
  </si>
  <si>
    <t>Nacogdoches</t>
  </si>
  <si>
    <t>Nacogdoches, TX</t>
  </si>
  <si>
    <t>Navarro</t>
  </si>
  <si>
    <t>Navarro, TX</t>
  </si>
  <si>
    <t>Newton, TX</t>
  </si>
  <si>
    <t>Nolan</t>
  </si>
  <si>
    <t>Nolan, TX</t>
  </si>
  <si>
    <t>Nueces</t>
  </si>
  <si>
    <t>Nueces, TX</t>
  </si>
  <si>
    <t>Ochiltree</t>
  </si>
  <si>
    <t>Ochiltree, TX</t>
  </si>
  <si>
    <t>Oldham, TX</t>
  </si>
  <si>
    <t>Orange, TX</t>
  </si>
  <si>
    <t>Palo Pinto</t>
  </si>
  <si>
    <t>Palo Pinto, TX</t>
  </si>
  <si>
    <t>Panola, TX</t>
  </si>
  <si>
    <t>Parker</t>
  </si>
  <si>
    <t>Parker, TX</t>
  </si>
  <si>
    <t>Parmer</t>
  </si>
  <si>
    <t>Parmer, TX</t>
  </si>
  <si>
    <t>Pecos</t>
  </si>
  <si>
    <t>Pecos, TX</t>
  </si>
  <si>
    <t>Polk, TX</t>
  </si>
  <si>
    <t>Potter, TX</t>
  </si>
  <si>
    <t>Presidio</t>
  </si>
  <si>
    <t>Presidio, TX</t>
  </si>
  <si>
    <t>Rains</t>
  </si>
  <si>
    <t>Rains, TX</t>
  </si>
  <si>
    <t>Randall</t>
  </si>
  <si>
    <t>Randall, TX</t>
  </si>
  <si>
    <t>Reagan</t>
  </si>
  <si>
    <t>Reagan, TX</t>
  </si>
  <si>
    <t>Real</t>
  </si>
  <si>
    <t>Real, TX</t>
  </si>
  <si>
    <t>Red River, TX</t>
  </si>
  <si>
    <t>Reeves</t>
  </si>
  <si>
    <t>Reeves, TX</t>
  </si>
  <si>
    <t>Refugio</t>
  </si>
  <si>
    <t>Refugio, TX</t>
  </si>
  <si>
    <t>Roberts, TX</t>
  </si>
  <si>
    <t>Robertson, TX</t>
  </si>
  <si>
    <t>Rockwall</t>
  </si>
  <si>
    <t>Rockwall, TX</t>
  </si>
  <si>
    <t>Runnels</t>
  </si>
  <si>
    <t>Runnels, TX</t>
  </si>
  <si>
    <t>Rusk</t>
  </si>
  <si>
    <t>Rusk, TX</t>
  </si>
  <si>
    <t>Sabine, TX</t>
  </si>
  <si>
    <t>San Augustine</t>
  </si>
  <si>
    <t>San Augustine, TX</t>
  </si>
  <si>
    <t>San Jacinto</t>
  </si>
  <si>
    <t>San Jacinto, TX</t>
  </si>
  <si>
    <t>San Patricio</t>
  </si>
  <si>
    <t>San Patricio, TX</t>
  </si>
  <si>
    <t>San Saba</t>
  </si>
  <si>
    <t>San Saba, TX</t>
  </si>
  <si>
    <t>Schleicher</t>
  </si>
  <si>
    <t>Schleicher, TX</t>
  </si>
  <si>
    <t>Scurry</t>
  </si>
  <si>
    <t>Scurry, TX</t>
  </si>
  <si>
    <t>Shackelford</t>
  </si>
  <si>
    <t>Shackelford, TX</t>
  </si>
  <si>
    <t>Shelby, TX</t>
  </si>
  <si>
    <t>Sherman, TX</t>
  </si>
  <si>
    <t>Smith, TX</t>
  </si>
  <si>
    <t>Somervell</t>
  </si>
  <si>
    <t>Somervell, TX</t>
  </si>
  <si>
    <t>Starr</t>
  </si>
  <si>
    <t>Starr, TX</t>
  </si>
  <si>
    <t>Stephens, TX</t>
  </si>
  <si>
    <t>Sterling</t>
  </si>
  <si>
    <t>Sterling, TX</t>
  </si>
  <si>
    <t>Stonewall</t>
  </si>
  <si>
    <t>Stonewall, TX</t>
  </si>
  <si>
    <t>Sutton</t>
  </si>
  <si>
    <t>Sutton, TX</t>
  </si>
  <si>
    <t>Swisher</t>
  </si>
  <si>
    <t>Swisher, TX</t>
  </si>
  <si>
    <t>Tarrant</t>
  </si>
  <si>
    <t>Tarrant, TX</t>
  </si>
  <si>
    <t>Taylor, TX</t>
  </si>
  <si>
    <t>Terrell, TX</t>
  </si>
  <si>
    <t>Terry</t>
  </si>
  <si>
    <t>Terry, TX</t>
  </si>
  <si>
    <t>Throckmorton</t>
  </si>
  <si>
    <t>Throckmorton, TX</t>
  </si>
  <si>
    <t>Titus</t>
  </si>
  <si>
    <t>Titus, TX</t>
  </si>
  <si>
    <t>Tom Green</t>
  </si>
  <si>
    <t>Tom Green, TX</t>
  </si>
  <si>
    <t>Travis</t>
  </si>
  <si>
    <t>Travis, TX</t>
  </si>
  <si>
    <t>Trinity, TX</t>
  </si>
  <si>
    <t>Tyler</t>
  </si>
  <si>
    <t>Tyler, TX</t>
  </si>
  <si>
    <t>Upshur</t>
  </si>
  <si>
    <t>Upshur, TX</t>
  </si>
  <si>
    <t>Upton</t>
  </si>
  <si>
    <t>Upton, TX</t>
  </si>
  <si>
    <t>Uvalde</t>
  </si>
  <si>
    <t>Uvalde, TX</t>
  </si>
  <si>
    <t>Val Verde</t>
  </si>
  <si>
    <t>Val Verde, TX</t>
  </si>
  <si>
    <t>Van Zandt</t>
  </si>
  <si>
    <t>Van Zandt, TX</t>
  </si>
  <si>
    <t>Victoria</t>
  </si>
  <si>
    <t>Victoria, TX</t>
  </si>
  <si>
    <t>Walker, TX</t>
  </si>
  <si>
    <t>Waller</t>
  </si>
  <si>
    <t>Waller, TX</t>
  </si>
  <si>
    <t>Ward, TX</t>
  </si>
  <si>
    <t>Washington, TX</t>
  </si>
  <si>
    <t>Webb</t>
  </si>
  <si>
    <t>Webb, TX</t>
  </si>
  <si>
    <t>Wharton</t>
  </si>
  <si>
    <t>Wharton, TX</t>
  </si>
  <si>
    <t>Wheeler, TX</t>
  </si>
  <si>
    <t>Wichita, TX</t>
  </si>
  <si>
    <t>Wilbarger</t>
  </si>
  <si>
    <t>Wilbarger, TX</t>
  </si>
  <si>
    <t>Willacy</t>
  </si>
  <si>
    <t>Willacy, TX</t>
  </si>
  <si>
    <t>Williamson, TX</t>
  </si>
  <si>
    <t>Wilson, TX</t>
  </si>
  <si>
    <t>Winkler</t>
  </si>
  <si>
    <t>Winkler, TX</t>
  </si>
  <si>
    <t>Wise</t>
  </si>
  <si>
    <t>Wise, TX</t>
  </si>
  <si>
    <t>Wood, TX</t>
  </si>
  <si>
    <t>Yoakum</t>
  </si>
  <si>
    <t>Yoakum, TX</t>
  </si>
  <si>
    <t>Young</t>
  </si>
  <si>
    <t>Young, TX</t>
  </si>
  <si>
    <t>Zapata</t>
  </si>
  <si>
    <t>Zapata, TX</t>
  </si>
  <si>
    <t>Zavala</t>
  </si>
  <si>
    <t>Zavala, TX</t>
  </si>
  <si>
    <t>Beaver, UT</t>
  </si>
  <si>
    <t>UT</t>
  </si>
  <si>
    <t>Box Elder</t>
  </si>
  <si>
    <t>Box Elder, UT</t>
  </si>
  <si>
    <t>Cache</t>
  </si>
  <si>
    <t>Cache, UT</t>
  </si>
  <si>
    <t>Carbon, UT</t>
  </si>
  <si>
    <t>Daggett</t>
  </si>
  <si>
    <t>Daggett, UT</t>
  </si>
  <si>
    <t>Davis, UT</t>
  </si>
  <si>
    <t>Duchesne</t>
  </si>
  <si>
    <t>Duchesne, UT</t>
  </si>
  <si>
    <t>Emery</t>
  </si>
  <si>
    <t>Emery, UT</t>
  </si>
  <si>
    <t>Garfield, UT</t>
  </si>
  <si>
    <t>Grand, UT</t>
  </si>
  <si>
    <t>Iron, UT</t>
  </si>
  <si>
    <t>Juab</t>
  </si>
  <si>
    <t>Juab, UT</t>
  </si>
  <si>
    <t>Kane, UT</t>
  </si>
  <si>
    <t>Millard</t>
  </si>
  <si>
    <t>Millard, UT</t>
  </si>
  <si>
    <t>Morgan, UT</t>
  </si>
  <si>
    <t>Piute</t>
  </si>
  <si>
    <t>Piute, UT</t>
  </si>
  <si>
    <t>Rich</t>
  </si>
  <si>
    <t>Rich, UT</t>
  </si>
  <si>
    <t>Salt Lake</t>
  </si>
  <si>
    <t>Salt Lake, UT</t>
  </si>
  <si>
    <t>San Juan, UT</t>
  </si>
  <si>
    <t>Sanpete</t>
  </si>
  <si>
    <t>Sanpete, UT</t>
  </si>
  <si>
    <t>Sevier, UT</t>
  </si>
  <si>
    <t>Summit, UT</t>
  </si>
  <si>
    <t>Tooele</t>
  </si>
  <si>
    <t>Tooele, UT</t>
  </si>
  <si>
    <t>Uintah</t>
  </si>
  <si>
    <t>Uintah, UT</t>
  </si>
  <si>
    <t>Utah</t>
  </si>
  <si>
    <t>Utah, UT</t>
  </si>
  <si>
    <t>Wasatch</t>
  </si>
  <si>
    <t>Wasatch, UT</t>
  </si>
  <si>
    <t>Washington, UT</t>
  </si>
  <si>
    <t>Wayne, UT</t>
  </si>
  <si>
    <t>Weber</t>
  </si>
  <si>
    <t>Weber, UT</t>
  </si>
  <si>
    <t>Addison</t>
  </si>
  <si>
    <t>Addison, VT</t>
  </si>
  <si>
    <t>VT</t>
  </si>
  <si>
    <t>Bennington</t>
  </si>
  <si>
    <t>Bennington, VT</t>
  </si>
  <si>
    <t>Caledonia</t>
  </si>
  <si>
    <t>Caledonia, VT</t>
  </si>
  <si>
    <t>Chittenden</t>
  </si>
  <si>
    <t>Chittenden, VT</t>
  </si>
  <si>
    <t>Essex, VT</t>
  </si>
  <si>
    <t>Franklin, VT</t>
  </si>
  <si>
    <t>Grand Isle</t>
  </si>
  <si>
    <t>Grand Isle, VT</t>
  </si>
  <si>
    <t>Lamoille</t>
  </si>
  <si>
    <t>Lamoille, VT</t>
  </si>
  <si>
    <t>Orange, VT</t>
  </si>
  <si>
    <t>Orleans, VT</t>
  </si>
  <si>
    <t>Rutland</t>
  </si>
  <si>
    <t>Rutland, VT</t>
  </si>
  <si>
    <t>Washington, VT</t>
  </si>
  <si>
    <t>Windham, VT</t>
  </si>
  <si>
    <t>Windsor</t>
  </si>
  <si>
    <t>Windsor, VT</t>
  </si>
  <si>
    <t>Accomack</t>
  </si>
  <si>
    <t>Accomack, VA</t>
  </si>
  <si>
    <t>VA</t>
  </si>
  <si>
    <t>Albemarle</t>
  </si>
  <si>
    <t>Albemarle, VA</t>
  </si>
  <si>
    <t>Alleghany, VA</t>
  </si>
  <si>
    <t>Amelia</t>
  </si>
  <si>
    <t>Amelia, VA</t>
  </si>
  <si>
    <t>Amherst</t>
  </si>
  <si>
    <t>Amherst, VA</t>
  </si>
  <si>
    <t>Appomattox</t>
  </si>
  <si>
    <t>Appomattox, VA</t>
  </si>
  <si>
    <t>Arlington</t>
  </si>
  <si>
    <t>Arlington, VA</t>
  </si>
  <si>
    <t>Augusta</t>
  </si>
  <si>
    <t>Augusta, VA</t>
  </si>
  <si>
    <t>Bath, VA</t>
  </si>
  <si>
    <t>Bedford, VA</t>
  </si>
  <si>
    <t>Bland</t>
  </si>
  <si>
    <t>Bland, VA</t>
  </si>
  <si>
    <t>Botetourt</t>
  </si>
  <si>
    <t>Botetourt, VA</t>
  </si>
  <si>
    <t>Brunswick, VA</t>
  </si>
  <si>
    <t>Buchanan, VA</t>
  </si>
  <si>
    <t>Buckingham</t>
  </si>
  <si>
    <t>Buckingham, VA</t>
  </si>
  <si>
    <t>Campbell, VA</t>
  </si>
  <si>
    <t>Caroline, VA</t>
  </si>
  <si>
    <t>Carroll, VA</t>
  </si>
  <si>
    <t>Charles City</t>
  </si>
  <si>
    <t>Charles City, VA</t>
  </si>
  <si>
    <t>Charlotte, VA</t>
  </si>
  <si>
    <t>Chesterfield, VA</t>
  </si>
  <si>
    <t>Clarke, VA</t>
  </si>
  <si>
    <t>Craig, VA</t>
  </si>
  <si>
    <t>Culpeper</t>
  </si>
  <si>
    <t>Culpeper, VA</t>
  </si>
  <si>
    <t>Cumberland, VA</t>
  </si>
  <si>
    <t>Dickenson</t>
  </si>
  <si>
    <t>Dickenson, VA</t>
  </si>
  <si>
    <t>Dinwiddie</t>
  </si>
  <si>
    <t>Dinwiddie, VA</t>
  </si>
  <si>
    <t>Essex, VA</t>
  </si>
  <si>
    <t>Fairfax</t>
  </si>
  <si>
    <t>Fairfax, VA</t>
  </si>
  <si>
    <t>Fauquier</t>
  </si>
  <si>
    <t>Fauquier, VA</t>
  </si>
  <si>
    <t>Floyd, VA</t>
  </si>
  <si>
    <t>Fluvanna</t>
  </si>
  <si>
    <t>Fluvanna, VA</t>
  </si>
  <si>
    <t>Franklin, VA</t>
  </si>
  <si>
    <t>Frederick, VA</t>
  </si>
  <si>
    <t>Giles, VA</t>
  </si>
  <si>
    <t>Gloucester, VA</t>
  </si>
  <si>
    <t>Goochland</t>
  </si>
  <si>
    <t>Goochland, VA</t>
  </si>
  <si>
    <t>Grayson, VA</t>
  </si>
  <si>
    <t>Greene, VA</t>
  </si>
  <si>
    <t>Greensville</t>
  </si>
  <si>
    <t>Greensville, VA</t>
  </si>
  <si>
    <t>Halifax, VA</t>
  </si>
  <si>
    <t>Hanover</t>
  </si>
  <si>
    <t>Hanover, VA</t>
  </si>
  <si>
    <t>Henrico</t>
  </si>
  <si>
    <t>Henrico, VA</t>
  </si>
  <si>
    <t>Henry, VA</t>
  </si>
  <si>
    <t>Highland, VA</t>
  </si>
  <si>
    <t>Isle of Wight</t>
  </si>
  <si>
    <t>Isle of Wight, VA</t>
  </si>
  <si>
    <t>James City</t>
  </si>
  <si>
    <t>James City, VA</t>
  </si>
  <si>
    <t>King and Queen</t>
  </si>
  <si>
    <t>King and Queen, VA</t>
  </si>
  <si>
    <t>King George</t>
  </si>
  <si>
    <t>King George, VA</t>
  </si>
  <si>
    <t>King William</t>
  </si>
  <si>
    <t>King William, VA</t>
  </si>
  <si>
    <t>Lancaster, VA</t>
  </si>
  <si>
    <t>Lee, VA</t>
  </si>
  <si>
    <t>Loudoun</t>
  </si>
  <si>
    <t>Loudoun, VA</t>
  </si>
  <si>
    <t>Louisa, VA</t>
  </si>
  <si>
    <t>Lunenburg</t>
  </si>
  <si>
    <t>Lunenburg, VA</t>
  </si>
  <si>
    <t>Madison, VA</t>
  </si>
  <si>
    <t>Mathews</t>
  </si>
  <si>
    <t>Mathews, VA</t>
  </si>
  <si>
    <t>Mecklenburg, VA</t>
  </si>
  <si>
    <t>Middlesex, VA</t>
  </si>
  <si>
    <t>Montgomery, VA</t>
  </si>
  <si>
    <t>Nelson, VA</t>
  </si>
  <si>
    <t>New Kent</t>
  </si>
  <si>
    <t>New Kent, VA</t>
  </si>
  <si>
    <t>Northampton, VA</t>
  </si>
  <si>
    <t>Northumberland, VA</t>
  </si>
  <si>
    <t>Nottoway</t>
  </si>
  <si>
    <t>Nottoway, VA</t>
  </si>
  <si>
    <t>Orange, VA</t>
  </si>
  <si>
    <t>Page, VA</t>
  </si>
  <si>
    <t>Patrick</t>
  </si>
  <si>
    <t>Patrick, VA</t>
  </si>
  <si>
    <t>Pittsylvania</t>
  </si>
  <si>
    <t>Pittsylvania, VA</t>
  </si>
  <si>
    <t>Powhatan</t>
  </si>
  <si>
    <t>Powhatan, VA</t>
  </si>
  <si>
    <t>Prince Edward</t>
  </si>
  <si>
    <t>Prince Edward, VA</t>
  </si>
  <si>
    <t>Prince George</t>
  </si>
  <si>
    <t>Prince George, VA</t>
  </si>
  <si>
    <t>Prince William</t>
  </si>
  <si>
    <t>Prince William, VA</t>
  </si>
  <si>
    <t>Pulaski, VA</t>
  </si>
  <si>
    <t>Rappahannock</t>
  </si>
  <si>
    <t>Rappahannock, VA</t>
  </si>
  <si>
    <t>Richmond, VA</t>
  </si>
  <si>
    <t>Roanoke</t>
  </si>
  <si>
    <t>Roanoke, VA</t>
  </si>
  <si>
    <t>Rockbridge</t>
  </si>
  <si>
    <t>Rockbridge, VA</t>
  </si>
  <si>
    <t>Rockingham, VA</t>
  </si>
  <si>
    <t>Russell, VA</t>
  </si>
  <si>
    <t>Scott, VA</t>
  </si>
  <si>
    <t>Shenandoah</t>
  </si>
  <si>
    <t>Shenandoah, VA</t>
  </si>
  <si>
    <t>Smyth</t>
  </si>
  <si>
    <t>Smyth, VA</t>
  </si>
  <si>
    <t>Southampton</t>
  </si>
  <si>
    <t>Southampton, VA</t>
  </si>
  <si>
    <t>Spotsylvania</t>
  </si>
  <si>
    <t>Spotsylvania, VA</t>
  </si>
  <si>
    <t>Stafford, VA</t>
  </si>
  <si>
    <t>Surry, VA</t>
  </si>
  <si>
    <t>Sussex, VA</t>
  </si>
  <si>
    <t>Tazewell, VA</t>
  </si>
  <si>
    <t>Warren, VA</t>
  </si>
  <si>
    <t>Washington, VA</t>
  </si>
  <si>
    <t>Westmoreland, VA</t>
  </si>
  <si>
    <t>Wise, VA</t>
  </si>
  <si>
    <t>Wythe</t>
  </si>
  <si>
    <t>Wythe, VA</t>
  </si>
  <si>
    <t>York, VA</t>
  </si>
  <si>
    <t>Alexandria City</t>
  </si>
  <si>
    <t>Alexandria City, VA</t>
  </si>
  <si>
    <t>Bristol City</t>
  </si>
  <si>
    <t>Bristol City, VA</t>
  </si>
  <si>
    <t>Buena Vista City</t>
  </si>
  <si>
    <t>Buena Vista City, VA</t>
  </si>
  <si>
    <t>Charlottesville City</t>
  </si>
  <si>
    <t>Charlottesville City, VA</t>
  </si>
  <si>
    <t>Chesapeake City</t>
  </si>
  <si>
    <t>Chesapeake City, VA</t>
  </si>
  <si>
    <t>Colonial Heights City</t>
  </si>
  <si>
    <t>Colonial Heights City, VA</t>
  </si>
  <si>
    <t>Covington City</t>
  </si>
  <si>
    <t>Covington City, VA</t>
  </si>
  <si>
    <t>Danville City</t>
  </si>
  <si>
    <t>Danville City, VA</t>
  </si>
  <si>
    <t>Emporia City</t>
  </si>
  <si>
    <t>Emporia City, VA</t>
  </si>
  <si>
    <t>Fairfax City</t>
  </si>
  <si>
    <t>Fairfax City, VA</t>
  </si>
  <si>
    <t>Falls Church City</t>
  </si>
  <si>
    <t>Falls Church City, VA</t>
  </si>
  <si>
    <t>Franklin City</t>
  </si>
  <si>
    <t>Franklin City, VA</t>
  </si>
  <si>
    <t>Fredericksburg City</t>
  </si>
  <si>
    <t>Fredericksburg City, VA</t>
  </si>
  <si>
    <t>Galax City</t>
  </si>
  <si>
    <t>Galax City, VA</t>
  </si>
  <si>
    <t>Hampton City</t>
  </si>
  <si>
    <t>Hampton City, VA</t>
  </si>
  <si>
    <t>Harrisonburg City</t>
  </si>
  <si>
    <t>Harrisonburg City, VA</t>
  </si>
  <si>
    <t>Hopewell City</t>
  </si>
  <si>
    <t>Hopewell City, VA</t>
  </si>
  <si>
    <t>Lexington City</t>
  </si>
  <si>
    <t>Lexington City, VA</t>
  </si>
  <si>
    <t>Lynchburg City</t>
  </si>
  <si>
    <t>Lynchburg City, VA</t>
  </si>
  <si>
    <t>Manassas City</t>
  </si>
  <si>
    <t>Manassas City, VA</t>
  </si>
  <si>
    <t>Manassas Park City</t>
  </si>
  <si>
    <t>Manassas Park City, VA</t>
  </si>
  <si>
    <t>Martinsville City</t>
  </si>
  <si>
    <t>Martinsville City, VA</t>
  </si>
  <si>
    <t>Newport News City</t>
  </si>
  <si>
    <t>Newport News City, VA</t>
  </si>
  <si>
    <t>Norfolk City</t>
  </si>
  <si>
    <t>Norfolk City, VA</t>
  </si>
  <si>
    <t>Norton City</t>
  </si>
  <si>
    <t>Norton City, VA</t>
  </si>
  <si>
    <t>Petersburg City</t>
  </si>
  <si>
    <t>Petersburg City, VA</t>
  </si>
  <si>
    <t>Poquoson City</t>
  </si>
  <si>
    <t>Poquoson City, VA</t>
  </si>
  <si>
    <t>Portsmouth City</t>
  </si>
  <si>
    <t>Portsmouth City, VA</t>
  </si>
  <si>
    <t>Radford City</t>
  </si>
  <si>
    <t>Radford City, VA</t>
  </si>
  <si>
    <t>Richmond City</t>
  </si>
  <si>
    <t>Richmond City, VA</t>
  </si>
  <si>
    <t>Roanoke City</t>
  </si>
  <si>
    <t>Roanoke City, VA</t>
  </si>
  <si>
    <t>Salem City</t>
  </si>
  <si>
    <t>Salem City, VA</t>
  </si>
  <si>
    <t>Staunton City</t>
  </si>
  <si>
    <t>Staunton City, VA</t>
  </si>
  <si>
    <t>Suffolk City</t>
  </si>
  <si>
    <t>Suffolk City, VA</t>
  </si>
  <si>
    <t>Virginia Beach City</t>
  </si>
  <si>
    <t>Virginia Beach City, VA</t>
  </si>
  <si>
    <t>Waynesboro City</t>
  </si>
  <si>
    <t>Waynesboro City, VA</t>
  </si>
  <si>
    <t>Williamsburg City</t>
  </si>
  <si>
    <t>Williamsburg City, VA</t>
  </si>
  <si>
    <t>Winchester City</t>
  </si>
  <si>
    <t>Winchester City, VA</t>
  </si>
  <si>
    <t>Adams, WA</t>
  </si>
  <si>
    <t>WA</t>
  </si>
  <si>
    <t>Asotin</t>
  </si>
  <si>
    <t>Asotin, WA</t>
  </si>
  <si>
    <t>Benton, WA</t>
  </si>
  <si>
    <t>Chelan</t>
  </si>
  <si>
    <t>Chelan, WA</t>
  </si>
  <si>
    <t>Clallam</t>
  </si>
  <si>
    <t>Clallam, WA</t>
  </si>
  <si>
    <t>Clark, WA</t>
  </si>
  <si>
    <t>Columbia, WA</t>
  </si>
  <si>
    <t>Cowlitz</t>
  </si>
  <si>
    <t>Cowlitz, WA</t>
  </si>
  <si>
    <t>Douglas, WA</t>
  </si>
  <si>
    <t>Ferry</t>
  </si>
  <si>
    <t>Ferry, WA</t>
  </si>
  <si>
    <t>Franklin, WA</t>
  </si>
  <si>
    <t>Garfield, WA</t>
  </si>
  <si>
    <t>Grant, WA</t>
  </si>
  <si>
    <t>Grays Harbor</t>
  </si>
  <si>
    <t>Grays Harbor, WA</t>
  </si>
  <si>
    <t>Island</t>
  </si>
  <si>
    <t>Island, WA</t>
  </si>
  <si>
    <t>Jefferson, WA</t>
  </si>
  <si>
    <t>King, WA</t>
  </si>
  <si>
    <t>Kitsap</t>
  </si>
  <si>
    <t>Kitsap, WA</t>
  </si>
  <si>
    <t>Kittitas</t>
  </si>
  <si>
    <t>Kittitas, WA</t>
  </si>
  <si>
    <t>Klickitat</t>
  </si>
  <si>
    <t>Klickitat, WA</t>
  </si>
  <si>
    <t>Lewis, WA</t>
  </si>
  <si>
    <t>Lincoln, WA</t>
  </si>
  <si>
    <t>Mason, WA</t>
  </si>
  <si>
    <t>Okanogan</t>
  </si>
  <si>
    <t>Okanogan, WA</t>
  </si>
  <si>
    <t>Pacific</t>
  </si>
  <si>
    <t>Pacific, WA</t>
  </si>
  <si>
    <t>Pend Oreille</t>
  </si>
  <si>
    <t>Pend Oreille, WA</t>
  </si>
  <si>
    <t>Pierce, WA</t>
  </si>
  <si>
    <t>San Juan, WA</t>
  </si>
  <si>
    <t>Skagit</t>
  </si>
  <si>
    <t>Skagit, WA</t>
  </si>
  <si>
    <t>Skamania</t>
  </si>
  <si>
    <t>Skamania, WA</t>
  </si>
  <si>
    <t>Snohomish</t>
  </si>
  <si>
    <t>Snohomish, WA</t>
  </si>
  <si>
    <t>Spokane</t>
  </si>
  <si>
    <t>Spokane, WA</t>
  </si>
  <si>
    <t>Stevens, WA</t>
  </si>
  <si>
    <t>Thurston, WA</t>
  </si>
  <si>
    <t>Wahkiakum</t>
  </si>
  <si>
    <t>Wahkiakum, WA</t>
  </si>
  <si>
    <t>Walla Walla</t>
  </si>
  <si>
    <t>Walla Walla, WA</t>
  </si>
  <si>
    <t>Whatcom</t>
  </si>
  <si>
    <t>Whatcom, WA</t>
  </si>
  <si>
    <t>Whitman</t>
  </si>
  <si>
    <t>Whitman, WA</t>
  </si>
  <si>
    <t>Yakima</t>
  </si>
  <si>
    <t>Yakima, WA</t>
  </si>
  <si>
    <t>Barbour, WV</t>
  </si>
  <si>
    <t>WV</t>
  </si>
  <si>
    <t>Berkeley, WV</t>
  </si>
  <si>
    <t>Boone, WV</t>
  </si>
  <si>
    <t>Braxton</t>
  </si>
  <si>
    <t>Braxton, WV</t>
  </si>
  <si>
    <t>Brooke</t>
  </si>
  <si>
    <t>Brooke, WV</t>
  </si>
  <si>
    <t>Cabell</t>
  </si>
  <si>
    <t>Cabell, WV</t>
  </si>
  <si>
    <t>Calhoun, WV</t>
  </si>
  <si>
    <t>Clay, WV</t>
  </si>
  <si>
    <t>Doddridge</t>
  </si>
  <si>
    <t>Doddridge, WV</t>
  </si>
  <si>
    <t>Fayette, WV</t>
  </si>
  <si>
    <t>Gilmer, WV</t>
  </si>
  <si>
    <t>Grant, WV</t>
  </si>
  <si>
    <t>Greenbrier</t>
  </si>
  <si>
    <t>Greenbrier, WV</t>
  </si>
  <si>
    <t>Hampshire, WV</t>
  </si>
  <si>
    <t>Hancock, WV</t>
  </si>
  <si>
    <t>Hardy</t>
  </si>
  <si>
    <t>Hardy, WV</t>
  </si>
  <si>
    <t>Harrison, WV</t>
  </si>
  <si>
    <t>Jackson, WV</t>
  </si>
  <si>
    <t>Jefferson, WV</t>
  </si>
  <si>
    <t>Kanawha</t>
  </si>
  <si>
    <t>Kanawha, WV</t>
  </si>
  <si>
    <t>Lewis, WV</t>
  </si>
  <si>
    <t>Lincoln, WV</t>
  </si>
  <si>
    <t>Logan, WV</t>
  </si>
  <si>
    <t>McDowell, WV</t>
  </si>
  <si>
    <t>Marion, WV</t>
  </si>
  <si>
    <t>Marshall, WV</t>
  </si>
  <si>
    <t>Mason, WV</t>
  </si>
  <si>
    <t>Mercer, WV</t>
  </si>
  <si>
    <t>Mineral, WV</t>
  </si>
  <si>
    <t>Mingo</t>
  </si>
  <si>
    <t>Mingo, WV</t>
  </si>
  <si>
    <t>Monongalia</t>
  </si>
  <si>
    <t>Monongalia, WV</t>
  </si>
  <si>
    <t>Monroe, WV</t>
  </si>
  <si>
    <t>Morgan, WV</t>
  </si>
  <si>
    <t>Nicholas, WV</t>
  </si>
  <si>
    <t>Ohio, WV</t>
  </si>
  <si>
    <t>Pendleton, WV</t>
  </si>
  <si>
    <t>Pleasants</t>
  </si>
  <si>
    <t>Pleasants, WV</t>
  </si>
  <si>
    <t>Pocahontas, WV</t>
  </si>
  <si>
    <t>Preston</t>
  </si>
  <si>
    <t>Preston, WV</t>
  </si>
  <si>
    <t>Putnam, WV</t>
  </si>
  <si>
    <t>Raleigh</t>
  </si>
  <si>
    <t>Raleigh, WV</t>
  </si>
  <si>
    <t>Randolph, WV</t>
  </si>
  <si>
    <t>Ritchie</t>
  </si>
  <si>
    <t>Ritchie, WV</t>
  </si>
  <si>
    <t>Roane, WV</t>
  </si>
  <si>
    <t>Summers</t>
  </si>
  <si>
    <t>Summers, WV</t>
  </si>
  <si>
    <t>Taylor, WV</t>
  </si>
  <si>
    <t>Tucker</t>
  </si>
  <si>
    <t>Tucker, WV</t>
  </si>
  <si>
    <t>Tyler, WV</t>
  </si>
  <si>
    <t>Upshur, WV</t>
  </si>
  <si>
    <t>Wayne, WV</t>
  </si>
  <si>
    <t>Webster, WV</t>
  </si>
  <si>
    <t>Wetzel</t>
  </si>
  <si>
    <t>Wetzel, WV</t>
  </si>
  <si>
    <t>Wirt</t>
  </si>
  <si>
    <t>Wirt, WV</t>
  </si>
  <si>
    <t>Wood, WV</t>
  </si>
  <si>
    <t>Wyoming, WV</t>
  </si>
  <si>
    <t>Adams, WI</t>
  </si>
  <si>
    <t>WI</t>
  </si>
  <si>
    <t>Ashland, WI</t>
  </si>
  <si>
    <t>Barron</t>
  </si>
  <si>
    <t>Barron, WI</t>
  </si>
  <si>
    <t>Bayfield</t>
  </si>
  <si>
    <t>Bayfield, WI</t>
  </si>
  <si>
    <t>Brown, WI</t>
  </si>
  <si>
    <t>Buffalo, WI</t>
  </si>
  <si>
    <t>Burnett</t>
  </si>
  <si>
    <t>Burnett, WI</t>
  </si>
  <si>
    <t>Calumet</t>
  </si>
  <si>
    <t>Calumet, WI</t>
  </si>
  <si>
    <t>Chippewa, WI</t>
  </si>
  <si>
    <t>Clark, WI</t>
  </si>
  <si>
    <t>Columbia, WI</t>
  </si>
  <si>
    <t>Crawford, WI</t>
  </si>
  <si>
    <t>Dane</t>
  </si>
  <si>
    <t>Dane, WI</t>
  </si>
  <si>
    <t>Dodge, WI</t>
  </si>
  <si>
    <t>Door</t>
  </si>
  <si>
    <t>Door, WI</t>
  </si>
  <si>
    <t>Douglas, WI</t>
  </si>
  <si>
    <t>Dunn, WI</t>
  </si>
  <si>
    <t>Eau Claire</t>
  </si>
  <si>
    <t>Eau Claire, WI</t>
  </si>
  <si>
    <t>Florence, WI</t>
  </si>
  <si>
    <t>Fond du Lac</t>
  </si>
  <si>
    <t>Fond du Lac, WI</t>
  </si>
  <si>
    <t>Forest, WI</t>
  </si>
  <si>
    <t>Grant, WI</t>
  </si>
  <si>
    <t>Green, WI</t>
  </si>
  <si>
    <t>Green Lake</t>
  </si>
  <si>
    <t>Green Lake, WI</t>
  </si>
  <si>
    <t>Iowa, WI</t>
  </si>
  <si>
    <t>Iron, WI</t>
  </si>
  <si>
    <t>Jackson, WI</t>
  </si>
  <si>
    <t>Jefferson, WI</t>
  </si>
  <si>
    <t>Juneau, WI</t>
  </si>
  <si>
    <t>Kenosha</t>
  </si>
  <si>
    <t>Kenosha, WI</t>
  </si>
  <si>
    <t>Kewaunee</t>
  </si>
  <si>
    <t>Kewaunee, WI</t>
  </si>
  <si>
    <t>La Crosse</t>
  </si>
  <si>
    <t>La Crosse, WI</t>
  </si>
  <si>
    <t>Lafayette, WI</t>
  </si>
  <si>
    <t>Langlade</t>
  </si>
  <si>
    <t>Langlade, WI</t>
  </si>
  <si>
    <t>Lincoln, WI</t>
  </si>
  <si>
    <t>Manitowoc</t>
  </si>
  <si>
    <t>Manitowoc, WI</t>
  </si>
  <si>
    <t>Marathon</t>
  </si>
  <si>
    <t>Marathon, WI</t>
  </si>
  <si>
    <t>Marinette</t>
  </si>
  <si>
    <t>Marinette, WI</t>
  </si>
  <si>
    <t>Marquette, WI</t>
  </si>
  <si>
    <t>Menominee, WI</t>
  </si>
  <si>
    <t>Milwaukee</t>
  </si>
  <si>
    <t>Milwaukee, WI</t>
  </si>
  <si>
    <t>Monroe, WI</t>
  </si>
  <si>
    <t>Oconto</t>
  </si>
  <si>
    <t>Oconto, WI</t>
  </si>
  <si>
    <t>Oneida, WI</t>
  </si>
  <si>
    <t>Outagamie</t>
  </si>
  <si>
    <t>Outagamie, WI</t>
  </si>
  <si>
    <t>Ozaukee</t>
  </si>
  <si>
    <t>Ozaukee, WI</t>
  </si>
  <si>
    <t>Pepin</t>
  </si>
  <si>
    <t>Pepin, WI</t>
  </si>
  <si>
    <t>Pierce, WI</t>
  </si>
  <si>
    <t>Polk, WI</t>
  </si>
  <si>
    <t>Portage, WI</t>
  </si>
  <si>
    <t>Price</t>
  </si>
  <si>
    <t>Price, WI</t>
  </si>
  <si>
    <t>Racine</t>
  </si>
  <si>
    <t>Racine, WI</t>
  </si>
  <si>
    <t>Richland, WI</t>
  </si>
  <si>
    <t>Rock, WI</t>
  </si>
  <si>
    <t>Rusk, WI</t>
  </si>
  <si>
    <t>St. Croix</t>
  </si>
  <si>
    <t>St. Croix, WI</t>
  </si>
  <si>
    <t>Sauk</t>
  </si>
  <si>
    <t>Sauk, WI</t>
  </si>
  <si>
    <t>Sawyer</t>
  </si>
  <si>
    <t>Sawyer, WI</t>
  </si>
  <si>
    <t>Shawano</t>
  </si>
  <si>
    <t>Shawano, WI</t>
  </si>
  <si>
    <t>Sheboygan</t>
  </si>
  <si>
    <t>Sheboygan, WI</t>
  </si>
  <si>
    <t>Taylor, WI</t>
  </si>
  <si>
    <t>Trempealeau</t>
  </si>
  <si>
    <t>Trempealeau, WI</t>
  </si>
  <si>
    <t>Vernon, WI</t>
  </si>
  <si>
    <t>Vilas</t>
  </si>
  <si>
    <t>Vilas, WI</t>
  </si>
  <si>
    <t>Walworth, WI</t>
  </si>
  <si>
    <t>Washburn</t>
  </si>
  <si>
    <t>Washburn, WI</t>
  </si>
  <si>
    <t>Washington, WI</t>
  </si>
  <si>
    <t>Waukesha</t>
  </si>
  <si>
    <t>Waukesha, WI</t>
  </si>
  <si>
    <t>Waupaca</t>
  </si>
  <si>
    <t>Waupaca, WI</t>
  </si>
  <si>
    <t>Waushara</t>
  </si>
  <si>
    <t>Waushara, WI</t>
  </si>
  <si>
    <t>Winnebago, WI</t>
  </si>
  <si>
    <t>Wood, WI</t>
  </si>
  <si>
    <t>Albany, WY</t>
  </si>
  <si>
    <t>WY</t>
  </si>
  <si>
    <t>Big Horn, WY</t>
  </si>
  <si>
    <t>Campbell, WY</t>
  </si>
  <si>
    <t>Carbon, WY</t>
  </si>
  <si>
    <t>Converse</t>
  </si>
  <si>
    <t>Converse, WY</t>
  </si>
  <si>
    <t>Crook, WY</t>
  </si>
  <si>
    <t>Fremont, WY</t>
  </si>
  <si>
    <t>Goshen</t>
  </si>
  <si>
    <t>Goshen, WY</t>
  </si>
  <si>
    <t>Hot Springs</t>
  </si>
  <si>
    <t>Hot Springs, WY</t>
  </si>
  <si>
    <t>Johnson, WY</t>
  </si>
  <si>
    <t>Laramie</t>
  </si>
  <si>
    <t>Laramie, WY</t>
  </si>
  <si>
    <t>Lincoln, WY</t>
  </si>
  <si>
    <t>Natrona</t>
  </si>
  <si>
    <t>Natrona, WY</t>
  </si>
  <si>
    <t>Niobrara</t>
  </si>
  <si>
    <t>Niobrara, WY</t>
  </si>
  <si>
    <t>Park, WY</t>
  </si>
  <si>
    <t>Platte, WY</t>
  </si>
  <si>
    <t>Sheridan, WY</t>
  </si>
  <si>
    <t>Sublette</t>
  </si>
  <si>
    <t>Sublette, WY</t>
  </si>
  <si>
    <t>Sweetwater</t>
  </si>
  <si>
    <t>Sweetwater, WY</t>
  </si>
  <si>
    <t>Teton, WY</t>
  </si>
  <si>
    <t>Uinta</t>
  </si>
  <si>
    <t>Uinta, WY</t>
  </si>
  <si>
    <t>Washakie</t>
  </si>
  <si>
    <t>Washakie, WY</t>
  </si>
  <si>
    <t>Weston</t>
  </si>
  <si>
    <t>Weston, WY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</si>
</sst>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000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</v>
      </c>
    </row>
    <row r="2">
      <c r="A2" s="2">
        <v>1001.0</v>
      </c>
      <c r="B2" s="2" t="str">
        <f>IFERROR(__xludf.DUMMYFUNCTION("TO_TEXT(A2)"),"01001")</f>
        <v>01001</v>
      </c>
      <c r="C2" s="1">
        <v>55049.0</v>
      </c>
      <c r="D2" s="1">
        <v>594.446119909529</v>
      </c>
      <c r="E2" s="1" t="s">
        <v>59</v>
      </c>
      <c r="F2" s="1" t="s">
        <v>60</v>
      </c>
      <c r="G2" s="1">
        <v>92.6055333801792</v>
      </c>
      <c r="H2" s="1">
        <v>20.882987328</v>
      </c>
      <c r="I2" s="1">
        <v>4.6540313965</v>
      </c>
      <c r="J2" s="1">
        <v>8.6195286195</v>
      </c>
      <c r="K2" s="1">
        <v>18.08155718</v>
      </c>
      <c r="L2" s="1">
        <v>33.3</v>
      </c>
      <c r="M2" s="1">
        <v>7.2</v>
      </c>
      <c r="N2" s="1">
        <v>34.7</v>
      </c>
      <c r="O2" s="1">
        <v>69.130124059</v>
      </c>
      <c r="P2" s="1">
        <v>8.7216859511</v>
      </c>
      <c r="Q2" s="1">
        <v>45.0418</v>
      </c>
      <c r="R2" s="1">
        <v>90.0</v>
      </c>
      <c r="S2" s="1">
        <v>19.3</v>
      </c>
      <c r="T2" s="1">
        <v>13318.0</v>
      </c>
      <c r="U2" s="1">
        <v>26.242679081</v>
      </c>
      <c r="V2" s="1">
        <v>272.28222006</v>
      </c>
      <c r="W2" s="1">
        <v>14.663461538</v>
      </c>
      <c r="X2" s="1">
        <v>12.826718296</v>
      </c>
      <c r="Y2" s="1">
        <v>76.879477172</v>
      </c>
      <c r="Z2" s="1">
        <v>11.1</v>
      </c>
      <c r="AA2" s="1">
        <v>11.991125</v>
      </c>
      <c r="AB2" s="1">
        <v>59338.0</v>
      </c>
      <c r="AC2" s="1">
        <v>43.408673083</v>
      </c>
      <c r="AD2" s="1">
        <v>74.894624674</v>
      </c>
      <c r="AE2" s="1">
        <v>13.4034811679999</v>
      </c>
      <c r="AF2" s="1">
        <v>19.343177281</v>
      </c>
      <c r="AG2" s="1">
        <v>0.4802071905</v>
      </c>
      <c r="AH2" s="1">
        <v>1.2247981151</v>
      </c>
      <c r="AI2" s="1">
        <v>0.1115087858</v>
      </c>
      <c r="AJ2" s="1">
        <v>2.9657739969</v>
      </c>
      <c r="AK2" s="1">
        <v>74.308016043</v>
      </c>
      <c r="AL2" s="1">
        <v>0.8202245028</v>
      </c>
      <c r="AM2" s="1">
        <v>51.448714951</v>
      </c>
      <c r="AN2" s="1">
        <v>42.002162321</v>
      </c>
      <c r="AO2" s="1">
        <v>26168.0</v>
      </c>
      <c r="AP2" s="1">
        <v>12.3</v>
      </c>
      <c r="AQ2" s="1">
        <v>5.6</v>
      </c>
      <c r="AR2" s="1">
        <v>12.4</v>
      </c>
      <c r="AS2" s="1">
        <v>14.0</v>
      </c>
      <c r="AT2" s="1">
        <v>25.2</v>
      </c>
      <c r="AU2" s="1">
        <v>18.4</v>
      </c>
      <c r="AV2" s="1">
        <v>24.3</v>
      </c>
      <c r="AW2" s="1">
        <v>0.8</v>
      </c>
      <c r="AX2" s="1">
        <v>0.3773</v>
      </c>
      <c r="AY2" s="1">
        <v>12.1</v>
      </c>
      <c r="AZ2" s="1">
        <v>15.6</v>
      </c>
      <c r="BA2" s="1">
        <v>21.4</v>
      </c>
      <c r="BB2" s="1">
        <v>3.33</v>
      </c>
      <c r="BC2" s="1" t="s">
        <v>61</v>
      </c>
      <c r="BD2" s="1">
        <v>11.5</v>
      </c>
      <c r="BE2" s="1">
        <v>33.6</v>
      </c>
      <c r="BF2" s="1">
        <v>28.4</v>
      </c>
      <c r="BG2" s="1">
        <v>26.6</v>
      </c>
      <c r="BH2" s="1" t="s">
        <v>60</v>
      </c>
    </row>
    <row r="3">
      <c r="A3" s="2">
        <v>1003.0</v>
      </c>
      <c r="B3" s="2" t="str">
        <f>IFERROR(__xludf.DUMMYFUNCTION("TO_TEXT(A3)"),"01003")</f>
        <v>01003</v>
      </c>
      <c r="C3" s="1">
        <v>199510.0</v>
      </c>
      <c r="D3" s="1">
        <v>1589.80742490394</v>
      </c>
      <c r="E3" s="1" t="s">
        <v>62</v>
      </c>
      <c r="F3" s="1" t="s">
        <v>63</v>
      </c>
      <c r="G3" s="1">
        <v>125.493186705965</v>
      </c>
      <c r="H3" s="1">
        <v>17.50913436</v>
      </c>
      <c r="I3" s="1">
        <v>4.3040564688</v>
      </c>
      <c r="J3" s="1">
        <v>8.3450031827</v>
      </c>
      <c r="K3" s="1">
        <v>17.489032597</v>
      </c>
      <c r="L3" s="1">
        <v>31.0</v>
      </c>
      <c r="M3" s="1">
        <v>8.0</v>
      </c>
      <c r="N3" s="1">
        <v>26.5</v>
      </c>
      <c r="O3" s="1">
        <v>73.713548953</v>
      </c>
      <c r="P3" s="1">
        <v>11.333404467</v>
      </c>
      <c r="Q3" s="1">
        <v>72.8972699999999</v>
      </c>
      <c r="R3" s="1">
        <v>86.361576801</v>
      </c>
      <c r="S3" s="1">
        <v>13.9</v>
      </c>
      <c r="T3" s="1">
        <v>45415.0</v>
      </c>
      <c r="U3" s="1">
        <v>24.139601453</v>
      </c>
      <c r="V3" s="1">
        <v>203.66039629</v>
      </c>
      <c r="W3" s="1">
        <v>13.566200931</v>
      </c>
      <c r="X3" s="1">
        <v>12.277388019</v>
      </c>
      <c r="Y3" s="1">
        <v>78.450258368</v>
      </c>
      <c r="Z3" s="1">
        <v>10.7</v>
      </c>
      <c r="AA3" s="1">
        <v>5.424426597</v>
      </c>
      <c r="AB3" s="1">
        <v>57588.0</v>
      </c>
      <c r="AC3" s="1">
        <v>48.486564722</v>
      </c>
      <c r="AD3" s="1">
        <v>73.619343186</v>
      </c>
      <c r="AE3" s="1">
        <v>11.725807954</v>
      </c>
      <c r="AF3" s="1">
        <v>8.783975929</v>
      </c>
      <c r="AG3" s="1">
        <v>0.7723991157</v>
      </c>
      <c r="AH3" s="1">
        <v>1.150342626</v>
      </c>
      <c r="AI3" s="1">
        <v>0.0669657191</v>
      </c>
      <c r="AJ3" s="1">
        <v>4.6467787654</v>
      </c>
      <c r="AK3" s="1">
        <v>83.111337388</v>
      </c>
      <c r="AL3" s="1">
        <v>0.5435169824</v>
      </c>
      <c r="AM3" s="1">
        <v>51.538376861</v>
      </c>
      <c r="AN3" s="1">
        <v>42.279099114</v>
      </c>
      <c r="AO3" s="1">
        <v>28069.0</v>
      </c>
      <c r="AP3" s="1">
        <v>13.0</v>
      </c>
      <c r="AQ3" s="1">
        <v>6.3</v>
      </c>
      <c r="AR3" s="1">
        <v>10.0</v>
      </c>
      <c r="AS3" s="1">
        <v>18.7</v>
      </c>
      <c r="AT3" s="1">
        <v>22.2</v>
      </c>
      <c r="AU3" s="1">
        <v>13.9</v>
      </c>
      <c r="AV3" s="1">
        <v>16.8</v>
      </c>
      <c r="AW3" s="1">
        <v>0.8</v>
      </c>
      <c r="AX3" s="1">
        <v>0.2757</v>
      </c>
      <c r="AY3" s="1">
        <v>10.1</v>
      </c>
      <c r="AZ3" s="1">
        <v>12.9</v>
      </c>
      <c r="BA3" s="1">
        <v>16.9</v>
      </c>
      <c r="BB3" s="1">
        <v>3.58</v>
      </c>
      <c r="BC3" s="1" t="s">
        <v>61</v>
      </c>
      <c r="BD3" s="1">
        <v>9.2</v>
      </c>
      <c r="BE3" s="1">
        <v>27.7</v>
      </c>
      <c r="BF3" s="1">
        <v>31.3</v>
      </c>
      <c r="BG3" s="1">
        <v>31.9</v>
      </c>
      <c r="BH3" s="1" t="s">
        <v>63</v>
      </c>
    </row>
    <row r="4">
      <c r="A4" s="2">
        <v>1005.0</v>
      </c>
      <c r="B4" s="2" t="str">
        <f>IFERROR(__xludf.DUMMYFUNCTION("TO_TEXT(A4)"),"01005")</f>
        <v>01005</v>
      </c>
      <c r="C4" s="1">
        <v>26614.0</v>
      </c>
      <c r="D4" s="1">
        <v>884.87577598536</v>
      </c>
      <c r="E4" s="1" t="s">
        <v>64</v>
      </c>
      <c r="F4" s="1" t="s">
        <v>65</v>
      </c>
      <c r="G4" s="1">
        <v>30.0765381110855</v>
      </c>
      <c r="H4" s="1">
        <v>29.591801708</v>
      </c>
      <c r="I4" s="1">
        <v>5.1855944125</v>
      </c>
      <c r="J4" s="1">
        <v>11.4745586709999</v>
      </c>
      <c r="K4" s="1">
        <v>21.999984528</v>
      </c>
      <c r="L4" s="1">
        <v>41.7</v>
      </c>
      <c r="M4" s="1">
        <v>5.6</v>
      </c>
      <c r="N4" s="1">
        <v>23.5</v>
      </c>
      <c r="O4" s="1">
        <v>53.166769858</v>
      </c>
      <c r="P4" s="1">
        <v>12.242792457</v>
      </c>
      <c r="Q4" s="1">
        <v>31.65809</v>
      </c>
      <c r="R4" s="1">
        <v>81.41025641</v>
      </c>
      <c r="S4" s="1">
        <v>43.9</v>
      </c>
      <c r="T4" s="1">
        <v>5429.0</v>
      </c>
      <c r="U4" s="1">
        <v>56.603426045</v>
      </c>
      <c r="V4" s="1">
        <v>414.27786068</v>
      </c>
      <c r="W4" s="1">
        <v>14.5833333329999</v>
      </c>
      <c r="X4" s="1">
        <v>13.4459459459999</v>
      </c>
      <c r="Y4" s="1">
        <v>75.34193493</v>
      </c>
      <c r="Z4" s="1">
        <v>17.6</v>
      </c>
      <c r="AA4" s="1">
        <v>10.739666573</v>
      </c>
      <c r="AB4" s="1">
        <v>34382.0</v>
      </c>
      <c r="AC4" s="1">
        <v>63.292302039</v>
      </c>
      <c r="AD4" s="1">
        <v>61.3977792289999</v>
      </c>
      <c r="AE4" s="1">
        <v>14.059546314</v>
      </c>
      <c r="AF4" s="1">
        <v>48.032635344</v>
      </c>
      <c r="AG4" s="1">
        <v>0.6591374945</v>
      </c>
      <c r="AH4" s="1">
        <v>0.4541618102</v>
      </c>
      <c r="AI4" s="1">
        <v>0.1848800289</v>
      </c>
      <c r="AJ4" s="1">
        <v>4.276355452</v>
      </c>
      <c r="AK4" s="1">
        <v>45.641252361</v>
      </c>
      <c r="AL4" s="1">
        <v>1.6316825189</v>
      </c>
      <c r="AM4" s="1">
        <v>47.216751738</v>
      </c>
      <c r="AN4" s="1">
        <v>67.789634702</v>
      </c>
      <c r="AO4" s="1">
        <v>17249.0</v>
      </c>
      <c r="AP4" s="1">
        <v>26.4</v>
      </c>
      <c r="AQ4" s="1">
        <v>12.8</v>
      </c>
      <c r="AR4" s="1">
        <v>26.2</v>
      </c>
      <c r="AS4" s="1">
        <v>16.5</v>
      </c>
      <c r="AT4" s="1">
        <v>21.5</v>
      </c>
      <c r="AU4" s="1">
        <v>21.5</v>
      </c>
      <c r="AV4" s="1">
        <v>54.1</v>
      </c>
      <c r="AW4" s="1">
        <v>1.5</v>
      </c>
      <c r="AX4" s="1">
        <v>0.9847</v>
      </c>
      <c r="AY4" s="1">
        <v>27.1</v>
      </c>
      <c r="AZ4" s="1">
        <v>21.9</v>
      </c>
      <c r="BA4" s="1">
        <v>32.0</v>
      </c>
      <c r="BB4" s="1">
        <v>3.12</v>
      </c>
      <c r="BC4" s="1" t="s">
        <v>61</v>
      </c>
      <c r="BD4" s="1">
        <v>26.8</v>
      </c>
      <c r="BE4" s="1">
        <v>35.6</v>
      </c>
      <c r="BF4" s="1">
        <v>26.0</v>
      </c>
      <c r="BG4" s="1">
        <v>11.6</v>
      </c>
      <c r="BH4" s="1" t="s">
        <v>65</v>
      </c>
    </row>
    <row r="5">
      <c r="A5" s="2">
        <v>1007.0</v>
      </c>
      <c r="B5" s="2" t="str">
        <f>IFERROR(__xludf.DUMMYFUNCTION("TO_TEXT(A5)"),"01007")</f>
        <v>01007</v>
      </c>
      <c r="C5" s="1">
        <v>22572.0</v>
      </c>
      <c r="D5" s="1">
        <v>622.582354893018</v>
      </c>
      <c r="E5" s="1" t="s">
        <v>66</v>
      </c>
      <c r="F5" s="1" t="s">
        <v>67</v>
      </c>
      <c r="G5" s="1">
        <v>36.2554444767048</v>
      </c>
      <c r="H5" s="1">
        <v>19.439724157</v>
      </c>
      <c r="I5" s="1">
        <v>4.5516988486</v>
      </c>
      <c r="J5" s="1">
        <v>10.3087100329999</v>
      </c>
      <c r="K5" s="1">
        <v>19.114199885</v>
      </c>
      <c r="L5" s="1">
        <v>37.6</v>
      </c>
      <c r="M5" s="1">
        <v>7.8</v>
      </c>
      <c r="N5" s="1">
        <v>33.5</v>
      </c>
      <c r="O5" s="1">
        <v>16.251363736</v>
      </c>
      <c r="P5" s="1">
        <v>10.206252586</v>
      </c>
      <c r="Q5" s="1">
        <v>48.52656</v>
      </c>
      <c r="R5" s="1">
        <v>83.763837638</v>
      </c>
      <c r="S5" s="1">
        <v>27.8</v>
      </c>
      <c r="T5" s="1">
        <v>4608.0</v>
      </c>
      <c r="U5" s="1">
        <v>28.689236111</v>
      </c>
      <c r="V5" s="1">
        <v>89.349125982</v>
      </c>
      <c r="W5" s="1">
        <v>10.496453901</v>
      </c>
      <c r="X5" s="1">
        <v>9.9782766112</v>
      </c>
      <c r="Y5" s="1">
        <v>73.571820279</v>
      </c>
      <c r="Z5" s="1">
        <v>14.5</v>
      </c>
      <c r="AA5" s="1">
        <v>2.6016270077</v>
      </c>
      <c r="AB5" s="1">
        <v>46064.0</v>
      </c>
      <c r="AC5" s="1">
        <v>61.562115621</v>
      </c>
      <c r="AD5" s="1">
        <v>75.073099415</v>
      </c>
      <c r="AE5" s="1">
        <v>9.886874322</v>
      </c>
      <c r="AF5" s="1">
        <v>21.120535714</v>
      </c>
      <c r="AG5" s="1">
        <v>0.4375</v>
      </c>
      <c r="AH5" s="1">
        <v>0.2366071429</v>
      </c>
      <c r="AI5" s="1">
        <v>0.1160714286</v>
      </c>
      <c r="AJ5" s="1">
        <v>2.625</v>
      </c>
      <c r="AK5" s="1">
        <v>74.589285714</v>
      </c>
      <c r="AL5" s="1">
        <v>0.2682100508</v>
      </c>
      <c r="AM5" s="1">
        <v>46.78125</v>
      </c>
      <c r="AN5" s="1">
        <v>68.352607462</v>
      </c>
      <c r="AO5" s="1">
        <v>18988.0</v>
      </c>
      <c r="AP5" s="1">
        <v>16.5</v>
      </c>
      <c r="AQ5" s="1">
        <v>7.1</v>
      </c>
      <c r="AR5" s="1">
        <v>19.3</v>
      </c>
      <c r="AS5" s="1">
        <v>14.9</v>
      </c>
      <c r="AT5" s="1">
        <v>21.1</v>
      </c>
      <c r="AU5" s="1">
        <v>14.8</v>
      </c>
      <c r="AV5" s="1">
        <v>25.2</v>
      </c>
      <c r="AW5" s="1">
        <v>0.4</v>
      </c>
      <c r="AX5" s="1">
        <v>0.5737</v>
      </c>
      <c r="AY5" s="1">
        <v>20.3</v>
      </c>
      <c r="AZ5" s="1">
        <v>15.1</v>
      </c>
      <c r="BA5" s="1">
        <v>20.9</v>
      </c>
      <c r="BB5" s="1">
        <v>2.94</v>
      </c>
      <c r="BC5" s="1" t="s">
        <v>61</v>
      </c>
      <c r="BD5" s="1">
        <v>20.9</v>
      </c>
      <c r="BE5" s="1">
        <v>44.9</v>
      </c>
      <c r="BF5" s="1">
        <v>23.8</v>
      </c>
      <c r="BG5" s="1">
        <v>10.4</v>
      </c>
      <c r="BH5" s="1" t="s">
        <v>67</v>
      </c>
    </row>
    <row r="6">
      <c r="A6" s="2">
        <v>1009.0</v>
      </c>
      <c r="B6" s="2" t="str">
        <f>IFERROR(__xludf.DUMMYFUNCTION("TO_TEXT(A6)"),"01009")</f>
        <v>01009</v>
      </c>
      <c r="C6" s="1">
        <v>57704.0</v>
      </c>
      <c r="D6" s="1">
        <v>644.80650802125</v>
      </c>
      <c r="E6" s="1" t="s">
        <v>68</v>
      </c>
      <c r="F6" s="1" t="s">
        <v>69</v>
      </c>
      <c r="G6" s="1">
        <v>89.4904119021365</v>
      </c>
      <c r="H6" s="1">
        <v>21.745292814</v>
      </c>
      <c r="I6" s="1">
        <v>4.8914546677</v>
      </c>
      <c r="J6" s="1">
        <v>7.6045627376</v>
      </c>
      <c r="K6" s="1">
        <v>19.20867197</v>
      </c>
      <c r="L6" s="1">
        <v>33.8</v>
      </c>
      <c r="M6" s="1">
        <v>8.4</v>
      </c>
      <c r="N6" s="1">
        <v>30.3</v>
      </c>
      <c r="O6" s="1">
        <v>15.634485887</v>
      </c>
      <c r="P6" s="1">
        <v>13.360759494</v>
      </c>
      <c r="Q6" s="1">
        <v>22.40877</v>
      </c>
      <c r="R6" s="1">
        <v>93.468795356</v>
      </c>
      <c r="S6" s="1">
        <v>18.0</v>
      </c>
      <c r="T6" s="1">
        <v>13392.0</v>
      </c>
      <c r="U6" s="1">
        <v>28.561827957</v>
      </c>
      <c r="V6" s="1">
        <v>482.69061089</v>
      </c>
      <c r="W6" s="1">
        <v>10.548011639</v>
      </c>
      <c r="X6" s="1">
        <v>7.851445663</v>
      </c>
      <c r="Y6" s="1">
        <v>74.145825897</v>
      </c>
      <c r="Z6" s="1">
        <v>17.0</v>
      </c>
      <c r="AA6" s="1">
        <v>2.8801498232</v>
      </c>
      <c r="AB6" s="1">
        <v>50412.0</v>
      </c>
      <c r="AC6" s="1">
        <v>52.90628707</v>
      </c>
      <c r="AD6" s="1">
        <v>78.626213592</v>
      </c>
      <c r="AE6" s="1">
        <v>8.46225729419999</v>
      </c>
      <c r="AF6" s="1">
        <v>1.4626556017</v>
      </c>
      <c r="AG6" s="1">
        <v>0.653526971</v>
      </c>
      <c r="AH6" s="1">
        <v>0.3198478562</v>
      </c>
      <c r="AI6" s="1">
        <v>0.1210235131</v>
      </c>
      <c r="AJ6" s="1">
        <v>9.571230982</v>
      </c>
      <c r="AK6" s="1">
        <v>86.8862378979999</v>
      </c>
      <c r="AL6" s="1">
        <v>1.7245199409</v>
      </c>
      <c r="AM6" s="1">
        <v>50.7261410789999</v>
      </c>
      <c r="AN6" s="1">
        <v>89.951502041</v>
      </c>
      <c r="AO6" s="1">
        <v>21033.0</v>
      </c>
      <c r="AP6" s="1">
        <v>16.5</v>
      </c>
      <c r="AQ6" s="1">
        <v>6.0</v>
      </c>
      <c r="AR6" s="1">
        <v>20.0</v>
      </c>
      <c r="AS6" s="1">
        <v>17.2</v>
      </c>
      <c r="AT6" s="1">
        <v>23.6</v>
      </c>
      <c r="AU6" s="1">
        <v>14.9</v>
      </c>
      <c r="AV6" s="1">
        <v>12.3</v>
      </c>
      <c r="AW6" s="1">
        <v>1.9</v>
      </c>
      <c r="AX6" s="1">
        <v>0.4986</v>
      </c>
      <c r="AY6" s="1">
        <v>16.3</v>
      </c>
      <c r="AZ6" s="1">
        <v>13.6</v>
      </c>
      <c r="BA6" s="1">
        <v>19.1</v>
      </c>
      <c r="BB6" s="1">
        <v>3.14</v>
      </c>
      <c r="BC6" s="1" t="s">
        <v>61</v>
      </c>
      <c r="BD6" s="1">
        <v>19.5</v>
      </c>
      <c r="BE6" s="1">
        <v>33.4</v>
      </c>
      <c r="BF6" s="1">
        <v>34.0</v>
      </c>
      <c r="BG6" s="1">
        <v>13.1</v>
      </c>
      <c r="BH6" s="1" t="s">
        <v>69</v>
      </c>
    </row>
    <row r="7">
      <c r="A7" s="2">
        <v>1011.0</v>
      </c>
      <c r="B7" s="2" t="str">
        <f>IFERROR(__xludf.DUMMYFUNCTION("TO_TEXT(A7)"),"01011")</f>
        <v>01011</v>
      </c>
      <c r="C7" s="1">
        <v>10552.0</v>
      </c>
      <c r="D7" s="1">
        <v>622.805358527872</v>
      </c>
      <c r="E7" s="1" t="s">
        <v>70</v>
      </c>
      <c r="F7" s="1" t="s">
        <v>71</v>
      </c>
      <c r="G7" s="1">
        <v>16.9426930187977</v>
      </c>
      <c r="H7" s="1">
        <v>30.999101851</v>
      </c>
      <c r="I7" s="1">
        <v>4.8913510426</v>
      </c>
      <c r="J7" s="1">
        <v>15.688487585</v>
      </c>
      <c r="K7" s="1">
        <v>22.894664011</v>
      </c>
      <c r="L7" s="1">
        <v>37.2</v>
      </c>
      <c r="M7" s="1">
        <v>4.3</v>
      </c>
      <c r="N7" s="1">
        <v>24.6</v>
      </c>
      <c r="O7" s="1">
        <v>2.5013743815</v>
      </c>
      <c r="P7" s="1">
        <v>11.440376122</v>
      </c>
      <c r="Q7" s="1">
        <v>29.10079</v>
      </c>
      <c r="R7" s="1">
        <v>70.2479338839999</v>
      </c>
      <c r="S7" s="1">
        <v>68.3</v>
      </c>
      <c r="T7" s="1">
        <v>2142.0</v>
      </c>
      <c r="U7" s="1">
        <v>74.789915966</v>
      </c>
      <c r="V7" s="1">
        <v>311.0273327</v>
      </c>
      <c r="W7" s="1">
        <v>18.1434599159999</v>
      </c>
      <c r="X7" s="1">
        <v>15.210449927</v>
      </c>
      <c r="Y7" s="1">
        <v>73.530894789</v>
      </c>
      <c r="Z7" s="1">
        <v>23.7</v>
      </c>
      <c r="AA7" s="1">
        <v>19.743350741</v>
      </c>
      <c r="AB7" s="1">
        <v>29267.0</v>
      </c>
      <c r="AC7" s="1">
        <v>75.786593707</v>
      </c>
      <c r="AD7" s="1">
        <v>75.53338875</v>
      </c>
      <c r="AE7" s="1">
        <v>18.501529052</v>
      </c>
      <c r="AF7" s="1">
        <v>69.540343263</v>
      </c>
      <c r="AG7" s="1">
        <v>0.8384296705</v>
      </c>
      <c r="AH7" s="1">
        <v>0.1874136911</v>
      </c>
      <c r="AI7" s="1">
        <v>0.7496547643</v>
      </c>
      <c r="AJ7" s="1">
        <v>7.960149931</v>
      </c>
      <c r="AK7" s="1">
        <v>21.217202604</v>
      </c>
      <c r="AL7" s="1">
        <v>0.4407544075</v>
      </c>
      <c r="AM7" s="1">
        <v>45.482343658</v>
      </c>
      <c r="AN7" s="1">
        <v>51.374381528</v>
      </c>
      <c r="AO7" s="1">
        <v>17909.0</v>
      </c>
      <c r="AP7" s="1">
        <v>26.9</v>
      </c>
      <c r="AQ7" s="1">
        <v>13.3</v>
      </c>
      <c r="AR7" s="1">
        <v>33.4</v>
      </c>
      <c r="AS7" s="1">
        <v>15.1</v>
      </c>
      <c r="AT7" s="1">
        <v>21.6</v>
      </c>
      <c r="AU7" s="1">
        <v>17.6</v>
      </c>
      <c r="AV7" s="1">
        <v>78.3</v>
      </c>
      <c r="AW7" s="1">
        <v>1.0</v>
      </c>
      <c r="AX7" s="1">
        <v>0.9363</v>
      </c>
      <c r="AY7" s="1">
        <v>30.0</v>
      </c>
      <c r="AZ7" s="1">
        <v>20.5</v>
      </c>
      <c r="BA7" s="1">
        <v>32.4</v>
      </c>
      <c r="BB7" s="1">
        <v>3.32</v>
      </c>
      <c r="BC7" s="1" t="s">
        <v>61</v>
      </c>
      <c r="BD7" s="1">
        <v>25.3</v>
      </c>
      <c r="BE7" s="1">
        <v>40.3</v>
      </c>
      <c r="BF7" s="1">
        <v>22.3</v>
      </c>
      <c r="BG7" s="1">
        <v>12.1</v>
      </c>
      <c r="BH7" s="1" t="s">
        <v>71</v>
      </c>
    </row>
    <row r="8">
      <c r="A8" s="2">
        <v>1013.0</v>
      </c>
      <c r="B8" s="2" t="str">
        <f>IFERROR(__xludf.DUMMYFUNCTION("TO_TEXT(A8)"),"01013")</f>
        <v>01013</v>
      </c>
      <c r="C8" s="1">
        <v>20280.0</v>
      </c>
      <c r="D8" s="1">
        <v>776.828047127664</v>
      </c>
      <c r="E8" s="1" t="s">
        <v>72</v>
      </c>
      <c r="F8" s="1" t="s">
        <v>73</v>
      </c>
      <c r="G8" s="1">
        <v>26.1061634875127</v>
      </c>
      <c r="H8" s="1">
        <v>27.910673184</v>
      </c>
      <c r="I8" s="1">
        <v>5.340750195</v>
      </c>
      <c r="J8" s="1">
        <v>12.680288462</v>
      </c>
      <c r="K8" s="1">
        <v>21.765334963</v>
      </c>
      <c r="L8" s="1">
        <v>43.3</v>
      </c>
      <c r="M8" s="1">
        <v>6.6</v>
      </c>
      <c r="N8" s="1">
        <v>39.5</v>
      </c>
      <c r="O8" s="1">
        <v>48.57974889</v>
      </c>
      <c r="P8" s="1">
        <v>11.186009539</v>
      </c>
      <c r="Q8" s="1">
        <v>25.22068</v>
      </c>
      <c r="R8" s="1">
        <v>81.5899581589999</v>
      </c>
      <c r="S8" s="1">
        <v>36.3</v>
      </c>
      <c r="T8" s="1">
        <v>4534.0</v>
      </c>
      <c r="U8" s="1">
        <v>52.712836348</v>
      </c>
      <c r="V8" s="1">
        <v>581.58400519</v>
      </c>
      <c r="W8" s="1">
        <v>13.1596091209999</v>
      </c>
      <c r="X8" s="1">
        <v>11.692307692</v>
      </c>
      <c r="Y8" s="1">
        <v>72.918309203</v>
      </c>
      <c r="Z8" s="1">
        <v>19.2</v>
      </c>
      <c r="AA8" s="1">
        <v>2.9261219306</v>
      </c>
      <c r="AB8" s="1">
        <v>37365.0</v>
      </c>
      <c r="AC8" s="1">
        <v>79.15713819</v>
      </c>
      <c r="AD8" s="1">
        <v>69.9463327369999</v>
      </c>
      <c r="AE8" s="1">
        <v>11.545956479</v>
      </c>
      <c r="AF8" s="1">
        <v>44.5579268289999</v>
      </c>
      <c r="AG8" s="1">
        <v>0.3760162602</v>
      </c>
      <c r="AH8" s="1">
        <v>1.3160569106</v>
      </c>
      <c r="AI8" s="1">
        <v>0.0508130081</v>
      </c>
      <c r="AJ8" s="1">
        <v>1.5091463415</v>
      </c>
      <c r="AK8" s="1">
        <v>51.255081301</v>
      </c>
      <c r="AL8" s="1">
        <v>0.4941551541</v>
      </c>
      <c r="AM8" s="1">
        <v>53.4298780489999</v>
      </c>
      <c r="AN8" s="1">
        <v>71.23215735</v>
      </c>
      <c r="AO8" s="1">
        <v>19011.0</v>
      </c>
      <c r="AP8" s="1">
        <v>25.7</v>
      </c>
      <c r="AQ8" s="1">
        <v>9.8</v>
      </c>
      <c r="AR8" s="1">
        <v>18.9</v>
      </c>
      <c r="AS8" s="1">
        <v>18.1</v>
      </c>
      <c r="AT8" s="1">
        <v>23.3</v>
      </c>
      <c r="AU8" s="1">
        <v>19.4</v>
      </c>
      <c r="AV8" s="1">
        <v>47.2</v>
      </c>
      <c r="AW8" s="1">
        <v>0.9</v>
      </c>
      <c r="AX8" s="1">
        <v>0.9166</v>
      </c>
      <c r="AY8" s="1">
        <v>21.6</v>
      </c>
      <c r="AZ8" s="1">
        <v>19.1</v>
      </c>
      <c r="BA8" s="1">
        <v>27.0</v>
      </c>
      <c r="BB8" s="1">
        <v>2.97</v>
      </c>
      <c r="BC8" s="1" t="s">
        <v>61</v>
      </c>
      <c r="BD8" s="1">
        <v>15.0</v>
      </c>
      <c r="BE8" s="1">
        <v>45.2</v>
      </c>
      <c r="BF8" s="1">
        <v>23.7</v>
      </c>
      <c r="BG8" s="1">
        <v>16.1</v>
      </c>
      <c r="BH8" s="1" t="s">
        <v>73</v>
      </c>
    </row>
    <row r="9">
      <c r="A9" s="2">
        <v>1015.0</v>
      </c>
      <c r="B9" s="2" t="str">
        <f>IFERROR(__xludf.DUMMYFUNCTION("TO_TEXT(A9)"),"01015")</f>
        <v>01015</v>
      </c>
      <c r="C9" s="1">
        <v>115883.0</v>
      </c>
      <c r="D9" s="1">
        <v>605.888794766738</v>
      </c>
      <c r="E9" s="1" t="s">
        <v>74</v>
      </c>
      <c r="F9" s="1" t="s">
        <v>75</v>
      </c>
      <c r="G9" s="1">
        <v>191.261170368093</v>
      </c>
      <c r="H9" s="1">
        <v>23.107733221</v>
      </c>
      <c r="I9" s="1">
        <v>4.8160722877</v>
      </c>
      <c r="J9" s="1">
        <v>9.1613736678</v>
      </c>
      <c r="K9" s="1">
        <v>20.612560375</v>
      </c>
      <c r="L9" s="1">
        <v>38.5</v>
      </c>
      <c r="M9" s="1">
        <v>6.9</v>
      </c>
      <c r="N9" s="1">
        <v>31.7</v>
      </c>
      <c r="O9" s="1">
        <v>47.721215801</v>
      </c>
      <c r="P9" s="1">
        <v>11.929167524</v>
      </c>
      <c r="Q9" s="1">
        <v>63.62876</v>
      </c>
      <c r="R9" s="1">
        <v>92.368045649</v>
      </c>
      <c r="S9" s="1">
        <v>26.5</v>
      </c>
      <c r="T9" s="1">
        <v>24903.0</v>
      </c>
      <c r="U9" s="1">
        <v>40.191944746</v>
      </c>
      <c r="V9" s="1">
        <v>756.06654427</v>
      </c>
      <c r="W9" s="1">
        <v>13.734191258</v>
      </c>
      <c r="X9" s="1">
        <v>11.824932493</v>
      </c>
      <c r="Y9" s="1">
        <v>73.039108585</v>
      </c>
      <c r="Z9" s="1">
        <v>17.5</v>
      </c>
      <c r="AA9" s="1">
        <v>9.178566583</v>
      </c>
      <c r="AB9" s="1">
        <v>45400.0</v>
      </c>
      <c r="AC9" s="1">
        <v>58.837593215</v>
      </c>
      <c r="AD9" s="1">
        <v>69.473497213</v>
      </c>
      <c r="AE9" s="1">
        <v>11.722432218</v>
      </c>
      <c r="AF9" s="1">
        <v>20.850214829</v>
      </c>
      <c r="AG9" s="1">
        <v>0.5399161686</v>
      </c>
      <c r="AH9" s="1">
        <v>0.9643235297</v>
      </c>
      <c r="AI9" s="1">
        <v>0.1102584072</v>
      </c>
      <c r="AJ9" s="1">
        <v>3.9106731888</v>
      </c>
      <c r="AK9" s="1">
        <v>72.024991906</v>
      </c>
      <c r="AL9" s="1">
        <v>0.9913761333</v>
      </c>
      <c r="AM9" s="1">
        <v>51.946585927</v>
      </c>
      <c r="AN9" s="1">
        <v>33.696825557</v>
      </c>
      <c r="AO9" s="1">
        <v>22231.0</v>
      </c>
      <c r="AP9" s="1">
        <v>19.6</v>
      </c>
      <c r="AQ9" s="1">
        <v>11.7</v>
      </c>
      <c r="AR9" s="1">
        <v>17.7</v>
      </c>
      <c r="AS9" s="1">
        <v>15.9</v>
      </c>
      <c r="AT9" s="1">
        <v>22.1</v>
      </c>
      <c r="AU9" s="1">
        <v>20.4</v>
      </c>
      <c r="AV9" s="1">
        <v>27.0</v>
      </c>
      <c r="AW9" s="1">
        <v>0.7</v>
      </c>
      <c r="AX9" s="1">
        <v>0.816</v>
      </c>
      <c r="AY9" s="1">
        <v>17.2</v>
      </c>
      <c r="AZ9" s="1">
        <v>17.4</v>
      </c>
      <c r="BA9" s="1">
        <v>24.6</v>
      </c>
      <c r="BB9" s="1">
        <v>2.98</v>
      </c>
      <c r="BC9" s="1" t="s">
        <v>61</v>
      </c>
      <c r="BD9" s="1">
        <v>15.6</v>
      </c>
      <c r="BE9" s="1">
        <v>32.8</v>
      </c>
      <c r="BF9" s="1">
        <v>33.2</v>
      </c>
      <c r="BG9" s="1">
        <v>18.5</v>
      </c>
      <c r="BH9" s="1" t="s">
        <v>75</v>
      </c>
    </row>
    <row r="10">
      <c r="A10" s="2">
        <v>1017.0</v>
      </c>
      <c r="B10" s="2" t="str">
        <f>IFERROR(__xludf.DUMMYFUNCTION("TO_TEXT(A10)"),"01017")</f>
        <v>01017</v>
      </c>
      <c r="C10" s="1">
        <v>34018.0</v>
      </c>
      <c r="D10" s="1">
        <v>596.531111636342</v>
      </c>
      <c r="E10" s="1" t="s">
        <v>76</v>
      </c>
      <c r="F10" s="1" t="s">
        <v>77</v>
      </c>
      <c r="G10" s="1">
        <v>57.0263634811693</v>
      </c>
      <c r="H10" s="1">
        <v>23.995473603</v>
      </c>
      <c r="I10" s="1">
        <v>4.8735807661</v>
      </c>
      <c r="J10" s="1">
        <v>12.213740458</v>
      </c>
      <c r="K10" s="1">
        <v>19.392927053</v>
      </c>
      <c r="L10" s="1">
        <v>40.1</v>
      </c>
      <c r="M10" s="1">
        <v>6.4</v>
      </c>
      <c r="N10" s="1">
        <v>30.1</v>
      </c>
      <c r="O10" s="1">
        <v>61.8646792339999</v>
      </c>
      <c r="P10" s="1">
        <v>11.938076809</v>
      </c>
      <c r="Q10" s="1">
        <v>41.52701</v>
      </c>
      <c r="R10" s="1">
        <v>86.23853211</v>
      </c>
      <c r="S10" s="1">
        <v>30.7</v>
      </c>
      <c r="T10" s="1">
        <v>6953.0</v>
      </c>
      <c r="U10" s="1">
        <v>46.555443693</v>
      </c>
      <c r="V10" s="1">
        <v>528.99973623</v>
      </c>
      <c r="W10" s="1">
        <v>15.9566786999999</v>
      </c>
      <c r="X10" s="1">
        <v>12.377079482</v>
      </c>
      <c r="Y10" s="1">
        <v>74.291076031</v>
      </c>
      <c r="Z10" s="1">
        <v>19.9</v>
      </c>
      <c r="AA10" s="1">
        <v>10.328558281</v>
      </c>
      <c r="AB10" s="1">
        <v>39917.0</v>
      </c>
      <c r="AC10" s="1">
        <v>71.121351767</v>
      </c>
      <c r="AD10" s="1">
        <v>67.7641314</v>
      </c>
      <c r="AE10" s="1">
        <v>12.381027919</v>
      </c>
      <c r="AF10" s="1">
        <v>39.565670088</v>
      </c>
      <c r="AG10" s="1">
        <v>0.3064108285</v>
      </c>
      <c r="AH10" s="1">
        <v>1.326788636</v>
      </c>
      <c r="AI10" s="1">
        <v>0.0446229362</v>
      </c>
      <c r="AJ10" s="1">
        <v>2.5613565373</v>
      </c>
      <c r="AK10" s="1">
        <v>55.231295553</v>
      </c>
      <c r="AL10" s="1">
        <v>0.1129376333</v>
      </c>
      <c r="AM10" s="1">
        <v>52.125539194</v>
      </c>
      <c r="AN10" s="1">
        <v>49.148034488</v>
      </c>
      <c r="AO10" s="1">
        <v>21532.0</v>
      </c>
      <c r="AP10" s="1">
        <v>20.3</v>
      </c>
      <c r="AQ10" s="1">
        <v>7.5</v>
      </c>
      <c r="AR10" s="1">
        <v>19.7</v>
      </c>
      <c r="AS10" s="1">
        <v>18.4</v>
      </c>
      <c r="AT10" s="1">
        <v>21.4</v>
      </c>
      <c r="AU10" s="1">
        <v>17.7</v>
      </c>
      <c r="AV10" s="1">
        <v>43.3</v>
      </c>
      <c r="AW10" s="1">
        <v>0.4</v>
      </c>
      <c r="AX10" s="1">
        <v>0.8408</v>
      </c>
      <c r="AY10" s="1">
        <v>19.6</v>
      </c>
      <c r="AZ10" s="1">
        <v>16.4</v>
      </c>
      <c r="BA10" s="1">
        <v>22.2</v>
      </c>
      <c r="BB10" s="1">
        <v>2.92</v>
      </c>
      <c r="BC10" s="1" t="s">
        <v>61</v>
      </c>
      <c r="BD10" s="1">
        <v>18.4</v>
      </c>
      <c r="BE10" s="1">
        <v>36.7</v>
      </c>
      <c r="BF10" s="1">
        <v>31.6</v>
      </c>
      <c r="BG10" s="1">
        <v>13.3</v>
      </c>
      <c r="BH10" s="1" t="s">
        <v>77</v>
      </c>
    </row>
    <row r="11">
      <c r="A11" s="2">
        <v>1019.0</v>
      </c>
      <c r="B11" s="2" t="str">
        <f>IFERROR(__xludf.DUMMYFUNCTION("TO_TEXT(A11)"),"01019")</f>
        <v>01019</v>
      </c>
      <c r="C11" s="1">
        <v>25897.0</v>
      </c>
      <c r="D11" s="1">
        <v>553.719701025162</v>
      </c>
      <c r="E11" s="1" t="s">
        <v>78</v>
      </c>
      <c r="F11" s="1" t="s">
        <v>79</v>
      </c>
      <c r="G11" s="1">
        <v>46.7691504420991</v>
      </c>
      <c r="H11" s="1">
        <v>20.698470599</v>
      </c>
      <c r="I11" s="1">
        <v>4.7112704225</v>
      </c>
      <c r="J11" s="1">
        <v>8.2725060827</v>
      </c>
      <c r="K11" s="1">
        <v>17.498673785</v>
      </c>
      <c r="L11" s="1">
        <v>35.0</v>
      </c>
      <c r="M11" s="1">
        <v>8.3</v>
      </c>
      <c r="N11" s="1">
        <v>31.3</v>
      </c>
      <c r="O11" s="1">
        <v>33.429527877</v>
      </c>
      <c r="P11" s="1">
        <v>11.172649917</v>
      </c>
      <c r="Q11" s="1">
        <v>38.67425</v>
      </c>
      <c r="R11" s="1">
        <v>94.904458599</v>
      </c>
      <c r="S11" s="1">
        <v>24.7</v>
      </c>
      <c r="T11" s="1">
        <v>5261.0</v>
      </c>
      <c r="U11" s="1">
        <v>23.7787492869999</v>
      </c>
      <c r="V11" s="1">
        <v>330.43879198</v>
      </c>
      <c r="W11" s="1">
        <v>13.0</v>
      </c>
      <c r="X11" s="1">
        <v>11.152073733</v>
      </c>
      <c r="Y11" s="1">
        <v>73.998833761</v>
      </c>
      <c r="Z11" s="1">
        <v>15.2</v>
      </c>
      <c r="AA11" s="1">
        <v>0.2211124003</v>
      </c>
      <c r="AB11" s="1">
        <v>42132.0</v>
      </c>
      <c r="AC11" s="1">
        <v>61.606243706</v>
      </c>
      <c r="AD11" s="1">
        <v>78.955308316</v>
      </c>
      <c r="AE11" s="1">
        <v>9.945695897</v>
      </c>
      <c r="AF11" s="1">
        <v>4.2409342348</v>
      </c>
      <c r="AG11" s="1">
        <v>0.6607252612</v>
      </c>
      <c r="AH11" s="1">
        <v>0.3380454825</v>
      </c>
      <c r="AI11" s="1">
        <v>0.0307314075</v>
      </c>
      <c r="AJ11" s="1">
        <v>1.6210817455</v>
      </c>
      <c r="AK11" s="1">
        <v>91.6564228639999</v>
      </c>
      <c r="AL11" s="1">
        <v>0.4016390117</v>
      </c>
      <c r="AM11" s="1">
        <v>50.4609711119999</v>
      </c>
      <c r="AN11" s="1">
        <v>85.736273039</v>
      </c>
      <c r="AO11" s="1">
        <v>22544.0</v>
      </c>
      <c r="AP11" s="1">
        <v>16.4</v>
      </c>
      <c r="AQ11" s="1">
        <v>5.9</v>
      </c>
      <c r="AR11" s="1">
        <v>18.7</v>
      </c>
      <c r="AS11" s="1">
        <v>20.3</v>
      </c>
      <c r="AT11" s="1">
        <v>20.6</v>
      </c>
      <c r="AU11" s="1">
        <v>21.4</v>
      </c>
      <c r="AV11" s="1">
        <v>8.1</v>
      </c>
      <c r="AW11" s="1">
        <v>0.1</v>
      </c>
      <c r="AX11" s="1">
        <v>0.419</v>
      </c>
      <c r="AY11" s="1">
        <v>15.9</v>
      </c>
      <c r="AZ11" s="1">
        <v>15.6</v>
      </c>
      <c r="BA11" s="1">
        <v>21.1</v>
      </c>
      <c r="BB11" s="1">
        <v>3.25</v>
      </c>
      <c r="BC11" s="1" t="s">
        <v>61</v>
      </c>
      <c r="BD11" s="1">
        <v>18.4</v>
      </c>
      <c r="BE11" s="1">
        <v>40.3</v>
      </c>
      <c r="BF11" s="1">
        <v>28.6</v>
      </c>
      <c r="BG11" s="1">
        <v>12.8</v>
      </c>
      <c r="BH11" s="1" t="s">
        <v>79</v>
      </c>
    </row>
    <row r="12">
      <c r="A12" s="2">
        <v>1021.0</v>
      </c>
      <c r="B12" s="2" t="str">
        <f>IFERROR(__xludf.DUMMYFUNCTION("TO_TEXT(A12)"),"01021")</f>
        <v>01021</v>
      </c>
      <c r="C12" s="1">
        <v>43817.0</v>
      </c>
      <c r="D12" s="1">
        <v>692.853435111392</v>
      </c>
      <c r="E12" s="1" t="s">
        <v>80</v>
      </c>
      <c r="F12" s="1" t="s">
        <v>81</v>
      </c>
      <c r="G12" s="1">
        <v>63.2413693567896</v>
      </c>
      <c r="H12" s="1">
        <v>21.185462911</v>
      </c>
      <c r="I12" s="1">
        <v>4.8532441372</v>
      </c>
      <c r="J12" s="1">
        <v>8.6979166667</v>
      </c>
      <c r="K12" s="1">
        <v>20.188979064</v>
      </c>
      <c r="L12" s="1">
        <v>37.7</v>
      </c>
      <c r="M12" s="1">
        <v>8.1</v>
      </c>
      <c r="N12" s="1">
        <v>33.2</v>
      </c>
      <c r="O12" s="1">
        <v>46.293792819</v>
      </c>
      <c r="P12" s="1">
        <v>13.759705874</v>
      </c>
      <c r="Q12" s="1">
        <v>20.42345</v>
      </c>
      <c r="R12" s="1">
        <v>88.205980066</v>
      </c>
      <c r="S12" s="1">
        <v>23.3</v>
      </c>
      <c r="T12" s="1">
        <v>10526.0</v>
      </c>
      <c r="U12" s="1">
        <v>34.885046551</v>
      </c>
      <c r="V12" s="1">
        <v>507.81072095</v>
      </c>
      <c r="W12" s="1">
        <v>13.29723225</v>
      </c>
      <c r="X12" s="1">
        <v>10.660606061</v>
      </c>
      <c r="Y12" s="1">
        <v>74.926750554</v>
      </c>
      <c r="Z12" s="1">
        <v>18.6</v>
      </c>
      <c r="AA12" s="1">
        <v>1.4605309614</v>
      </c>
      <c r="AB12" s="1">
        <v>47547.0</v>
      </c>
      <c r="AC12" s="1">
        <v>60.7700312169999</v>
      </c>
      <c r="AD12" s="1">
        <v>74.849262731</v>
      </c>
      <c r="AE12" s="1">
        <v>12.159502191</v>
      </c>
      <c r="AF12" s="1">
        <v>9.9676126198</v>
      </c>
      <c r="AG12" s="1">
        <v>0.5662129414</v>
      </c>
      <c r="AH12" s="1">
        <v>0.4869431296</v>
      </c>
      <c r="AI12" s="1">
        <v>0.1743935859</v>
      </c>
      <c r="AJ12" s="1">
        <v>7.92698117909999</v>
      </c>
      <c r="AK12" s="1">
        <v>80.139514869</v>
      </c>
      <c r="AL12" s="1">
        <v>1.8876175206</v>
      </c>
      <c r="AM12" s="1">
        <v>50.925191946</v>
      </c>
      <c r="AN12" s="1">
        <v>86.74472424</v>
      </c>
      <c r="AO12" s="1">
        <v>22045.0</v>
      </c>
      <c r="AP12" s="1">
        <v>20.3</v>
      </c>
      <c r="AQ12" s="1">
        <v>7.9</v>
      </c>
      <c r="AR12" s="1">
        <v>19.9</v>
      </c>
      <c r="AS12" s="1">
        <v>15.2</v>
      </c>
      <c r="AT12" s="1">
        <v>24.2</v>
      </c>
      <c r="AU12" s="1">
        <v>16.9</v>
      </c>
      <c r="AV12" s="1">
        <v>19.4</v>
      </c>
      <c r="AW12" s="1">
        <v>2.4</v>
      </c>
      <c r="AX12" s="1">
        <v>0.744</v>
      </c>
      <c r="AY12" s="1">
        <v>16.0</v>
      </c>
      <c r="AZ12" s="1">
        <v>15.8</v>
      </c>
      <c r="BA12" s="1">
        <v>21.0</v>
      </c>
      <c r="BB12" s="1">
        <v>3.15</v>
      </c>
      <c r="BC12" s="1" t="s">
        <v>61</v>
      </c>
      <c r="BD12" s="1">
        <v>18.2</v>
      </c>
      <c r="BE12" s="1">
        <v>44.4</v>
      </c>
      <c r="BF12" s="1">
        <v>24.6</v>
      </c>
      <c r="BG12" s="1">
        <v>12.7</v>
      </c>
      <c r="BH12" s="1" t="s">
        <v>81</v>
      </c>
    </row>
    <row r="13">
      <c r="A13" s="2">
        <v>1023.0</v>
      </c>
      <c r="B13" s="2" t="str">
        <f>IFERROR(__xludf.DUMMYFUNCTION("TO_TEXT(A13)"),"01023")</f>
        <v>01023</v>
      </c>
      <c r="C13" s="1">
        <v>13287.0</v>
      </c>
      <c r="D13" s="1">
        <v>913.499979417814</v>
      </c>
      <c r="E13" s="1" t="s">
        <v>82</v>
      </c>
      <c r="F13" s="1" t="s">
        <v>83</v>
      </c>
      <c r="G13" s="1">
        <v>14.5451563211505</v>
      </c>
      <c r="H13" s="1">
        <v>24.863531285</v>
      </c>
      <c r="I13" s="1">
        <v>4.98788247649999</v>
      </c>
      <c r="J13" s="1">
        <v>11.018711019</v>
      </c>
      <c r="K13" s="1">
        <v>18.79324829</v>
      </c>
      <c r="L13" s="1">
        <v>41.3</v>
      </c>
      <c r="M13" s="1">
        <v>6.4</v>
      </c>
      <c r="N13" s="1">
        <v>36.2</v>
      </c>
      <c r="O13" s="1">
        <v>28.934266542</v>
      </c>
      <c r="P13" s="1">
        <v>11.3420787079999</v>
      </c>
      <c r="Q13" s="1">
        <v>38.62495</v>
      </c>
      <c r="R13" s="1">
        <v>78.632478632</v>
      </c>
      <c r="S13" s="1">
        <v>32.1</v>
      </c>
      <c r="T13" s="1">
        <v>2632.0</v>
      </c>
      <c r="U13" s="1">
        <v>48.06231003</v>
      </c>
      <c r="V13" s="1">
        <v>128.41466262</v>
      </c>
      <c r="W13" s="1">
        <v>11.061151079</v>
      </c>
      <c r="X13" s="1">
        <v>8.83977900549999</v>
      </c>
      <c r="Y13" s="1">
        <v>74.053901547</v>
      </c>
      <c r="Z13" s="1">
        <v>17.4</v>
      </c>
      <c r="AA13" s="1">
        <v>7.2904190524</v>
      </c>
      <c r="AB13" s="1">
        <v>39907.0</v>
      </c>
      <c r="AC13" s="1">
        <v>76.97320782</v>
      </c>
      <c r="AD13" s="1">
        <v>79.682242991</v>
      </c>
      <c r="AE13" s="1">
        <v>9.3895761509</v>
      </c>
      <c r="AF13" s="1">
        <v>41.515458298</v>
      </c>
      <c r="AG13" s="1">
        <v>0.1869013317</v>
      </c>
      <c r="AH13" s="1">
        <v>0.1791137762</v>
      </c>
      <c r="AI13" s="1">
        <v>0.0</v>
      </c>
      <c r="AJ13" s="1">
        <v>1.0435324352</v>
      </c>
      <c r="AK13" s="1">
        <v>56.3896892769999</v>
      </c>
      <c r="AL13" s="1">
        <v>0.4111576911</v>
      </c>
      <c r="AM13" s="1">
        <v>52.729538198</v>
      </c>
      <c r="AN13" s="1">
        <v>100.0</v>
      </c>
      <c r="AO13" s="1">
        <v>20773.0</v>
      </c>
      <c r="AP13" s="1">
        <v>21.0</v>
      </c>
      <c r="AQ13" s="1">
        <v>13.6</v>
      </c>
      <c r="AR13" s="1">
        <v>21.1</v>
      </c>
      <c r="AS13" s="1">
        <v>20.7</v>
      </c>
      <c r="AT13" s="1">
        <v>20.8</v>
      </c>
      <c r="AU13" s="1">
        <v>26.3</v>
      </c>
      <c r="AV13" s="1">
        <v>43.8</v>
      </c>
      <c r="AW13" s="1">
        <v>0.0</v>
      </c>
      <c r="AX13" s="1">
        <v>0.8297</v>
      </c>
      <c r="AY13" s="1">
        <v>22.6</v>
      </c>
      <c r="AZ13" s="1">
        <v>20.7</v>
      </c>
      <c r="BA13" s="1">
        <v>31.6</v>
      </c>
      <c r="BB13" s="1">
        <v>2.99</v>
      </c>
      <c r="BC13" s="1" t="s">
        <v>61</v>
      </c>
      <c r="BD13" s="1">
        <v>18.6</v>
      </c>
      <c r="BE13" s="1">
        <v>37.7</v>
      </c>
      <c r="BF13" s="1">
        <v>31.8</v>
      </c>
      <c r="BG13" s="1">
        <v>11.9</v>
      </c>
      <c r="BH13" s="1" t="s">
        <v>83</v>
      </c>
    </row>
    <row r="14">
      <c r="A14" s="2">
        <v>1025.0</v>
      </c>
      <c r="B14" s="2" t="str">
        <f>IFERROR(__xludf.DUMMYFUNCTION("TO_TEXT(A14)"),"01025")</f>
        <v>01025</v>
      </c>
      <c r="C14" s="1">
        <v>24847.0</v>
      </c>
      <c r="D14" s="1">
        <v>1238.46437984827</v>
      </c>
      <c r="E14" s="1" t="s">
        <v>84</v>
      </c>
      <c r="F14" s="1" t="s">
        <v>85</v>
      </c>
      <c r="G14" s="1">
        <v>20.0627490013432</v>
      </c>
      <c r="H14" s="1">
        <v>25.23508481</v>
      </c>
      <c r="I14" s="1">
        <v>5.0837367294</v>
      </c>
      <c r="J14" s="1">
        <v>13.108038914</v>
      </c>
      <c r="K14" s="1">
        <v>20.579655316</v>
      </c>
      <c r="L14" s="1">
        <v>34.1</v>
      </c>
      <c r="M14" s="1">
        <v>5.4</v>
      </c>
      <c r="N14" s="1">
        <v>34.6</v>
      </c>
      <c r="O14" s="1">
        <v>25.270003484</v>
      </c>
      <c r="P14" s="1">
        <v>11.9263662909999</v>
      </c>
      <c r="Q14" s="1">
        <v>53.97999</v>
      </c>
      <c r="R14" s="1">
        <v>90.909090909</v>
      </c>
      <c r="S14" s="1">
        <v>31.7</v>
      </c>
      <c r="T14" s="1">
        <v>5336.0</v>
      </c>
      <c r="U14" s="1">
        <v>37.012743628</v>
      </c>
      <c r="V14" s="1">
        <v>475.31243598</v>
      </c>
      <c r="W14" s="1">
        <v>12.035583464</v>
      </c>
      <c r="X14" s="1">
        <v>11.131746953</v>
      </c>
      <c r="Y14" s="1">
        <v>74.787459811</v>
      </c>
      <c r="Z14" s="1">
        <v>22.4</v>
      </c>
      <c r="AA14" s="1">
        <v>11.154712303</v>
      </c>
      <c r="AB14" s="1">
        <v>40741.0</v>
      </c>
      <c r="AC14" s="1">
        <v>71.542979178</v>
      </c>
      <c r="AD14" s="1">
        <v>67.471681983</v>
      </c>
      <c r="AE14" s="1">
        <v>12.836438923</v>
      </c>
      <c r="AF14" s="1">
        <v>44.326923077</v>
      </c>
      <c r="AG14" s="1">
        <v>0.5267558528</v>
      </c>
      <c r="AH14" s="1">
        <v>0.4347826087</v>
      </c>
      <c r="AI14" s="1">
        <v>0.02090301</v>
      </c>
      <c r="AJ14" s="1">
        <v>1.3628762542</v>
      </c>
      <c r="AK14" s="1">
        <v>52.5083612039999</v>
      </c>
      <c r="AL14" s="1">
        <v>0.1303044781</v>
      </c>
      <c r="AM14" s="1">
        <v>52.642140468</v>
      </c>
      <c r="AN14" s="1">
        <v>75.98033523</v>
      </c>
      <c r="AO14" s="1">
        <v>20543.0</v>
      </c>
      <c r="AP14" s="1">
        <v>24.6</v>
      </c>
      <c r="AQ14" s="1">
        <v>17.1</v>
      </c>
      <c r="AR14" s="1">
        <v>19.0</v>
      </c>
      <c r="AS14" s="1">
        <v>18.1</v>
      </c>
      <c r="AT14" s="1">
        <v>22.6</v>
      </c>
      <c r="AU14" s="1">
        <v>15.8</v>
      </c>
      <c r="AV14" s="1">
        <v>46.8</v>
      </c>
      <c r="AW14" s="1">
        <v>0.2</v>
      </c>
      <c r="AX14" s="1">
        <v>0.8233</v>
      </c>
      <c r="AY14" s="1">
        <v>18.4</v>
      </c>
      <c r="AZ14" s="1">
        <v>21.1</v>
      </c>
      <c r="BA14" s="1">
        <v>27.7</v>
      </c>
      <c r="BB14" s="1">
        <v>2.93</v>
      </c>
      <c r="BC14" s="1" t="s">
        <v>61</v>
      </c>
      <c r="BD14" s="1">
        <v>19.4</v>
      </c>
      <c r="BE14" s="1">
        <v>41.8</v>
      </c>
      <c r="BF14" s="1">
        <v>26.6</v>
      </c>
      <c r="BG14" s="1">
        <v>12.2</v>
      </c>
      <c r="BH14" s="1" t="s">
        <v>85</v>
      </c>
    </row>
    <row r="15">
      <c r="A15" s="2">
        <v>1027.0</v>
      </c>
      <c r="B15" s="2" t="str">
        <f>IFERROR(__xludf.DUMMYFUNCTION("TO_TEXT(A15)"),"01027")</f>
        <v>01027</v>
      </c>
      <c r="C15" s="1">
        <v>13483.0</v>
      </c>
      <c r="D15" s="1">
        <v>603.961001380409</v>
      </c>
      <c r="E15" s="1" t="s">
        <v>86</v>
      </c>
      <c r="F15" s="1" t="s">
        <v>87</v>
      </c>
      <c r="G15" s="1">
        <v>22.3242891000963</v>
      </c>
      <c r="H15" s="1">
        <v>23.795917414</v>
      </c>
      <c r="I15" s="1">
        <v>4.9829276834</v>
      </c>
      <c r="J15" s="1">
        <v>9.3561368209</v>
      </c>
      <c r="K15" s="1">
        <v>19.620354153</v>
      </c>
      <c r="L15" s="1">
        <v>40.6</v>
      </c>
      <c r="M15" s="1">
        <v>7.8</v>
      </c>
      <c r="N15" s="1">
        <v>32.6</v>
      </c>
      <c r="O15" s="1">
        <v>63.781223084</v>
      </c>
      <c r="P15" s="1">
        <v>13.8833380909999</v>
      </c>
      <c r="Q15" s="1">
        <v>37.40555</v>
      </c>
      <c r="R15" s="1">
        <v>89.808917197</v>
      </c>
      <c r="S15" s="1">
        <v>25.8</v>
      </c>
      <c r="T15" s="1">
        <v>2793.0</v>
      </c>
      <c r="U15" s="1">
        <v>30.039384175</v>
      </c>
      <c r="V15" s="1">
        <v>309.06721281</v>
      </c>
      <c r="W15" s="1">
        <v>11.18359739</v>
      </c>
      <c r="X15" s="1">
        <v>8.3143939394</v>
      </c>
      <c r="Y15" s="1">
        <v>75.237156152</v>
      </c>
      <c r="Z15" s="1">
        <v>13.5</v>
      </c>
      <c r="AA15" s="1">
        <v>2.3268798802</v>
      </c>
      <c r="AB15" s="1">
        <v>39201.0</v>
      </c>
      <c r="AC15" s="1">
        <v>63.474620617</v>
      </c>
      <c r="AD15" s="1">
        <v>72.364400306</v>
      </c>
      <c r="AE15" s="1">
        <v>7.9752066116</v>
      </c>
      <c r="AF15" s="1">
        <v>13.830508475</v>
      </c>
      <c r="AG15" s="1">
        <v>0.5423728814</v>
      </c>
      <c r="AH15" s="1">
        <v>0.2410546139</v>
      </c>
      <c r="AI15" s="1">
        <v>0.0</v>
      </c>
      <c r="AJ15" s="1">
        <v>3.0131826742</v>
      </c>
      <c r="AK15" s="1">
        <v>80.527306968</v>
      </c>
      <c r="AL15" s="1">
        <v>0.4013220019</v>
      </c>
      <c r="AM15" s="1">
        <v>51.096045198</v>
      </c>
      <c r="AN15" s="1">
        <v>100.0</v>
      </c>
      <c r="AO15" s="1">
        <v>21115.0</v>
      </c>
      <c r="AP15" s="1">
        <v>16.7</v>
      </c>
      <c r="AQ15" s="1">
        <v>6.6</v>
      </c>
      <c r="AR15" s="1">
        <v>25.4</v>
      </c>
      <c r="AS15" s="1">
        <v>19.4</v>
      </c>
      <c r="AT15" s="1">
        <v>21.6</v>
      </c>
      <c r="AU15" s="1">
        <v>16.4</v>
      </c>
      <c r="AV15" s="1">
        <v>19.7</v>
      </c>
      <c r="AW15" s="1">
        <v>0.5</v>
      </c>
      <c r="AX15" s="1">
        <v>0.5922</v>
      </c>
      <c r="AY15" s="1">
        <v>16.6</v>
      </c>
      <c r="AZ15" s="1">
        <v>15.9</v>
      </c>
      <c r="BA15" s="1">
        <v>21.4</v>
      </c>
      <c r="BB15" s="1">
        <v>3.14</v>
      </c>
      <c r="BC15" s="1" t="s">
        <v>61</v>
      </c>
      <c r="BD15" s="1">
        <v>23.3</v>
      </c>
      <c r="BE15" s="1">
        <v>37.8</v>
      </c>
      <c r="BF15" s="1">
        <v>28.3</v>
      </c>
      <c r="BG15" s="1">
        <v>10.6</v>
      </c>
      <c r="BH15" s="1" t="s">
        <v>87</v>
      </c>
    </row>
    <row r="16">
      <c r="A16" s="2">
        <v>1029.0</v>
      </c>
      <c r="B16" s="2" t="str">
        <f>IFERROR(__xludf.DUMMYFUNCTION("TO_TEXT(A16)"),"01029")</f>
        <v>01029</v>
      </c>
      <c r="C16" s="1">
        <v>14991.0</v>
      </c>
      <c r="D16" s="1">
        <v>560.104248947982</v>
      </c>
      <c r="E16" s="1" t="s">
        <v>88</v>
      </c>
      <c r="F16" s="1" t="s">
        <v>89</v>
      </c>
      <c r="G16" s="1">
        <v>26.7646603791292</v>
      </c>
      <c r="H16" s="1">
        <v>19.284407812</v>
      </c>
      <c r="I16" s="1">
        <v>4.8672154562</v>
      </c>
      <c r="J16" s="1">
        <v>8.5209003215</v>
      </c>
      <c r="K16" s="1">
        <v>18.374465772</v>
      </c>
      <c r="L16" s="1">
        <v>37.3</v>
      </c>
      <c r="M16" s="1">
        <v>8.0</v>
      </c>
      <c r="N16" s="1">
        <v>31.3</v>
      </c>
      <c r="O16" s="1">
        <v>41.48410366</v>
      </c>
      <c r="P16" s="1">
        <v>13.34452371</v>
      </c>
      <c r="Q16" s="1">
        <v>26.84564</v>
      </c>
      <c r="R16" s="1">
        <v>98.02955665</v>
      </c>
      <c r="S16" s="1">
        <v>22.9</v>
      </c>
      <c r="T16" s="1">
        <v>3385.0</v>
      </c>
      <c r="U16" s="1">
        <v>24.549483013</v>
      </c>
      <c r="V16" s="1">
        <v>103.33333333</v>
      </c>
      <c r="W16" s="1">
        <v>12.93916024</v>
      </c>
      <c r="X16" s="1">
        <v>10.732984293</v>
      </c>
      <c r="Y16" s="1">
        <v>74.766028857</v>
      </c>
      <c r="Z16" s="1">
        <v>12.5</v>
      </c>
      <c r="AA16" s="1">
        <v>2.0717157696</v>
      </c>
      <c r="AB16" s="1">
        <v>46495.0</v>
      </c>
      <c r="AC16" s="1">
        <v>59.59752322</v>
      </c>
      <c r="AD16" s="1">
        <v>75.65490744</v>
      </c>
      <c r="AE16" s="1">
        <v>10.040907401</v>
      </c>
      <c r="AF16" s="1">
        <v>2.8691532662</v>
      </c>
      <c r="AG16" s="1">
        <v>0.4937612598</v>
      </c>
      <c r="AH16" s="1">
        <v>0.2201908321</v>
      </c>
      <c r="AI16" s="1">
        <v>0.073396944</v>
      </c>
      <c r="AJ16" s="1">
        <v>2.4821511977</v>
      </c>
      <c r="AK16" s="1">
        <v>92.793754587</v>
      </c>
      <c r="AL16" s="1">
        <v>0.7083658001</v>
      </c>
      <c r="AM16" s="1">
        <v>50.483752586</v>
      </c>
      <c r="AN16" s="1">
        <v>100.0</v>
      </c>
      <c r="AO16" s="1">
        <v>19791.0</v>
      </c>
      <c r="AP16" s="1">
        <v>19.6</v>
      </c>
      <c r="AQ16" s="1">
        <v>7.2</v>
      </c>
      <c r="AR16" s="1">
        <v>25.8</v>
      </c>
      <c r="AS16" s="1">
        <v>18.2</v>
      </c>
      <c r="AT16" s="1">
        <v>23.5</v>
      </c>
      <c r="AU16" s="1">
        <v>22.0</v>
      </c>
      <c r="AV16" s="1">
        <v>7.2</v>
      </c>
      <c r="AW16" s="1">
        <v>0.8</v>
      </c>
      <c r="AX16" s="1">
        <v>0.6291</v>
      </c>
      <c r="AY16" s="1">
        <v>13.3</v>
      </c>
      <c r="AZ16" s="1">
        <v>17.5</v>
      </c>
      <c r="BA16" s="1">
        <v>26.2</v>
      </c>
      <c r="BB16" s="1">
        <v>3.04</v>
      </c>
      <c r="BC16" s="1" t="s">
        <v>61</v>
      </c>
      <c r="BD16" s="1">
        <v>21.0</v>
      </c>
      <c r="BE16" s="1">
        <v>38.0</v>
      </c>
      <c r="BF16" s="1">
        <v>25.6</v>
      </c>
      <c r="BG16" s="1">
        <v>15.4</v>
      </c>
      <c r="BH16" s="1" t="s">
        <v>89</v>
      </c>
    </row>
    <row r="17">
      <c r="A17" s="2">
        <v>1031.0</v>
      </c>
      <c r="B17" s="2" t="str">
        <f>IFERROR(__xludf.DUMMYFUNCTION("TO_TEXT(A17)"),"01031")</f>
        <v>01031</v>
      </c>
      <c r="C17" s="1">
        <v>50991.0</v>
      </c>
      <c r="D17" s="1">
        <v>678.985651661674</v>
      </c>
      <c r="E17" s="1" t="s">
        <v>90</v>
      </c>
      <c r="F17" s="1" t="s">
        <v>91</v>
      </c>
      <c r="G17" s="1">
        <v>75.0987887228696</v>
      </c>
      <c r="H17" s="1">
        <v>19.425826811</v>
      </c>
      <c r="I17" s="1">
        <v>4.5674364995</v>
      </c>
      <c r="J17" s="1">
        <v>8.30853742279999</v>
      </c>
      <c r="K17" s="1">
        <v>17.444757594</v>
      </c>
      <c r="L17" s="1">
        <v>34.2</v>
      </c>
      <c r="M17" s="1">
        <v>7.5</v>
      </c>
      <c r="N17" s="1">
        <v>30.8</v>
      </c>
      <c r="O17" s="1">
        <v>53.723872828</v>
      </c>
      <c r="P17" s="1">
        <v>11.99236659</v>
      </c>
      <c r="Q17" s="1">
        <v>53.97694</v>
      </c>
      <c r="R17" s="1">
        <v>92.5170068029999</v>
      </c>
      <c r="S17" s="1">
        <v>21.9</v>
      </c>
      <c r="T17" s="1">
        <v>12087.0</v>
      </c>
      <c r="U17" s="1">
        <v>35.8318854969999</v>
      </c>
      <c r="V17" s="1">
        <v>276.20804419</v>
      </c>
      <c r="W17" s="1">
        <v>12.103225806</v>
      </c>
      <c r="X17" s="1">
        <v>10.502997133</v>
      </c>
      <c r="Y17" s="1">
        <v>76.710348557</v>
      </c>
      <c r="Z17" s="1">
        <v>16.1</v>
      </c>
      <c r="AA17" s="1">
        <v>5.9812031395</v>
      </c>
      <c r="AB17" s="1">
        <v>55122.0</v>
      </c>
      <c r="AC17" s="1">
        <v>48.376656215</v>
      </c>
      <c r="AD17" s="1">
        <v>64.793572187</v>
      </c>
      <c r="AE17" s="1">
        <v>9.4576684515</v>
      </c>
      <c r="AF17" s="1">
        <v>17.187770907</v>
      </c>
      <c r="AG17" s="1">
        <v>1.4101600878</v>
      </c>
      <c r="AH17" s="1">
        <v>1.6355545281</v>
      </c>
      <c r="AI17" s="1">
        <v>0.3968483307</v>
      </c>
      <c r="AJ17" s="1">
        <v>7.5805736963</v>
      </c>
      <c r="AK17" s="1">
        <v>69.85493845</v>
      </c>
      <c r="AL17" s="1">
        <v>1.3801704427</v>
      </c>
      <c r="AM17" s="1">
        <v>50.835115298</v>
      </c>
      <c r="AN17" s="1">
        <v>47.195082886</v>
      </c>
      <c r="AO17" s="1">
        <v>25325.0</v>
      </c>
      <c r="AP17" s="1">
        <v>16.4</v>
      </c>
      <c r="AQ17" s="1">
        <v>6.2</v>
      </c>
      <c r="AR17" s="1">
        <v>14.9</v>
      </c>
      <c r="AS17" s="1">
        <v>15.8</v>
      </c>
      <c r="AT17" s="1">
        <v>23.8</v>
      </c>
      <c r="AU17" s="1">
        <v>18.2</v>
      </c>
      <c r="AV17" s="1">
        <v>28.6</v>
      </c>
      <c r="AW17" s="1">
        <v>1.5</v>
      </c>
      <c r="AX17" s="1">
        <v>0.5266</v>
      </c>
      <c r="AY17" s="1">
        <v>15.0</v>
      </c>
      <c r="AZ17" s="1">
        <v>15.6</v>
      </c>
      <c r="BA17" s="1">
        <v>21.7</v>
      </c>
      <c r="BB17" s="1">
        <v>3.44</v>
      </c>
      <c r="BC17" s="1" t="s">
        <v>61</v>
      </c>
      <c r="BD17" s="1">
        <v>14.1</v>
      </c>
      <c r="BE17" s="1">
        <v>27.2</v>
      </c>
      <c r="BF17" s="1">
        <v>35.9</v>
      </c>
      <c r="BG17" s="1">
        <v>22.8</v>
      </c>
      <c r="BH17" s="1" t="s">
        <v>91</v>
      </c>
    </row>
    <row r="18">
      <c r="A18" s="2">
        <v>1033.0</v>
      </c>
      <c r="B18" s="2" t="str">
        <f>IFERROR(__xludf.DUMMYFUNCTION("TO_TEXT(A18)"),"01033")</f>
        <v>01033</v>
      </c>
      <c r="C18" s="1">
        <v>54377.0</v>
      </c>
      <c r="D18" s="1">
        <v>592.619664012428</v>
      </c>
      <c r="E18" s="1" t="s">
        <v>92</v>
      </c>
      <c r="F18" s="1" t="s">
        <v>93</v>
      </c>
      <c r="G18" s="1">
        <v>91.7569957632382</v>
      </c>
      <c r="H18" s="1">
        <v>20.914454347</v>
      </c>
      <c r="I18" s="1">
        <v>4.5824058974</v>
      </c>
      <c r="J18" s="1">
        <v>10.226746876</v>
      </c>
      <c r="K18" s="1">
        <v>18.6588210609999</v>
      </c>
      <c r="L18" s="1">
        <v>30.6</v>
      </c>
      <c r="M18" s="1">
        <v>7.4</v>
      </c>
      <c r="N18" s="1">
        <v>36.6</v>
      </c>
      <c r="O18" s="1">
        <v>55.732343647</v>
      </c>
      <c r="P18" s="1">
        <v>9.683862525</v>
      </c>
      <c r="Q18" s="1">
        <v>64.22018</v>
      </c>
      <c r="R18" s="1">
        <v>92.136752137</v>
      </c>
      <c r="S18" s="1">
        <v>21.0</v>
      </c>
      <c r="T18" s="1">
        <v>11538.0</v>
      </c>
      <c r="U18" s="1">
        <v>36.054775524</v>
      </c>
      <c r="V18" s="1">
        <v>400.00735646</v>
      </c>
      <c r="W18" s="1">
        <v>13.7299253559999</v>
      </c>
      <c r="X18" s="1">
        <v>12.753955515</v>
      </c>
      <c r="Y18" s="1">
        <v>74.665950403</v>
      </c>
      <c r="Z18" s="1">
        <v>16.2</v>
      </c>
      <c r="AA18" s="1">
        <v>6.5517045351</v>
      </c>
      <c r="AB18" s="1">
        <v>49055.0</v>
      </c>
      <c r="AC18" s="1">
        <v>51.92165558</v>
      </c>
      <c r="AD18" s="1">
        <v>72.705169962</v>
      </c>
      <c r="AE18" s="1">
        <v>11.76300578</v>
      </c>
      <c r="AF18" s="1">
        <v>15.998320003</v>
      </c>
      <c r="AG18" s="1">
        <v>0.6628684124</v>
      </c>
      <c r="AH18" s="1">
        <v>0.5898250612</v>
      </c>
      <c r="AI18" s="1">
        <v>0.074869435</v>
      </c>
      <c r="AJ18" s="1">
        <v>2.6752127388</v>
      </c>
      <c r="AK18" s="1">
        <v>78.397428874</v>
      </c>
      <c r="AL18" s="1">
        <v>0.3404867988</v>
      </c>
      <c r="AM18" s="1">
        <v>52.048866002</v>
      </c>
      <c r="AN18" s="1">
        <v>43.894686558</v>
      </c>
      <c r="AO18" s="1">
        <v>23318.0</v>
      </c>
      <c r="AP18" s="1">
        <v>16.5</v>
      </c>
      <c r="AQ18" s="1">
        <v>7.5</v>
      </c>
      <c r="AR18" s="1">
        <v>16.6</v>
      </c>
      <c r="AS18" s="1">
        <v>18.5</v>
      </c>
      <c r="AT18" s="1">
        <v>21.6</v>
      </c>
      <c r="AU18" s="1">
        <v>19.6</v>
      </c>
      <c r="AV18" s="1">
        <v>21.1</v>
      </c>
      <c r="AW18" s="1">
        <v>0.2</v>
      </c>
      <c r="AX18" s="1">
        <v>0.4333</v>
      </c>
      <c r="AY18" s="1">
        <v>14.6</v>
      </c>
      <c r="AZ18" s="1">
        <v>16.4</v>
      </c>
      <c r="BA18" s="1">
        <v>23.1</v>
      </c>
      <c r="BB18" s="1">
        <v>2.87</v>
      </c>
      <c r="BC18" s="1" t="s">
        <v>61</v>
      </c>
      <c r="BD18" s="1">
        <v>14.8</v>
      </c>
      <c r="BE18" s="1">
        <v>37.8</v>
      </c>
      <c r="BF18" s="1">
        <v>29.2</v>
      </c>
      <c r="BG18" s="1">
        <v>18.1</v>
      </c>
      <c r="BH18" s="1" t="s">
        <v>93</v>
      </c>
    </row>
    <row r="19">
      <c r="A19" s="2">
        <v>1035.0</v>
      </c>
      <c r="B19" s="2" t="str">
        <f>IFERROR(__xludf.DUMMYFUNCTION("TO_TEXT(A19)"),"01035")</f>
        <v>01035</v>
      </c>
      <c r="C19" s="1">
        <v>12697.0</v>
      </c>
      <c r="D19" s="1">
        <v>850.156471785916</v>
      </c>
      <c r="E19" s="1" t="s">
        <v>94</v>
      </c>
      <c r="F19" s="1" t="s">
        <v>95</v>
      </c>
      <c r="G19" s="1">
        <v>14.9348977763205</v>
      </c>
      <c r="H19" s="1">
        <v>28.608747789</v>
      </c>
      <c r="I19" s="1">
        <v>5.3914879643</v>
      </c>
      <c r="J19" s="1">
        <v>14.064115822</v>
      </c>
      <c r="K19" s="1">
        <v>21.107512965</v>
      </c>
      <c r="L19" s="1">
        <v>43.0</v>
      </c>
      <c r="M19" s="1">
        <v>5.6</v>
      </c>
      <c r="N19" s="1">
        <v>40.7</v>
      </c>
      <c r="O19" s="1">
        <v>37.0199576659999</v>
      </c>
      <c r="P19" s="1">
        <v>12.0334553059999</v>
      </c>
      <c r="Q19" s="1">
        <v>40.09945</v>
      </c>
      <c r="R19" s="1">
        <v>80.373831776</v>
      </c>
      <c r="S19" s="1">
        <v>40.1</v>
      </c>
      <c r="T19" s="1">
        <v>2644.0</v>
      </c>
      <c r="U19" s="1">
        <v>50.756429652</v>
      </c>
      <c r="V19" s="1">
        <v>387.40920097</v>
      </c>
      <c r="W19" s="1">
        <v>13.359528487</v>
      </c>
      <c r="X19" s="1">
        <v>10.922587487</v>
      </c>
      <c r="Y19" s="1">
        <v>75.25023311</v>
      </c>
      <c r="Z19" s="1">
        <v>25.9</v>
      </c>
      <c r="AA19" s="1">
        <v>13.229776262</v>
      </c>
      <c r="AB19" s="1">
        <v>32613.0</v>
      </c>
      <c r="AC19" s="1">
        <v>70.969387755</v>
      </c>
      <c r="AD19" s="1">
        <v>76.6069086139999</v>
      </c>
      <c r="AE19" s="1">
        <v>8.9436789944</v>
      </c>
      <c r="AF19" s="1">
        <v>45.662621162</v>
      </c>
      <c r="AG19" s="1">
        <v>0.5131546795</v>
      </c>
      <c r="AH19" s="1">
        <v>0.2117781217</v>
      </c>
      <c r="AI19" s="1">
        <v>0.0325812495</v>
      </c>
      <c r="AJ19" s="1">
        <v>2.1503624664</v>
      </c>
      <c r="AK19" s="1">
        <v>50.305449214</v>
      </c>
      <c r="AL19" s="1">
        <v>0.0</v>
      </c>
      <c r="AM19" s="1">
        <v>52.097417936</v>
      </c>
      <c r="AN19" s="1">
        <v>80.949501058</v>
      </c>
      <c r="AO19" s="1">
        <v>16004.0</v>
      </c>
      <c r="AP19" s="1">
        <v>32.5</v>
      </c>
      <c r="AQ19" s="1">
        <v>20.4</v>
      </c>
      <c r="AR19" s="1">
        <v>20.6</v>
      </c>
      <c r="AS19" s="1">
        <v>20.3</v>
      </c>
      <c r="AT19" s="1">
        <v>22.2</v>
      </c>
      <c r="AU19" s="1">
        <v>21.4</v>
      </c>
      <c r="AV19" s="1">
        <v>49.3</v>
      </c>
      <c r="AW19" s="1">
        <v>0.0</v>
      </c>
      <c r="AX19" s="1">
        <v>0.8628</v>
      </c>
      <c r="AY19" s="1">
        <v>22.2</v>
      </c>
      <c r="AZ19" s="1">
        <v>19.5</v>
      </c>
      <c r="BA19" s="1">
        <v>27.8</v>
      </c>
      <c r="BB19" s="1">
        <v>2.96</v>
      </c>
      <c r="BC19" s="1" t="s">
        <v>61</v>
      </c>
      <c r="BD19" s="1">
        <v>15.7</v>
      </c>
      <c r="BE19" s="1">
        <v>51.1</v>
      </c>
      <c r="BF19" s="1">
        <v>20.4</v>
      </c>
      <c r="BG19" s="1">
        <v>12.8</v>
      </c>
      <c r="BH19" s="1" t="s">
        <v>95</v>
      </c>
    </row>
    <row r="20">
      <c r="A20" s="2">
        <v>1037.0</v>
      </c>
      <c r="B20" s="2" t="str">
        <f>IFERROR(__xludf.DUMMYFUNCTION("TO_TEXT(A20)"),"01037")</f>
        <v>01037</v>
      </c>
      <c r="C20" s="1">
        <v>10864.0</v>
      </c>
      <c r="D20" s="1">
        <v>650.926090743856</v>
      </c>
      <c r="E20" s="1" t="s">
        <v>96</v>
      </c>
      <c r="F20" s="1" t="s">
        <v>97</v>
      </c>
      <c r="G20" s="1">
        <v>16.690066897741</v>
      </c>
      <c r="H20" s="1">
        <v>24.919103283</v>
      </c>
      <c r="I20" s="1">
        <v>5.1021191231</v>
      </c>
      <c r="J20" s="1">
        <v>13.692307692</v>
      </c>
      <c r="K20" s="1">
        <v>20.399965623</v>
      </c>
      <c r="L20" s="1">
        <v>40.3</v>
      </c>
      <c r="M20" s="1">
        <v>6.9</v>
      </c>
      <c r="N20" s="1">
        <v>35.3</v>
      </c>
      <c r="O20" s="1">
        <v>6.4217003207</v>
      </c>
      <c r="P20" s="1">
        <v>13.026201416</v>
      </c>
      <c r="Q20" s="1">
        <v>48.31939</v>
      </c>
      <c r="R20" s="1">
        <v>82.716049383</v>
      </c>
      <c r="S20" s="1">
        <v>30.1</v>
      </c>
      <c r="T20" s="1">
        <v>1850.0</v>
      </c>
      <c r="U20" s="1">
        <v>39.513513514</v>
      </c>
      <c r="V20" s="1">
        <v>254.8321954</v>
      </c>
      <c r="W20" s="1">
        <v>14.6254458979999</v>
      </c>
      <c r="X20" s="1">
        <v>11.432009627</v>
      </c>
      <c r="Y20" s="1">
        <v>73.819513253</v>
      </c>
      <c r="Z20" s="1">
        <v>20.8</v>
      </c>
      <c r="AA20" s="1">
        <v>10.124807485</v>
      </c>
      <c r="AB20" s="1">
        <v>42423.0</v>
      </c>
      <c r="AC20" s="1">
        <v>65.265486726</v>
      </c>
      <c r="AD20" s="1">
        <v>81.988788691</v>
      </c>
      <c r="AE20" s="1">
        <v>9.6423017107</v>
      </c>
      <c r="AF20" s="1">
        <v>30.471301913</v>
      </c>
      <c r="AG20" s="1">
        <v>0.5972935138</v>
      </c>
      <c r="AH20" s="1">
        <v>0.1399906673</v>
      </c>
      <c r="AI20" s="1">
        <v>0.1679888007</v>
      </c>
      <c r="AJ20" s="1">
        <v>2.5198320112</v>
      </c>
      <c r="AK20" s="1">
        <v>65.384974335</v>
      </c>
      <c r="AL20" s="1">
        <v>0.3614572434</v>
      </c>
      <c r="AM20" s="1">
        <v>49.612692487</v>
      </c>
      <c r="AN20" s="1">
        <v>100.0</v>
      </c>
      <c r="AO20" s="1">
        <v>18080.0</v>
      </c>
      <c r="AP20" s="1">
        <v>15.3</v>
      </c>
      <c r="AQ20" s="1">
        <v>12.6</v>
      </c>
      <c r="AR20" s="1">
        <v>27.1</v>
      </c>
      <c r="AS20" s="1">
        <v>18.7</v>
      </c>
      <c r="AT20" s="1">
        <v>18.3</v>
      </c>
      <c r="AU20" s="1">
        <v>22.3</v>
      </c>
      <c r="AV20" s="1">
        <v>35.0</v>
      </c>
      <c r="AW20" s="1">
        <v>1.2</v>
      </c>
      <c r="AX20" s="1">
        <v>0.772</v>
      </c>
      <c r="AY20" s="1">
        <v>17.1</v>
      </c>
      <c r="AZ20" s="1">
        <v>16.4</v>
      </c>
      <c r="BA20" s="1">
        <v>24.5</v>
      </c>
      <c r="BB20" s="1">
        <v>3.35</v>
      </c>
      <c r="BC20" s="1" t="s">
        <v>61</v>
      </c>
      <c r="BD20" s="1">
        <v>20.0</v>
      </c>
      <c r="BE20" s="1">
        <v>40.3</v>
      </c>
      <c r="BF20" s="1">
        <v>26.9</v>
      </c>
      <c r="BG20" s="1">
        <v>12.8</v>
      </c>
      <c r="BH20" s="1" t="s">
        <v>97</v>
      </c>
    </row>
    <row r="21">
      <c r="A21" s="2">
        <v>1039.0</v>
      </c>
      <c r="B21" s="2" t="str">
        <f>IFERROR(__xludf.DUMMYFUNCTION("TO_TEXT(A21)"),"01039")</f>
        <v>01039</v>
      </c>
      <c r="C21" s="1">
        <v>37729.0</v>
      </c>
      <c r="D21" s="1">
        <v>1030.45583624492</v>
      </c>
      <c r="E21" s="1" t="s">
        <v>98</v>
      </c>
      <c r="F21" s="1" t="s">
        <v>99</v>
      </c>
      <c r="G21" s="1">
        <v>36.6138932625081</v>
      </c>
      <c r="H21" s="1">
        <v>22.668806251</v>
      </c>
      <c r="I21" s="1">
        <v>4.9065509126</v>
      </c>
      <c r="J21" s="1">
        <v>10.345942451</v>
      </c>
      <c r="K21" s="1">
        <v>19.249451541</v>
      </c>
      <c r="L21" s="1">
        <v>31.7</v>
      </c>
      <c r="M21" s="1">
        <v>7.6</v>
      </c>
      <c r="N21" s="1">
        <v>35.5</v>
      </c>
      <c r="O21" s="1">
        <v>50.2343439689999</v>
      </c>
      <c r="P21" s="1">
        <v>12.103617686</v>
      </c>
      <c r="Q21" s="1">
        <v>51.22398</v>
      </c>
      <c r="R21" s="1">
        <v>94.902912621</v>
      </c>
      <c r="S21" s="1">
        <v>29.5</v>
      </c>
      <c r="T21" s="1">
        <v>7993.0</v>
      </c>
      <c r="U21" s="1">
        <v>36.344301264</v>
      </c>
      <c r="V21" s="1">
        <v>331.12142449</v>
      </c>
      <c r="W21" s="1">
        <v>12.845849802</v>
      </c>
      <c r="X21" s="1">
        <v>10.366879838</v>
      </c>
      <c r="Y21" s="1">
        <v>73.994503819</v>
      </c>
      <c r="Z21" s="1">
        <v>15.3</v>
      </c>
      <c r="AA21" s="1">
        <v>4.3703267511</v>
      </c>
      <c r="AB21" s="1">
        <v>40203.0</v>
      </c>
      <c r="AC21" s="1">
        <v>56.707912732</v>
      </c>
      <c r="AD21" s="1">
        <v>74.027185501</v>
      </c>
      <c r="AE21" s="1">
        <v>10.012140256</v>
      </c>
      <c r="AF21" s="1">
        <v>12.442545828</v>
      </c>
      <c r="AG21" s="1">
        <v>0.6921537879</v>
      </c>
      <c r="AH21" s="1">
        <v>0.4650408263</v>
      </c>
      <c r="AI21" s="1">
        <v>0.0108149029</v>
      </c>
      <c r="AJ21" s="1">
        <v>1.7493105499</v>
      </c>
      <c r="AK21" s="1">
        <v>83.188233386</v>
      </c>
      <c r="AL21" s="1">
        <v>0.3663835951</v>
      </c>
      <c r="AM21" s="1">
        <v>51.614124263</v>
      </c>
      <c r="AN21" s="1">
        <v>69.651793989</v>
      </c>
      <c r="AO21" s="1">
        <v>21738.0</v>
      </c>
      <c r="AP21" s="1">
        <v>19.0</v>
      </c>
      <c r="AQ21" s="1">
        <v>10.7</v>
      </c>
      <c r="AR21" s="1">
        <v>19.1</v>
      </c>
      <c r="AS21" s="1">
        <v>20.2</v>
      </c>
      <c r="AT21" s="1">
        <v>22.0</v>
      </c>
      <c r="AU21" s="1">
        <v>21.1</v>
      </c>
      <c r="AV21" s="1">
        <v>16.5</v>
      </c>
      <c r="AW21" s="1">
        <v>0.6</v>
      </c>
      <c r="AX21" s="1">
        <v>0.695</v>
      </c>
      <c r="AY21" s="1">
        <v>17.2</v>
      </c>
      <c r="AZ21" s="1">
        <v>17.7</v>
      </c>
      <c r="BA21" s="1">
        <v>25.1</v>
      </c>
      <c r="BB21" s="1">
        <v>2.98</v>
      </c>
      <c r="BC21" s="1" t="s">
        <v>61</v>
      </c>
      <c r="BD21" s="1">
        <v>16.6</v>
      </c>
      <c r="BE21" s="1">
        <v>37.3</v>
      </c>
      <c r="BF21" s="1">
        <v>30.8</v>
      </c>
      <c r="BG21" s="1">
        <v>15.3</v>
      </c>
      <c r="BH21" s="1" t="s">
        <v>99</v>
      </c>
    </row>
    <row r="22">
      <c r="A22" s="2">
        <v>1041.0</v>
      </c>
      <c r="B22" s="2" t="str">
        <f>IFERROR(__xludf.DUMMYFUNCTION("TO_TEXT(A22)"),"01041")</f>
        <v>01041</v>
      </c>
      <c r="C22" s="1">
        <v>13896.0</v>
      </c>
      <c r="D22" s="1">
        <v>608.839526791866</v>
      </c>
      <c r="E22" s="1" t="s">
        <v>100</v>
      </c>
      <c r="F22" s="1" t="s">
        <v>101</v>
      </c>
      <c r="G22" s="1">
        <v>22.8237481117917</v>
      </c>
      <c r="H22" s="1">
        <v>22.146936238</v>
      </c>
      <c r="I22" s="1">
        <v>4.8952137157</v>
      </c>
      <c r="J22" s="1">
        <v>10.087293889</v>
      </c>
      <c r="K22" s="1">
        <v>18.646929565</v>
      </c>
      <c r="L22" s="1">
        <v>38.0</v>
      </c>
      <c r="M22" s="1">
        <v>6.2</v>
      </c>
      <c r="N22" s="1">
        <v>33.5</v>
      </c>
      <c r="O22" s="1">
        <v>22.35006472</v>
      </c>
      <c r="P22" s="1">
        <v>12.2675250359999</v>
      </c>
      <c r="Q22" s="1">
        <v>14.41857</v>
      </c>
      <c r="R22" s="1">
        <v>89.08045977</v>
      </c>
      <c r="S22" s="1">
        <v>30.8</v>
      </c>
      <c r="T22" s="1">
        <v>3038.0</v>
      </c>
      <c r="U22" s="1">
        <v>40.585911784</v>
      </c>
      <c r="V22" s="1">
        <v>331.90736097</v>
      </c>
      <c r="W22" s="1">
        <v>9.9539170507</v>
      </c>
      <c r="X22" s="1">
        <v>9.022556391</v>
      </c>
      <c r="Y22" s="1">
        <v>74.6590421189999</v>
      </c>
      <c r="Z22" s="1">
        <v>18.2</v>
      </c>
      <c r="AA22" s="1">
        <v>17.03906038</v>
      </c>
      <c r="AB22" s="1">
        <v>39057.0</v>
      </c>
      <c r="AC22" s="1">
        <v>64.26690079</v>
      </c>
      <c r="AD22" s="1">
        <v>73.8109452739999</v>
      </c>
      <c r="AE22" s="1">
        <v>8.7624405019</v>
      </c>
      <c r="AF22" s="1">
        <v>23.220486111</v>
      </c>
      <c r="AG22" s="1">
        <v>0.6293402778</v>
      </c>
      <c r="AH22" s="1">
        <v>1.1212384259</v>
      </c>
      <c r="AI22" s="1">
        <v>0.0434027778</v>
      </c>
      <c r="AJ22" s="1">
        <v>2.3148148148</v>
      </c>
      <c r="AK22" s="1">
        <v>70.949074074</v>
      </c>
      <c r="AL22" s="1">
        <v>1.1622572259</v>
      </c>
      <c r="AM22" s="1">
        <v>51.721643519</v>
      </c>
      <c r="AN22" s="1">
        <v>100.0</v>
      </c>
      <c r="AO22" s="1">
        <v>20455.0</v>
      </c>
      <c r="AP22" s="1">
        <v>18.2</v>
      </c>
      <c r="AQ22" s="1">
        <v>7.4</v>
      </c>
      <c r="AR22" s="1">
        <v>21.7</v>
      </c>
      <c r="AS22" s="1">
        <v>17.5</v>
      </c>
      <c r="AT22" s="1">
        <v>22.9</v>
      </c>
      <c r="AU22" s="1">
        <v>19.5</v>
      </c>
      <c r="AV22" s="1">
        <v>29.1</v>
      </c>
      <c r="AW22" s="1">
        <v>1.1</v>
      </c>
      <c r="AX22" s="1">
        <v>0.7014</v>
      </c>
      <c r="AY22" s="1">
        <v>16.8</v>
      </c>
      <c r="AZ22" s="1">
        <v>16.6</v>
      </c>
      <c r="BA22" s="1">
        <v>22.6</v>
      </c>
      <c r="BB22" s="1">
        <v>3.29</v>
      </c>
      <c r="BC22" s="1" t="s">
        <v>61</v>
      </c>
      <c r="BD22" s="1">
        <v>20.8</v>
      </c>
      <c r="BE22" s="1">
        <v>39.5</v>
      </c>
      <c r="BF22" s="1">
        <v>22.3</v>
      </c>
      <c r="BG22" s="1">
        <v>17.4</v>
      </c>
      <c r="BH22" s="1" t="s">
        <v>101</v>
      </c>
    </row>
    <row r="23">
      <c r="A23" s="2">
        <v>1043.0</v>
      </c>
      <c r="B23" s="2" t="str">
        <f>IFERROR(__xludf.DUMMYFUNCTION("TO_TEXT(A23)"),"01043")</f>
        <v>01043</v>
      </c>
      <c r="C23" s="1">
        <v>81316.0</v>
      </c>
      <c r="D23" s="1">
        <v>734.897489233182</v>
      </c>
      <c r="E23" s="1" t="s">
        <v>102</v>
      </c>
      <c r="F23" s="1" t="s">
        <v>103</v>
      </c>
      <c r="G23" s="1">
        <v>110.649445931361</v>
      </c>
      <c r="H23" s="1">
        <v>21.786493693</v>
      </c>
      <c r="I23" s="1">
        <v>4.8876023362</v>
      </c>
      <c r="J23" s="1">
        <v>8.32852194</v>
      </c>
      <c r="K23" s="1">
        <v>17.901071221</v>
      </c>
      <c r="L23" s="1">
        <v>36.9</v>
      </c>
      <c r="M23" s="1">
        <v>8.2</v>
      </c>
      <c r="N23" s="1">
        <v>36.7</v>
      </c>
      <c r="O23" s="1">
        <v>41.65360794</v>
      </c>
      <c r="P23" s="1">
        <v>12.658246768</v>
      </c>
      <c r="Q23" s="1">
        <v>55.58577</v>
      </c>
      <c r="R23" s="1">
        <v>90.519877676</v>
      </c>
      <c r="S23" s="1">
        <v>19.7</v>
      </c>
      <c r="T23" s="1">
        <v>18322.0</v>
      </c>
      <c r="U23" s="1">
        <v>25.4175308369999</v>
      </c>
      <c r="V23" s="1">
        <v>129.39228552</v>
      </c>
      <c r="W23" s="1">
        <v>12.306949807</v>
      </c>
      <c r="X23" s="1">
        <v>10.144206862</v>
      </c>
      <c r="Y23" s="1">
        <v>74.539745814</v>
      </c>
      <c r="Z23" s="1">
        <v>19.3</v>
      </c>
      <c r="AA23" s="1">
        <v>3.1096062497</v>
      </c>
      <c r="AB23" s="1">
        <v>45796.0</v>
      </c>
      <c r="AC23" s="1">
        <v>50.773337521</v>
      </c>
      <c r="AD23" s="1">
        <v>74.581841848</v>
      </c>
      <c r="AE23" s="1">
        <v>9.94137847309999</v>
      </c>
      <c r="AF23" s="1">
        <v>1.2056278613</v>
      </c>
      <c r="AG23" s="1">
        <v>0.6459576712</v>
      </c>
      <c r="AH23" s="1">
        <v>0.6723232904</v>
      </c>
      <c r="AI23" s="1">
        <v>0.0862874811</v>
      </c>
      <c r="AJ23" s="1">
        <v>4.4330193428</v>
      </c>
      <c r="AK23" s="1">
        <v>91.855420532</v>
      </c>
      <c r="AL23" s="1">
        <v>0.5780122585</v>
      </c>
      <c r="AM23" s="1">
        <v>50.570456125</v>
      </c>
      <c r="AN23" s="1">
        <v>73.239559237</v>
      </c>
      <c r="AO23" s="1">
        <v>21041.0</v>
      </c>
      <c r="AP23" s="1">
        <v>17.1</v>
      </c>
      <c r="AQ23" s="1">
        <v>6.1</v>
      </c>
      <c r="AR23" s="1">
        <v>17.8</v>
      </c>
      <c r="AS23" s="1">
        <v>17.8</v>
      </c>
      <c r="AT23" s="1">
        <v>22.5</v>
      </c>
      <c r="AU23" s="1">
        <v>15.7</v>
      </c>
      <c r="AV23" s="1">
        <v>7.5</v>
      </c>
      <c r="AW23" s="1">
        <v>1.0</v>
      </c>
      <c r="AX23" s="1">
        <v>0.4909</v>
      </c>
      <c r="AY23" s="1">
        <v>12.2</v>
      </c>
      <c r="AZ23" s="1">
        <v>15.1</v>
      </c>
      <c r="BA23" s="1">
        <v>20.2</v>
      </c>
      <c r="BB23" s="1">
        <v>3.17</v>
      </c>
      <c r="BC23" s="1" t="s">
        <v>61</v>
      </c>
      <c r="BD23" s="1">
        <v>18.4</v>
      </c>
      <c r="BE23" s="1">
        <v>34.1</v>
      </c>
      <c r="BF23" s="1">
        <v>33.6</v>
      </c>
      <c r="BG23" s="1">
        <v>13.9</v>
      </c>
      <c r="BH23" s="1" t="s">
        <v>103</v>
      </c>
    </row>
    <row r="24">
      <c r="A24" s="2">
        <v>1045.0</v>
      </c>
      <c r="B24" s="2" t="str">
        <f>IFERROR(__xludf.DUMMYFUNCTION("TO_TEXT(A24)"),"01045")</f>
        <v>01045</v>
      </c>
      <c r="C24" s="1">
        <v>49607.0</v>
      </c>
      <c r="D24" s="1">
        <v>561.125964029544</v>
      </c>
      <c r="E24" s="1" t="s">
        <v>104</v>
      </c>
      <c r="F24" s="1" t="s">
        <v>105</v>
      </c>
      <c r="G24" s="1">
        <v>88.4061746916207</v>
      </c>
      <c r="H24" s="1">
        <v>23.433107031</v>
      </c>
      <c r="I24" s="1">
        <v>4.796090897</v>
      </c>
      <c r="J24" s="1">
        <v>8.4767923295</v>
      </c>
      <c r="K24" s="1">
        <v>20.057394929</v>
      </c>
      <c r="L24" s="1">
        <v>37.2</v>
      </c>
      <c r="M24" s="1">
        <v>6.7</v>
      </c>
      <c r="N24" s="1">
        <v>32.0</v>
      </c>
      <c r="O24" s="1">
        <v>46.3871365739999</v>
      </c>
      <c r="P24" s="1">
        <v>9.6988639182</v>
      </c>
      <c r="Q24" s="1">
        <v>18.28302</v>
      </c>
      <c r="R24" s="1">
        <v>90.3162055339999</v>
      </c>
      <c r="S24" s="1">
        <v>24.4</v>
      </c>
      <c r="T24" s="1">
        <v>11344.0</v>
      </c>
      <c r="U24" s="1">
        <v>32.775035261</v>
      </c>
      <c r="V24" s="1">
        <v>436.72141878</v>
      </c>
      <c r="W24" s="1">
        <v>13.6206437879999</v>
      </c>
      <c r="X24" s="1">
        <v>12.232746955</v>
      </c>
      <c r="Y24" s="1">
        <v>75.05295351</v>
      </c>
      <c r="Z24" s="1">
        <v>15.8</v>
      </c>
      <c r="AA24" s="1">
        <v>10.559380333</v>
      </c>
      <c r="AB24" s="1">
        <v>45309.0</v>
      </c>
      <c r="AC24" s="1">
        <v>62.593072192</v>
      </c>
      <c r="AD24" s="1">
        <v>60.198178897</v>
      </c>
      <c r="AE24" s="1">
        <v>12.905588103</v>
      </c>
      <c r="AF24" s="1">
        <v>20.45101724</v>
      </c>
      <c r="AG24" s="1">
        <v>0.800719012999999</v>
      </c>
      <c r="AH24" s="1">
        <v>1.4196421276</v>
      </c>
      <c r="AI24" s="1">
        <v>0.2124356565</v>
      </c>
      <c r="AJ24" s="1">
        <v>6.6386142659</v>
      </c>
      <c r="AK24" s="1">
        <v>68.367513686</v>
      </c>
      <c r="AL24" s="1">
        <v>1.0016513124</v>
      </c>
      <c r="AM24" s="1">
        <v>50.9294059969999</v>
      </c>
      <c r="AN24" s="1">
        <v>50.8885395319999</v>
      </c>
      <c r="AO24" s="1">
        <v>22834.0</v>
      </c>
      <c r="AP24" s="1">
        <v>20.5</v>
      </c>
      <c r="AQ24" s="1">
        <v>10.4</v>
      </c>
      <c r="AR24" s="1">
        <v>14.2</v>
      </c>
      <c r="AS24" s="1">
        <v>15.4</v>
      </c>
      <c r="AT24" s="1">
        <v>23.6</v>
      </c>
      <c r="AU24" s="1">
        <v>21.0</v>
      </c>
      <c r="AV24" s="1">
        <v>29.8</v>
      </c>
      <c r="AW24" s="1">
        <v>0.9</v>
      </c>
      <c r="AX24" s="1">
        <v>0.7463</v>
      </c>
      <c r="AY24" s="1">
        <v>18.1</v>
      </c>
      <c r="AZ24" s="1">
        <v>18.0</v>
      </c>
      <c r="BA24" s="1">
        <v>24.2</v>
      </c>
      <c r="BB24" s="1">
        <v>3.18</v>
      </c>
      <c r="BC24" s="1" t="s">
        <v>61</v>
      </c>
      <c r="BD24" s="1">
        <v>13.9</v>
      </c>
      <c r="BE24" s="1">
        <v>32.3</v>
      </c>
      <c r="BF24" s="1">
        <v>35.7</v>
      </c>
      <c r="BG24" s="1">
        <v>18.1</v>
      </c>
      <c r="BH24" s="1" t="s">
        <v>105</v>
      </c>
    </row>
    <row r="25">
      <c r="A25" s="2">
        <v>1047.0</v>
      </c>
      <c r="B25" s="2" t="str">
        <f>IFERROR(__xludf.DUMMYFUNCTION("TO_TEXT(A25)"),"01047")</f>
        <v>01047</v>
      </c>
      <c r="C25" s="1">
        <v>41426.0</v>
      </c>
      <c r="D25" s="1">
        <v>978.694136870338</v>
      </c>
      <c r="E25" s="1" t="s">
        <v>106</v>
      </c>
      <c r="F25" s="1" t="s">
        <v>107</v>
      </c>
      <c r="G25" s="1">
        <v>42.3278309732924</v>
      </c>
      <c r="H25" s="1">
        <v>29.826897822</v>
      </c>
      <c r="I25" s="1">
        <v>5.5911128935</v>
      </c>
      <c r="J25" s="1">
        <v>13.942307692</v>
      </c>
      <c r="K25" s="1">
        <v>24.0889910069999</v>
      </c>
      <c r="L25" s="1">
        <v>43.1</v>
      </c>
      <c r="M25" s="1">
        <v>4.6</v>
      </c>
      <c r="N25" s="1">
        <v>26.9</v>
      </c>
      <c r="O25" s="1">
        <v>59.637151985</v>
      </c>
      <c r="P25" s="1">
        <v>10.372407688</v>
      </c>
      <c r="Q25" s="1">
        <v>73.95129</v>
      </c>
      <c r="R25" s="1">
        <v>86.193293886</v>
      </c>
      <c r="S25" s="1">
        <v>48.0</v>
      </c>
      <c r="T25" s="1">
        <v>9687.0</v>
      </c>
      <c r="U25" s="1">
        <v>67.957055848</v>
      </c>
      <c r="V25" s="1">
        <v>924.56116843</v>
      </c>
      <c r="W25" s="1">
        <v>20.99378882</v>
      </c>
      <c r="X25" s="1">
        <v>17.608274079</v>
      </c>
      <c r="Y25" s="1">
        <v>71.1850713389999</v>
      </c>
      <c r="Z25" s="1">
        <v>15.9</v>
      </c>
      <c r="AA25" s="1">
        <v>11.556270932</v>
      </c>
      <c r="AB25" s="1">
        <v>34035.0</v>
      </c>
      <c r="AC25" s="1">
        <v>81.377393453</v>
      </c>
      <c r="AD25" s="1">
        <v>59.788197845</v>
      </c>
      <c r="AE25" s="1">
        <v>16.611317747</v>
      </c>
      <c r="AF25" s="1">
        <v>70.057426259</v>
      </c>
      <c r="AG25" s="1">
        <v>0.2897415818</v>
      </c>
      <c r="AH25" s="1">
        <v>0.5820934482</v>
      </c>
      <c r="AI25" s="1">
        <v>0.0443748369</v>
      </c>
      <c r="AJ25" s="1">
        <v>1.11198120599999</v>
      </c>
      <c r="AK25" s="1">
        <v>27.180892717</v>
      </c>
      <c r="AL25" s="1">
        <v>0.1118449084</v>
      </c>
      <c r="AM25" s="1">
        <v>53.837118246</v>
      </c>
      <c r="AN25" s="1">
        <v>45.638977636</v>
      </c>
      <c r="AO25" s="1">
        <v>17611.0</v>
      </c>
      <c r="AP25" s="1">
        <v>34.3</v>
      </c>
      <c r="AQ25" s="1">
        <v>14.9</v>
      </c>
      <c r="AR25" s="1">
        <v>21.0</v>
      </c>
      <c r="AS25" s="1">
        <v>15.7</v>
      </c>
      <c r="AT25" s="1">
        <v>25.2</v>
      </c>
      <c r="AU25" s="1">
        <v>18.0</v>
      </c>
      <c r="AV25" s="1">
        <v>71.9</v>
      </c>
      <c r="AW25" s="1">
        <v>0.1</v>
      </c>
      <c r="AX25" s="1">
        <v>0.9586</v>
      </c>
      <c r="AY25" s="1">
        <v>26.0</v>
      </c>
      <c r="AZ25" s="1">
        <v>22.7</v>
      </c>
      <c r="BA25" s="1">
        <v>32.6</v>
      </c>
      <c r="BB25" s="1">
        <v>3.16</v>
      </c>
      <c r="BC25" s="1" t="s">
        <v>61</v>
      </c>
      <c r="BD25" s="1">
        <v>18.2</v>
      </c>
      <c r="BE25" s="1">
        <v>35.9</v>
      </c>
      <c r="BF25" s="1">
        <v>31.2</v>
      </c>
      <c r="BG25" s="1">
        <v>14.7</v>
      </c>
      <c r="BH25" s="1" t="s">
        <v>107</v>
      </c>
    </row>
    <row r="26">
      <c r="A26" s="2">
        <v>1049.0</v>
      </c>
      <c r="B26" s="2" t="str">
        <f>IFERROR(__xludf.DUMMYFUNCTION("TO_TEXT(A26)"),"01049")</f>
        <v>01049</v>
      </c>
      <c r="C26" s="1">
        <v>70937.0</v>
      </c>
      <c r="D26" s="1">
        <v>777.09371735013</v>
      </c>
      <c r="E26" s="1" t="s">
        <v>108</v>
      </c>
      <c r="F26" s="1" t="s">
        <v>109</v>
      </c>
      <c r="G26" s="1">
        <v>91.2850000150475</v>
      </c>
      <c r="H26" s="1">
        <v>25.958981492</v>
      </c>
      <c r="I26" s="1">
        <v>5.0044055833</v>
      </c>
      <c r="J26" s="1">
        <v>8.2948520609</v>
      </c>
      <c r="K26" s="1">
        <v>21.028270793</v>
      </c>
      <c r="L26" s="1">
        <v>29.2</v>
      </c>
      <c r="M26" s="1">
        <v>8.2</v>
      </c>
      <c r="N26" s="1">
        <v>31.7</v>
      </c>
      <c r="O26" s="1">
        <v>45.037899563</v>
      </c>
      <c r="P26" s="1">
        <v>17.319033941</v>
      </c>
      <c r="Q26" s="1">
        <v>41.8895</v>
      </c>
      <c r="R26" s="1">
        <v>92.7429274289999</v>
      </c>
      <c r="S26" s="1">
        <v>29.6</v>
      </c>
      <c r="T26" s="1">
        <v>17357.0</v>
      </c>
      <c r="U26" s="1">
        <v>33.8768220309999</v>
      </c>
      <c r="V26" s="1">
        <v>312.33068808</v>
      </c>
      <c r="W26" s="1">
        <v>11.0842402259999</v>
      </c>
      <c r="X26" s="1">
        <v>8.18884478799999</v>
      </c>
      <c r="Y26" s="1">
        <v>74.458450235</v>
      </c>
      <c r="Z26" s="1">
        <v>12.8</v>
      </c>
      <c r="AA26" s="1">
        <v>2.1669646088</v>
      </c>
      <c r="AB26" s="1">
        <v>39491.0</v>
      </c>
      <c r="AC26" s="1">
        <v>68.662493823</v>
      </c>
      <c r="AD26" s="1">
        <v>71.192407776</v>
      </c>
      <c r="AE26" s="1">
        <v>9.8586824338</v>
      </c>
      <c r="AF26" s="1">
        <v>1.448483575</v>
      </c>
      <c r="AG26" s="1">
        <v>2.0298382013</v>
      </c>
      <c r="AH26" s="1">
        <v>0.5155144638</v>
      </c>
      <c r="AI26" s="1">
        <v>0.6401905162</v>
      </c>
      <c r="AJ26" s="1">
        <v>14.8420536529999</v>
      </c>
      <c r="AK26" s="1">
        <v>80.127477761</v>
      </c>
      <c r="AL26" s="1">
        <v>3.5056535572</v>
      </c>
      <c r="AM26" s="1">
        <v>50.370526021</v>
      </c>
      <c r="AN26" s="1">
        <v>90.130644504</v>
      </c>
      <c r="AO26" s="1">
        <v>18685.0</v>
      </c>
      <c r="AP26" s="1">
        <v>19.8</v>
      </c>
      <c r="AQ26" s="1">
        <v>6.3</v>
      </c>
      <c r="AR26" s="1">
        <v>27.4</v>
      </c>
      <c r="AS26" s="1">
        <v>15.5</v>
      </c>
      <c r="AT26" s="1">
        <v>24.7</v>
      </c>
      <c r="AU26" s="1">
        <v>15.4</v>
      </c>
      <c r="AV26" s="1">
        <v>19.0</v>
      </c>
      <c r="AW26" s="1">
        <v>3.8</v>
      </c>
      <c r="AX26" s="1">
        <v>0.750999999999999</v>
      </c>
      <c r="AY26" s="1">
        <v>18.2</v>
      </c>
      <c r="AZ26" s="1">
        <v>16.6</v>
      </c>
      <c r="BA26" s="1">
        <v>22.7</v>
      </c>
      <c r="BB26" s="1">
        <v>3.16</v>
      </c>
      <c r="BC26" s="1" t="s">
        <v>61</v>
      </c>
      <c r="BD26" s="1">
        <v>25.2</v>
      </c>
      <c r="BE26" s="1">
        <v>34.2</v>
      </c>
      <c r="BF26" s="1">
        <v>27.6</v>
      </c>
      <c r="BG26" s="1">
        <v>13.0</v>
      </c>
      <c r="BH26" s="1" t="s">
        <v>109</v>
      </c>
    </row>
    <row r="27">
      <c r="A27" s="2">
        <v>1051.0</v>
      </c>
      <c r="B27" s="2" t="str">
        <f>IFERROR(__xludf.DUMMYFUNCTION("TO_TEXT(A27)"),"01051")</f>
        <v>01051</v>
      </c>
      <c r="C27" s="1">
        <v>80957.0</v>
      </c>
      <c r="D27" s="1">
        <v>618.487733530468</v>
      </c>
      <c r="E27" s="1" t="s">
        <v>110</v>
      </c>
      <c r="F27" s="1" t="s">
        <v>111</v>
      </c>
      <c r="G27" s="1">
        <v>130.895077801914</v>
      </c>
      <c r="H27" s="1">
        <v>18.633862824</v>
      </c>
      <c r="I27" s="1">
        <v>4.6636068396</v>
      </c>
      <c r="J27" s="1">
        <v>9.2389649924</v>
      </c>
      <c r="K27" s="1">
        <v>17.45250185</v>
      </c>
      <c r="L27" s="1">
        <v>34.3</v>
      </c>
      <c r="M27" s="1">
        <v>7.6</v>
      </c>
      <c r="N27" s="1">
        <v>26.4</v>
      </c>
      <c r="O27" s="1">
        <v>51.730703756</v>
      </c>
      <c r="P27" s="1">
        <v>8.6557164469</v>
      </c>
      <c r="Q27" s="1">
        <v>25.71103</v>
      </c>
      <c r="R27" s="1">
        <v>86.157253599</v>
      </c>
      <c r="S27" s="1">
        <v>16.3</v>
      </c>
      <c r="T27" s="1">
        <v>18163.0</v>
      </c>
      <c r="U27" s="1">
        <v>31.288883995</v>
      </c>
      <c r="V27" s="1">
        <v>238.67666368</v>
      </c>
      <c r="W27" s="1">
        <v>11.370716511</v>
      </c>
      <c r="X27" s="1">
        <v>9.717097171</v>
      </c>
      <c r="Y27" s="1">
        <v>75.911969236</v>
      </c>
      <c r="Z27" s="1">
        <v>15.8</v>
      </c>
      <c r="AA27" s="1">
        <v>6.9430217138</v>
      </c>
      <c r="AB27" s="1">
        <v>60367.0</v>
      </c>
      <c r="AC27" s="1">
        <v>48.771956505</v>
      </c>
      <c r="AD27" s="1">
        <v>73.705521051</v>
      </c>
      <c r="AE27" s="1">
        <v>10.283266746</v>
      </c>
      <c r="AF27" s="1">
        <v>21.2146006079999</v>
      </c>
      <c r="AG27" s="1">
        <v>0.5190079011</v>
      </c>
      <c r="AH27" s="1">
        <v>0.709514330699999</v>
      </c>
      <c r="AI27" s="1">
        <v>0.1160135308</v>
      </c>
      <c r="AJ27" s="1">
        <v>3.0126882167</v>
      </c>
      <c r="AK27" s="1">
        <v>72.99205002</v>
      </c>
      <c r="AL27" s="1">
        <v>0.6655682829</v>
      </c>
      <c r="AM27" s="1">
        <v>51.658993491</v>
      </c>
      <c r="AN27" s="1">
        <v>54.18836614</v>
      </c>
      <c r="AO27" s="1">
        <v>24771.0</v>
      </c>
      <c r="AP27" s="1">
        <v>14.3</v>
      </c>
      <c r="AQ27" s="1">
        <v>7.5</v>
      </c>
      <c r="AR27" s="1">
        <v>13.2</v>
      </c>
      <c r="AS27" s="1">
        <v>13.9</v>
      </c>
      <c r="AT27" s="1">
        <v>22.9</v>
      </c>
      <c r="AU27" s="1">
        <v>17.4</v>
      </c>
      <c r="AV27" s="1">
        <v>26.3</v>
      </c>
      <c r="AW27" s="1">
        <v>0.8</v>
      </c>
      <c r="AX27" s="1">
        <v>0.5415</v>
      </c>
      <c r="AY27" s="1">
        <v>11.4</v>
      </c>
      <c r="AZ27" s="1">
        <v>14.3</v>
      </c>
      <c r="BA27" s="1">
        <v>19.3</v>
      </c>
      <c r="BB27" s="1">
        <v>3.36</v>
      </c>
      <c r="BC27" s="1" t="s">
        <v>61</v>
      </c>
      <c r="BD27" s="1">
        <v>13.4</v>
      </c>
      <c r="BE27" s="1">
        <v>32.5</v>
      </c>
      <c r="BF27" s="1">
        <v>29.1</v>
      </c>
      <c r="BG27" s="1">
        <v>25.1</v>
      </c>
      <c r="BH27" s="1" t="s">
        <v>111</v>
      </c>
    </row>
    <row r="28">
      <c r="A28" s="2">
        <v>1053.0</v>
      </c>
      <c r="B28" s="2" t="str">
        <f>IFERROR(__xludf.DUMMYFUNCTION("TO_TEXT(A28)"),"01053")</f>
        <v>01053</v>
      </c>
      <c r="C28" s="1">
        <v>37875.0</v>
      </c>
      <c r="D28" s="1">
        <v>945.080053506914</v>
      </c>
      <c r="E28" s="1" t="s">
        <v>112</v>
      </c>
      <c r="F28" s="1" t="s">
        <v>113</v>
      </c>
      <c r="G28" s="1">
        <v>40.0759701355002</v>
      </c>
      <c r="H28" s="1">
        <v>26.054891893</v>
      </c>
      <c r="I28" s="1">
        <v>5.1854976645</v>
      </c>
      <c r="J28" s="1">
        <v>9.4506213211</v>
      </c>
      <c r="K28" s="1">
        <v>22.412584583</v>
      </c>
      <c r="L28" s="1">
        <v>39.4</v>
      </c>
      <c r="M28" s="1">
        <v>6.6</v>
      </c>
      <c r="N28" s="1">
        <v>32.4</v>
      </c>
      <c r="O28" s="1">
        <v>48.130170412</v>
      </c>
      <c r="P28" s="1">
        <v>14.428344867</v>
      </c>
      <c r="Q28" s="1">
        <v>34.71573</v>
      </c>
      <c r="R28" s="1">
        <v>87.792207792</v>
      </c>
      <c r="S28" s="1">
        <v>32.8</v>
      </c>
      <c r="T28" s="1">
        <v>8231.0</v>
      </c>
      <c r="U28" s="1">
        <v>46.045437978</v>
      </c>
      <c r="V28" s="1">
        <v>446.24531575</v>
      </c>
      <c r="W28" s="1">
        <v>11.821204285</v>
      </c>
      <c r="X28" s="1">
        <v>9.5993776741</v>
      </c>
      <c r="Y28" s="1">
        <v>72.907359326</v>
      </c>
      <c r="Z28" s="1">
        <v>18.8</v>
      </c>
      <c r="AA28" s="1">
        <v>7.2199400283</v>
      </c>
      <c r="AB28" s="1">
        <v>38418.0</v>
      </c>
      <c r="AC28" s="1">
        <v>68.358154072</v>
      </c>
      <c r="AD28" s="1">
        <v>68.789097408</v>
      </c>
      <c r="AE28" s="1">
        <v>10.520696452</v>
      </c>
      <c r="AF28" s="1">
        <v>31.403069555</v>
      </c>
      <c r="AG28" s="1">
        <v>3.872319582</v>
      </c>
      <c r="AH28" s="1">
        <v>0.3047784913</v>
      </c>
      <c r="AI28" s="1">
        <v>0.0625884402</v>
      </c>
      <c r="AJ28" s="1">
        <v>2.4681615326</v>
      </c>
      <c r="AK28" s="1">
        <v>60.15565473</v>
      </c>
      <c r="AL28" s="1">
        <v>0.4885530875</v>
      </c>
      <c r="AM28" s="1">
        <v>49.308805921</v>
      </c>
      <c r="AN28" s="1">
        <v>63.511573893</v>
      </c>
      <c r="AO28" s="1">
        <v>17420.0</v>
      </c>
      <c r="AP28" s="1">
        <v>25.2</v>
      </c>
      <c r="AQ28" s="1">
        <v>15.2</v>
      </c>
      <c r="AR28" s="1">
        <v>19.5</v>
      </c>
      <c r="AS28" s="1">
        <v>16.7</v>
      </c>
      <c r="AT28" s="1">
        <v>22.3</v>
      </c>
      <c r="AU28" s="1">
        <v>20.2</v>
      </c>
      <c r="AV28" s="1">
        <v>39.4</v>
      </c>
      <c r="AW28" s="1">
        <v>0.2</v>
      </c>
      <c r="AX28" s="1">
        <v>0.8637</v>
      </c>
      <c r="AY28" s="1">
        <v>20.5</v>
      </c>
      <c r="AZ28" s="1">
        <v>19.4</v>
      </c>
      <c r="BA28" s="1">
        <v>26.5</v>
      </c>
      <c r="BB28" s="1">
        <v>2.99</v>
      </c>
      <c r="BC28" s="1" t="s">
        <v>61</v>
      </c>
      <c r="BD28" s="1">
        <v>18.9</v>
      </c>
      <c r="BE28" s="1">
        <v>43.7</v>
      </c>
      <c r="BF28" s="1">
        <v>24.9</v>
      </c>
      <c r="BG28" s="1">
        <v>12.5</v>
      </c>
      <c r="BH28" s="1" t="s">
        <v>113</v>
      </c>
    </row>
    <row r="29">
      <c r="A29" s="2">
        <v>1055.0</v>
      </c>
      <c r="B29" s="2" t="str">
        <f>IFERROR(__xludf.DUMMYFUNCTION("TO_TEXT(A29)"),"01055")</f>
        <v>01055</v>
      </c>
      <c r="C29" s="1">
        <v>103363.0</v>
      </c>
      <c r="D29" s="1">
        <v>535.28392666665</v>
      </c>
      <c r="E29" s="1" t="s">
        <v>114</v>
      </c>
      <c r="F29" s="1" t="s">
        <v>115</v>
      </c>
      <c r="G29" s="1">
        <v>193.099390530308</v>
      </c>
      <c r="H29" s="1">
        <v>21.483864058</v>
      </c>
      <c r="I29" s="1">
        <v>4.8363138983</v>
      </c>
      <c r="J29" s="1">
        <v>9.0078171978</v>
      </c>
      <c r="K29" s="1">
        <v>20.147398601</v>
      </c>
      <c r="L29" s="1">
        <v>35.5</v>
      </c>
      <c r="M29" s="1">
        <v>7.1</v>
      </c>
      <c r="N29" s="1">
        <v>34.1</v>
      </c>
      <c r="O29" s="1">
        <v>49.494398161</v>
      </c>
      <c r="P29" s="1">
        <v>12.46599573</v>
      </c>
      <c r="Q29" s="1">
        <v>80.77466</v>
      </c>
      <c r="R29" s="1">
        <v>90.272052762</v>
      </c>
      <c r="S29" s="1">
        <v>28.8</v>
      </c>
      <c r="T29" s="1">
        <v>22001.0</v>
      </c>
      <c r="U29" s="1">
        <v>37.266487887</v>
      </c>
      <c r="V29" s="1">
        <v>603.96261974</v>
      </c>
      <c r="W29" s="1">
        <v>11.222165992</v>
      </c>
      <c r="X29" s="1">
        <v>9.4846420769</v>
      </c>
      <c r="Y29" s="1">
        <v>73.034731692</v>
      </c>
      <c r="Z29" s="1">
        <v>15.7</v>
      </c>
      <c r="AA29" s="1">
        <v>9.4006166263</v>
      </c>
      <c r="AB29" s="1">
        <v>44903.0</v>
      </c>
      <c r="AC29" s="1">
        <v>58.093053735</v>
      </c>
      <c r="AD29" s="1">
        <v>71.90344792</v>
      </c>
      <c r="AE29" s="1">
        <v>9.3443960827</v>
      </c>
      <c r="AF29" s="1">
        <v>15.483751378</v>
      </c>
      <c r="AG29" s="1">
        <v>0.6087745485</v>
      </c>
      <c r="AH29" s="1">
        <v>0.8312114028</v>
      </c>
      <c r="AI29" s="1">
        <v>0.3102408757</v>
      </c>
      <c r="AJ29" s="1">
        <v>4.0155705798</v>
      </c>
      <c r="AK29" s="1">
        <v>77.686071355</v>
      </c>
      <c r="AL29" s="1">
        <v>1.2187840982</v>
      </c>
      <c r="AM29" s="1">
        <v>51.55852138</v>
      </c>
      <c r="AN29" s="1">
        <v>37.483481758</v>
      </c>
      <c r="AO29" s="1">
        <v>21287.0</v>
      </c>
      <c r="AP29" s="1">
        <v>18.4</v>
      </c>
      <c r="AQ29" s="1">
        <v>8.5</v>
      </c>
      <c r="AR29" s="1">
        <v>17.5</v>
      </c>
      <c r="AS29" s="1">
        <v>17.4</v>
      </c>
      <c r="AT29" s="1">
        <v>22.0</v>
      </c>
      <c r="AU29" s="1">
        <v>19.8</v>
      </c>
      <c r="AV29" s="1">
        <v>21.6</v>
      </c>
      <c r="AW29" s="1">
        <v>1.5</v>
      </c>
      <c r="AX29" s="1">
        <v>0.7335</v>
      </c>
      <c r="AY29" s="1">
        <v>18.8</v>
      </c>
      <c r="AZ29" s="1">
        <v>16.6</v>
      </c>
      <c r="BA29" s="1">
        <v>24.6</v>
      </c>
      <c r="BB29" s="1">
        <v>3.03</v>
      </c>
      <c r="BC29" s="1" t="s">
        <v>61</v>
      </c>
      <c r="BD29" s="1">
        <v>15.4</v>
      </c>
      <c r="BE29" s="1">
        <v>32.9</v>
      </c>
      <c r="BF29" s="1">
        <v>33.9</v>
      </c>
      <c r="BG29" s="1">
        <v>17.8</v>
      </c>
      <c r="BH29" s="1" t="s">
        <v>115</v>
      </c>
    </row>
    <row r="30">
      <c r="A30" s="2">
        <v>1057.0</v>
      </c>
      <c r="B30" s="2" t="str">
        <f>IFERROR(__xludf.DUMMYFUNCTION("TO_TEXT(A30)"),"01057")</f>
        <v>01057</v>
      </c>
      <c r="C30" s="1">
        <v>16783.0</v>
      </c>
      <c r="D30" s="1">
        <v>627.68342872507</v>
      </c>
      <c r="E30" s="1" t="s">
        <v>116</v>
      </c>
      <c r="F30" s="1" t="s">
        <v>117</v>
      </c>
      <c r="G30" s="1">
        <v>26.7380007690964</v>
      </c>
      <c r="H30" s="1">
        <v>22.19934392</v>
      </c>
      <c r="I30" s="1">
        <v>4.9761402811</v>
      </c>
      <c r="J30" s="1">
        <v>10.04048583</v>
      </c>
      <c r="K30" s="1">
        <v>18.001593256</v>
      </c>
      <c r="L30" s="1">
        <v>41.0</v>
      </c>
      <c r="M30" s="1">
        <v>7.9</v>
      </c>
      <c r="N30" s="1">
        <v>33.7</v>
      </c>
      <c r="O30" s="1">
        <v>34.162751581</v>
      </c>
      <c r="P30" s="1">
        <v>11.4599563729999</v>
      </c>
      <c r="Q30" s="1">
        <v>97.15812</v>
      </c>
      <c r="R30" s="1">
        <v>91.803278689</v>
      </c>
      <c r="S30" s="1">
        <v>37.4</v>
      </c>
      <c r="T30" s="1">
        <v>3478.0</v>
      </c>
      <c r="U30" s="1">
        <v>36.083956297</v>
      </c>
      <c r="V30" s="1">
        <v>204.509002055</v>
      </c>
      <c r="W30" s="1">
        <v>12.3357664229999</v>
      </c>
      <c r="X30" s="1">
        <v>10.412660849</v>
      </c>
      <c r="Y30" s="1">
        <v>74.586536263</v>
      </c>
      <c r="Z30" s="1">
        <v>23.3</v>
      </c>
      <c r="AA30" s="1">
        <v>1.3544586987</v>
      </c>
      <c r="AB30" s="1">
        <v>39254.0</v>
      </c>
      <c r="AC30" s="1">
        <v>61.545064378</v>
      </c>
      <c r="AD30" s="1">
        <v>77.90413128</v>
      </c>
      <c r="AE30" s="1">
        <v>10.212443096</v>
      </c>
      <c r="AF30" s="1">
        <v>11.854195825</v>
      </c>
      <c r="AG30" s="1">
        <v>0.4685693422</v>
      </c>
      <c r="AH30" s="1">
        <v>0.4381427615</v>
      </c>
      <c r="AI30" s="1">
        <v>0.0</v>
      </c>
      <c r="AJ30" s="1">
        <v>1.8073388913</v>
      </c>
      <c r="AK30" s="1">
        <v>84.1538367919999</v>
      </c>
      <c r="AL30" s="1">
        <v>0.0</v>
      </c>
      <c r="AM30" s="1">
        <v>51.1775086719999</v>
      </c>
      <c r="AN30" s="1">
        <v>80.23316513</v>
      </c>
      <c r="AO30" s="1">
        <v>20201.0</v>
      </c>
      <c r="AP30" s="1">
        <v>17.3</v>
      </c>
      <c r="AQ30" s="1">
        <v>8.8</v>
      </c>
      <c r="AR30" s="1">
        <v>20.8</v>
      </c>
      <c r="AS30" s="1">
        <v>19.5</v>
      </c>
      <c r="AT30" s="1">
        <v>21.5</v>
      </c>
      <c r="AU30" s="1">
        <v>27.5</v>
      </c>
      <c r="AV30" s="1">
        <v>14.8</v>
      </c>
      <c r="AW30" s="1">
        <v>0.0</v>
      </c>
      <c r="AX30" s="1">
        <v>0.7217</v>
      </c>
      <c r="AY30" s="1">
        <v>17.0</v>
      </c>
      <c r="AZ30" s="1">
        <v>18.3</v>
      </c>
      <c r="BA30" s="1">
        <v>27.8</v>
      </c>
      <c r="BB30" s="1">
        <v>3.24</v>
      </c>
      <c r="BC30" s="1" t="s">
        <v>61</v>
      </c>
      <c r="BD30" s="1">
        <v>17.4</v>
      </c>
      <c r="BE30" s="1">
        <v>41.3</v>
      </c>
      <c r="BF30" s="1">
        <v>28.9</v>
      </c>
      <c r="BG30" s="1">
        <v>12.4</v>
      </c>
      <c r="BH30" s="1" t="s">
        <v>117</v>
      </c>
    </row>
    <row r="31">
      <c r="A31" s="2">
        <v>1059.0</v>
      </c>
      <c r="B31" s="2" t="str">
        <f>IFERROR(__xludf.DUMMYFUNCTION("TO_TEXT(A31)"),"01059")</f>
        <v>01059</v>
      </c>
      <c r="C31" s="1">
        <v>31573.0</v>
      </c>
      <c r="D31" s="1">
        <v>633.816619612666</v>
      </c>
      <c r="E31" s="1" t="s">
        <v>118</v>
      </c>
      <c r="F31" s="1" t="s">
        <v>119</v>
      </c>
      <c r="G31" s="1">
        <v>49.8140929458345</v>
      </c>
      <c r="H31" s="1">
        <v>25.368021469</v>
      </c>
      <c r="I31" s="1">
        <v>5.1820135463</v>
      </c>
      <c r="J31" s="1">
        <v>9.9458728011</v>
      </c>
      <c r="K31" s="1">
        <v>19.250583044</v>
      </c>
      <c r="L31" s="1">
        <v>34.3</v>
      </c>
      <c r="M31" s="1">
        <v>7.9</v>
      </c>
      <c r="N31" s="1">
        <v>38.1</v>
      </c>
      <c r="O31" s="1">
        <v>58.147236942</v>
      </c>
      <c r="P31" s="1">
        <v>15.3034504</v>
      </c>
      <c r="Q31" s="1">
        <v>44.4515</v>
      </c>
      <c r="R31" s="1">
        <v>92.1052631579999</v>
      </c>
      <c r="S31" s="1">
        <v>30.1</v>
      </c>
      <c r="T31" s="1">
        <v>7770.0</v>
      </c>
      <c r="U31" s="1">
        <v>42.277992278</v>
      </c>
      <c r="V31" s="1">
        <v>264.23443643</v>
      </c>
      <c r="W31" s="1">
        <v>12.954253955</v>
      </c>
      <c r="X31" s="1">
        <v>8.6002632734</v>
      </c>
      <c r="Y31" s="1">
        <v>74.646282685</v>
      </c>
      <c r="Z31" s="1">
        <v>14.8</v>
      </c>
      <c r="AA31" s="1">
        <v>4.1206193939</v>
      </c>
      <c r="AB31" s="1">
        <v>39388.0</v>
      </c>
      <c r="AC31" s="1">
        <v>68.732715146</v>
      </c>
      <c r="AD31" s="1">
        <v>70.561998216</v>
      </c>
      <c r="AE31" s="1">
        <v>7.8846522322</v>
      </c>
      <c r="AF31" s="1">
        <v>3.8835570577</v>
      </c>
      <c r="AG31" s="1">
        <v>1.546408188</v>
      </c>
      <c r="AH31" s="1">
        <v>0.3411663425</v>
      </c>
      <c r="AI31" s="1">
        <v>0.2487006983</v>
      </c>
      <c r="AJ31" s="1">
        <v>17.750215222</v>
      </c>
      <c r="AK31" s="1">
        <v>76.175748493</v>
      </c>
      <c r="AL31" s="1">
        <v>5.1332675222</v>
      </c>
      <c r="AM31" s="1">
        <v>49.548831426</v>
      </c>
      <c r="AN31" s="1">
        <v>70.366515266</v>
      </c>
      <c r="AO31" s="1">
        <v>18193.0</v>
      </c>
      <c r="AP31" s="1">
        <v>22.3</v>
      </c>
      <c r="AQ31" s="1">
        <v>9.7</v>
      </c>
      <c r="AR31" s="1">
        <v>24.3</v>
      </c>
      <c r="AS31" s="1">
        <v>16.0</v>
      </c>
      <c r="AT31" s="1">
        <v>24.3</v>
      </c>
      <c r="AU31" s="1">
        <v>19.0</v>
      </c>
      <c r="AV31" s="1">
        <v>21.9</v>
      </c>
      <c r="AW31" s="1">
        <v>5.6</v>
      </c>
      <c r="AX31" s="1">
        <v>0.9195</v>
      </c>
      <c r="AY31" s="1">
        <v>16.1</v>
      </c>
      <c r="AZ31" s="1">
        <v>15.7</v>
      </c>
      <c r="BA31" s="1">
        <v>23.0</v>
      </c>
      <c r="BB31" s="1">
        <v>2.91</v>
      </c>
      <c r="BC31" s="1" t="s">
        <v>61</v>
      </c>
      <c r="BD31" s="1">
        <v>22.8</v>
      </c>
      <c r="BE31" s="1">
        <v>36.6</v>
      </c>
      <c r="BF31" s="1">
        <v>26.6</v>
      </c>
      <c r="BG31" s="1">
        <v>14.0</v>
      </c>
      <c r="BH31" s="1" t="s">
        <v>119</v>
      </c>
    </row>
    <row r="32">
      <c r="A32" s="2">
        <v>1061.0</v>
      </c>
      <c r="B32" s="2" t="str">
        <f>IFERROR(__xludf.DUMMYFUNCTION("TO_TEXT(A32)"),"01061")</f>
        <v>01061</v>
      </c>
      <c r="C32" s="1">
        <v>26765.0</v>
      </c>
      <c r="D32" s="1">
        <v>574.40810371854</v>
      </c>
      <c r="E32" s="1" t="s">
        <v>120</v>
      </c>
      <c r="F32" s="1" t="s">
        <v>121</v>
      </c>
      <c r="G32" s="1">
        <v>46.5957910877853</v>
      </c>
      <c r="H32" s="1">
        <v>23.0846692959999</v>
      </c>
      <c r="I32" s="1">
        <v>5.0139062509</v>
      </c>
      <c r="J32" s="1">
        <v>8.0910852713</v>
      </c>
      <c r="K32" s="1">
        <v>20.003603276</v>
      </c>
      <c r="L32" s="1">
        <v>38.7</v>
      </c>
      <c r="M32" s="1">
        <v>7.8</v>
      </c>
      <c r="N32" s="1">
        <v>36.8</v>
      </c>
      <c r="O32" s="1">
        <v>20.205300485</v>
      </c>
      <c r="P32" s="1">
        <v>14.07272901</v>
      </c>
      <c r="Q32" s="1">
        <v>30.27894</v>
      </c>
      <c r="R32" s="1">
        <v>90.2877697839999</v>
      </c>
      <c r="S32" s="1">
        <v>29.5</v>
      </c>
      <c r="T32" s="1">
        <v>5802.0</v>
      </c>
      <c r="U32" s="1">
        <v>40.86521889</v>
      </c>
      <c r="V32" s="1">
        <v>413.57112113</v>
      </c>
      <c r="W32" s="1">
        <v>10.18301267</v>
      </c>
      <c r="X32" s="1">
        <v>8.5031085605</v>
      </c>
      <c r="Y32" s="1">
        <v>73.794841437</v>
      </c>
      <c r="Z32" s="1">
        <v>16.9</v>
      </c>
      <c r="AA32" s="1">
        <v>0.9307847981</v>
      </c>
      <c r="AB32" s="1">
        <v>37823.0</v>
      </c>
      <c r="AC32" s="1">
        <v>59.229614807</v>
      </c>
      <c r="AD32" s="1">
        <v>70.808283233</v>
      </c>
      <c r="AE32" s="1">
        <v>11.6727844779999</v>
      </c>
      <c r="AF32" s="1">
        <v>9.31443338149999</v>
      </c>
      <c r="AG32" s="1">
        <v>1.0260697727</v>
      </c>
      <c r="AH32" s="1">
        <v>0.3420232576</v>
      </c>
      <c r="AI32" s="1">
        <v>0.0722049099</v>
      </c>
      <c r="AJ32" s="1">
        <v>4.0434749563</v>
      </c>
      <c r="AK32" s="1">
        <v>83.681690355</v>
      </c>
      <c r="AL32" s="1">
        <v>0.5829274136</v>
      </c>
      <c r="AM32" s="1">
        <v>51.181880368</v>
      </c>
      <c r="AN32" s="1">
        <v>89.641657335</v>
      </c>
      <c r="AO32" s="1">
        <v>20189.0</v>
      </c>
      <c r="AP32" s="1">
        <v>22.8</v>
      </c>
      <c r="AQ32" s="1">
        <v>10.3</v>
      </c>
      <c r="AR32" s="1">
        <v>22.3</v>
      </c>
      <c r="AS32" s="1">
        <v>19.0</v>
      </c>
      <c r="AT32" s="1">
        <v>22.2</v>
      </c>
      <c r="AU32" s="1">
        <v>22.0</v>
      </c>
      <c r="AV32" s="1">
        <v>15.9</v>
      </c>
      <c r="AW32" s="1">
        <v>1.0</v>
      </c>
      <c r="AX32" s="1">
        <v>0.8173</v>
      </c>
      <c r="AY32" s="1">
        <v>16.1</v>
      </c>
      <c r="AZ32" s="1">
        <v>19.0</v>
      </c>
      <c r="BA32" s="1">
        <v>28.1</v>
      </c>
      <c r="BB32" s="1">
        <v>2.95</v>
      </c>
      <c r="BC32" s="1" t="s">
        <v>61</v>
      </c>
      <c r="BD32" s="1">
        <v>19.7</v>
      </c>
      <c r="BE32" s="1">
        <v>36.0</v>
      </c>
      <c r="BF32" s="1">
        <v>31.8</v>
      </c>
      <c r="BG32" s="1">
        <v>12.5</v>
      </c>
      <c r="BH32" s="1" t="s">
        <v>121</v>
      </c>
    </row>
    <row r="33">
      <c r="A33" s="2">
        <v>1063.0</v>
      </c>
      <c r="B33" s="2" t="str">
        <f>IFERROR(__xludf.DUMMYFUNCTION("TO_TEXT(A33)"),"01063")</f>
        <v>01063</v>
      </c>
      <c r="C33" s="1">
        <v>8587.0</v>
      </c>
      <c r="D33" s="1">
        <v>647.104523804522</v>
      </c>
      <c r="E33" s="1" t="s">
        <v>122</v>
      </c>
      <c r="F33" s="1" t="s">
        <v>123</v>
      </c>
      <c r="G33" s="1">
        <v>13.2698809606746</v>
      </c>
      <c r="H33" s="1">
        <v>33.985155643</v>
      </c>
      <c r="I33" s="1">
        <v>5.46350149809999</v>
      </c>
      <c r="J33" s="1">
        <v>14.862914863</v>
      </c>
      <c r="K33" s="1">
        <v>24.632818706</v>
      </c>
      <c r="L33" s="1">
        <v>35.5</v>
      </c>
      <c r="M33" s="1">
        <v>3.2</v>
      </c>
      <c r="N33" s="1">
        <v>18.3</v>
      </c>
      <c r="O33" s="1">
        <v>6.2244333886</v>
      </c>
      <c r="P33" s="1">
        <v>11.446345257</v>
      </c>
      <c r="Q33" s="1">
        <v>48.01921</v>
      </c>
      <c r="R33" s="1">
        <v>77.528089888</v>
      </c>
      <c r="S33" s="1">
        <v>44.0</v>
      </c>
      <c r="T33" s="1">
        <v>1835.0</v>
      </c>
      <c r="U33" s="1">
        <v>77.002724796</v>
      </c>
      <c r="V33" s="1">
        <v>669.34404284</v>
      </c>
      <c r="W33" s="1">
        <v>19.323671498</v>
      </c>
      <c r="X33" s="1">
        <v>16.2711864409999</v>
      </c>
      <c r="Y33" s="1">
        <v>74.796604716</v>
      </c>
      <c r="Z33" s="1">
        <v>14.5</v>
      </c>
      <c r="AA33" s="1">
        <v>21.342475717</v>
      </c>
      <c r="AB33" s="1">
        <v>28524.0</v>
      </c>
      <c r="AC33" s="1">
        <v>85.474860335</v>
      </c>
      <c r="AD33" s="1">
        <v>68.7309644669999</v>
      </c>
      <c r="AE33" s="1">
        <v>18.9798339259999</v>
      </c>
      <c r="AF33" s="1">
        <v>79.6064618</v>
      </c>
      <c r="AG33" s="1">
        <v>0.3279484999</v>
      </c>
      <c r="AH33" s="1">
        <v>0.2672172962</v>
      </c>
      <c r="AI33" s="1">
        <v>0.0</v>
      </c>
      <c r="AJ33" s="1">
        <v>1.6640349812</v>
      </c>
      <c r="AK33" s="1">
        <v>17.527025386</v>
      </c>
      <c r="AL33" s="1">
        <v>0.0</v>
      </c>
      <c r="AM33" s="1">
        <v>52.787562249</v>
      </c>
      <c r="AN33" s="1">
        <v>100.0</v>
      </c>
      <c r="AO33" s="1">
        <v>13679.0</v>
      </c>
      <c r="AP33" s="1">
        <v>37.9</v>
      </c>
      <c r="AQ33" s="1">
        <v>18.2</v>
      </c>
      <c r="AR33" s="1">
        <v>23.1</v>
      </c>
      <c r="AS33" s="1">
        <v>18.0</v>
      </c>
      <c r="AT33" s="1">
        <v>23.2</v>
      </c>
      <c r="AU33" s="1">
        <v>26.2</v>
      </c>
      <c r="AV33" s="1">
        <v>82.9</v>
      </c>
      <c r="AW33" s="1">
        <v>0.0</v>
      </c>
      <c r="AX33" s="1">
        <v>0.9882</v>
      </c>
      <c r="AY33" s="1">
        <v>31.7</v>
      </c>
      <c r="AZ33" s="1">
        <v>26.1</v>
      </c>
      <c r="BA33" s="1">
        <v>38.6</v>
      </c>
      <c r="BB33" s="1">
        <v>3.34</v>
      </c>
      <c r="BC33" s="1" t="s">
        <v>61</v>
      </c>
      <c r="BD33" s="1">
        <v>20.8</v>
      </c>
      <c r="BE33" s="1">
        <v>38.6</v>
      </c>
      <c r="BF33" s="1">
        <v>30.5</v>
      </c>
      <c r="BG33" s="1">
        <v>10.1</v>
      </c>
      <c r="BH33" s="1" t="s">
        <v>123</v>
      </c>
    </row>
    <row r="34">
      <c r="A34" s="2">
        <v>1065.0</v>
      </c>
      <c r="B34" s="2" t="str">
        <f>IFERROR(__xludf.DUMMYFUNCTION("TO_TEXT(A34)"),"01065")</f>
        <v>01065</v>
      </c>
      <c r="C34" s="1">
        <v>15159.0</v>
      </c>
      <c r="D34" s="1">
        <v>643.942685491568</v>
      </c>
      <c r="E34" s="1" t="s">
        <v>124</v>
      </c>
      <c r="F34" s="1" t="s">
        <v>125</v>
      </c>
      <c r="G34" s="1">
        <v>23.5409149626849</v>
      </c>
      <c r="H34" s="1">
        <v>27.902570328</v>
      </c>
      <c r="I34" s="1">
        <v>5.2551295516</v>
      </c>
      <c r="J34" s="1">
        <v>13.4490238609999</v>
      </c>
      <c r="K34" s="1">
        <v>22.077291339</v>
      </c>
      <c r="L34" s="1">
        <v>40.4</v>
      </c>
      <c r="M34" s="1">
        <v>6.1</v>
      </c>
      <c r="N34" s="1">
        <v>27.8</v>
      </c>
      <c r="O34" s="1">
        <v>29.898477157</v>
      </c>
      <c r="P34" s="1">
        <v>10.560162464</v>
      </c>
      <c r="Q34" s="1">
        <v>20.25385</v>
      </c>
      <c r="R34" s="1">
        <v>91.282051282</v>
      </c>
      <c r="S34" s="1">
        <v>35.6</v>
      </c>
      <c r="T34" s="1">
        <v>3463.0</v>
      </c>
      <c r="U34" s="1">
        <v>58.504187121</v>
      </c>
      <c r="V34" s="1">
        <v>208.55807264</v>
      </c>
      <c r="W34" s="1">
        <v>16.554621849</v>
      </c>
      <c r="X34" s="1">
        <v>13.436426117</v>
      </c>
      <c r="Y34" s="1">
        <v>74.117018606</v>
      </c>
      <c r="Z34" s="1">
        <v>17.8</v>
      </c>
      <c r="AA34" s="1">
        <v>4.6475069881</v>
      </c>
      <c r="AB34" s="1">
        <v>34724.0</v>
      </c>
      <c r="AC34" s="1">
        <v>77.677873339</v>
      </c>
      <c r="AD34" s="1">
        <v>71.474019088</v>
      </c>
      <c r="AE34" s="1">
        <v>13.772819473</v>
      </c>
      <c r="AF34" s="1">
        <v>57.802526144</v>
      </c>
      <c r="AG34" s="1">
        <v>0.2512562814</v>
      </c>
      <c r="AH34" s="1">
        <v>0.2852098329</v>
      </c>
      <c r="AI34" s="1">
        <v>0.0135814206</v>
      </c>
      <c r="AJ34" s="1">
        <v>1.3581420617</v>
      </c>
      <c r="AK34" s="1">
        <v>39.725655304</v>
      </c>
      <c r="AL34" s="1">
        <v>0.0718597298</v>
      </c>
      <c r="AM34" s="1">
        <v>52.4107021589999</v>
      </c>
      <c r="AN34" s="1">
        <v>89.168781726</v>
      </c>
      <c r="AO34" s="1">
        <v>19296.0</v>
      </c>
      <c r="AP34" s="1">
        <v>25.9</v>
      </c>
      <c r="AQ34" s="1">
        <v>12.1</v>
      </c>
      <c r="AR34" s="1">
        <v>18.6</v>
      </c>
      <c r="AS34" s="1">
        <v>17.7</v>
      </c>
      <c r="AT34" s="1">
        <v>23.5</v>
      </c>
      <c r="AU34" s="1">
        <v>21.3</v>
      </c>
      <c r="AV34" s="1">
        <v>60.0</v>
      </c>
      <c r="AW34" s="1">
        <v>0.5</v>
      </c>
      <c r="AX34" s="1">
        <v>0.9793</v>
      </c>
      <c r="AY34" s="1">
        <v>20.5</v>
      </c>
      <c r="AZ34" s="1">
        <v>20.7</v>
      </c>
      <c r="BA34" s="1">
        <v>28.3</v>
      </c>
      <c r="BB34" s="1">
        <v>3.31</v>
      </c>
      <c r="BC34" s="1" t="s">
        <v>61</v>
      </c>
      <c r="BD34" s="1">
        <v>16.0</v>
      </c>
      <c r="BE34" s="1">
        <v>43.4</v>
      </c>
      <c r="BF34" s="1">
        <v>26.4</v>
      </c>
      <c r="BG34" s="1">
        <v>14.2</v>
      </c>
      <c r="BH34" s="1" t="s">
        <v>125</v>
      </c>
    </row>
    <row r="35">
      <c r="A35" s="2">
        <v>1067.0</v>
      </c>
      <c r="B35" s="2" t="str">
        <f>IFERROR(__xludf.DUMMYFUNCTION("TO_TEXT(A35)"),"01067")</f>
        <v>01067</v>
      </c>
      <c r="C35" s="1">
        <v>17187.0</v>
      </c>
      <c r="D35" s="1">
        <v>561.75007590473</v>
      </c>
      <c r="E35" s="1" t="s">
        <v>126</v>
      </c>
      <c r="F35" s="1" t="s">
        <v>127</v>
      </c>
      <c r="G35" s="1">
        <v>30.5954564800358</v>
      </c>
      <c r="H35" s="1">
        <v>21.419262062</v>
      </c>
      <c r="I35" s="1">
        <v>4.7585722287</v>
      </c>
      <c r="J35" s="1">
        <v>9.8509933775</v>
      </c>
      <c r="K35" s="1">
        <v>18.4298454409999</v>
      </c>
      <c r="L35" s="1">
        <v>36.3</v>
      </c>
      <c r="M35" s="1">
        <v>7.9</v>
      </c>
      <c r="N35" s="1">
        <v>35.4</v>
      </c>
      <c r="O35" s="1">
        <v>25.309212808</v>
      </c>
      <c r="P35" s="1">
        <v>12.187736563</v>
      </c>
      <c r="Q35" s="1">
        <v>29.15962</v>
      </c>
      <c r="R35" s="1">
        <v>97.905759162</v>
      </c>
      <c r="S35" s="1">
        <v>27.2</v>
      </c>
      <c r="T35" s="1">
        <v>3556.0</v>
      </c>
      <c r="U35" s="1">
        <v>25.112485939</v>
      </c>
      <c r="V35" s="1">
        <v>197.37229718</v>
      </c>
      <c r="W35" s="1">
        <v>10.688140556</v>
      </c>
      <c r="X35" s="1">
        <v>9.5593726662</v>
      </c>
      <c r="Y35" s="1">
        <v>76.232349375</v>
      </c>
      <c r="Z35" s="1">
        <v>16.6</v>
      </c>
      <c r="AA35" s="1">
        <v>2.1421679703</v>
      </c>
      <c r="AB35" s="1">
        <v>46027.0</v>
      </c>
      <c r="AC35" s="1">
        <v>57.484787018</v>
      </c>
      <c r="AD35" s="1">
        <v>82.801019643</v>
      </c>
      <c r="AE35" s="1">
        <v>8.9369708373</v>
      </c>
      <c r="AF35" s="1">
        <v>25.829507816</v>
      </c>
      <c r="AG35" s="1">
        <v>0.493927596</v>
      </c>
      <c r="AH35" s="1">
        <v>0.3718984252</v>
      </c>
      <c r="AI35" s="1">
        <v>0.0232436516</v>
      </c>
      <c r="AJ35" s="1">
        <v>2.6730199314</v>
      </c>
      <c r="AK35" s="1">
        <v>69.318379917</v>
      </c>
      <c r="AL35" s="1">
        <v>0.3149898092</v>
      </c>
      <c r="AM35" s="1">
        <v>51.769422976</v>
      </c>
      <c r="AN35" s="1">
        <v>87.752860941</v>
      </c>
      <c r="AO35" s="1">
        <v>22825.0</v>
      </c>
      <c r="AP35" s="1">
        <v>15.3</v>
      </c>
      <c r="AQ35" s="1">
        <v>7.5</v>
      </c>
      <c r="AR35" s="1">
        <v>19.3</v>
      </c>
      <c r="AS35" s="1">
        <v>20.6</v>
      </c>
      <c r="AT35" s="1">
        <v>21.1</v>
      </c>
      <c r="AU35" s="1">
        <v>19.7</v>
      </c>
      <c r="AV35" s="1">
        <v>31.4</v>
      </c>
      <c r="AW35" s="1">
        <v>0.7</v>
      </c>
      <c r="AX35" s="1">
        <v>0.596</v>
      </c>
      <c r="AY35" s="1">
        <v>17.2</v>
      </c>
      <c r="AZ35" s="1">
        <v>15.1</v>
      </c>
      <c r="BA35" s="1">
        <v>21.0</v>
      </c>
      <c r="BB35" s="1">
        <v>3.23</v>
      </c>
      <c r="BC35" s="1" t="s">
        <v>61</v>
      </c>
      <c r="BD35" s="1">
        <v>20.6</v>
      </c>
      <c r="BE35" s="1">
        <v>32.6</v>
      </c>
      <c r="BF35" s="1">
        <v>29.8</v>
      </c>
      <c r="BG35" s="1">
        <v>17.1</v>
      </c>
      <c r="BH35" s="1" t="s">
        <v>127</v>
      </c>
    </row>
    <row r="36">
      <c r="A36" s="2">
        <v>1069.0</v>
      </c>
      <c r="B36" s="2" t="str">
        <f>IFERROR(__xludf.DUMMYFUNCTION("TO_TEXT(A36)"),"01069")</f>
        <v>01069</v>
      </c>
      <c r="C36" s="1">
        <v>103891.0</v>
      </c>
      <c r="D36" s="1">
        <v>579.866113019409</v>
      </c>
      <c r="E36" s="1" t="s">
        <v>128</v>
      </c>
      <c r="F36" s="1" t="s">
        <v>129</v>
      </c>
      <c r="G36" s="1">
        <v>179.163771890429</v>
      </c>
      <c r="H36" s="1">
        <v>20.269797095</v>
      </c>
      <c r="I36" s="1">
        <v>4.7669545639</v>
      </c>
      <c r="J36" s="1">
        <v>10.519366197</v>
      </c>
      <c r="K36" s="1">
        <v>19.249782785</v>
      </c>
      <c r="L36" s="1">
        <v>38.1</v>
      </c>
      <c r="M36" s="1">
        <v>7.1</v>
      </c>
      <c r="N36" s="1">
        <v>30.6</v>
      </c>
      <c r="O36" s="1">
        <v>66.544555723</v>
      </c>
      <c r="P36" s="1">
        <v>11.070223497</v>
      </c>
      <c r="Q36" s="1">
        <v>84.33481</v>
      </c>
      <c r="R36" s="1">
        <v>90.917431193</v>
      </c>
      <c r="S36" s="1">
        <v>21.9</v>
      </c>
      <c r="T36" s="1">
        <v>24111.0</v>
      </c>
      <c r="U36" s="1">
        <v>42.250425117</v>
      </c>
      <c r="V36" s="1">
        <v>487.78848416</v>
      </c>
      <c r="W36" s="1">
        <v>13.451035184</v>
      </c>
      <c r="X36" s="1">
        <v>12.3690322579999</v>
      </c>
      <c r="Y36" s="1">
        <v>75.866636949</v>
      </c>
      <c r="Z36" s="1">
        <v>13.5</v>
      </c>
      <c r="AA36" s="1">
        <v>6.2826059381</v>
      </c>
      <c r="AB36" s="1">
        <v>47993.0</v>
      </c>
      <c r="AC36" s="1">
        <v>64.209985221</v>
      </c>
      <c r="AD36" s="1">
        <v>65.5771533389999</v>
      </c>
      <c r="AE36" s="1">
        <v>12.380573248</v>
      </c>
      <c r="AF36" s="1">
        <v>26.919844923</v>
      </c>
      <c r="AG36" s="1">
        <v>0.5404786005</v>
      </c>
      <c r="AH36" s="1">
        <v>1.0599491988</v>
      </c>
      <c r="AI36" s="1">
        <v>0.0945360096</v>
      </c>
      <c r="AJ36" s="1">
        <v>3.4386279865</v>
      </c>
      <c r="AK36" s="1">
        <v>66.318443116</v>
      </c>
      <c r="AL36" s="1">
        <v>0.592784557</v>
      </c>
      <c r="AM36" s="1">
        <v>51.981436565</v>
      </c>
      <c r="AN36" s="1">
        <v>33.804051326</v>
      </c>
      <c r="AO36" s="1">
        <v>24086.0</v>
      </c>
      <c r="AP36" s="1">
        <v>18.9</v>
      </c>
      <c r="AQ36" s="1">
        <v>8.1</v>
      </c>
      <c r="AR36" s="1">
        <v>15.1</v>
      </c>
      <c r="AS36" s="1">
        <v>16.0</v>
      </c>
      <c r="AT36" s="1">
        <v>23.8</v>
      </c>
      <c r="AU36" s="1">
        <v>17.7</v>
      </c>
      <c r="AV36" s="1">
        <v>32.5</v>
      </c>
      <c r="AW36" s="1">
        <v>0.8</v>
      </c>
      <c r="AX36" s="1">
        <v>0.6819</v>
      </c>
      <c r="AY36" s="1">
        <v>19.4</v>
      </c>
      <c r="AZ36" s="1">
        <v>16.9</v>
      </c>
      <c r="BA36" s="1">
        <v>23.6</v>
      </c>
      <c r="BB36" s="1">
        <v>3.24</v>
      </c>
      <c r="BC36" s="1" t="s">
        <v>61</v>
      </c>
      <c r="BD36" s="1">
        <v>14.0</v>
      </c>
      <c r="BE36" s="1">
        <v>31.2</v>
      </c>
      <c r="BF36" s="1">
        <v>33.1</v>
      </c>
      <c r="BG36" s="1">
        <v>21.7</v>
      </c>
      <c r="BH36" s="1" t="s">
        <v>129</v>
      </c>
    </row>
    <row r="37">
      <c r="A37" s="2">
        <v>1071.0</v>
      </c>
      <c r="B37" s="2" t="str">
        <f>IFERROR(__xludf.DUMMYFUNCTION("TO_TEXT(A37)"),"01071")</f>
        <v>01071</v>
      </c>
      <c r="C37" s="1">
        <v>52608.0</v>
      </c>
      <c r="D37" s="1">
        <v>1077.86697766591</v>
      </c>
      <c r="E37" s="1" t="s">
        <v>130</v>
      </c>
      <c r="F37" s="1" t="s">
        <v>131</v>
      </c>
      <c r="G37" s="1">
        <v>48.807506946656</v>
      </c>
      <c r="H37" s="1">
        <v>23.244761808</v>
      </c>
      <c r="I37" s="1">
        <v>5.0659560823</v>
      </c>
      <c r="J37" s="1">
        <v>8.948035488</v>
      </c>
      <c r="K37" s="1">
        <v>19.958920884</v>
      </c>
      <c r="L37" s="1">
        <v>38.7</v>
      </c>
      <c r="M37" s="1">
        <v>7.9</v>
      </c>
      <c r="N37" s="1">
        <v>29.1</v>
      </c>
      <c r="O37" s="1">
        <v>47.190335732</v>
      </c>
      <c r="P37" s="1">
        <v>13.050941708</v>
      </c>
      <c r="Q37" s="1">
        <v>53.94055</v>
      </c>
      <c r="R37" s="1">
        <v>90.117252931</v>
      </c>
      <c r="S37" s="1">
        <v>26.8</v>
      </c>
      <c r="T37" s="1">
        <v>11095.0</v>
      </c>
      <c r="U37" s="1">
        <v>30.896800361</v>
      </c>
      <c r="V37" s="1">
        <v>316.98494808</v>
      </c>
      <c r="W37" s="1">
        <v>10.804712961</v>
      </c>
      <c r="X37" s="1">
        <v>8.2136375421</v>
      </c>
      <c r="Y37" s="1">
        <v>73.807252187</v>
      </c>
      <c r="Z37" s="1">
        <v>16.5</v>
      </c>
      <c r="AA37" s="1">
        <v>3.2725105417</v>
      </c>
      <c r="AB37" s="1">
        <v>41929.0</v>
      </c>
      <c r="AC37" s="1">
        <v>57.1213262999999</v>
      </c>
      <c r="AD37" s="1">
        <v>74.090953166</v>
      </c>
      <c r="AE37" s="1">
        <v>10.335556034</v>
      </c>
      <c r="AF37" s="1">
        <v>3.413483841</v>
      </c>
      <c r="AG37" s="1">
        <v>1.68161434979999</v>
      </c>
      <c r="AH37" s="1">
        <v>0.5856656873</v>
      </c>
      <c r="AI37" s="1">
        <v>0.1101747333</v>
      </c>
      <c r="AJ37" s="1">
        <v>2.9534560074</v>
      </c>
      <c r="AK37" s="1">
        <v>89.067573836</v>
      </c>
      <c r="AL37" s="1">
        <v>0.4442100566</v>
      </c>
      <c r="AM37" s="1">
        <v>50.923921447</v>
      </c>
      <c r="AN37" s="1">
        <v>77.017303248</v>
      </c>
      <c r="AO37" s="1">
        <v>20487.0</v>
      </c>
      <c r="AP37" s="1">
        <v>18.8</v>
      </c>
      <c r="AQ37" s="1">
        <v>8.6</v>
      </c>
      <c r="AR37" s="1">
        <v>20.5</v>
      </c>
      <c r="AS37" s="1">
        <v>18.5</v>
      </c>
      <c r="AT37" s="1">
        <v>21.7</v>
      </c>
      <c r="AU37" s="1">
        <v>17.7</v>
      </c>
      <c r="AV37" s="1">
        <v>10.5</v>
      </c>
      <c r="AW37" s="1">
        <v>0.5</v>
      </c>
      <c r="AX37" s="1">
        <v>0.5788</v>
      </c>
      <c r="AY37" s="1">
        <v>14.7</v>
      </c>
      <c r="AZ37" s="1">
        <v>17.2</v>
      </c>
      <c r="BA37" s="1">
        <v>24.3</v>
      </c>
      <c r="BB37" s="1">
        <v>3.21</v>
      </c>
      <c r="BC37" s="1" t="s">
        <v>61</v>
      </c>
      <c r="BD37" s="1">
        <v>16.8</v>
      </c>
      <c r="BE37" s="1">
        <v>41.0</v>
      </c>
      <c r="BF37" s="1">
        <v>28.2</v>
      </c>
      <c r="BG37" s="1">
        <v>14.0</v>
      </c>
      <c r="BH37" s="1" t="s">
        <v>131</v>
      </c>
    </row>
    <row r="38">
      <c r="A38" s="2">
        <v>1073.0</v>
      </c>
      <c r="B38" s="2" t="str">
        <f>IFERROR(__xludf.DUMMYFUNCTION("TO_TEXT(A38)"),"01073")</f>
        <v>01073</v>
      </c>
      <c r="C38" s="1">
        <v>659096.0</v>
      </c>
      <c r="D38" s="1">
        <v>1111.28808802193</v>
      </c>
      <c r="E38" s="1" t="s">
        <v>132</v>
      </c>
      <c r="F38" s="1" t="s">
        <v>133</v>
      </c>
      <c r="G38" s="1">
        <v>593.091932779715</v>
      </c>
      <c r="H38" s="1">
        <v>19.696302144</v>
      </c>
      <c r="I38" s="1">
        <v>4.7365444738</v>
      </c>
      <c r="J38" s="1">
        <v>11.3285340309999</v>
      </c>
      <c r="K38" s="1">
        <v>17.622045263</v>
      </c>
      <c r="L38" s="1">
        <v>34.6</v>
      </c>
      <c r="M38" s="1">
        <v>6.3</v>
      </c>
      <c r="N38" s="1">
        <v>30.1</v>
      </c>
      <c r="O38" s="1">
        <v>78.627749952</v>
      </c>
      <c r="P38" s="1">
        <v>10.049484847</v>
      </c>
      <c r="Q38" s="1">
        <v>107.5551</v>
      </c>
      <c r="R38" s="1">
        <v>88.73381114</v>
      </c>
      <c r="S38" s="1">
        <v>22.6</v>
      </c>
      <c r="T38" s="1">
        <v>150643.0</v>
      </c>
      <c r="U38" s="1">
        <v>42.576156874</v>
      </c>
      <c r="V38" s="1">
        <v>872.75002018</v>
      </c>
      <c r="W38" s="1">
        <v>16.762486868</v>
      </c>
      <c r="X38" s="1">
        <v>15.3876089659999</v>
      </c>
      <c r="Y38" s="1">
        <v>74.671162642</v>
      </c>
      <c r="Z38" s="1">
        <v>12.9</v>
      </c>
      <c r="AA38" s="1">
        <v>12.271590614</v>
      </c>
      <c r="AB38" s="1">
        <v>55013.0</v>
      </c>
      <c r="AC38" s="1">
        <v>52.876546327</v>
      </c>
      <c r="AD38" s="1">
        <v>62.799129248</v>
      </c>
      <c r="AE38" s="1">
        <v>15.13814359</v>
      </c>
      <c r="AF38" s="1">
        <v>43.126042773</v>
      </c>
      <c r="AG38" s="1">
        <v>0.2869710299</v>
      </c>
      <c r="AH38" s="1">
        <v>1.77096920979999</v>
      </c>
      <c r="AI38" s="1">
        <v>0.0570301835</v>
      </c>
      <c r="AJ38" s="1">
        <v>3.9808888215</v>
      </c>
      <c r="AK38" s="1">
        <v>49.699833156</v>
      </c>
      <c r="AL38" s="1">
        <v>1.229600473</v>
      </c>
      <c r="AM38" s="1">
        <v>52.739117246</v>
      </c>
      <c r="AN38" s="1">
        <v>9.833765145</v>
      </c>
      <c r="AO38" s="1">
        <v>28162.0</v>
      </c>
      <c r="AP38" s="1">
        <v>18.1</v>
      </c>
      <c r="AQ38" s="1">
        <v>8.2</v>
      </c>
      <c r="AR38" s="1">
        <v>11.0</v>
      </c>
      <c r="AS38" s="1">
        <v>14.3</v>
      </c>
      <c r="AT38" s="1">
        <v>23.1</v>
      </c>
      <c r="AU38" s="1">
        <v>15.0</v>
      </c>
      <c r="AV38" s="1">
        <v>49.3</v>
      </c>
      <c r="AW38" s="1">
        <v>1.3</v>
      </c>
      <c r="AX38" s="1">
        <v>0.6409</v>
      </c>
      <c r="AY38" s="1">
        <v>16.2</v>
      </c>
      <c r="AZ38" s="1">
        <v>16.1</v>
      </c>
      <c r="BA38" s="1">
        <v>21.1</v>
      </c>
      <c r="BB38" s="1">
        <v>3.21</v>
      </c>
      <c r="BC38" s="1" t="s">
        <v>61</v>
      </c>
      <c r="BD38" s="1">
        <v>9.9</v>
      </c>
      <c r="BE38" s="1">
        <v>26.4</v>
      </c>
      <c r="BF38" s="1">
        <v>30.3</v>
      </c>
      <c r="BG38" s="1">
        <v>33.4</v>
      </c>
      <c r="BH38" s="1" t="s">
        <v>133</v>
      </c>
    </row>
    <row r="39">
      <c r="A39" s="2">
        <v>1075.0</v>
      </c>
      <c r="B39" s="2" t="str">
        <f>IFERROR(__xludf.DUMMYFUNCTION("TO_TEXT(A39)"),"01075")</f>
        <v>01075</v>
      </c>
      <c r="C39" s="1">
        <v>14066.0</v>
      </c>
      <c r="D39" s="1">
        <v>604.846018207178</v>
      </c>
      <c r="E39" s="1" t="s">
        <v>134</v>
      </c>
      <c r="F39" s="1" t="s">
        <v>135</v>
      </c>
      <c r="G39" s="1">
        <v>23.2555056602554</v>
      </c>
      <c r="H39" s="1">
        <v>24.255310984</v>
      </c>
      <c r="I39" s="1">
        <v>5.147942525</v>
      </c>
      <c r="J39" s="1">
        <v>9.5463137996</v>
      </c>
      <c r="K39" s="1">
        <v>20.430552004</v>
      </c>
      <c r="L39" s="1">
        <v>35.7</v>
      </c>
      <c r="M39" s="1">
        <v>7.8</v>
      </c>
      <c r="N39" s="1">
        <v>36.5</v>
      </c>
      <c r="O39" s="1">
        <v>10.313100796</v>
      </c>
      <c r="P39" s="1">
        <v>11.531698288</v>
      </c>
      <c r="Q39" s="1">
        <v>48.31939</v>
      </c>
      <c r="R39" s="1">
        <v>94.285714286</v>
      </c>
      <c r="S39" s="1">
        <v>25.3</v>
      </c>
      <c r="T39" s="1">
        <v>3053.0</v>
      </c>
      <c r="U39" s="1">
        <v>21.061251228</v>
      </c>
      <c r="V39" s="1">
        <v>162.21172156</v>
      </c>
      <c r="W39" s="1">
        <v>10.648918469</v>
      </c>
      <c r="X39" s="1">
        <v>8.4398976982</v>
      </c>
      <c r="Y39" s="1">
        <v>74.3449866019999</v>
      </c>
      <c r="Z39" s="1">
        <v>18.8</v>
      </c>
      <c r="AA39" s="1">
        <v>0.7506765904</v>
      </c>
      <c r="AB39" s="1">
        <v>40936.0</v>
      </c>
      <c r="AC39" s="1">
        <v>58.8949351189999</v>
      </c>
      <c r="AD39" s="1">
        <v>76.447941078</v>
      </c>
      <c r="AE39" s="1">
        <v>7.0508231926</v>
      </c>
      <c r="AF39" s="1">
        <v>10.394394684</v>
      </c>
      <c r="AG39" s="1">
        <v>0.2889338342</v>
      </c>
      <c r="AH39" s="1">
        <v>0.101126842</v>
      </c>
      <c r="AI39" s="1">
        <v>0.0144466917</v>
      </c>
      <c r="AJ39" s="1">
        <v>1.69026292979999</v>
      </c>
      <c r="AK39" s="1">
        <v>85.972262352</v>
      </c>
      <c r="AL39" s="1">
        <v>0.0302251776</v>
      </c>
      <c r="AM39" s="1">
        <v>51.119618607</v>
      </c>
      <c r="AN39" s="1">
        <v>100.0</v>
      </c>
      <c r="AO39" s="1">
        <v>20206.0</v>
      </c>
      <c r="AP39" s="1">
        <v>23.9</v>
      </c>
      <c r="AQ39" s="1">
        <v>9.5</v>
      </c>
      <c r="AR39" s="1">
        <v>22.6</v>
      </c>
      <c r="AS39" s="1">
        <v>20.2</v>
      </c>
      <c r="AT39" s="1">
        <v>21.7</v>
      </c>
      <c r="AU39" s="1">
        <v>23.2</v>
      </c>
      <c r="AV39" s="1">
        <v>13.9</v>
      </c>
      <c r="AW39" s="1">
        <v>0.3</v>
      </c>
      <c r="AX39" s="1">
        <v>0.6804</v>
      </c>
      <c r="AY39" s="1">
        <v>15.3</v>
      </c>
      <c r="AZ39" s="1">
        <v>18.3</v>
      </c>
      <c r="BA39" s="1">
        <v>27.4</v>
      </c>
      <c r="BB39" s="1">
        <v>3.16</v>
      </c>
      <c r="BC39" s="1" t="s">
        <v>61</v>
      </c>
      <c r="BD39" s="1">
        <v>17.7</v>
      </c>
      <c r="BE39" s="1">
        <v>39.8</v>
      </c>
      <c r="BF39" s="1">
        <v>30.6</v>
      </c>
      <c r="BG39" s="1">
        <v>11.9</v>
      </c>
      <c r="BH39" s="1" t="s">
        <v>135</v>
      </c>
    </row>
    <row r="40">
      <c r="A40" s="2">
        <v>1077.0</v>
      </c>
      <c r="B40" s="2" t="str">
        <f>IFERROR(__xludf.DUMMYFUNCTION("TO_TEXT(A40)"),"01077")</f>
        <v>01077</v>
      </c>
      <c r="C40" s="1">
        <v>92641.0</v>
      </c>
      <c r="D40" s="1">
        <v>667.69934695616</v>
      </c>
      <c r="E40" s="1" t="s">
        <v>136</v>
      </c>
      <c r="F40" s="1" t="s">
        <v>137</v>
      </c>
      <c r="G40" s="1">
        <v>138.746578714391</v>
      </c>
      <c r="H40" s="1">
        <v>20.125833414</v>
      </c>
      <c r="I40" s="1">
        <v>4.7585484725</v>
      </c>
      <c r="J40" s="1">
        <v>9.8630989421</v>
      </c>
      <c r="K40" s="1">
        <v>16.6560043</v>
      </c>
      <c r="L40" s="1">
        <v>32.5</v>
      </c>
      <c r="M40" s="1">
        <v>7.6</v>
      </c>
      <c r="N40" s="1">
        <v>28.5</v>
      </c>
      <c r="O40" s="1">
        <v>65.492023428</v>
      </c>
      <c r="P40" s="1">
        <v>11.285158773</v>
      </c>
      <c r="Q40" s="1">
        <v>50.78995</v>
      </c>
      <c r="R40" s="1">
        <v>94.385285576</v>
      </c>
      <c r="S40" s="1">
        <v>17.9</v>
      </c>
      <c r="T40" s="1">
        <v>18359.0</v>
      </c>
      <c r="U40" s="1">
        <v>32.681518601</v>
      </c>
      <c r="V40" s="1">
        <v>268.60320916</v>
      </c>
      <c r="W40" s="1">
        <v>12.5912408759999</v>
      </c>
      <c r="X40" s="1">
        <v>11.221384147</v>
      </c>
      <c r="Y40" s="1">
        <v>76.169526048</v>
      </c>
      <c r="Z40" s="1">
        <v>13.8</v>
      </c>
      <c r="AA40" s="1">
        <v>5.0380740879</v>
      </c>
      <c r="AB40" s="1">
        <v>48707.0</v>
      </c>
      <c r="AC40" s="1">
        <v>49.126809314</v>
      </c>
      <c r="AD40" s="1">
        <v>68.484187568</v>
      </c>
      <c r="AE40" s="1">
        <v>10.913238244</v>
      </c>
      <c r="AF40" s="1">
        <v>9.8931667875</v>
      </c>
      <c r="AG40" s="1">
        <v>0.4513622046</v>
      </c>
      <c r="AH40" s="1">
        <v>0.766341584899999</v>
      </c>
      <c r="AI40" s="1">
        <v>0.0562849752</v>
      </c>
      <c r="AJ40" s="1">
        <v>2.8618745062</v>
      </c>
      <c r="AK40" s="1">
        <v>84.604976891</v>
      </c>
      <c r="AL40" s="1">
        <v>0.5737117099</v>
      </c>
      <c r="AM40" s="1">
        <v>52.020305887</v>
      </c>
      <c r="AN40" s="1">
        <v>49.295106192</v>
      </c>
      <c r="AO40" s="1">
        <v>24893.0</v>
      </c>
      <c r="AP40" s="1">
        <v>18.3</v>
      </c>
      <c r="AQ40" s="1">
        <v>7.6</v>
      </c>
      <c r="AR40" s="1">
        <v>15.1</v>
      </c>
      <c r="AS40" s="1">
        <v>18.3</v>
      </c>
      <c r="AT40" s="1">
        <v>20.5</v>
      </c>
      <c r="AU40" s="1">
        <v>15.6</v>
      </c>
      <c r="AV40" s="1">
        <v>15.0</v>
      </c>
      <c r="AW40" s="1">
        <v>0.6</v>
      </c>
      <c r="AX40" s="1">
        <v>0.5396</v>
      </c>
      <c r="AY40" s="1">
        <v>15.7</v>
      </c>
      <c r="AZ40" s="1">
        <v>14.9</v>
      </c>
      <c r="BA40" s="1">
        <v>20.3</v>
      </c>
      <c r="BB40" s="1">
        <v>2.93</v>
      </c>
      <c r="BC40" s="1" t="s">
        <v>61</v>
      </c>
      <c r="BD40" s="1">
        <v>12.6</v>
      </c>
      <c r="BE40" s="1">
        <v>36.0</v>
      </c>
      <c r="BF40" s="1">
        <v>27.9</v>
      </c>
      <c r="BG40" s="1">
        <v>23.5</v>
      </c>
      <c r="BH40" s="1" t="s">
        <v>137</v>
      </c>
    </row>
    <row r="41">
      <c r="A41" s="2">
        <v>1079.0</v>
      </c>
      <c r="B41" s="2" t="str">
        <f>IFERROR(__xludf.DUMMYFUNCTION("TO_TEXT(A41)"),"01079")</f>
        <v>01079</v>
      </c>
      <c r="C41" s="1">
        <v>33433.0</v>
      </c>
      <c r="D41" s="1">
        <v>690.677152269394</v>
      </c>
      <c r="E41" s="1" t="s">
        <v>138</v>
      </c>
      <c r="F41" s="1" t="s">
        <v>139</v>
      </c>
      <c r="G41" s="1">
        <v>48.4061183870748</v>
      </c>
      <c r="H41" s="1">
        <v>21.833803124</v>
      </c>
      <c r="I41" s="1">
        <v>5.0484569202</v>
      </c>
      <c r="J41" s="1">
        <v>8.5222830336</v>
      </c>
      <c r="K41" s="1">
        <v>20.18764616</v>
      </c>
      <c r="L41" s="1">
        <v>32.6</v>
      </c>
      <c r="M41" s="1">
        <v>8.0</v>
      </c>
      <c r="N41" s="1">
        <v>36.4</v>
      </c>
      <c r="O41" s="1">
        <v>48.985118961</v>
      </c>
      <c r="P41" s="1">
        <v>14.028629857</v>
      </c>
      <c r="Q41" s="1">
        <v>15.12905</v>
      </c>
      <c r="R41" s="1">
        <v>88.055555556</v>
      </c>
      <c r="S41" s="1">
        <v>31.4</v>
      </c>
      <c r="T41" s="1">
        <v>7212.0</v>
      </c>
      <c r="U41" s="1">
        <v>29.700499168</v>
      </c>
      <c r="V41" s="1">
        <v>260.45300219</v>
      </c>
      <c r="W41" s="1">
        <v>10.623123123</v>
      </c>
      <c r="X41" s="1">
        <v>9.1083781706</v>
      </c>
      <c r="Y41" s="1">
        <v>73.8154035869999</v>
      </c>
      <c r="Z41" s="1">
        <v>19.3</v>
      </c>
      <c r="AA41" s="1">
        <v>2.1224881728</v>
      </c>
      <c r="AB41" s="1">
        <v>43909.0</v>
      </c>
      <c r="AC41" s="1">
        <v>61.274716029</v>
      </c>
      <c r="AD41" s="1">
        <v>79.096089298</v>
      </c>
      <c r="AE41" s="1">
        <v>9.1666666667</v>
      </c>
      <c r="AF41" s="1">
        <v>10.832296629</v>
      </c>
      <c r="AG41" s="1">
        <v>5.8045331796</v>
      </c>
      <c r="AH41" s="1">
        <v>0.2336377704</v>
      </c>
      <c r="AI41" s="1">
        <v>0.0212397973</v>
      </c>
      <c r="AJ41" s="1">
        <v>2.227144461</v>
      </c>
      <c r="AK41" s="1">
        <v>76.384379646</v>
      </c>
      <c r="AL41" s="1">
        <v>0.1979818623</v>
      </c>
      <c r="AM41" s="1">
        <v>51.309281791</v>
      </c>
      <c r="AN41" s="1">
        <v>91.289787123</v>
      </c>
      <c r="AO41" s="1">
        <v>21911.0</v>
      </c>
      <c r="AP41" s="1">
        <v>18.3</v>
      </c>
      <c r="AQ41" s="1">
        <v>8.3</v>
      </c>
      <c r="AR41" s="1">
        <v>22.5</v>
      </c>
      <c r="AS41" s="1">
        <v>16.2</v>
      </c>
      <c r="AT41" s="1">
        <v>21.9</v>
      </c>
      <c r="AU41" s="1">
        <v>20.5</v>
      </c>
      <c r="AV41" s="1">
        <v>23.3</v>
      </c>
      <c r="AW41" s="1">
        <v>0.1</v>
      </c>
      <c r="AX41" s="1">
        <v>0.4858</v>
      </c>
      <c r="AY41" s="1">
        <v>17.7</v>
      </c>
      <c r="AZ41" s="1">
        <v>16.5</v>
      </c>
      <c r="BA41" s="1">
        <v>22.7</v>
      </c>
      <c r="BB41" s="1">
        <v>3.17</v>
      </c>
      <c r="BC41" s="1" t="s">
        <v>61</v>
      </c>
      <c r="BD41" s="1">
        <v>20.7</v>
      </c>
      <c r="BE41" s="1">
        <v>41.2</v>
      </c>
      <c r="BF41" s="1">
        <v>25.5</v>
      </c>
      <c r="BG41" s="1">
        <v>12.6</v>
      </c>
      <c r="BH41" s="1" t="s">
        <v>139</v>
      </c>
    </row>
    <row r="42">
      <c r="A42" s="2">
        <v>1081.0</v>
      </c>
      <c r="B42" s="2" t="str">
        <f>IFERROR(__xludf.DUMMYFUNCTION("TO_TEXT(A42)"),"01081")</f>
        <v>01081</v>
      </c>
      <c r="C42" s="1">
        <v>153947.0</v>
      </c>
      <c r="D42" s="1">
        <v>607.551704420374</v>
      </c>
      <c r="E42" s="1" t="s">
        <v>140</v>
      </c>
      <c r="F42" s="1" t="s">
        <v>141</v>
      </c>
      <c r="G42" s="1">
        <v>253.389133599536</v>
      </c>
      <c r="H42" s="1">
        <v>21.463907829</v>
      </c>
      <c r="I42" s="1">
        <v>4.63451199329999</v>
      </c>
      <c r="J42" s="1">
        <v>8.6847121616</v>
      </c>
      <c r="K42" s="1">
        <v>17.560140407</v>
      </c>
      <c r="L42" s="1">
        <v>29.9</v>
      </c>
      <c r="M42" s="1">
        <v>6.4</v>
      </c>
      <c r="N42" s="1">
        <v>21.3</v>
      </c>
      <c r="O42" s="1">
        <v>67.74904276</v>
      </c>
      <c r="P42" s="1">
        <v>10.350184992</v>
      </c>
      <c r="Q42" s="1">
        <v>52.59771</v>
      </c>
      <c r="R42" s="1">
        <v>91.143028127</v>
      </c>
      <c r="S42" s="1">
        <v>19.3</v>
      </c>
      <c r="T42" s="1">
        <v>34143.0</v>
      </c>
      <c r="U42" s="1">
        <v>35.808218376</v>
      </c>
      <c r="V42" s="1">
        <v>415.63740099</v>
      </c>
      <c r="W42" s="1">
        <v>19.231433506</v>
      </c>
      <c r="X42" s="1">
        <v>17.561580719</v>
      </c>
      <c r="Y42" s="1">
        <v>78.225980277</v>
      </c>
      <c r="Z42" s="1">
        <v>9.0</v>
      </c>
      <c r="AA42" s="1">
        <v>12.249503723</v>
      </c>
      <c r="AB42" s="1">
        <v>48937.0</v>
      </c>
      <c r="AC42" s="1">
        <v>46.932347877</v>
      </c>
      <c r="AD42" s="1">
        <v>60.3321375039999</v>
      </c>
      <c r="AE42" s="1">
        <v>17.499911294</v>
      </c>
      <c r="AF42" s="1">
        <v>22.777096638</v>
      </c>
      <c r="AG42" s="1">
        <v>0.3726950549</v>
      </c>
      <c r="AH42" s="1">
        <v>4.1941918129</v>
      </c>
      <c r="AI42" s="1">
        <v>0.0902763799</v>
      </c>
      <c r="AJ42" s="1">
        <v>3.7598892284</v>
      </c>
      <c r="AK42" s="1">
        <v>67.476104208</v>
      </c>
      <c r="AL42" s="1">
        <v>1.1737935084</v>
      </c>
      <c r="AM42" s="1">
        <v>50.812182431</v>
      </c>
      <c r="AN42" s="1">
        <v>27.409498955</v>
      </c>
      <c r="AO42" s="1">
        <v>24951.0</v>
      </c>
      <c r="AP42" s="1">
        <v>23.0</v>
      </c>
      <c r="AQ42" s="1">
        <v>6.1</v>
      </c>
      <c r="AR42" s="1">
        <v>11.3</v>
      </c>
      <c r="AS42" s="1">
        <v>10.3</v>
      </c>
      <c r="AT42" s="1">
        <v>21.8</v>
      </c>
      <c r="AU42" s="1">
        <v>12.2</v>
      </c>
      <c r="AV42" s="1">
        <v>32.1</v>
      </c>
      <c r="AW42" s="1">
        <v>1.3</v>
      </c>
      <c r="AX42" s="1">
        <v>0.5989</v>
      </c>
      <c r="AY42" s="1">
        <v>15.5</v>
      </c>
      <c r="AZ42" s="1">
        <v>15.5</v>
      </c>
      <c r="BA42" s="1">
        <v>19.7</v>
      </c>
      <c r="BB42" s="1">
        <v>3.56</v>
      </c>
      <c r="BC42" s="1" t="s">
        <v>61</v>
      </c>
      <c r="BD42" s="1">
        <v>9.1</v>
      </c>
      <c r="BE42" s="1">
        <v>23.7</v>
      </c>
      <c r="BF42" s="1">
        <v>31.8</v>
      </c>
      <c r="BG42" s="1">
        <v>35.3</v>
      </c>
      <c r="BH42" s="1" t="s">
        <v>141</v>
      </c>
    </row>
    <row r="43">
      <c r="A43" s="2">
        <v>1083.0</v>
      </c>
      <c r="B43" s="2" t="str">
        <f>IFERROR(__xludf.DUMMYFUNCTION("TO_TEXT(A43)"),"01083")</f>
        <v>01083</v>
      </c>
      <c r="C43" s="1">
        <v>90257.0</v>
      </c>
      <c r="D43" s="1">
        <v>559.93919767892</v>
      </c>
      <c r="E43" s="1" t="s">
        <v>142</v>
      </c>
      <c r="F43" s="1" t="s">
        <v>143</v>
      </c>
      <c r="G43" s="1">
        <v>161.190715660087</v>
      </c>
      <c r="H43" s="1">
        <v>20.11404561</v>
      </c>
      <c r="I43" s="1">
        <v>4.7587559265</v>
      </c>
      <c r="J43" s="1">
        <v>9.2993630573</v>
      </c>
      <c r="K43" s="1">
        <v>18.173356594</v>
      </c>
      <c r="L43" s="1">
        <v>33.9</v>
      </c>
      <c r="M43" s="1">
        <v>8.1</v>
      </c>
      <c r="N43" s="1">
        <v>29.3</v>
      </c>
      <c r="O43" s="1">
        <v>60.967360054</v>
      </c>
      <c r="P43" s="1">
        <v>11.014042165</v>
      </c>
      <c r="Q43" s="1">
        <v>33.89759</v>
      </c>
      <c r="R43" s="1">
        <v>92.007434944</v>
      </c>
      <c r="S43" s="1">
        <v>15.8</v>
      </c>
      <c r="T43" s="1">
        <v>21291.0</v>
      </c>
      <c r="U43" s="1">
        <v>25.630548119</v>
      </c>
      <c r="V43" s="1">
        <v>160.12374188</v>
      </c>
      <c r="W43" s="1">
        <v>11.301636789</v>
      </c>
      <c r="X43" s="1">
        <v>9.0909090909</v>
      </c>
      <c r="Y43" s="1">
        <v>77.701355287</v>
      </c>
      <c r="Z43" s="1">
        <v>13.8</v>
      </c>
      <c r="AA43" s="1">
        <v>3.5183538564</v>
      </c>
      <c r="AB43" s="1">
        <v>64863.0</v>
      </c>
      <c r="AC43" s="1">
        <v>41.848467897</v>
      </c>
      <c r="AD43" s="1">
        <v>78.017804893</v>
      </c>
      <c r="AE43" s="1">
        <v>9.5176474394</v>
      </c>
      <c r="AF43" s="1">
        <v>13.493251814</v>
      </c>
      <c r="AG43" s="1">
        <v>0.826626739</v>
      </c>
      <c r="AH43" s="1">
        <v>1.5960654647</v>
      </c>
      <c r="AI43" s="1">
        <v>0.1923596814</v>
      </c>
      <c r="AJ43" s="1">
        <v>6.1451119845</v>
      </c>
      <c r="AK43" s="1">
        <v>76.1141264789999</v>
      </c>
      <c r="AL43" s="1">
        <v>0.952988193</v>
      </c>
      <c r="AM43" s="1">
        <v>49.928255038</v>
      </c>
      <c r="AN43" s="1">
        <v>57.609142084</v>
      </c>
      <c r="AO43" s="1">
        <v>26086.0</v>
      </c>
      <c r="AP43" s="1">
        <v>14.1</v>
      </c>
      <c r="AQ43" s="1">
        <v>7.9</v>
      </c>
      <c r="AR43" s="1">
        <v>16.8</v>
      </c>
      <c r="AS43" s="1">
        <v>13.9</v>
      </c>
      <c r="AT43" s="1">
        <v>23.4</v>
      </c>
      <c r="AU43" s="1">
        <v>15.1</v>
      </c>
      <c r="AV43" s="1">
        <v>22.6</v>
      </c>
      <c r="AW43" s="1">
        <v>1.2</v>
      </c>
      <c r="AX43" s="1">
        <v>0.5269</v>
      </c>
      <c r="AY43" s="1">
        <v>12.0</v>
      </c>
      <c r="AZ43" s="1">
        <v>14.1</v>
      </c>
      <c r="BA43" s="1">
        <v>19.3</v>
      </c>
      <c r="BB43" s="1">
        <v>3.18</v>
      </c>
      <c r="BC43" s="1" t="s">
        <v>61</v>
      </c>
      <c r="BD43" s="1">
        <v>15.3</v>
      </c>
      <c r="BE43" s="1">
        <v>30.4</v>
      </c>
      <c r="BF43" s="1">
        <v>28.6</v>
      </c>
      <c r="BG43" s="1">
        <v>25.7</v>
      </c>
      <c r="BH43" s="1" t="s">
        <v>143</v>
      </c>
    </row>
    <row r="44">
      <c r="A44" s="2">
        <v>1085.0</v>
      </c>
      <c r="B44" s="2" t="str">
        <f>IFERROR(__xludf.DUMMYFUNCTION("TO_TEXT(A44)"),"01085")</f>
        <v>01085</v>
      </c>
      <c r="C44" s="1">
        <v>10565.0</v>
      </c>
      <c r="D44" s="1">
        <v>715.911166627442</v>
      </c>
      <c r="E44" s="1" t="s">
        <v>144</v>
      </c>
      <c r="F44" s="1" t="s">
        <v>145</v>
      </c>
      <c r="G44" s="1">
        <v>14.7574175295662</v>
      </c>
      <c r="H44" s="1">
        <v>30.355910546</v>
      </c>
      <c r="I44" s="1">
        <v>5.1831278794</v>
      </c>
      <c r="J44" s="1">
        <v>14.029180696</v>
      </c>
      <c r="K44" s="1">
        <v>22.615911188</v>
      </c>
      <c r="L44" s="1">
        <v>46.9</v>
      </c>
      <c r="M44" s="1">
        <v>4.6</v>
      </c>
      <c r="N44" s="1">
        <v>33.7</v>
      </c>
      <c r="O44" s="1">
        <v>4.867687406</v>
      </c>
      <c r="P44" s="1">
        <v>10.822831727</v>
      </c>
      <c r="Q44" s="1">
        <v>9.92457</v>
      </c>
      <c r="R44" s="1">
        <v>91.304347826</v>
      </c>
      <c r="S44" s="1">
        <v>39.6</v>
      </c>
      <c r="T44" s="1">
        <v>2305.0</v>
      </c>
      <c r="U44" s="1">
        <v>67.505422993</v>
      </c>
      <c r="V44" s="1">
        <v>671.01922379</v>
      </c>
      <c r="W44" s="1">
        <v>19.45754717</v>
      </c>
      <c r="X44" s="1">
        <v>17.208737864</v>
      </c>
      <c r="Y44" s="1">
        <v>71.159703018</v>
      </c>
      <c r="Z44" s="1">
        <v>13.9</v>
      </c>
      <c r="AA44" s="1">
        <v>13.0621449529999</v>
      </c>
      <c r="AB44" s="1">
        <v>33973.0</v>
      </c>
      <c r="AC44" s="1">
        <v>96.309192201</v>
      </c>
      <c r="AD44" s="1">
        <v>73.660287081</v>
      </c>
      <c r="AE44" s="1">
        <v>16.730349345</v>
      </c>
      <c r="AF44" s="1">
        <v>71.937036294</v>
      </c>
      <c r="AG44" s="1">
        <v>0.3709645077</v>
      </c>
      <c r="AH44" s="1">
        <v>0.4411469822</v>
      </c>
      <c r="AI44" s="1">
        <v>0.0401042711</v>
      </c>
      <c r="AJ44" s="1">
        <v>1.7345097253</v>
      </c>
      <c r="AK44" s="1">
        <v>25.135351915</v>
      </c>
      <c r="AL44" s="1">
        <v>0.0624869819</v>
      </c>
      <c r="AM44" s="1">
        <v>53.178263485</v>
      </c>
      <c r="AN44" s="1">
        <v>100.0</v>
      </c>
      <c r="AO44" s="1">
        <v>18434.0</v>
      </c>
      <c r="AP44" s="1">
        <v>28.7</v>
      </c>
      <c r="AQ44" s="1">
        <v>12.3</v>
      </c>
      <c r="AR44" s="1">
        <v>25.2</v>
      </c>
      <c r="AS44" s="1">
        <v>17.3</v>
      </c>
      <c r="AT44" s="1">
        <v>23.2</v>
      </c>
      <c r="AU44" s="1">
        <v>23.3</v>
      </c>
      <c r="AV44" s="1">
        <v>75.6</v>
      </c>
      <c r="AW44" s="1">
        <v>0.1</v>
      </c>
      <c r="AX44" s="1">
        <v>0.8908</v>
      </c>
      <c r="AY44" s="1">
        <v>26.6</v>
      </c>
      <c r="AZ44" s="1">
        <v>23.4</v>
      </c>
      <c r="BA44" s="1">
        <v>34.1</v>
      </c>
      <c r="BB44" s="1">
        <v>3.33</v>
      </c>
      <c r="BC44" s="1" t="s">
        <v>61</v>
      </c>
      <c r="BD44" s="1">
        <v>21.7</v>
      </c>
      <c r="BE44" s="1">
        <v>39.6</v>
      </c>
      <c r="BF44" s="1">
        <v>24.0</v>
      </c>
      <c r="BG44" s="1">
        <v>14.7</v>
      </c>
      <c r="BH44" s="1" t="s">
        <v>145</v>
      </c>
    </row>
    <row r="45">
      <c r="A45" s="2">
        <v>1087.0</v>
      </c>
      <c r="B45" s="2" t="str">
        <f>IFERROR(__xludf.DUMMYFUNCTION("TO_TEXT(A45)"),"01087")</f>
        <v>01087</v>
      </c>
      <c r="C45" s="1">
        <v>19684.0</v>
      </c>
      <c r="D45" s="1">
        <v>608.907934027614</v>
      </c>
      <c r="E45" s="1" t="s">
        <v>146</v>
      </c>
      <c r="F45" s="1" t="s">
        <v>147</v>
      </c>
      <c r="G45" s="1">
        <v>32.326726094371</v>
      </c>
      <c r="H45" s="1">
        <v>29.863338128</v>
      </c>
      <c r="I45" s="1">
        <v>5.3007402376</v>
      </c>
      <c r="J45" s="1">
        <v>13.629402757</v>
      </c>
      <c r="K45" s="1">
        <v>21.414696395</v>
      </c>
      <c r="L45" s="1">
        <v>49.6</v>
      </c>
      <c r="M45" s="1">
        <v>4.0</v>
      </c>
      <c r="N45" s="1">
        <v>32.3</v>
      </c>
      <c r="O45" s="1">
        <v>31.339735223</v>
      </c>
      <c r="P45" s="1">
        <v>10.554682237</v>
      </c>
      <c r="Q45" s="1">
        <v>37.32338</v>
      </c>
      <c r="R45" s="1">
        <v>80.0</v>
      </c>
      <c r="S45" s="1">
        <v>39.7</v>
      </c>
      <c r="T45" s="1">
        <v>3346.0</v>
      </c>
      <c r="U45" s="1">
        <v>60.011954573</v>
      </c>
      <c r="V45" s="1">
        <v>734.31241656</v>
      </c>
      <c r="W45" s="1">
        <v>19.89892609</v>
      </c>
      <c r="X45" s="1">
        <v>18.028350515</v>
      </c>
      <c r="Y45" s="1">
        <v>73.161821932</v>
      </c>
      <c r="Z45" s="1">
        <v>23.0</v>
      </c>
      <c r="AA45" s="1">
        <v>21.63866443</v>
      </c>
      <c r="AB45" s="1">
        <v>32495.0</v>
      </c>
      <c r="AC45" s="1">
        <v>97.259565667</v>
      </c>
      <c r="AD45" s="1">
        <v>65.745711667</v>
      </c>
      <c r="AE45" s="1">
        <v>18.252914269</v>
      </c>
      <c r="AF45" s="1">
        <v>80.047724931</v>
      </c>
      <c r="AG45" s="1">
        <v>0.2657410923</v>
      </c>
      <c r="AH45" s="1">
        <v>0.6074082109</v>
      </c>
      <c r="AI45" s="1">
        <v>0.0162698628</v>
      </c>
      <c r="AJ45" s="1">
        <v>1.8276479202</v>
      </c>
      <c r="AK45" s="1">
        <v>16.139703888</v>
      </c>
      <c r="AL45" s="1">
        <v>0.0</v>
      </c>
      <c r="AM45" s="1">
        <v>54.536580075</v>
      </c>
      <c r="AN45" s="1">
        <v>55.54726832</v>
      </c>
      <c r="AO45" s="1">
        <v>18385.0</v>
      </c>
      <c r="AP45" s="1">
        <v>25.5</v>
      </c>
      <c r="AQ45" s="1">
        <v>15.0</v>
      </c>
      <c r="AR45" s="1">
        <v>19.5</v>
      </c>
      <c r="AS45" s="1">
        <v>16.7</v>
      </c>
      <c r="AT45" s="1">
        <v>18.0</v>
      </c>
      <c r="AU45" s="1">
        <v>17.3</v>
      </c>
      <c r="AV45" s="1">
        <v>84.6</v>
      </c>
      <c r="AW45" s="1">
        <v>0.1</v>
      </c>
      <c r="AX45" s="1">
        <v>0.9023</v>
      </c>
      <c r="AY45" s="1">
        <v>29.3</v>
      </c>
      <c r="AZ45" s="1">
        <v>20.2</v>
      </c>
      <c r="BA45" s="1">
        <v>29.0</v>
      </c>
      <c r="BB45" s="1">
        <v>3.26</v>
      </c>
      <c r="BC45" s="1" t="s">
        <v>61</v>
      </c>
      <c r="BD45" s="1">
        <v>18.2</v>
      </c>
      <c r="BE45" s="1">
        <v>30.2</v>
      </c>
      <c r="BF45" s="1">
        <v>31.2</v>
      </c>
      <c r="BG45" s="1">
        <v>20.4</v>
      </c>
      <c r="BH45" s="1" t="s">
        <v>147</v>
      </c>
    </row>
    <row r="46">
      <c r="A46" s="2">
        <v>1089.0</v>
      </c>
      <c r="B46" s="2" t="str">
        <f>IFERROR(__xludf.DUMMYFUNCTION("TO_TEXT(A46)"),"01089")</f>
        <v>01089</v>
      </c>
      <c r="C46" s="1">
        <v>349973.0</v>
      </c>
      <c r="D46" s="1">
        <v>801.608401288262</v>
      </c>
      <c r="E46" s="1" t="s">
        <v>148</v>
      </c>
      <c r="F46" s="1" t="s">
        <v>149</v>
      </c>
      <c r="G46" s="1">
        <v>436.588488141541</v>
      </c>
      <c r="H46" s="1">
        <v>19.257825328</v>
      </c>
      <c r="I46" s="1">
        <v>4.6548938057</v>
      </c>
      <c r="J46" s="1">
        <v>9.7419730665</v>
      </c>
      <c r="K46" s="1">
        <v>16.820172701</v>
      </c>
      <c r="L46" s="1">
        <v>32.9</v>
      </c>
      <c r="M46" s="1">
        <v>7.5</v>
      </c>
      <c r="N46" s="1">
        <v>22.0</v>
      </c>
      <c r="O46" s="1">
        <v>69.313433549</v>
      </c>
      <c r="P46" s="1">
        <v>9.4393471314</v>
      </c>
      <c r="Q46" s="1">
        <v>88.35439</v>
      </c>
      <c r="R46" s="1">
        <v>93.194374686</v>
      </c>
      <c r="S46" s="1">
        <v>16.9</v>
      </c>
      <c r="T46" s="1">
        <v>78584.0</v>
      </c>
      <c r="U46" s="1">
        <v>30.058281584</v>
      </c>
      <c r="V46" s="1">
        <v>610.72315915</v>
      </c>
      <c r="W46" s="1">
        <v>11.943551268</v>
      </c>
      <c r="X46" s="1">
        <v>10.677959967</v>
      </c>
      <c r="Y46" s="1">
        <v>77.405389741</v>
      </c>
      <c r="Z46" s="1">
        <v>13.5</v>
      </c>
      <c r="AA46" s="1">
        <v>7.4673451232</v>
      </c>
      <c r="AB46" s="1">
        <v>63755.0</v>
      </c>
      <c r="AC46" s="1">
        <v>39.471852768</v>
      </c>
      <c r="AD46" s="1">
        <v>67.226138679</v>
      </c>
      <c r="AE46" s="1">
        <v>11.0470947229999</v>
      </c>
      <c r="AF46" s="1">
        <v>24.436932328</v>
      </c>
      <c r="AG46" s="1">
        <v>0.8097806662</v>
      </c>
      <c r="AH46" s="1">
        <v>2.6778966438</v>
      </c>
      <c r="AI46" s="1">
        <v>0.115137278</v>
      </c>
      <c r="AJ46" s="1">
        <v>5.0687686041</v>
      </c>
      <c r="AK46" s="1">
        <v>64.595832685</v>
      </c>
      <c r="AL46" s="1">
        <v>1.1174545087</v>
      </c>
      <c r="AM46" s="1">
        <v>51.141959898</v>
      </c>
      <c r="AN46" s="1">
        <v>16.441514765</v>
      </c>
      <c r="AO46" s="1">
        <v>33264.0</v>
      </c>
      <c r="AP46" s="1">
        <v>13.3</v>
      </c>
      <c r="AQ46" s="1">
        <v>7.3</v>
      </c>
      <c r="AR46" s="1">
        <v>9.2</v>
      </c>
      <c r="AS46" s="1">
        <v>13.7</v>
      </c>
      <c r="AT46" s="1">
        <v>22.5</v>
      </c>
      <c r="AU46" s="1">
        <v>12.8</v>
      </c>
      <c r="AV46" s="1">
        <v>34.6</v>
      </c>
      <c r="AW46" s="1">
        <v>1.2</v>
      </c>
      <c r="AX46" s="1">
        <v>0.3034</v>
      </c>
      <c r="AY46" s="1">
        <v>11.5</v>
      </c>
      <c r="AZ46" s="1">
        <v>13.6</v>
      </c>
      <c r="BA46" s="1">
        <v>18.0</v>
      </c>
      <c r="BB46" s="1">
        <v>3.17</v>
      </c>
      <c r="BC46" s="1" t="s">
        <v>61</v>
      </c>
      <c r="BD46" s="1">
        <v>8.3</v>
      </c>
      <c r="BE46" s="1">
        <v>20.6</v>
      </c>
      <c r="BF46" s="1">
        <v>28.3</v>
      </c>
      <c r="BG46" s="1">
        <v>42.8</v>
      </c>
      <c r="BH46" s="1" t="s">
        <v>149</v>
      </c>
    </row>
    <row r="47">
      <c r="A47" s="2">
        <v>1091.0</v>
      </c>
      <c r="B47" s="2" t="str">
        <f>IFERROR(__xludf.DUMMYFUNCTION("TO_TEXT(A47)"),"01091")</f>
        <v>01091</v>
      </c>
      <c r="C47" s="1">
        <v>20066.0</v>
      </c>
      <c r="D47" s="1">
        <v>976.88142504613</v>
      </c>
      <c r="E47" s="1" t="s">
        <v>150</v>
      </c>
      <c r="F47" s="1" t="s">
        <v>151</v>
      </c>
      <c r="G47" s="1">
        <v>20.5408757762514</v>
      </c>
      <c r="H47" s="1">
        <v>26.2417374369999</v>
      </c>
      <c r="I47" s="1">
        <v>5.23495039589999</v>
      </c>
      <c r="J47" s="1">
        <v>12.386706949</v>
      </c>
      <c r="K47" s="1">
        <v>21.356000347</v>
      </c>
      <c r="L47" s="1">
        <v>42.2</v>
      </c>
      <c r="M47" s="1">
        <v>5.5</v>
      </c>
      <c r="N47" s="1">
        <v>32.4</v>
      </c>
      <c r="O47" s="1">
        <v>42.9352736959999</v>
      </c>
      <c r="P47" s="1">
        <v>9.7974289053</v>
      </c>
      <c r="Q47" s="1">
        <v>36.12903</v>
      </c>
      <c r="R47" s="1">
        <v>90.909090909</v>
      </c>
      <c r="S47" s="1">
        <v>34.5</v>
      </c>
      <c r="T47" s="1">
        <v>4468.0</v>
      </c>
      <c r="U47" s="1">
        <v>43.710832587</v>
      </c>
      <c r="V47" s="1">
        <v>449.41524948</v>
      </c>
      <c r="W47" s="1">
        <v>18.098159509</v>
      </c>
      <c r="X47" s="1">
        <v>16.774611399</v>
      </c>
      <c r="Y47" s="1">
        <v>73.185043444</v>
      </c>
      <c r="Z47" s="1">
        <v>17.6</v>
      </c>
      <c r="AA47" s="1">
        <v>12.628970654</v>
      </c>
      <c r="AB47" s="1">
        <v>37733.0</v>
      </c>
      <c r="AC47" s="1">
        <v>67.566165023</v>
      </c>
      <c r="AD47" s="1">
        <v>71.228115345</v>
      </c>
      <c r="AE47" s="1">
        <v>15.490661133</v>
      </c>
      <c r="AF47" s="1">
        <v>51.07521242</v>
      </c>
      <c r="AG47" s="1">
        <v>0.2412671772</v>
      </c>
      <c r="AH47" s="1">
        <v>0.3042064408</v>
      </c>
      <c r="AI47" s="1">
        <v>0.1835728522</v>
      </c>
      <c r="AJ47" s="1">
        <v>2.580509808</v>
      </c>
      <c r="AK47" s="1">
        <v>44.870450016</v>
      </c>
      <c r="AL47" s="1">
        <v>0.0538531962</v>
      </c>
      <c r="AM47" s="1">
        <v>53.146963181</v>
      </c>
      <c r="AN47" s="1">
        <v>69.315641794</v>
      </c>
      <c r="AO47" s="1">
        <v>20359.0</v>
      </c>
      <c r="AP47" s="1">
        <v>27.8</v>
      </c>
      <c r="AQ47" s="1">
        <v>14.1</v>
      </c>
      <c r="AR47" s="1">
        <v>16.1</v>
      </c>
      <c r="AS47" s="1">
        <v>18.6</v>
      </c>
      <c r="AT47" s="1">
        <v>23.1</v>
      </c>
      <c r="AU47" s="1">
        <v>23.7</v>
      </c>
      <c r="AV47" s="1">
        <v>54.5</v>
      </c>
      <c r="AW47" s="1">
        <v>0.1</v>
      </c>
      <c r="AX47" s="1">
        <v>0.8937</v>
      </c>
      <c r="AY47" s="1">
        <v>24.8</v>
      </c>
      <c r="AZ47" s="1">
        <v>20.1</v>
      </c>
      <c r="BA47" s="1">
        <v>25.5</v>
      </c>
      <c r="BB47" s="1">
        <v>2.98</v>
      </c>
      <c r="BC47" s="1" t="s">
        <v>61</v>
      </c>
      <c r="BD47" s="1">
        <v>16.2</v>
      </c>
      <c r="BE47" s="1">
        <v>38.0</v>
      </c>
      <c r="BF47" s="1">
        <v>29.8</v>
      </c>
      <c r="BG47" s="1">
        <v>16.1</v>
      </c>
      <c r="BH47" s="1" t="s">
        <v>151</v>
      </c>
    </row>
    <row r="48">
      <c r="A48" s="2">
        <v>1093.0</v>
      </c>
      <c r="B48" s="2" t="str">
        <f>IFERROR(__xludf.DUMMYFUNCTION("TO_TEXT(A48)"),"01093")</f>
        <v>01093</v>
      </c>
      <c r="C48" s="1">
        <v>30239.0</v>
      </c>
      <c r="D48" s="1">
        <v>742.291704310756</v>
      </c>
      <c r="E48" s="1" t="s">
        <v>152</v>
      </c>
      <c r="F48" s="1" t="s">
        <v>153</v>
      </c>
      <c r="G48" s="1">
        <v>40.7373540946116</v>
      </c>
      <c r="H48" s="1">
        <v>22.256504668</v>
      </c>
      <c r="I48" s="1">
        <v>4.9478478149</v>
      </c>
      <c r="J48" s="1">
        <v>9.4815506773</v>
      </c>
      <c r="K48" s="1">
        <v>19.060203607</v>
      </c>
      <c r="L48" s="1">
        <v>36.8</v>
      </c>
      <c r="M48" s="1">
        <v>7.9</v>
      </c>
      <c r="N48" s="1">
        <v>31.3</v>
      </c>
      <c r="O48" s="1">
        <v>47.033402651</v>
      </c>
      <c r="P48" s="1">
        <v>11.408083442</v>
      </c>
      <c r="Q48" s="1">
        <v>33.51993</v>
      </c>
      <c r="R48" s="1">
        <v>90.217391304</v>
      </c>
      <c r="S48" s="1">
        <v>27.4</v>
      </c>
      <c r="T48" s="1">
        <v>6260.0</v>
      </c>
      <c r="U48" s="1">
        <v>26.485623003</v>
      </c>
      <c r="V48" s="1">
        <v>295.8973336</v>
      </c>
      <c r="W48" s="1">
        <v>11.133360032</v>
      </c>
      <c r="X48" s="1">
        <v>9.3897477624</v>
      </c>
      <c r="Y48" s="1">
        <v>74.469236806</v>
      </c>
      <c r="Z48" s="1">
        <v>20.4</v>
      </c>
      <c r="AA48" s="1">
        <v>3.2545426264</v>
      </c>
      <c r="AB48" s="1">
        <v>37887.0</v>
      </c>
      <c r="AC48" s="1">
        <v>57.733097658</v>
      </c>
      <c r="AD48" s="1">
        <v>75.360301343</v>
      </c>
      <c r="AE48" s="1">
        <v>9.5042031223</v>
      </c>
      <c r="AF48" s="1">
        <v>3.7832207775</v>
      </c>
      <c r="AG48" s="1">
        <v>0.4233444209</v>
      </c>
      <c r="AH48" s="1">
        <v>0.3259080066</v>
      </c>
      <c r="AI48" s="1">
        <v>0.0638376508</v>
      </c>
      <c r="AJ48" s="1">
        <v>2.5736652891</v>
      </c>
      <c r="AK48" s="1">
        <v>91.825420825</v>
      </c>
      <c r="AL48" s="1">
        <v>0.5100963906</v>
      </c>
      <c r="AM48" s="1">
        <v>50.656855828</v>
      </c>
      <c r="AN48" s="1">
        <v>88.854951911</v>
      </c>
      <c r="AO48" s="1">
        <v>20998.0</v>
      </c>
      <c r="AP48" s="1">
        <v>18.6</v>
      </c>
      <c r="AQ48" s="1">
        <v>7.6</v>
      </c>
      <c r="AR48" s="1">
        <v>20.1</v>
      </c>
      <c r="AS48" s="1">
        <v>20.1</v>
      </c>
      <c r="AT48" s="1">
        <v>21.1</v>
      </c>
      <c r="AU48" s="1">
        <v>24.8</v>
      </c>
      <c r="AV48" s="1">
        <v>8.0</v>
      </c>
      <c r="AW48" s="1">
        <v>0.2</v>
      </c>
      <c r="AX48" s="1">
        <v>0.6256</v>
      </c>
      <c r="AY48" s="1">
        <v>16.9</v>
      </c>
      <c r="AZ48" s="1">
        <v>17.8</v>
      </c>
      <c r="BA48" s="1">
        <v>25.4</v>
      </c>
      <c r="BB48" s="1">
        <v>3.15</v>
      </c>
      <c r="BC48" s="1" t="s">
        <v>61</v>
      </c>
      <c r="BD48" s="1">
        <v>20.4</v>
      </c>
      <c r="BE48" s="1">
        <v>34.8</v>
      </c>
      <c r="BF48" s="1">
        <v>32.0</v>
      </c>
      <c r="BG48" s="1">
        <v>12.8</v>
      </c>
      <c r="BH48" s="1" t="s">
        <v>153</v>
      </c>
    </row>
    <row r="49">
      <c r="A49" s="2">
        <v>1095.0</v>
      </c>
      <c r="B49" s="2" t="str">
        <f>IFERROR(__xludf.DUMMYFUNCTION("TO_TEXT(A49)"),"01095")</f>
        <v>01095</v>
      </c>
      <c r="C49" s="1">
        <v>94534.0</v>
      </c>
      <c r="D49" s="1">
        <v>565.841785285996</v>
      </c>
      <c r="E49" s="1" t="s">
        <v>154</v>
      </c>
      <c r="F49" s="1" t="s">
        <v>155</v>
      </c>
      <c r="G49" s="1">
        <v>167.067902120765</v>
      </c>
      <c r="H49" s="1">
        <v>22.394653056</v>
      </c>
      <c r="I49" s="1">
        <v>5.0519317823</v>
      </c>
      <c r="J49" s="1">
        <v>8.130519061</v>
      </c>
      <c r="K49" s="1">
        <v>21.017853481</v>
      </c>
      <c r="L49" s="1">
        <v>34.4</v>
      </c>
      <c r="M49" s="1">
        <v>8.0</v>
      </c>
      <c r="N49" s="1">
        <v>36.2</v>
      </c>
      <c r="O49" s="1">
        <v>54.418989669</v>
      </c>
      <c r="P49" s="1">
        <v>15.643576987</v>
      </c>
      <c r="Q49" s="1">
        <v>55.4695</v>
      </c>
      <c r="R49" s="1">
        <v>92.289348172</v>
      </c>
      <c r="S49" s="1">
        <v>27.9</v>
      </c>
      <c r="T49" s="1">
        <v>23391.0</v>
      </c>
      <c r="U49" s="1">
        <v>34.372194434</v>
      </c>
      <c r="V49" s="1">
        <v>286.26908241</v>
      </c>
      <c r="W49" s="1">
        <v>13.9291932679999</v>
      </c>
      <c r="X49" s="1">
        <v>10.687768082</v>
      </c>
      <c r="Y49" s="1">
        <v>74.353860143</v>
      </c>
      <c r="Z49" s="1">
        <v>11.8</v>
      </c>
      <c r="AA49" s="1">
        <v>5.187505411</v>
      </c>
      <c r="AB49" s="1">
        <v>46233.0</v>
      </c>
      <c r="AC49" s="1">
        <v>61.0469591989999</v>
      </c>
      <c r="AD49" s="1">
        <v>70.366231087</v>
      </c>
      <c r="AE49" s="1">
        <v>12.020631068</v>
      </c>
      <c r="AF49" s="1">
        <v>2.4035210022</v>
      </c>
      <c r="AG49" s="1">
        <v>1.1216431344</v>
      </c>
      <c r="AH49" s="1">
        <v>0.733542124</v>
      </c>
      <c r="AI49" s="1">
        <v>0.2715666587</v>
      </c>
      <c r="AJ49" s="1">
        <v>14.325401367</v>
      </c>
      <c r="AK49" s="1">
        <v>80.436795722</v>
      </c>
      <c r="AL49" s="1">
        <v>4.0052364884</v>
      </c>
      <c r="AM49" s="1">
        <v>50.574868118</v>
      </c>
      <c r="AN49" s="1">
        <v>53.2686870419999</v>
      </c>
      <c r="AO49" s="1">
        <v>21767.0</v>
      </c>
      <c r="AP49" s="1">
        <v>20.5</v>
      </c>
      <c r="AQ49" s="1">
        <v>7.2</v>
      </c>
      <c r="AR49" s="1">
        <v>21.4</v>
      </c>
      <c r="AS49" s="1">
        <v>16.4</v>
      </c>
      <c r="AT49" s="1">
        <v>24.7</v>
      </c>
      <c r="AU49" s="1">
        <v>16.8</v>
      </c>
      <c r="AV49" s="1">
        <v>17.7</v>
      </c>
      <c r="AW49" s="1">
        <v>4.5</v>
      </c>
      <c r="AX49" s="1">
        <v>0.7876</v>
      </c>
      <c r="AY49" s="1">
        <v>15.7</v>
      </c>
      <c r="AZ49" s="1">
        <v>16.2</v>
      </c>
      <c r="BA49" s="1">
        <v>23.3</v>
      </c>
      <c r="BB49" s="1">
        <v>2.97</v>
      </c>
      <c r="BC49" s="1" t="s">
        <v>61</v>
      </c>
      <c r="BD49" s="1">
        <v>18.4</v>
      </c>
      <c r="BE49" s="1">
        <v>31.1</v>
      </c>
      <c r="BF49" s="1">
        <v>31.1</v>
      </c>
      <c r="BG49" s="1">
        <v>19.4</v>
      </c>
      <c r="BH49" s="1" t="s">
        <v>155</v>
      </c>
    </row>
    <row r="50">
      <c r="A50" s="2">
        <v>1097.0</v>
      </c>
      <c r="B50" s="2" t="str">
        <f>IFERROR(__xludf.DUMMYFUNCTION("TO_TEXT(A50)"),"01097")</f>
        <v>01097</v>
      </c>
      <c r="C50" s="1">
        <v>414291.0</v>
      </c>
      <c r="D50" s="1">
        <v>1229.39947670617</v>
      </c>
      <c r="E50" s="1" t="s">
        <v>156</v>
      </c>
      <c r="F50" s="1" t="s">
        <v>157</v>
      </c>
      <c r="G50" s="1">
        <v>336.986478235679</v>
      </c>
      <c r="H50" s="1">
        <v>22.399091396</v>
      </c>
      <c r="I50" s="1">
        <v>5.154593676</v>
      </c>
      <c r="J50" s="1">
        <v>11.822395207</v>
      </c>
      <c r="K50" s="1">
        <v>19.369969149</v>
      </c>
      <c r="L50" s="1">
        <v>36.3</v>
      </c>
      <c r="M50" s="1">
        <v>6.4</v>
      </c>
      <c r="N50" s="1">
        <v>30.6</v>
      </c>
      <c r="O50" s="1">
        <v>70.217582907</v>
      </c>
      <c r="P50" s="1">
        <v>11.719890151</v>
      </c>
      <c r="Q50" s="1">
        <v>67.15706</v>
      </c>
      <c r="R50" s="1">
        <v>83.709920379</v>
      </c>
      <c r="S50" s="1">
        <v>31.4</v>
      </c>
      <c r="T50" s="1">
        <v>97599.0</v>
      </c>
      <c r="U50" s="1">
        <v>44.072172871</v>
      </c>
      <c r="V50" s="1">
        <v>548.14738002</v>
      </c>
      <c r="W50" s="1">
        <v>16.618047452</v>
      </c>
      <c r="X50" s="1">
        <v>14.783243225</v>
      </c>
      <c r="Y50" s="1">
        <v>75.093559904</v>
      </c>
      <c r="Z50" s="1">
        <v>14.0</v>
      </c>
      <c r="AA50" s="1">
        <v>10.265925301</v>
      </c>
      <c r="AB50" s="1">
        <v>43598.0</v>
      </c>
      <c r="AC50" s="1">
        <v>68.389541369</v>
      </c>
      <c r="AD50" s="1">
        <v>64.890811199</v>
      </c>
      <c r="AE50" s="1">
        <v>14.773927884</v>
      </c>
      <c r="AF50" s="1">
        <v>35.745618805</v>
      </c>
      <c r="AG50" s="1">
        <v>0.938956924</v>
      </c>
      <c r="AH50" s="1">
        <v>2.0659469205</v>
      </c>
      <c r="AI50" s="1">
        <v>0.043262108</v>
      </c>
      <c r="AJ50" s="1">
        <v>3.0568667116</v>
      </c>
      <c r="AK50" s="1">
        <v>56.721698968</v>
      </c>
      <c r="AL50" s="1">
        <v>0.737186927699999</v>
      </c>
      <c r="AM50" s="1">
        <v>52.36890252</v>
      </c>
      <c r="AN50" s="1">
        <v>20.020242523</v>
      </c>
      <c r="AO50" s="1">
        <v>23318.0</v>
      </c>
      <c r="AP50" s="1">
        <v>19.5</v>
      </c>
      <c r="AQ50" s="1">
        <v>8.7</v>
      </c>
      <c r="AR50" s="1">
        <v>14.2</v>
      </c>
      <c r="AS50" s="1">
        <v>14.5</v>
      </c>
      <c r="AT50" s="1">
        <v>24.0</v>
      </c>
      <c r="AU50" s="1">
        <v>15.2</v>
      </c>
      <c r="AV50" s="1">
        <v>42.1</v>
      </c>
      <c r="AW50" s="1">
        <v>0.7</v>
      </c>
      <c r="AX50" s="1">
        <v>0.787</v>
      </c>
      <c r="AY50" s="1">
        <v>17.7</v>
      </c>
      <c r="AZ50" s="1">
        <v>16.8</v>
      </c>
      <c r="BA50" s="1">
        <v>23.4</v>
      </c>
      <c r="BB50" s="1">
        <v>3.16</v>
      </c>
      <c r="BC50" s="1" t="s">
        <v>61</v>
      </c>
      <c r="BD50" s="1">
        <v>13.5</v>
      </c>
      <c r="BE50" s="1">
        <v>34.0</v>
      </c>
      <c r="BF50" s="1">
        <v>29.3</v>
      </c>
      <c r="BG50" s="1">
        <v>23.2</v>
      </c>
      <c r="BH50" s="1" t="s">
        <v>157</v>
      </c>
    </row>
    <row r="51">
      <c r="A51" s="2">
        <v>1099.0</v>
      </c>
      <c r="B51" s="2" t="str">
        <f>IFERROR(__xludf.DUMMYFUNCTION("TO_TEXT(A51)"),"01099")</f>
        <v>01099</v>
      </c>
      <c r="C51" s="1">
        <v>21975.0</v>
      </c>
      <c r="D51" s="1">
        <v>1025.6869896703</v>
      </c>
      <c r="E51" s="1" t="s">
        <v>158</v>
      </c>
      <c r="F51" s="1" t="s">
        <v>159</v>
      </c>
      <c r="G51" s="1">
        <v>21.4246648551755</v>
      </c>
      <c r="H51" s="1">
        <v>30.016195849</v>
      </c>
      <c r="I51" s="1">
        <v>5.2996300729</v>
      </c>
      <c r="J51" s="1">
        <v>12.172774869</v>
      </c>
      <c r="K51" s="1">
        <v>23.257538963</v>
      </c>
      <c r="L51" s="1">
        <v>41.8</v>
      </c>
      <c r="M51" s="1">
        <v>5.0</v>
      </c>
      <c r="N51" s="1">
        <v>33.7</v>
      </c>
      <c r="O51" s="1">
        <v>51.543263395</v>
      </c>
      <c r="P51" s="1">
        <v>12.789735099</v>
      </c>
      <c r="Q51" s="1">
        <v>37.51114</v>
      </c>
      <c r="R51" s="1">
        <v>88.030888031</v>
      </c>
      <c r="S51" s="1">
        <v>31.6</v>
      </c>
      <c r="T51" s="1">
        <v>4920.0</v>
      </c>
      <c r="U51" s="1">
        <v>56.1788617889999</v>
      </c>
      <c r="V51" s="1">
        <v>492.30914187</v>
      </c>
      <c r="W51" s="1">
        <v>10.523150932</v>
      </c>
      <c r="X51" s="1">
        <v>11.523742027</v>
      </c>
      <c r="Y51" s="1">
        <v>74.131951623</v>
      </c>
      <c r="Z51" s="1">
        <v>18.4</v>
      </c>
      <c r="AA51" s="1">
        <v>12.839526662</v>
      </c>
      <c r="AB51" s="1">
        <v>39556.0</v>
      </c>
      <c r="AC51" s="1">
        <v>66.915995397</v>
      </c>
      <c r="AD51" s="1">
        <v>60.89090686</v>
      </c>
      <c r="AE51" s="1">
        <v>12.884358289</v>
      </c>
      <c r="AF51" s="1">
        <v>40.9645417</v>
      </c>
      <c r="AG51" s="1">
        <v>1.3433331751</v>
      </c>
      <c r="AH51" s="1">
        <v>0.4699292733</v>
      </c>
      <c r="AI51" s="1">
        <v>0.042720843</v>
      </c>
      <c r="AJ51" s="1">
        <v>1.6138985143</v>
      </c>
      <c r="AK51" s="1">
        <v>53.95642474</v>
      </c>
      <c r="AL51" s="1">
        <v>0.0889064507</v>
      </c>
      <c r="AM51" s="1">
        <v>52.508662838</v>
      </c>
      <c r="AN51" s="1">
        <v>79.044563898</v>
      </c>
      <c r="AO51" s="1">
        <v>16556.0</v>
      </c>
      <c r="AP51" s="1">
        <v>32.1</v>
      </c>
      <c r="AQ51" s="1">
        <v>21.8</v>
      </c>
      <c r="AR51" s="1">
        <v>18.0</v>
      </c>
      <c r="AS51" s="1">
        <v>17.8</v>
      </c>
      <c r="AT51" s="1">
        <v>23.4</v>
      </c>
      <c r="AU51" s="1">
        <v>13.3</v>
      </c>
      <c r="AV51" s="1">
        <v>45.3</v>
      </c>
      <c r="AW51" s="1">
        <v>0.1</v>
      </c>
      <c r="AX51" s="1">
        <v>0.7491</v>
      </c>
      <c r="AY51" s="1">
        <v>23.3</v>
      </c>
      <c r="AZ51" s="1">
        <v>21.9</v>
      </c>
      <c r="BA51" s="1">
        <v>28.8</v>
      </c>
      <c r="BB51" s="1">
        <v>2.99</v>
      </c>
      <c r="BC51" s="1" t="s">
        <v>61</v>
      </c>
      <c r="BD51" s="1">
        <v>14.4</v>
      </c>
      <c r="BE51" s="1">
        <v>47.2</v>
      </c>
      <c r="BF51" s="1">
        <v>24.9</v>
      </c>
      <c r="BG51" s="1">
        <v>13.5</v>
      </c>
      <c r="BH51" s="1" t="s">
        <v>159</v>
      </c>
    </row>
    <row r="52">
      <c r="A52" s="2">
        <v>1101.0</v>
      </c>
      <c r="B52" s="2" t="str">
        <f>IFERROR(__xludf.DUMMYFUNCTION("TO_TEXT(A52)"),"01101")</f>
        <v>01101</v>
      </c>
      <c r="C52" s="1">
        <v>227392.0</v>
      </c>
      <c r="D52" s="1">
        <v>784.363117234164</v>
      </c>
      <c r="E52" s="1" t="s">
        <v>160</v>
      </c>
      <c r="F52" s="1" t="s">
        <v>161</v>
      </c>
      <c r="G52" s="1">
        <v>289.906543288055</v>
      </c>
      <c r="H52" s="1">
        <v>23.8750862219999</v>
      </c>
      <c r="I52" s="1">
        <v>4.6665803568</v>
      </c>
      <c r="J52" s="1">
        <v>12.423542205</v>
      </c>
      <c r="K52" s="1">
        <v>19.68315291</v>
      </c>
      <c r="L52" s="1">
        <v>37.7</v>
      </c>
      <c r="M52" s="1">
        <v>5.5</v>
      </c>
      <c r="N52" s="1">
        <v>28.7</v>
      </c>
      <c r="O52" s="1">
        <v>73.784786561</v>
      </c>
      <c r="P52" s="1">
        <v>11.005422221</v>
      </c>
      <c r="Q52" s="1">
        <v>97.50889</v>
      </c>
      <c r="R52" s="1">
        <v>81.608133087</v>
      </c>
      <c r="S52" s="1">
        <v>31.3</v>
      </c>
      <c r="T52" s="1">
        <v>53135.0</v>
      </c>
      <c r="U52" s="1">
        <v>51.9375176439999</v>
      </c>
      <c r="V52" s="1">
        <v>531.7145579</v>
      </c>
      <c r="W52" s="1">
        <v>18.304164821</v>
      </c>
      <c r="X52" s="1">
        <v>16.5595036659999</v>
      </c>
      <c r="Y52" s="1">
        <v>76.128189581</v>
      </c>
      <c r="Z52" s="1">
        <v>13.9</v>
      </c>
      <c r="AA52" s="1">
        <v>14.572141064</v>
      </c>
      <c r="AB52" s="1">
        <v>49640.0</v>
      </c>
      <c r="AC52" s="1">
        <v>71.474131821</v>
      </c>
      <c r="AD52" s="1">
        <v>58.580731341</v>
      </c>
      <c r="AE52" s="1">
        <v>16.990724121</v>
      </c>
      <c r="AF52" s="1">
        <v>58.54546582</v>
      </c>
      <c r="AG52" s="1">
        <v>0.336636207</v>
      </c>
      <c r="AH52" s="1">
        <v>3.190513946</v>
      </c>
      <c r="AI52" s="1">
        <v>0.0952326112</v>
      </c>
      <c r="AJ52" s="1">
        <v>3.5156336512</v>
      </c>
      <c r="AK52" s="1">
        <v>33.288448506</v>
      </c>
      <c r="AL52" s="1">
        <v>1.4398041829</v>
      </c>
      <c r="AM52" s="1">
        <v>52.816892051</v>
      </c>
      <c r="AN52" s="1">
        <v>10.491230059</v>
      </c>
      <c r="AO52" s="1">
        <v>26255.0</v>
      </c>
      <c r="AP52" s="1">
        <v>21.3</v>
      </c>
      <c r="AQ52" s="1">
        <v>8.4</v>
      </c>
      <c r="AR52" s="1">
        <v>14.5</v>
      </c>
      <c r="AS52" s="1">
        <v>13.3</v>
      </c>
      <c r="AT52" s="1">
        <v>23.2</v>
      </c>
      <c r="AU52" s="1">
        <v>16.3</v>
      </c>
      <c r="AV52" s="1">
        <v>64.1</v>
      </c>
      <c r="AW52" s="1">
        <v>1.5</v>
      </c>
      <c r="AX52" s="1">
        <v>0.8093</v>
      </c>
      <c r="AY52" s="1">
        <v>15.8</v>
      </c>
      <c r="AZ52" s="1">
        <v>17.8</v>
      </c>
      <c r="BA52" s="1">
        <v>24.1</v>
      </c>
      <c r="BB52" s="1">
        <v>3.26</v>
      </c>
      <c r="BC52" s="1" t="s">
        <v>61</v>
      </c>
      <c r="BD52" s="1">
        <v>13.3</v>
      </c>
      <c r="BE52" s="1">
        <v>25.0</v>
      </c>
      <c r="BF52" s="1">
        <v>28.4</v>
      </c>
      <c r="BG52" s="1">
        <v>33.4</v>
      </c>
      <c r="BH52" s="1" t="s">
        <v>161</v>
      </c>
    </row>
    <row r="53">
      <c r="A53" s="2">
        <v>1103.0</v>
      </c>
      <c r="B53" s="2" t="str">
        <f>IFERROR(__xludf.DUMMYFUNCTION("TO_TEXT(A53)"),"01103")</f>
        <v>01103</v>
      </c>
      <c r="C53" s="1">
        <v>119555.0</v>
      </c>
      <c r="D53" s="1">
        <v>579.359492755028</v>
      </c>
      <c r="E53" s="1" t="s">
        <v>162</v>
      </c>
      <c r="F53" s="1" t="s">
        <v>163</v>
      </c>
      <c r="G53" s="1">
        <v>206.357195308012</v>
      </c>
      <c r="H53" s="1">
        <v>20.554282339</v>
      </c>
      <c r="I53" s="1">
        <v>4.6675274369</v>
      </c>
      <c r="J53" s="1">
        <v>8.768373036</v>
      </c>
      <c r="K53" s="1">
        <v>18.855706149</v>
      </c>
      <c r="L53" s="1">
        <v>32.4</v>
      </c>
      <c r="M53" s="1">
        <v>7.9</v>
      </c>
      <c r="N53" s="1">
        <v>26.6</v>
      </c>
      <c r="O53" s="1">
        <v>59.229224203</v>
      </c>
      <c r="P53" s="1">
        <v>11.5602522159999</v>
      </c>
      <c r="Q53" s="1">
        <v>48.81415</v>
      </c>
      <c r="R53" s="1">
        <v>90.196078431</v>
      </c>
      <c r="S53" s="1">
        <v>20.1</v>
      </c>
      <c r="T53" s="1">
        <v>27150.0</v>
      </c>
      <c r="U53" s="1">
        <v>31.042357274</v>
      </c>
      <c r="V53" s="1">
        <v>180.73324863</v>
      </c>
      <c r="W53" s="1">
        <v>13.440918445</v>
      </c>
      <c r="X53" s="1">
        <v>11.376389042</v>
      </c>
      <c r="Y53" s="1">
        <v>75.536497459</v>
      </c>
      <c r="Z53" s="1">
        <v>12.7</v>
      </c>
      <c r="AA53" s="1">
        <v>4.0842018116</v>
      </c>
      <c r="AB53" s="1">
        <v>52797.0</v>
      </c>
      <c r="AC53" s="1">
        <v>52.025477707</v>
      </c>
      <c r="AD53" s="1">
        <v>72.137755773</v>
      </c>
      <c r="AE53" s="1">
        <v>10.176970916</v>
      </c>
      <c r="AF53" s="1">
        <v>12.659439579</v>
      </c>
      <c r="AG53" s="1">
        <v>1.100857342</v>
      </c>
      <c r="AH53" s="1">
        <v>0.7019959862</v>
      </c>
      <c r="AI53" s="1">
        <v>0.1528268774</v>
      </c>
      <c r="AJ53" s="1">
        <v>8.4533416185</v>
      </c>
      <c r="AK53" s="1">
        <v>75.335253466</v>
      </c>
      <c r="AL53" s="1">
        <v>2.0952499933</v>
      </c>
      <c r="AM53" s="1">
        <v>50.724248251</v>
      </c>
      <c r="AN53" s="1">
        <v>38.597372165</v>
      </c>
      <c r="AO53" s="1">
        <v>24415.0</v>
      </c>
      <c r="AP53" s="1">
        <v>16.3</v>
      </c>
      <c r="AQ53" s="1">
        <v>8.9</v>
      </c>
      <c r="AR53" s="1">
        <v>17.5</v>
      </c>
      <c r="AS53" s="1">
        <v>15.8</v>
      </c>
      <c r="AT53" s="1">
        <v>23.2</v>
      </c>
      <c r="AU53" s="1">
        <v>17.2</v>
      </c>
      <c r="AV53" s="1">
        <v>23.4</v>
      </c>
      <c r="AW53" s="1">
        <v>2.2</v>
      </c>
      <c r="AX53" s="1">
        <v>0.7192</v>
      </c>
      <c r="AY53" s="1">
        <v>13.7</v>
      </c>
      <c r="AZ53" s="1">
        <v>14.9</v>
      </c>
      <c r="BA53" s="1">
        <v>20.5</v>
      </c>
      <c r="BB53" s="1">
        <v>3.1</v>
      </c>
      <c r="BC53" s="1" t="s">
        <v>61</v>
      </c>
      <c r="BD53" s="1">
        <v>15.9</v>
      </c>
      <c r="BE53" s="1">
        <v>30.4</v>
      </c>
      <c r="BF53" s="1">
        <v>31.3</v>
      </c>
      <c r="BG53" s="1">
        <v>22.4</v>
      </c>
      <c r="BH53" s="1" t="s">
        <v>163</v>
      </c>
    </row>
    <row r="54">
      <c r="A54" s="2">
        <v>1105.0</v>
      </c>
      <c r="B54" s="2" t="str">
        <f>IFERROR(__xludf.DUMMYFUNCTION("TO_TEXT(A54)"),"01105")</f>
        <v>01105</v>
      </c>
      <c r="C54" s="1">
        <v>9856.0</v>
      </c>
      <c r="D54" s="1">
        <v>719.663221693206</v>
      </c>
      <c r="E54" s="1" t="s">
        <v>164</v>
      </c>
      <c r="F54" s="1" t="s">
        <v>165</v>
      </c>
      <c r="G54" s="1">
        <v>13.6952948308391</v>
      </c>
      <c r="H54" s="1">
        <v>35.429054078</v>
      </c>
      <c r="I54" s="1">
        <v>5.8770634003</v>
      </c>
      <c r="J54" s="1">
        <v>14.285714286</v>
      </c>
      <c r="K54" s="1">
        <v>26.003088568</v>
      </c>
      <c r="L54" s="1">
        <v>43.4</v>
      </c>
      <c r="M54" s="1">
        <v>4.9</v>
      </c>
      <c r="N54" s="1">
        <v>34.6</v>
      </c>
      <c r="O54" s="1">
        <v>52.724010953</v>
      </c>
      <c r="P54" s="1">
        <v>11.480988312</v>
      </c>
      <c r="Q54" s="1">
        <v>32.12335</v>
      </c>
      <c r="R54" s="1">
        <v>93.069306931</v>
      </c>
      <c r="S54" s="1">
        <v>52.8</v>
      </c>
      <c r="T54" s="1">
        <v>2069.0</v>
      </c>
      <c r="U54" s="1">
        <v>75.93040116</v>
      </c>
      <c r="V54" s="1">
        <v>381.4147018</v>
      </c>
      <c r="W54" s="1">
        <v>17.8125</v>
      </c>
      <c r="X54" s="1">
        <v>14.8760330579999</v>
      </c>
      <c r="Y54" s="1">
        <v>72.254090699</v>
      </c>
      <c r="Z54" s="1">
        <v>15.8</v>
      </c>
      <c r="AA54" s="1">
        <v>4.8851175077</v>
      </c>
      <c r="AB54" s="1">
        <v>26814.0</v>
      </c>
      <c r="AC54" s="1">
        <v>90.96965211</v>
      </c>
      <c r="AD54" s="1">
        <v>72.750893147</v>
      </c>
      <c r="AE54" s="1">
        <v>18.47826087</v>
      </c>
      <c r="AF54" s="1">
        <v>67.527352298</v>
      </c>
      <c r="AG54" s="1">
        <v>0.2625820569</v>
      </c>
      <c r="AH54" s="1">
        <v>0.601750547</v>
      </c>
      <c r="AI54" s="1">
        <v>0.0437636761</v>
      </c>
      <c r="AJ54" s="1">
        <v>1.4442013129</v>
      </c>
      <c r="AK54" s="1">
        <v>29.551422319</v>
      </c>
      <c r="AL54" s="1">
        <v>0.2897904592</v>
      </c>
      <c r="AM54" s="1">
        <v>53.161925602</v>
      </c>
      <c r="AN54" s="1">
        <v>100.0</v>
      </c>
      <c r="AO54" s="1">
        <v>14033.0</v>
      </c>
      <c r="AP54" s="1">
        <v>39.8</v>
      </c>
      <c r="AQ54" s="1">
        <v>11.7</v>
      </c>
      <c r="AR54" s="1">
        <v>23.6</v>
      </c>
      <c r="AS54" s="1">
        <v>18.9</v>
      </c>
      <c r="AT54" s="1">
        <v>22.5</v>
      </c>
      <c r="AU54" s="1">
        <v>25.8</v>
      </c>
      <c r="AV54" s="1">
        <v>70.4</v>
      </c>
      <c r="AW54" s="1">
        <v>0.3</v>
      </c>
      <c r="AX54" s="1">
        <v>1.0</v>
      </c>
      <c r="AY54" s="1">
        <v>33.9</v>
      </c>
      <c r="AZ54" s="1">
        <v>27.0</v>
      </c>
      <c r="BA54" s="1">
        <v>37.7</v>
      </c>
      <c r="BB54" s="1">
        <v>3.07</v>
      </c>
      <c r="BC54" s="1" t="s">
        <v>61</v>
      </c>
      <c r="BD54" s="1">
        <v>17.2</v>
      </c>
      <c r="BE54" s="1">
        <v>36.9</v>
      </c>
      <c r="BF54" s="1">
        <v>23.1</v>
      </c>
      <c r="BG54" s="1">
        <v>22.8</v>
      </c>
      <c r="BH54" s="1" t="s">
        <v>165</v>
      </c>
    </row>
    <row r="55">
      <c r="A55" s="2">
        <v>1107.0</v>
      </c>
      <c r="B55" s="2" t="str">
        <f>IFERROR(__xludf.DUMMYFUNCTION("TO_TEXT(A55)"),"01107")</f>
        <v>01107</v>
      </c>
      <c r="C55" s="1">
        <v>20042.0</v>
      </c>
      <c r="D55" s="1">
        <v>881.429883589312</v>
      </c>
      <c r="E55" s="1" t="s">
        <v>166</v>
      </c>
      <c r="F55" s="1" t="s">
        <v>167</v>
      </c>
      <c r="G55" s="1">
        <v>22.7380536706857</v>
      </c>
      <c r="H55" s="1">
        <v>26.593264751</v>
      </c>
      <c r="I55" s="1">
        <v>5.0023225062</v>
      </c>
      <c r="J55" s="1">
        <v>13.012820513</v>
      </c>
      <c r="K55" s="1">
        <v>21.199123041</v>
      </c>
      <c r="L55" s="1">
        <v>34.9</v>
      </c>
      <c r="M55" s="1">
        <v>7.1</v>
      </c>
      <c r="N55" s="1">
        <v>25.5</v>
      </c>
      <c r="O55" s="1">
        <v>5.8847361491</v>
      </c>
      <c r="P55" s="1">
        <v>11.607203534</v>
      </c>
      <c r="Q55" s="1">
        <v>39.65107</v>
      </c>
      <c r="R55" s="1">
        <v>98.181818182</v>
      </c>
      <c r="S55" s="1">
        <v>30.8</v>
      </c>
      <c r="T55" s="1">
        <v>3987.0</v>
      </c>
      <c r="U55" s="1">
        <v>43.441183848</v>
      </c>
      <c r="V55" s="1">
        <v>166.21551028</v>
      </c>
      <c r="W55" s="1">
        <v>14.238845144</v>
      </c>
      <c r="X55" s="1">
        <v>13.188307274</v>
      </c>
      <c r="Y55" s="1">
        <v>76.015190638</v>
      </c>
      <c r="Z55" s="1">
        <v>15.0</v>
      </c>
      <c r="AA55" s="1">
        <v>0.8921588404</v>
      </c>
      <c r="AB55" s="1">
        <v>37586.0</v>
      </c>
      <c r="AC55" s="1">
        <v>72.4824355969999</v>
      </c>
      <c r="AD55" s="1">
        <v>73.95750332</v>
      </c>
      <c r="AE55" s="1">
        <v>11.427736373</v>
      </c>
      <c r="AF55" s="1">
        <v>39.823452703</v>
      </c>
      <c r="AG55" s="1">
        <v>0.2407463136</v>
      </c>
      <c r="AH55" s="1">
        <v>0.3360417294</v>
      </c>
      <c r="AI55" s="1">
        <v>0.3360417294</v>
      </c>
      <c r="AJ55" s="1">
        <v>4.754739693</v>
      </c>
      <c r="AK55" s="1">
        <v>53.866987662</v>
      </c>
      <c r="AL55" s="1">
        <v>1.6767026578</v>
      </c>
      <c r="AM55" s="1">
        <v>50.105326512</v>
      </c>
      <c r="AN55" s="1">
        <v>100.0</v>
      </c>
      <c r="AO55" s="1">
        <v>19188.0</v>
      </c>
      <c r="AP55" s="1">
        <v>23.9</v>
      </c>
      <c r="AQ55" s="1">
        <v>12.3</v>
      </c>
      <c r="AR55" s="1">
        <v>18.9</v>
      </c>
      <c r="AS55" s="1">
        <v>17.9</v>
      </c>
      <c r="AT55" s="1">
        <v>20.9</v>
      </c>
      <c r="AU55" s="1">
        <v>24.9</v>
      </c>
      <c r="AV55" s="1">
        <v>45.1</v>
      </c>
      <c r="AW55" s="1">
        <v>0.9</v>
      </c>
      <c r="AX55" s="1">
        <v>0.9379</v>
      </c>
      <c r="AY55" s="1">
        <v>24.3</v>
      </c>
      <c r="AZ55" s="1">
        <v>19.7</v>
      </c>
      <c r="BA55" s="1">
        <v>29.2</v>
      </c>
      <c r="BB55" s="1">
        <v>3.38</v>
      </c>
      <c r="BC55" s="1" t="s">
        <v>61</v>
      </c>
      <c r="BD55" s="1">
        <v>18.5</v>
      </c>
      <c r="BE55" s="1">
        <v>37.2</v>
      </c>
      <c r="BF55" s="1">
        <v>30.2</v>
      </c>
      <c r="BG55" s="1">
        <v>14.1</v>
      </c>
      <c r="BH55" s="1" t="s">
        <v>167</v>
      </c>
    </row>
    <row r="56">
      <c r="A56" s="2">
        <v>1109.0</v>
      </c>
      <c r="B56" s="2" t="str">
        <f>IFERROR(__xludf.DUMMYFUNCTION("TO_TEXT(A56)"),"01109")</f>
        <v>01109</v>
      </c>
      <c r="C56" s="1">
        <v>33277.0</v>
      </c>
      <c r="D56" s="1">
        <v>672.103662277318</v>
      </c>
      <c r="E56" s="1" t="s">
        <v>168</v>
      </c>
      <c r="F56" s="1" t="s">
        <v>169</v>
      </c>
      <c r="G56" s="1">
        <v>49.5117075946977</v>
      </c>
      <c r="H56" s="1">
        <v>24.554163207</v>
      </c>
      <c r="I56" s="1">
        <v>5.054337662</v>
      </c>
      <c r="J56" s="1">
        <v>10.350134667</v>
      </c>
      <c r="K56" s="1">
        <v>20.604656176</v>
      </c>
      <c r="L56" s="1">
        <v>36.2</v>
      </c>
      <c r="M56" s="1">
        <v>6.2</v>
      </c>
      <c r="N56" s="1">
        <v>27.8</v>
      </c>
      <c r="O56" s="1">
        <v>51.41797623</v>
      </c>
      <c r="P56" s="1">
        <v>12.916650758</v>
      </c>
      <c r="Q56" s="1">
        <v>48.09571</v>
      </c>
      <c r="R56" s="1">
        <v>87.2852233679999</v>
      </c>
      <c r="S56" s="1">
        <v>30.6</v>
      </c>
      <c r="T56" s="1">
        <v>6502.0</v>
      </c>
      <c r="U56" s="1">
        <v>46.416487235</v>
      </c>
      <c r="V56" s="1">
        <v>564.40203486</v>
      </c>
      <c r="W56" s="1">
        <v>15.78125</v>
      </c>
      <c r="X56" s="1">
        <v>15.401459854</v>
      </c>
      <c r="Y56" s="1">
        <v>75.440158656</v>
      </c>
      <c r="Z56" s="1">
        <v>12.3</v>
      </c>
      <c r="AA56" s="1">
        <v>6.3043445736</v>
      </c>
      <c r="AB56" s="1">
        <v>37259.0</v>
      </c>
      <c r="AC56" s="1">
        <v>73.367446394</v>
      </c>
      <c r="AD56" s="1">
        <v>59.279466528</v>
      </c>
      <c r="AE56" s="1">
        <v>16.404788627</v>
      </c>
      <c r="AF56" s="1">
        <v>37.314775931</v>
      </c>
      <c r="AG56" s="1">
        <v>0.7079008939</v>
      </c>
      <c r="AH56" s="1">
        <v>2.1297018417</v>
      </c>
      <c r="AI56" s="1">
        <v>0.0899874017999999</v>
      </c>
      <c r="AJ56" s="1">
        <v>2.4056632072</v>
      </c>
      <c r="AK56" s="1">
        <v>55.7921890939999</v>
      </c>
      <c r="AL56" s="1">
        <v>1.452032211</v>
      </c>
      <c r="AM56" s="1">
        <v>51.712760214</v>
      </c>
      <c r="AN56" s="1">
        <v>51.679382352</v>
      </c>
      <c r="AO56" s="1">
        <v>20180.0</v>
      </c>
      <c r="AP56" s="1">
        <v>25.7</v>
      </c>
      <c r="AQ56" s="1">
        <v>9.7</v>
      </c>
      <c r="AR56" s="1">
        <v>20.0</v>
      </c>
      <c r="AS56" s="1">
        <v>14.3</v>
      </c>
      <c r="AT56" s="1">
        <v>20.0</v>
      </c>
      <c r="AU56" s="1">
        <v>16.4</v>
      </c>
      <c r="AV56" s="1">
        <v>43.4</v>
      </c>
      <c r="AW56" s="1">
        <v>1.5</v>
      </c>
      <c r="AX56" s="1">
        <v>0.9153</v>
      </c>
      <c r="AY56" s="1">
        <v>21.8</v>
      </c>
      <c r="AZ56" s="1">
        <v>18.8</v>
      </c>
      <c r="BA56" s="1">
        <v>26.0</v>
      </c>
      <c r="BB56" s="1">
        <v>3.41</v>
      </c>
      <c r="BC56" s="1" t="s">
        <v>61</v>
      </c>
      <c r="BD56" s="1">
        <v>15.0</v>
      </c>
      <c r="BE56" s="1">
        <v>35.7</v>
      </c>
      <c r="BF56" s="1">
        <v>25.5</v>
      </c>
      <c r="BG56" s="1">
        <v>23.7</v>
      </c>
      <c r="BH56" s="1" t="s">
        <v>169</v>
      </c>
    </row>
    <row r="57">
      <c r="A57" s="2">
        <v>1111.0</v>
      </c>
      <c r="B57" s="2" t="str">
        <f>IFERROR(__xludf.DUMMYFUNCTION("TO_TEXT(A57)"),"01111")</f>
        <v>01111</v>
      </c>
      <c r="C57" s="1">
        <v>22615.0</v>
      </c>
      <c r="D57" s="1">
        <v>580.5491834422</v>
      </c>
      <c r="E57" s="1" t="s">
        <v>170</v>
      </c>
      <c r="F57" s="1" t="s">
        <v>171</v>
      </c>
      <c r="G57" s="1">
        <v>38.9544945458554</v>
      </c>
      <c r="H57" s="1">
        <v>21.3892944979999</v>
      </c>
      <c r="I57" s="1">
        <v>4.9027243305</v>
      </c>
      <c r="J57" s="1">
        <v>9.3178036606</v>
      </c>
      <c r="K57" s="1">
        <v>18.998357528</v>
      </c>
      <c r="L57" s="1">
        <v>37.4</v>
      </c>
      <c r="M57" s="1">
        <v>7.2</v>
      </c>
      <c r="N57" s="1">
        <v>34.2</v>
      </c>
      <c r="O57" s="1">
        <v>40.666870336</v>
      </c>
      <c r="P57" s="1">
        <v>13.227662455</v>
      </c>
      <c r="Q57" s="1">
        <v>30.87781</v>
      </c>
      <c r="R57" s="1">
        <v>91.80887372</v>
      </c>
      <c r="S57" s="1">
        <v>31.4</v>
      </c>
      <c r="T57" s="1">
        <v>4898.0</v>
      </c>
      <c r="U57" s="1">
        <v>38.832176399</v>
      </c>
      <c r="V57" s="1">
        <v>196.49835515</v>
      </c>
      <c r="W57" s="1">
        <v>15.132336018</v>
      </c>
      <c r="X57" s="1">
        <v>12.19941349</v>
      </c>
      <c r="Y57" s="1">
        <v>74.657088735</v>
      </c>
      <c r="Z57" s="1">
        <v>16.5</v>
      </c>
      <c r="AA57" s="1">
        <v>6.81548308309999</v>
      </c>
      <c r="AB57" s="1">
        <v>40546.0</v>
      </c>
      <c r="AC57" s="1">
        <v>61.489019818</v>
      </c>
      <c r="AD57" s="1">
        <v>73.412009719</v>
      </c>
      <c r="AE57" s="1">
        <v>10.934317719</v>
      </c>
      <c r="AF57" s="1">
        <v>19.361936194</v>
      </c>
      <c r="AG57" s="1">
        <v>0.4708470847</v>
      </c>
      <c r="AH57" s="1">
        <v>0.3916391639</v>
      </c>
      <c r="AI57" s="1">
        <v>0.1144114411</v>
      </c>
      <c r="AJ57" s="1">
        <v>2.9086908691</v>
      </c>
      <c r="AK57" s="1">
        <v>75.335533553</v>
      </c>
      <c r="AL57" s="1">
        <v>0.2725051682</v>
      </c>
      <c r="AM57" s="1">
        <v>51.348734873</v>
      </c>
      <c r="AN57" s="1">
        <v>81.342469341</v>
      </c>
      <c r="AO57" s="1">
        <v>19584.0</v>
      </c>
      <c r="AP57" s="1">
        <v>20.6</v>
      </c>
      <c r="AQ57" s="1">
        <v>8.0</v>
      </c>
      <c r="AR57" s="1">
        <v>22.7</v>
      </c>
      <c r="AS57" s="1">
        <v>19.4</v>
      </c>
      <c r="AT57" s="1">
        <v>22.2</v>
      </c>
      <c r="AU57" s="1">
        <v>15.7</v>
      </c>
      <c r="AV57" s="1">
        <v>24.6</v>
      </c>
      <c r="AW57" s="1">
        <v>0.1</v>
      </c>
      <c r="AX57" s="1">
        <v>0.8029</v>
      </c>
      <c r="AY57" s="1">
        <v>17.5</v>
      </c>
      <c r="AZ57" s="1">
        <v>15.6</v>
      </c>
      <c r="BA57" s="1">
        <v>22.4</v>
      </c>
      <c r="BB57" s="1">
        <v>2.96</v>
      </c>
      <c r="BC57" s="1" t="s">
        <v>61</v>
      </c>
      <c r="BD57" s="1">
        <v>20.4</v>
      </c>
      <c r="BE57" s="1">
        <v>34.9</v>
      </c>
      <c r="BF57" s="1">
        <v>28.2</v>
      </c>
      <c r="BG57" s="1">
        <v>16.5</v>
      </c>
      <c r="BH57" s="1" t="s">
        <v>171</v>
      </c>
    </row>
    <row r="58">
      <c r="A58" s="2">
        <v>1113.0</v>
      </c>
      <c r="B58" s="2" t="str">
        <f>IFERROR(__xludf.DUMMYFUNCTION("TO_TEXT(A58)"),"01113")</f>
        <v>01113</v>
      </c>
      <c r="C58" s="1">
        <v>58636.0</v>
      </c>
      <c r="D58" s="1">
        <v>641.153584643985</v>
      </c>
      <c r="E58" s="1" t="s">
        <v>172</v>
      </c>
      <c r="F58" s="1" t="s">
        <v>173</v>
      </c>
      <c r="G58" s="1">
        <v>91.4539065278077</v>
      </c>
      <c r="H58" s="1">
        <v>25.463148765</v>
      </c>
      <c r="I58" s="1">
        <v>5.0158829596</v>
      </c>
      <c r="J58" s="1">
        <v>10.404430274</v>
      </c>
      <c r="K58" s="1">
        <v>21.791319835</v>
      </c>
      <c r="L58" s="1">
        <v>45.1</v>
      </c>
      <c r="M58" s="1">
        <v>6.6</v>
      </c>
      <c r="N58" s="1">
        <v>31.5</v>
      </c>
      <c r="O58" s="1">
        <v>64.349254915</v>
      </c>
      <c r="P58" s="1">
        <v>11.304654005</v>
      </c>
      <c r="Q58" s="1">
        <v>26.29503</v>
      </c>
      <c r="R58" s="1">
        <v>88.145896657</v>
      </c>
      <c r="S58" s="1">
        <v>31.6</v>
      </c>
      <c r="T58" s="1">
        <v>13857.0</v>
      </c>
      <c r="U58" s="1">
        <v>46.214909432</v>
      </c>
      <c r="V58" s="1">
        <v>504.99623939</v>
      </c>
      <c r="W58" s="1">
        <v>16.789791807</v>
      </c>
      <c r="X58" s="1">
        <v>13.383665065</v>
      </c>
      <c r="Y58" s="1">
        <v>73.48211671</v>
      </c>
      <c r="Z58" s="1">
        <v>19.0</v>
      </c>
      <c r="AA58" s="1">
        <v>5.5467032283</v>
      </c>
      <c r="AB58" s="1">
        <v>39104.0</v>
      </c>
      <c r="AC58" s="1">
        <v>68.522596204</v>
      </c>
      <c r="AD58" s="1">
        <v>59.810905893</v>
      </c>
      <c r="AE58" s="1">
        <v>15.595989603</v>
      </c>
      <c r="AF58" s="1">
        <v>44.756927018</v>
      </c>
      <c r="AG58" s="1">
        <v>0.6213115038</v>
      </c>
      <c r="AH58" s="1">
        <v>0.877451065199999</v>
      </c>
      <c r="AI58" s="1">
        <v>0.2803689794</v>
      </c>
      <c r="AJ58" s="1">
        <v>5.616032952</v>
      </c>
      <c r="AK58" s="1">
        <v>45.983973971</v>
      </c>
      <c r="AL58" s="1">
        <v>1.0379019553</v>
      </c>
      <c r="AM58" s="1">
        <v>51.9824855919999</v>
      </c>
      <c r="AN58" s="1">
        <v>35.4089939</v>
      </c>
      <c r="AO58" s="1">
        <v>20760.0</v>
      </c>
      <c r="AP58" s="1">
        <v>21.5</v>
      </c>
      <c r="AQ58" s="1">
        <v>9.4</v>
      </c>
      <c r="AR58" s="1">
        <v>17.4</v>
      </c>
      <c r="AS58" s="1">
        <v>12.6</v>
      </c>
      <c r="AT58" s="1">
        <v>25.1</v>
      </c>
      <c r="AU58" s="1">
        <v>17.4</v>
      </c>
      <c r="AV58" s="1">
        <v>51.3</v>
      </c>
      <c r="AW58" s="1">
        <v>0.7</v>
      </c>
      <c r="AX58" s="1">
        <v>0.8892</v>
      </c>
      <c r="AY58" s="1">
        <v>18.9</v>
      </c>
      <c r="AZ58" s="1">
        <v>18.2</v>
      </c>
      <c r="BA58" s="1">
        <v>24.1</v>
      </c>
      <c r="BB58" s="1">
        <v>3.14</v>
      </c>
      <c r="BC58" s="1" t="s">
        <v>61</v>
      </c>
      <c r="BD58" s="1">
        <v>16.2</v>
      </c>
      <c r="BE58" s="1">
        <v>31.4</v>
      </c>
      <c r="BF58" s="1">
        <v>34.6</v>
      </c>
      <c r="BG58" s="1">
        <v>17.8</v>
      </c>
      <c r="BH58" s="1" t="s">
        <v>173</v>
      </c>
    </row>
    <row r="59">
      <c r="A59" s="2">
        <v>1115.0</v>
      </c>
      <c r="B59" s="2" t="str">
        <f>IFERROR(__xludf.DUMMYFUNCTION("TO_TEXT(A59)"),"01115")</f>
        <v>01115</v>
      </c>
      <c r="C59" s="1">
        <v>86576.0</v>
      </c>
      <c r="D59" s="1">
        <v>631.904267603623</v>
      </c>
      <c r="E59" s="1" t="s">
        <v>174</v>
      </c>
      <c r="F59" s="1" t="s">
        <v>175</v>
      </c>
      <c r="G59" s="1">
        <v>137.00809511593</v>
      </c>
      <c r="H59" s="1">
        <v>19.272571246</v>
      </c>
      <c r="I59" s="1">
        <v>4.6043761162</v>
      </c>
      <c r="J59" s="1">
        <v>8.7709497207</v>
      </c>
      <c r="K59" s="1">
        <v>18.335301284</v>
      </c>
      <c r="L59" s="1">
        <v>36.6</v>
      </c>
      <c r="M59" s="1">
        <v>8.4</v>
      </c>
      <c r="N59" s="1">
        <v>30.7</v>
      </c>
      <c r="O59" s="1">
        <v>42.332491955</v>
      </c>
      <c r="P59" s="1">
        <v>10.041068328</v>
      </c>
      <c r="Q59" s="1">
        <v>17.007</v>
      </c>
      <c r="R59" s="1">
        <v>88.405797101</v>
      </c>
      <c r="S59" s="1">
        <v>15.0</v>
      </c>
      <c r="T59" s="1">
        <v>19925.0</v>
      </c>
      <c r="U59" s="1">
        <v>26.3237139269999</v>
      </c>
      <c r="V59" s="1">
        <v>299.39947706</v>
      </c>
      <c r="W59" s="1">
        <v>10.556079171</v>
      </c>
      <c r="X59" s="1">
        <v>9.323786794</v>
      </c>
      <c r="Y59" s="1">
        <v>74.950954951</v>
      </c>
      <c r="Z59" s="1">
        <v>13.8</v>
      </c>
      <c r="AA59" s="1">
        <v>1.5678584072</v>
      </c>
      <c r="AB59" s="1">
        <v>57284.0</v>
      </c>
      <c r="AC59" s="1">
        <v>47.319329643</v>
      </c>
      <c r="AD59" s="1">
        <v>78.94131543</v>
      </c>
      <c r="AE59" s="1">
        <v>10.06700547</v>
      </c>
      <c r="AF59" s="1">
        <v>9.3257413463</v>
      </c>
      <c r="AG59" s="1">
        <v>0.3596797835</v>
      </c>
      <c r="AH59" s="1">
        <v>0.8907430375</v>
      </c>
      <c r="AI59" s="1">
        <v>0.0755440298</v>
      </c>
      <c r="AJ59" s="1">
        <v>2.5076107791</v>
      </c>
      <c r="AK59" s="1">
        <v>85.601533431</v>
      </c>
      <c r="AL59" s="1">
        <v>0.4764515932</v>
      </c>
      <c r="AM59" s="1">
        <v>50.358552261</v>
      </c>
      <c r="AN59" s="1">
        <v>72.796765279</v>
      </c>
      <c r="AO59" s="1">
        <v>24474.0</v>
      </c>
      <c r="AP59" s="1">
        <v>13.7</v>
      </c>
      <c r="AQ59" s="1">
        <v>6.4</v>
      </c>
      <c r="AR59" s="1">
        <v>16.5</v>
      </c>
      <c r="AS59" s="1">
        <v>15.2</v>
      </c>
      <c r="AT59" s="1">
        <v>23.0</v>
      </c>
      <c r="AU59" s="1">
        <v>17.1</v>
      </c>
      <c r="AV59" s="1">
        <v>13.7</v>
      </c>
      <c r="AW59" s="1">
        <v>0.5</v>
      </c>
      <c r="AX59" s="1">
        <v>0.3289</v>
      </c>
      <c r="AY59" s="1">
        <v>11.2</v>
      </c>
      <c r="AZ59" s="1">
        <v>14.1</v>
      </c>
      <c r="BA59" s="1">
        <v>18.5</v>
      </c>
      <c r="BB59" s="1">
        <v>3.45</v>
      </c>
      <c r="BC59" s="1" t="s">
        <v>61</v>
      </c>
      <c r="BD59" s="1">
        <v>15.4</v>
      </c>
      <c r="BE59" s="1">
        <v>35.6</v>
      </c>
      <c r="BF59" s="1">
        <v>32.9</v>
      </c>
      <c r="BG59" s="1">
        <v>16.1</v>
      </c>
      <c r="BH59" s="1" t="s">
        <v>175</v>
      </c>
    </row>
    <row r="60">
      <c r="A60" s="2">
        <v>1117.0</v>
      </c>
      <c r="B60" s="2" t="str">
        <f>IFERROR(__xludf.DUMMYFUNCTION("TO_TEXT(A60)"),"01117")</f>
        <v>01117</v>
      </c>
      <c r="C60" s="1">
        <v>205951.0</v>
      </c>
      <c r="D60" s="1">
        <v>785.368628000888</v>
      </c>
      <c r="E60" s="1" t="s">
        <v>176</v>
      </c>
      <c r="F60" s="1" t="s">
        <v>177</v>
      </c>
      <c r="G60" s="1">
        <v>262.234818984604</v>
      </c>
      <c r="H60" s="1">
        <v>16.489439968</v>
      </c>
      <c r="I60" s="1">
        <v>4.1430652633</v>
      </c>
      <c r="J60" s="1">
        <v>7.28376327769999</v>
      </c>
      <c r="K60" s="1">
        <v>15.561157468</v>
      </c>
      <c r="L60" s="1">
        <v>35.0</v>
      </c>
      <c r="M60" s="1">
        <v>8.6</v>
      </c>
      <c r="N60" s="1">
        <v>25.0</v>
      </c>
      <c r="O60" s="1">
        <v>83.6983878819999</v>
      </c>
      <c r="P60" s="1">
        <v>7.8591340516</v>
      </c>
      <c r="Q60" s="1">
        <v>80.52246</v>
      </c>
      <c r="R60" s="1">
        <v>94.221585482</v>
      </c>
      <c r="S60" s="1">
        <v>8.9</v>
      </c>
      <c r="T60" s="1">
        <v>50258.0</v>
      </c>
      <c r="U60" s="1">
        <v>19.338214812</v>
      </c>
      <c r="V60" s="1">
        <v>263.62287755</v>
      </c>
      <c r="W60" s="1">
        <v>10.554385041</v>
      </c>
      <c r="X60" s="1">
        <v>9.4728445124</v>
      </c>
      <c r="Y60" s="1">
        <v>80.485750113</v>
      </c>
      <c r="Z60" s="1">
        <v>10.5</v>
      </c>
      <c r="AA60" s="1">
        <v>4.3024797992</v>
      </c>
      <c r="AB60" s="1">
        <v>75663.0</v>
      </c>
      <c r="AC60" s="1">
        <v>29.498703544</v>
      </c>
      <c r="AD60" s="1">
        <v>79.672658564</v>
      </c>
      <c r="AE60" s="1">
        <v>9.1641950952</v>
      </c>
      <c r="AF60" s="1">
        <v>12.8910976459999</v>
      </c>
      <c r="AG60" s="1">
        <v>0.394516636</v>
      </c>
      <c r="AH60" s="1">
        <v>2.258155739</v>
      </c>
      <c r="AI60" s="1">
        <v>0.0579489771</v>
      </c>
      <c r="AJ60" s="1">
        <v>5.7786719949</v>
      </c>
      <c r="AK60" s="1">
        <v>77.531095421</v>
      </c>
      <c r="AL60" s="1">
        <v>1.5833085968</v>
      </c>
      <c r="AM60" s="1">
        <v>51.661281275</v>
      </c>
      <c r="AN60" s="1">
        <v>22.944870185</v>
      </c>
      <c r="AO60" s="1">
        <v>34117.0</v>
      </c>
      <c r="AP60" s="1">
        <v>8.5</v>
      </c>
      <c r="AQ60" s="1">
        <v>4.6</v>
      </c>
      <c r="AR60" s="1">
        <v>8.4</v>
      </c>
      <c r="AS60" s="1">
        <v>13.0</v>
      </c>
      <c r="AT60" s="1">
        <v>24.4</v>
      </c>
      <c r="AU60" s="1">
        <v>11.4</v>
      </c>
      <c r="AV60" s="1">
        <v>21.1</v>
      </c>
      <c r="AW60" s="1">
        <v>1.7</v>
      </c>
      <c r="AX60" s="1">
        <v>0.1073</v>
      </c>
      <c r="AY60" s="1">
        <v>6.2</v>
      </c>
      <c r="AZ60" s="1">
        <v>10.6</v>
      </c>
      <c r="BA60" s="1">
        <v>13.7</v>
      </c>
      <c r="BB60" s="1">
        <v>3.39</v>
      </c>
      <c r="BC60" s="1" t="s">
        <v>61</v>
      </c>
      <c r="BD60" s="1">
        <v>7.3</v>
      </c>
      <c r="BE60" s="1">
        <v>19.8</v>
      </c>
      <c r="BF60" s="1">
        <v>29.9</v>
      </c>
      <c r="BG60" s="1">
        <v>42.9</v>
      </c>
      <c r="BH60" s="1" t="s">
        <v>177</v>
      </c>
    </row>
    <row r="61">
      <c r="A61" s="2">
        <v>1119.0</v>
      </c>
      <c r="B61" s="2" t="str">
        <f>IFERROR(__xludf.DUMMYFUNCTION("TO_TEXT(A61)"),"01119")</f>
        <v>01119</v>
      </c>
      <c r="C61" s="1">
        <v>13285.0</v>
      </c>
      <c r="D61" s="1">
        <v>903.88905237172</v>
      </c>
      <c r="E61" s="1" t="s">
        <v>178</v>
      </c>
      <c r="F61" s="1" t="s">
        <v>179</v>
      </c>
      <c r="G61" s="1">
        <v>14.6976002919179</v>
      </c>
      <c r="H61" s="1">
        <v>33.63301606</v>
      </c>
      <c r="I61" s="1">
        <v>5.4345816297</v>
      </c>
      <c r="J61" s="1">
        <v>12.287712288</v>
      </c>
      <c r="K61" s="1">
        <v>22.4919149719999</v>
      </c>
      <c r="L61" s="1">
        <v>42.8</v>
      </c>
      <c r="M61" s="1">
        <v>4.6</v>
      </c>
      <c r="N61" s="1">
        <v>37.6</v>
      </c>
      <c r="O61" s="1">
        <v>36.322022815</v>
      </c>
      <c r="P61" s="1">
        <v>11.362216205</v>
      </c>
      <c r="Q61" s="1">
        <v>55.17459</v>
      </c>
      <c r="R61" s="1">
        <v>76.978417266</v>
      </c>
      <c r="S61" s="1">
        <v>48.1</v>
      </c>
      <c r="T61" s="1">
        <v>2522.0</v>
      </c>
      <c r="U61" s="1">
        <v>58.8025376689999</v>
      </c>
      <c r="V61" s="1">
        <v>435.48017419</v>
      </c>
      <c r="W61" s="1">
        <v>23.2581967209999</v>
      </c>
      <c r="X61" s="1">
        <v>22.649294245</v>
      </c>
      <c r="Y61" s="1">
        <v>73.806720663</v>
      </c>
      <c r="Z61" s="1">
        <v>20.5</v>
      </c>
      <c r="AA61" s="1">
        <v>10.372885631</v>
      </c>
      <c r="AB61" s="1">
        <v>27859.0</v>
      </c>
      <c r="AC61" s="1">
        <v>94.317439582</v>
      </c>
      <c r="AD61" s="1">
        <v>64.949474936</v>
      </c>
      <c r="AE61" s="1">
        <v>18.283166109</v>
      </c>
      <c r="AF61" s="1">
        <v>71.412812229</v>
      </c>
      <c r="AG61" s="1">
        <v>0.1339531952</v>
      </c>
      <c r="AH61" s="1">
        <v>2.0171775274</v>
      </c>
      <c r="AI61" s="1">
        <v>0.0315183989</v>
      </c>
      <c r="AJ61" s="1">
        <v>1.1504215586</v>
      </c>
      <c r="AK61" s="1">
        <v>24.5528327159999</v>
      </c>
      <c r="AL61" s="1">
        <v>0.3826426769</v>
      </c>
      <c r="AM61" s="1">
        <v>54.282562446</v>
      </c>
      <c r="AN61" s="1">
        <v>100.0</v>
      </c>
      <c r="AO61" s="1">
        <v>13929.0</v>
      </c>
      <c r="AP61" s="1">
        <v>36.7</v>
      </c>
      <c r="AQ61" s="1">
        <v>15.3</v>
      </c>
      <c r="AR61" s="1">
        <v>20.0</v>
      </c>
      <c r="AS61" s="1">
        <v>16.2</v>
      </c>
      <c r="AT61" s="1">
        <v>19.9</v>
      </c>
      <c r="AU61" s="1">
        <v>20.0</v>
      </c>
      <c r="AV61" s="1">
        <v>75.4</v>
      </c>
      <c r="AW61" s="1">
        <v>0.9</v>
      </c>
      <c r="AX61" s="1">
        <v>0.9748</v>
      </c>
      <c r="AY61" s="1">
        <v>36.4</v>
      </c>
      <c r="AZ61" s="1">
        <v>23.0</v>
      </c>
      <c r="BA61" s="1">
        <v>31.2</v>
      </c>
      <c r="BB61" s="1">
        <v>2.96</v>
      </c>
      <c r="BC61" s="1" t="s">
        <v>61</v>
      </c>
      <c r="BD61" s="1">
        <v>13.3</v>
      </c>
      <c r="BE61" s="1">
        <v>35.4</v>
      </c>
      <c r="BF61" s="1">
        <v>29.8</v>
      </c>
      <c r="BG61" s="1">
        <v>21.6</v>
      </c>
      <c r="BH61" s="1" t="s">
        <v>179</v>
      </c>
    </row>
    <row r="62">
      <c r="A62" s="2">
        <v>1121.0</v>
      </c>
      <c r="B62" s="2" t="str">
        <f>IFERROR(__xludf.DUMMYFUNCTION("TO_TEXT(A62)"),"01121")</f>
        <v>01121</v>
      </c>
      <c r="C62" s="1">
        <v>81057.0</v>
      </c>
      <c r="D62" s="1">
        <v>736.776876239566</v>
      </c>
      <c r="E62" s="1" t="s">
        <v>180</v>
      </c>
      <c r="F62" s="1" t="s">
        <v>181</v>
      </c>
      <c r="G62" s="1">
        <v>110.015667719794</v>
      </c>
      <c r="H62" s="1">
        <v>23.197124311</v>
      </c>
      <c r="I62" s="1">
        <v>4.9750953639</v>
      </c>
      <c r="J62" s="1">
        <v>11.628289474</v>
      </c>
      <c r="K62" s="1">
        <v>23.159862261</v>
      </c>
      <c r="L62" s="1">
        <v>38.8</v>
      </c>
      <c r="M62" s="1">
        <v>7.0</v>
      </c>
      <c r="N62" s="1">
        <v>34.9</v>
      </c>
      <c r="O62" s="1">
        <v>48.021047259</v>
      </c>
      <c r="P62" s="1">
        <v>10.302041075</v>
      </c>
      <c r="Q62" s="1">
        <v>31.22463</v>
      </c>
      <c r="R62" s="1">
        <v>92.702394527</v>
      </c>
      <c r="S62" s="1">
        <v>26.4</v>
      </c>
      <c r="T62" s="1">
        <v>16994.0</v>
      </c>
      <c r="U62" s="1">
        <v>45.7808638339999</v>
      </c>
      <c r="V62" s="1">
        <v>468.57277443</v>
      </c>
      <c r="W62" s="1">
        <v>13.175460903</v>
      </c>
      <c r="X62" s="1">
        <v>11.328061965</v>
      </c>
      <c r="Y62" s="1">
        <v>73.132460576</v>
      </c>
      <c r="Z62" s="1">
        <v>16.3</v>
      </c>
      <c r="AA62" s="1">
        <v>5.85466459429999</v>
      </c>
      <c r="AB62" s="1">
        <v>41630.0</v>
      </c>
      <c r="AC62" s="1">
        <v>67.629861876</v>
      </c>
      <c r="AD62" s="1">
        <v>71.296207852</v>
      </c>
      <c r="AE62" s="1">
        <v>11.634589682</v>
      </c>
      <c r="AF62" s="1">
        <v>32.567520168</v>
      </c>
      <c r="AG62" s="1">
        <v>0.4083780127</v>
      </c>
      <c r="AH62" s="1">
        <v>0.6576639776</v>
      </c>
      <c r="AI62" s="1">
        <v>0.0275592524</v>
      </c>
      <c r="AJ62" s="1">
        <v>2.3588214662</v>
      </c>
      <c r="AK62" s="1">
        <v>62.4968682669999</v>
      </c>
      <c r="AL62" s="1">
        <v>0.4956467009</v>
      </c>
      <c r="AM62" s="1">
        <v>51.67109285</v>
      </c>
      <c r="AN62" s="1">
        <v>55.815338251</v>
      </c>
      <c r="AO62" s="1">
        <v>20430.0</v>
      </c>
      <c r="AP62" s="1">
        <v>20.8</v>
      </c>
      <c r="AQ62" s="1">
        <v>12.0</v>
      </c>
      <c r="AR62" s="1">
        <v>20.2</v>
      </c>
      <c r="AS62" s="1">
        <v>16.1</v>
      </c>
      <c r="AT62" s="1">
        <v>22.2</v>
      </c>
      <c r="AU62" s="1">
        <v>18.9</v>
      </c>
      <c r="AV62" s="1">
        <v>36.5</v>
      </c>
      <c r="AW62" s="1">
        <v>0.5</v>
      </c>
      <c r="AX62" s="1">
        <v>0.8841</v>
      </c>
      <c r="AY62" s="1">
        <v>17.4</v>
      </c>
      <c r="AZ62" s="1">
        <v>17.7</v>
      </c>
      <c r="BA62" s="1">
        <v>25.1</v>
      </c>
      <c r="BB62" s="1">
        <v>3.29</v>
      </c>
      <c r="BC62" s="1" t="s">
        <v>61</v>
      </c>
      <c r="BD62" s="1">
        <v>19.7</v>
      </c>
      <c r="BE62" s="1">
        <v>33.7</v>
      </c>
      <c r="BF62" s="1">
        <v>31.6</v>
      </c>
      <c r="BG62" s="1">
        <v>15.0</v>
      </c>
      <c r="BH62" s="1" t="s">
        <v>181</v>
      </c>
    </row>
    <row r="63">
      <c r="A63" s="2">
        <v>1123.0</v>
      </c>
      <c r="B63" s="2" t="str">
        <f>IFERROR(__xludf.DUMMYFUNCTION("TO_TEXT(A63)"),"01123")</f>
        <v>01123</v>
      </c>
      <c r="C63" s="1">
        <v>40958.0</v>
      </c>
      <c r="D63" s="1">
        <v>716.5202923396</v>
      </c>
      <c r="E63" s="1" t="s">
        <v>182</v>
      </c>
      <c r="F63" s="1" t="s">
        <v>183</v>
      </c>
      <c r="G63" s="1">
        <v>57.1623727030296</v>
      </c>
      <c r="H63" s="1">
        <v>22.8473067519999</v>
      </c>
      <c r="I63" s="1">
        <v>4.9791423992</v>
      </c>
      <c r="J63" s="1">
        <v>14.974293059</v>
      </c>
      <c r="K63" s="1">
        <v>18.180067185</v>
      </c>
      <c r="L63" s="1">
        <v>36.0</v>
      </c>
      <c r="M63" s="1">
        <v>7.2</v>
      </c>
      <c r="N63" s="1">
        <v>30.0</v>
      </c>
      <c r="O63" s="1">
        <v>68.805267205</v>
      </c>
      <c r="P63" s="1">
        <v>11.9048369309999</v>
      </c>
      <c r="Q63" s="1">
        <v>49.163</v>
      </c>
      <c r="R63" s="1">
        <v>89.892473118</v>
      </c>
      <c r="S63" s="1">
        <v>30.7</v>
      </c>
      <c r="T63" s="1">
        <v>8541.0</v>
      </c>
      <c r="U63" s="1">
        <v>43.519494204</v>
      </c>
      <c r="V63" s="1">
        <v>638.9143409</v>
      </c>
      <c r="W63" s="1">
        <v>17.074663403</v>
      </c>
      <c r="X63" s="1">
        <v>13.070669168</v>
      </c>
      <c r="Y63" s="1">
        <v>74.530869445</v>
      </c>
      <c r="Z63" s="1">
        <v>15.9</v>
      </c>
      <c r="AA63" s="1">
        <v>4.3249543956</v>
      </c>
      <c r="AB63" s="1">
        <v>42205.0</v>
      </c>
      <c r="AC63" s="1">
        <v>58.5493099969999</v>
      </c>
      <c r="AD63" s="1">
        <v>72.847762646</v>
      </c>
      <c r="AE63" s="1">
        <v>13.442260122</v>
      </c>
      <c r="AF63" s="1">
        <v>26.779761464</v>
      </c>
      <c r="AG63" s="1">
        <v>0.4271921377</v>
      </c>
      <c r="AH63" s="1">
        <v>0.6197989975</v>
      </c>
      <c r="AI63" s="1">
        <v>0.0592636492</v>
      </c>
      <c r="AJ63" s="1">
        <v>2.3507914166</v>
      </c>
      <c r="AK63" s="1">
        <v>68.780403487</v>
      </c>
      <c r="AL63" s="1">
        <v>0.2394274561</v>
      </c>
      <c r="AM63" s="1">
        <v>51.522334988</v>
      </c>
      <c r="AN63" s="1">
        <v>74.226259131</v>
      </c>
      <c r="AO63" s="1">
        <v>21410.0</v>
      </c>
      <c r="AP63" s="1">
        <v>23.4</v>
      </c>
      <c r="AQ63" s="1">
        <v>9.8</v>
      </c>
      <c r="AR63" s="1">
        <v>20.4</v>
      </c>
      <c r="AS63" s="1">
        <v>19.5</v>
      </c>
      <c r="AT63" s="1">
        <v>21.5</v>
      </c>
      <c r="AU63" s="1">
        <v>18.0</v>
      </c>
      <c r="AV63" s="1">
        <v>30.9</v>
      </c>
      <c r="AW63" s="1">
        <v>0.4</v>
      </c>
      <c r="AX63" s="1">
        <v>0.9093</v>
      </c>
      <c r="AY63" s="1">
        <v>16.0</v>
      </c>
      <c r="AZ63" s="1">
        <v>17.5</v>
      </c>
      <c r="BA63" s="1">
        <v>26.3</v>
      </c>
      <c r="BB63" s="1">
        <v>3.16</v>
      </c>
      <c r="BC63" s="1" t="s">
        <v>61</v>
      </c>
      <c r="BD63" s="1">
        <v>19.3</v>
      </c>
      <c r="BE63" s="1">
        <v>32.7</v>
      </c>
      <c r="BF63" s="1">
        <v>29.5</v>
      </c>
      <c r="BG63" s="1">
        <v>18.4</v>
      </c>
      <c r="BH63" s="1" t="s">
        <v>183</v>
      </c>
    </row>
    <row r="64">
      <c r="A64" s="2">
        <v>1125.0</v>
      </c>
      <c r="B64" s="2" t="str">
        <f>IFERROR(__xludf.DUMMYFUNCTION("TO_TEXT(A64)"),"01125")</f>
        <v>01125</v>
      </c>
      <c r="C64" s="1">
        <v>202471.0</v>
      </c>
      <c r="D64" s="1">
        <v>1321.6766249713</v>
      </c>
      <c r="E64" s="1" t="s">
        <v>184</v>
      </c>
      <c r="F64" s="1" t="s">
        <v>185</v>
      </c>
      <c r="G64" s="1">
        <v>153.192540576555</v>
      </c>
      <c r="H64" s="1">
        <v>20.262329983</v>
      </c>
      <c r="I64" s="1">
        <v>5.0443285927</v>
      </c>
      <c r="J64" s="1">
        <v>10.9065886809999</v>
      </c>
      <c r="K64" s="1">
        <v>17.872632402</v>
      </c>
      <c r="L64" s="1">
        <v>34.6</v>
      </c>
      <c r="M64" s="1">
        <v>7.1</v>
      </c>
      <c r="N64" s="1">
        <v>30.0</v>
      </c>
      <c r="O64" s="1">
        <v>75.6606526389999</v>
      </c>
      <c r="P64" s="1">
        <v>9.3086830807</v>
      </c>
      <c r="Q64" s="1">
        <v>72.18097</v>
      </c>
      <c r="R64" s="1">
        <v>88.524590164</v>
      </c>
      <c r="S64" s="1">
        <v>20.9</v>
      </c>
      <c r="T64" s="1">
        <v>42806.0</v>
      </c>
      <c r="U64" s="1">
        <v>37.560155118</v>
      </c>
      <c r="V64" s="1">
        <v>401.7177234</v>
      </c>
      <c r="W64" s="1">
        <v>17.057069847</v>
      </c>
      <c r="X64" s="1">
        <v>15.209563589</v>
      </c>
      <c r="Y64" s="1">
        <v>76.260147716</v>
      </c>
      <c r="Z64" s="1">
        <v>11.9</v>
      </c>
      <c r="AA64" s="1">
        <v>6.4940425646</v>
      </c>
      <c r="AB64" s="1">
        <v>52557.0</v>
      </c>
      <c r="AC64" s="1">
        <v>53.47826087</v>
      </c>
      <c r="AD64" s="1">
        <v>63.150913939</v>
      </c>
      <c r="AE64" s="1">
        <v>15.2201185309999</v>
      </c>
      <c r="AF64" s="1">
        <v>31.844661124</v>
      </c>
      <c r="AG64" s="1">
        <v>0.3345922426</v>
      </c>
      <c r="AH64" s="1">
        <v>1.6246152668</v>
      </c>
      <c r="AI64" s="1">
        <v>0.0660568376</v>
      </c>
      <c r="AJ64" s="1">
        <v>3.8844292546</v>
      </c>
      <c r="AK64" s="1">
        <v>61.2203282739999</v>
      </c>
      <c r="AL64" s="1">
        <v>0.942408377</v>
      </c>
      <c r="AM64" s="1">
        <v>51.850788135</v>
      </c>
      <c r="AN64" s="1">
        <v>25.508075785</v>
      </c>
      <c r="AO64" s="1">
        <v>23896.0</v>
      </c>
      <c r="AP64" s="1">
        <v>18.0</v>
      </c>
      <c r="AQ64" s="1">
        <v>7.0</v>
      </c>
      <c r="AR64" s="1">
        <v>11.9</v>
      </c>
      <c r="AS64" s="1">
        <v>11.7</v>
      </c>
      <c r="AT64" s="1">
        <v>21.0</v>
      </c>
      <c r="AU64" s="1">
        <v>12.0</v>
      </c>
      <c r="AV64" s="1">
        <v>37.0</v>
      </c>
      <c r="AW64" s="1">
        <v>0.9</v>
      </c>
      <c r="AX64" s="1">
        <v>0.6253</v>
      </c>
      <c r="AY64" s="1">
        <v>16.2</v>
      </c>
      <c r="AZ64" s="1">
        <v>14.8</v>
      </c>
      <c r="BA64" s="1">
        <v>19.0</v>
      </c>
      <c r="BB64" s="1">
        <v>3.47</v>
      </c>
      <c r="BC64" s="1" t="s">
        <v>61</v>
      </c>
      <c r="BD64" s="1">
        <v>11.7</v>
      </c>
      <c r="BE64" s="1">
        <v>29.9</v>
      </c>
      <c r="BF64" s="1">
        <v>27.7</v>
      </c>
      <c r="BG64" s="1">
        <v>30.7</v>
      </c>
      <c r="BH64" s="1" t="s">
        <v>185</v>
      </c>
    </row>
    <row r="65">
      <c r="A65" s="2">
        <v>1127.0</v>
      </c>
      <c r="B65" s="2" t="str">
        <f>IFERROR(__xludf.DUMMYFUNCTION("TO_TEXT(A65)"),"01127")</f>
        <v>01127</v>
      </c>
      <c r="C65" s="1">
        <v>65593.0</v>
      </c>
      <c r="D65" s="1">
        <v>791.193290571813</v>
      </c>
      <c r="E65" s="1" t="s">
        <v>186</v>
      </c>
      <c r="F65" s="1" t="s">
        <v>187</v>
      </c>
      <c r="G65" s="1">
        <v>82.9038880658283</v>
      </c>
      <c r="H65" s="1">
        <v>24.371718875</v>
      </c>
      <c r="I65" s="1">
        <v>5.3784295595</v>
      </c>
      <c r="J65" s="1">
        <v>10.18957346</v>
      </c>
      <c r="K65" s="1">
        <v>22.68098456</v>
      </c>
      <c r="L65" s="1">
        <v>39.6</v>
      </c>
      <c r="M65" s="1">
        <v>7.5</v>
      </c>
      <c r="N65" s="1">
        <v>35.7</v>
      </c>
      <c r="O65" s="1">
        <v>43.984900706</v>
      </c>
      <c r="P65" s="1">
        <v>11.670766468</v>
      </c>
      <c r="Q65" s="1">
        <v>40.58822</v>
      </c>
      <c r="R65" s="1">
        <v>90.358467244</v>
      </c>
      <c r="S65" s="1">
        <v>24.7</v>
      </c>
      <c r="T65" s="1">
        <v>14223.0</v>
      </c>
      <c r="U65" s="1">
        <v>32.08887014</v>
      </c>
      <c r="V65" s="1">
        <v>449.85017832</v>
      </c>
      <c r="W65" s="1">
        <v>12.264338162</v>
      </c>
      <c r="X65" s="1">
        <v>10.118688393</v>
      </c>
      <c r="Y65" s="1">
        <v>70.310740862</v>
      </c>
      <c r="Z65" s="1">
        <v>14.2</v>
      </c>
      <c r="AA65" s="1">
        <v>5.2100697439</v>
      </c>
      <c r="AB65" s="1">
        <v>45434.0</v>
      </c>
      <c r="AC65" s="1">
        <v>52.394663595</v>
      </c>
      <c r="AD65" s="1">
        <v>76.07045854</v>
      </c>
      <c r="AE65" s="1">
        <v>10.229156924</v>
      </c>
      <c r="AF65" s="1">
        <v>6.0633171666</v>
      </c>
      <c r="AG65" s="1">
        <v>0.5572036226</v>
      </c>
      <c r="AH65" s="1">
        <v>0.6058608404</v>
      </c>
      <c r="AI65" s="1">
        <v>0.1083015492</v>
      </c>
      <c r="AJ65" s="1">
        <v>2.5647062517</v>
      </c>
      <c r="AK65" s="1">
        <v>88.923419818</v>
      </c>
      <c r="AL65" s="1">
        <v>0.6148048986</v>
      </c>
      <c r="AM65" s="1">
        <v>51.279998744</v>
      </c>
      <c r="AN65" s="1">
        <v>74.087999642</v>
      </c>
      <c r="AO65" s="1">
        <v>20410.0</v>
      </c>
      <c r="AP65" s="1">
        <v>21.9</v>
      </c>
      <c r="AQ65" s="1">
        <v>11.0</v>
      </c>
      <c r="AR65" s="1">
        <v>21.4</v>
      </c>
      <c r="AS65" s="1">
        <v>18.1</v>
      </c>
      <c r="AT65" s="1">
        <v>22.2</v>
      </c>
      <c r="AU65" s="1">
        <v>25.3</v>
      </c>
      <c r="AV65" s="1">
        <v>10.4</v>
      </c>
      <c r="AW65" s="1">
        <v>0.7</v>
      </c>
      <c r="AX65" s="1">
        <v>0.78</v>
      </c>
      <c r="AY65" s="1">
        <v>17.3</v>
      </c>
      <c r="AZ65" s="1">
        <v>18.0</v>
      </c>
      <c r="BA65" s="1">
        <v>25.8</v>
      </c>
      <c r="BB65" s="1">
        <v>2.91</v>
      </c>
      <c r="BC65" s="1" t="s">
        <v>61</v>
      </c>
      <c r="BD65" s="1">
        <v>18.2</v>
      </c>
      <c r="BE65" s="1">
        <v>37.5</v>
      </c>
      <c r="BF65" s="1">
        <v>33.0</v>
      </c>
      <c r="BG65" s="1">
        <v>11.3</v>
      </c>
      <c r="BH65" s="1" t="s">
        <v>187</v>
      </c>
    </row>
    <row r="66">
      <c r="A66" s="2">
        <v>1129.0</v>
      </c>
      <c r="B66" s="2" t="str">
        <f>IFERROR(__xludf.DUMMYFUNCTION("TO_TEXT(A66)"),"01129")</f>
        <v>01129</v>
      </c>
      <c r="C66" s="1">
        <v>16909.0</v>
      </c>
      <c r="D66" s="1">
        <v>1080.20616620815</v>
      </c>
      <c r="E66" s="1" t="s">
        <v>188</v>
      </c>
      <c r="F66" s="1" t="s">
        <v>189</v>
      </c>
      <c r="G66" s="1">
        <v>15.6534933135549</v>
      </c>
      <c r="H66" s="1">
        <v>23.0408588219999</v>
      </c>
      <c r="I66" s="1">
        <v>4.9650050426</v>
      </c>
      <c r="J66" s="1">
        <v>12.2909699</v>
      </c>
      <c r="K66" s="1">
        <v>20.790092076</v>
      </c>
      <c r="L66" s="1">
        <v>32.9</v>
      </c>
      <c r="M66" s="1">
        <v>7.2</v>
      </c>
      <c r="N66" s="1">
        <v>34.1</v>
      </c>
      <c r="O66" s="1">
        <v>18.286786872</v>
      </c>
      <c r="P66" s="1">
        <v>13.9094650209999</v>
      </c>
      <c r="Q66" s="1">
        <v>18.14772</v>
      </c>
      <c r="R66" s="1">
        <v>92.6724137929999</v>
      </c>
      <c r="S66" s="1">
        <v>25.8</v>
      </c>
      <c r="T66" s="1">
        <v>3685.0</v>
      </c>
      <c r="U66" s="1">
        <v>40.488466757</v>
      </c>
      <c r="V66" s="1">
        <v>243.10453495</v>
      </c>
      <c r="W66" s="1">
        <v>10.057236304</v>
      </c>
      <c r="X66" s="1">
        <v>6.72834314549999</v>
      </c>
      <c r="Y66" s="1">
        <v>74.318874463</v>
      </c>
      <c r="Z66" s="1">
        <v>16.6</v>
      </c>
      <c r="AA66" s="1">
        <v>3.5835658857</v>
      </c>
      <c r="AB66" s="1">
        <v>44424.0</v>
      </c>
      <c r="AC66" s="1">
        <v>61.50690041</v>
      </c>
      <c r="AD66" s="1">
        <v>83.802230731</v>
      </c>
      <c r="AE66" s="1">
        <v>7.7526450201</v>
      </c>
      <c r="AF66" s="1">
        <v>23.3300769319999</v>
      </c>
      <c r="AG66" s="1">
        <v>7.8581023324</v>
      </c>
      <c r="AH66" s="1">
        <v>0.9036512395</v>
      </c>
      <c r="AI66" s="1">
        <v>0.1099035291</v>
      </c>
      <c r="AJ66" s="1">
        <v>1.5813896691</v>
      </c>
      <c r="AK66" s="1">
        <v>65.117841006</v>
      </c>
      <c r="AL66" s="1">
        <v>0.524115555</v>
      </c>
      <c r="AM66" s="1">
        <v>50.818170717</v>
      </c>
      <c r="AN66" s="1">
        <v>100.0</v>
      </c>
      <c r="AO66" s="1">
        <v>19598.0</v>
      </c>
      <c r="AP66" s="1">
        <v>21.6</v>
      </c>
      <c r="AQ66" s="1">
        <v>16.1</v>
      </c>
      <c r="AR66" s="1">
        <v>20.3</v>
      </c>
      <c r="AS66" s="1">
        <v>16.7</v>
      </c>
      <c r="AT66" s="1">
        <v>23.5</v>
      </c>
      <c r="AU66" s="1">
        <v>23.9</v>
      </c>
      <c r="AV66" s="1">
        <v>34.9</v>
      </c>
      <c r="AW66" s="1">
        <v>0.6</v>
      </c>
      <c r="AX66" s="1">
        <v>0.7364</v>
      </c>
      <c r="AY66" s="1">
        <v>18.6</v>
      </c>
      <c r="AZ66" s="1">
        <v>19.3</v>
      </c>
      <c r="BA66" s="1">
        <v>29.9</v>
      </c>
      <c r="BB66" s="1">
        <v>3.2</v>
      </c>
      <c r="BC66" s="1" t="s">
        <v>61</v>
      </c>
      <c r="BD66" s="1">
        <v>17.4</v>
      </c>
      <c r="BE66" s="1">
        <v>43.1</v>
      </c>
      <c r="BF66" s="1">
        <v>26.9</v>
      </c>
      <c r="BG66" s="1">
        <v>12.7</v>
      </c>
      <c r="BH66" s="1" t="s">
        <v>189</v>
      </c>
    </row>
    <row r="67">
      <c r="A67" s="2">
        <v>1131.0</v>
      </c>
      <c r="B67" s="2" t="str">
        <f>IFERROR(__xludf.DUMMYFUNCTION("TO_TEXT(A67)"),"01131")</f>
        <v>01131</v>
      </c>
      <c r="C67" s="1">
        <v>11119.0</v>
      </c>
      <c r="D67" s="1">
        <v>888.49790502541</v>
      </c>
      <c r="E67" s="1" t="s">
        <v>190</v>
      </c>
      <c r="F67" s="1" t="s">
        <v>191</v>
      </c>
      <c r="G67" s="1">
        <v>12.5143795355173</v>
      </c>
      <c r="H67" s="1">
        <v>29.441866053</v>
      </c>
      <c r="I67" s="1">
        <v>5.2067846211</v>
      </c>
      <c r="J67" s="1">
        <v>14.090431125</v>
      </c>
      <c r="K67" s="1">
        <v>22.066630151</v>
      </c>
      <c r="L67" s="1">
        <v>47.7</v>
      </c>
      <c r="M67" s="1">
        <v>2.5</v>
      </c>
      <c r="N67" s="1">
        <v>36.8</v>
      </c>
      <c r="O67" s="1">
        <v>5.7412167952</v>
      </c>
      <c r="P67" s="1">
        <v>10.518884575</v>
      </c>
      <c r="Q67" s="1">
        <v>37.31691</v>
      </c>
      <c r="R67" s="1">
        <v>83.216783217</v>
      </c>
      <c r="S67" s="1">
        <v>50.6</v>
      </c>
      <c r="T67" s="1">
        <v>2590.0</v>
      </c>
      <c r="U67" s="1">
        <v>60.888030888</v>
      </c>
      <c r="V67" s="1">
        <v>644.66684699</v>
      </c>
      <c r="W67" s="1">
        <v>12.664907652</v>
      </c>
      <c r="X67" s="1">
        <v>13.013493253</v>
      </c>
      <c r="Y67" s="1">
        <v>73.191235486</v>
      </c>
      <c r="Z67" s="1">
        <v>19.9</v>
      </c>
      <c r="AA67" s="1">
        <v>30.464746029</v>
      </c>
      <c r="AB67" s="1">
        <v>25385.0</v>
      </c>
      <c r="AC67" s="1">
        <v>94.208037825</v>
      </c>
      <c r="AD67" s="1">
        <v>64.957939012</v>
      </c>
      <c r="AE67" s="1">
        <v>11.02765449</v>
      </c>
      <c r="AF67" s="1">
        <v>70.734920486</v>
      </c>
      <c r="AG67" s="1">
        <v>0.2258398419</v>
      </c>
      <c r="AH67" s="1">
        <v>0.2352498353</v>
      </c>
      <c r="AI67" s="1">
        <v>0.0188199868</v>
      </c>
      <c r="AJ67" s="1">
        <v>1.411499012</v>
      </c>
      <c r="AK67" s="1">
        <v>26.649101346</v>
      </c>
      <c r="AL67" s="1">
        <v>0.6704130928</v>
      </c>
      <c r="AM67" s="1">
        <v>52.423073304</v>
      </c>
      <c r="AN67" s="1">
        <v>100.0</v>
      </c>
      <c r="AO67" s="1">
        <v>14800.0</v>
      </c>
      <c r="AP67" s="1">
        <v>34.9</v>
      </c>
      <c r="AQ67" s="1">
        <v>20.4</v>
      </c>
      <c r="AR67" s="1">
        <v>20.1</v>
      </c>
      <c r="AS67" s="1">
        <v>17.8</v>
      </c>
      <c r="AT67" s="1">
        <v>23.4</v>
      </c>
      <c r="AU67" s="1">
        <v>18.5</v>
      </c>
      <c r="AV67" s="1">
        <v>72.6</v>
      </c>
      <c r="AW67" s="1">
        <v>0.1</v>
      </c>
      <c r="AX67" s="1">
        <v>0.8711</v>
      </c>
      <c r="AY67" s="1">
        <v>32.5</v>
      </c>
      <c r="AZ67" s="1">
        <v>24.7</v>
      </c>
      <c r="BA67" s="1">
        <v>34.9</v>
      </c>
      <c r="BB67" s="1">
        <v>3.1</v>
      </c>
      <c r="BC67" s="1" t="s">
        <v>61</v>
      </c>
      <c r="BD67" s="1">
        <v>23.5</v>
      </c>
      <c r="BE67" s="1">
        <v>39.5</v>
      </c>
      <c r="BF67" s="1">
        <v>24.5</v>
      </c>
      <c r="BG67" s="1">
        <v>12.5</v>
      </c>
      <c r="BH67" s="1" t="s">
        <v>191</v>
      </c>
    </row>
    <row r="68">
      <c r="A68" s="2">
        <v>1133.0</v>
      </c>
      <c r="B68" s="2" t="str">
        <f>IFERROR(__xludf.DUMMYFUNCTION("TO_TEXT(A68)"),"01133")</f>
        <v>01133</v>
      </c>
      <c r="C68" s="1">
        <v>24013.0</v>
      </c>
      <c r="D68" s="1">
        <v>612.978980002044</v>
      </c>
      <c r="E68" s="1" t="s">
        <v>192</v>
      </c>
      <c r="F68" s="1" t="s">
        <v>193</v>
      </c>
      <c r="G68" s="1">
        <v>39.1742633653114</v>
      </c>
      <c r="H68" s="1">
        <v>21.431419816</v>
      </c>
      <c r="I68" s="1">
        <v>5.0130055826</v>
      </c>
      <c r="J68" s="1">
        <v>10.397196262</v>
      </c>
      <c r="K68" s="1">
        <v>19.647968099</v>
      </c>
      <c r="L68" s="1">
        <v>37.8</v>
      </c>
      <c r="M68" s="1">
        <v>8.0</v>
      </c>
      <c r="N68" s="1">
        <v>32.2</v>
      </c>
      <c r="O68" s="1">
        <v>76.372324784</v>
      </c>
      <c r="P68" s="1">
        <v>12.772754345</v>
      </c>
      <c r="Q68" s="1">
        <v>42.15496</v>
      </c>
      <c r="R68" s="1">
        <v>92.857142857</v>
      </c>
      <c r="S68" s="1">
        <v>27.6</v>
      </c>
      <c r="T68" s="1">
        <v>4963.0</v>
      </c>
      <c r="U68" s="1">
        <v>31.573644973</v>
      </c>
      <c r="V68" s="1">
        <v>107.48016191</v>
      </c>
      <c r="W68" s="1">
        <v>10.492845787</v>
      </c>
      <c r="X68" s="1">
        <v>8.4809447128</v>
      </c>
      <c r="Y68" s="1">
        <v>74.831254047</v>
      </c>
      <c r="Z68" s="1">
        <v>19.5</v>
      </c>
      <c r="AA68" s="1">
        <v>2.6550128463</v>
      </c>
      <c r="AB68" s="1">
        <v>41156.0</v>
      </c>
      <c r="AC68" s="1">
        <v>57.07582119</v>
      </c>
      <c r="AD68" s="1">
        <v>78.974795278</v>
      </c>
      <c r="AE68" s="1">
        <v>8.7790227562</v>
      </c>
      <c r="AF68" s="1">
        <v>0.7945900254</v>
      </c>
      <c r="AG68" s="1">
        <v>0.8706677937</v>
      </c>
      <c r="AH68" s="1">
        <v>0.3677092139</v>
      </c>
      <c r="AI68" s="1">
        <v>0.202874049</v>
      </c>
      <c r="AJ68" s="1">
        <v>3.1952662722</v>
      </c>
      <c r="AK68" s="1">
        <v>93.693998309</v>
      </c>
      <c r="AL68" s="1">
        <v>0.4949401211</v>
      </c>
      <c r="AM68" s="1">
        <v>50.73964497</v>
      </c>
      <c r="AN68" s="1">
        <v>84.892174481</v>
      </c>
      <c r="AO68" s="1">
        <v>19299.0</v>
      </c>
      <c r="AP68" s="1">
        <v>20.6</v>
      </c>
      <c r="AQ68" s="1">
        <v>8.7</v>
      </c>
      <c r="AR68" s="1">
        <v>24.0</v>
      </c>
      <c r="AS68" s="1">
        <v>20.0</v>
      </c>
      <c r="AT68" s="1">
        <v>21.0</v>
      </c>
      <c r="AU68" s="1">
        <v>25.6</v>
      </c>
      <c r="AV68" s="1">
        <v>5.7</v>
      </c>
      <c r="AW68" s="1">
        <v>0.6</v>
      </c>
      <c r="AX68" s="1">
        <v>0.7421</v>
      </c>
      <c r="AY68" s="1">
        <v>16.7</v>
      </c>
      <c r="AZ68" s="1">
        <v>17.1</v>
      </c>
      <c r="BA68" s="1">
        <v>25.1</v>
      </c>
      <c r="BB68" s="1">
        <v>2.89</v>
      </c>
      <c r="BC68" s="1" t="s">
        <v>61</v>
      </c>
      <c r="BD68" s="1">
        <v>21.2</v>
      </c>
      <c r="BE68" s="1">
        <v>38.2</v>
      </c>
      <c r="BF68" s="1">
        <v>27.8</v>
      </c>
      <c r="BG68" s="1">
        <v>12.8</v>
      </c>
      <c r="BH68" s="1" t="s">
        <v>193</v>
      </c>
    </row>
    <row r="69">
      <c r="A69" s="2">
        <v>2013.0</v>
      </c>
      <c r="B69" s="2" t="str">
        <f>IFERROR(__xludf.DUMMYFUNCTION("TO_TEXT(A69)"),"02013")</f>
        <v>02013</v>
      </c>
      <c r="C69" s="1">
        <v>3299.0</v>
      </c>
      <c r="D69" s="1">
        <v>6981.95644854862</v>
      </c>
      <c r="E69" s="1" t="s">
        <v>194</v>
      </c>
      <c r="F69" s="1" t="s">
        <v>195</v>
      </c>
      <c r="G69" s="1">
        <v>0.472503663451779</v>
      </c>
      <c r="H69" s="1">
        <v>16.83452091</v>
      </c>
      <c r="I69" s="1">
        <v>2.7837432156</v>
      </c>
      <c r="J69" s="1">
        <v>7.80443539465</v>
      </c>
      <c r="K69" s="1">
        <v>16.646810923</v>
      </c>
      <c r="L69" s="1">
        <v>50.5</v>
      </c>
      <c r="M69" s="1">
        <v>5.3</v>
      </c>
      <c r="N69" s="1">
        <v>30.0</v>
      </c>
      <c r="O69" s="1">
        <v>100.0</v>
      </c>
      <c r="P69" s="1">
        <v>27.8608582569999</v>
      </c>
      <c r="Q69" s="1">
        <v>48.31939</v>
      </c>
      <c r="R69" s="1">
        <v>88.888888889</v>
      </c>
      <c r="S69" s="1">
        <v>12.5</v>
      </c>
      <c r="T69" s="1">
        <v>482.0</v>
      </c>
      <c r="U69" s="1">
        <v>50.622406639</v>
      </c>
      <c r="V69" s="1">
        <v>204.509002055</v>
      </c>
      <c r="W69" s="1">
        <v>12.658227848</v>
      </c>
      <c r="X69" s="1">
        <v>8.4810126582</v>
      </c>
      <c r="Y69" s="1">
        <v>91.1471605629999</v>
      </c>
      <c r="Z69" s="1">
        <v>12.6</v>
      </c>
      <c r="AA69" s="1">
        <v>34.937509649</v>
      </c>
      <c r="AB69" s="1">
        <v>70081.0</v>
      </c>
      <c r="AC69" s="1">
        <v>3.9647577093</v>
      </c>
      <c r="AD69" s="1">
        <v>61.860465116</v>
      </c>
      <c r="AE69" s="1">
        <v>10.20979021</v>
      </c>
      <c r="AF69" s="1">
        <v>10.412517781</v>
      </c>
      <c r="AG69" s="1">
        <v>19.687055477</v>
      </c>
      <c r="AH69" s="1">
        <v>43.3570412519999</v>
      </c>
      <c r="AI69" s="1">
        <v>1.1948790896</v>
      </c>
      <c r="AJ69" s="1">
        <v>14.708392603</v>
      </c>
      <c r="AK69" s="1">
        <v>8.5917496444</v>
      </c>
      <c r="AL69" s="1">
        <v>13.08411215</v>
      </c>
      <c r="AM69" s="1">
        <v>32.460881935</v>
      </c>
      <c r="AN69" s="1">
        <v>100.0</v>
      </c>
      <c r="AO69" s="1">
        <v>31025.0</v>
      </c>
      <c r="AP69" s="1">
        <v>15.5</v>
      </c>
      <c r="AQ69" s="1">
        <v>2.6</v>
      </c>
      <c r="AR69" s="1">
        <v>15.6</v>
      </c>
      <c r="AS69" s="1">
        <v>6.7</v>
      </c>
      <c r="AT69" s="1">
        <v>12.3</v>
      </c>
      <c r="AU69" s="1">
        <v>7.8</v>
      </c>
      <c r="AV69" s="1">
        <v>85.1</v>
      </c>
      <c r="AW69" s="1">
        <v>11.7</v>
      </c>
      <c r="AX69" s="1">
        <v>0.5307</v>
      </c>
      <c r="AY69" s="1">
        <v>14.8</v>
      </c>
      <c r="AZ69" s="1">
        <v>11.6</v>
      </c>
      <c r="BA69" s="1">
        <v>16.0</v>
      </c>
      <c r="BB69" s="1">
        <v>4.34</v>
      </c>
      <c r="BC69" s="1" t="s">
        <v>196</v>
      </c>
      <c r="BD69" s="1">
        <v>14.5</v>
      </c>
      <c r="BE69" s="1">
        <v>43.5</v>
      </c>
      <c r="BF69" s="1">
        <v>30.5</v>
      </c>
      <c r="BG69" s="1">
        <v>11.5</v>
      </c>
      <c r="BH69" s="1" t="s">
        <v>195</v>
      </c>
    </row>
    <row r="70">
      <c r="A70" s="2">
        <v>2016.0</v>
      </c>
      <c r="B70" s="2" t="str">
        <f>IFERROR(__xludf.DUMMYFUNCTION("TO_TEXT(A70)"),"02016")</f>
        <v>02016</v>
      </c>
      <c r="C70" s="1">
        <v>5714.0</v>
      </c>
      <c r="D70" s="1">
        <v>4390.25772147084</v>
      </c>
      <c r="E70" s="1" t="s">
        <v>197</v>
      </c>
      <c r="F70" s="1" t="s">
        <v>198</v>
      </c>
      <c r="G70" s="1">
        <v>1.3015181254748</v>
      </c>
      <c r="H70" s="1">
        <v>15.172626467</v>
      </c>
      <c r="I70" s="1">
        <v>2.5328176099</v>
      </c>
      <c r="J70" s="1">
        <v>7.5630252101</v>
      </c>
      <c r="K70" s="1">
        <v>15.142823345</v>
      </c>
      <c r="L70" s="1">
        <v>44.3</v>
      </c>
      <c r="M70" s="1">
        <v>7.6</v>
      </c>
      <c r="N70" s="1">
        <v>30.1</v>
      </c>
      <c r="O70" s="1">
        <v>100.0</v>
      </c>
      <c r="P70" s="1">
        <v>20.234886407</v>
      </c>
      <c r="Q70" s="1">
        <v>34.70415</v>
      </c>
      <c r="R70" s="1">
        <v>90.625</v>
      </c>
      <c r="S70" s="1">
        <v>8.1</v>
      </c>
      <c r="T70" s="1">
        <v>918.0</v>
      </c>
      <c r="U70" s="1">
        <v>32.788671024</v>
      </c>
      <c r="V70" s="1">
        <v>294.61756374</v>
      </c>
      <c r="W70" s="1">
        <v>18.987341772</v>
      </c>
      <c r="X70" s="1">
        <v>6.0965283658</v>
      </c>
      <c r="Y70" s="1">
        <v>84.658444056</v>
      </c>
      <c r="Z70" s="1">
        <v>9.8</v>
      </c>
      <c r="AA70" s="1">
        <v>8.5740477886</v>
      </c>
      <c r="AB70" s="1">
        <v>82633.0</v>
      </c>
      <c r="AC70" s="1">
        <v>20.4498977509999</v>
      </c>
      <c r="AD70" s="1">
        <v>28.146258503</v>
      </c>
      <c r="AE70" s="1">
        <v>8.57908847179999</v>
      </c>
      <c r="AF70" s="1">
        <v>6.4826140136</v>
      </c>
      <c r="AG70" s="1">
        <v>11.777040014</v>
      </c>
      <c r="AH70" s="1">
        <v>41.219640049</v>
      </c>
      <c r="AI70" s="1">
        <v>2.3589026734</v>
      </c>
      <c r="AJ70" s="1">
        <v>13.8214223309999</v>
      </c>
      <c r="AK70" s="1">
        <v>23.204612965</v>
      </c>
      <c r="AL70" s="1">
        <v>8.29401088929999</v>
      </c>
      <c r="AM70" s="1">
        <v>34.474925738</v>
      </c>
      <c r="AN70" s="1">
        <v>100.0</v>
      </c>
      <c r="AO70" s="1">
        <v>35083.0</v>
      </c>
      <c r="AP70" s="1">
        <v>7.7</v>
      </c>
      <c r="AQ70" s="1">
        <v>1.1</v>
      </c>
      <c r="AR70" s="1">
        <v>12.5</v>
      </c>
      <c r="AS70" s="1">
        <v>5.7</v>
      </c>
      <c r="AT70" s="1">
        <v>15.7</v>
      </c>
      <c r="AU70" s="1">
        <v>7.8</v>
      </c>
      <c r="AV70" s="1">
        <v>74.0</v>
      </c>
      <c r="AW70" s="1">
        <v>6.6</v>
      </c>
      <c r="AX70" s="1">
        <v>0.4537</v>
      </c>
      <c r="AY70" s="1">
        <v>7.6</v>
      </c>
      <c r="AZ70" s="1">
        <v>11.3</v>
      </c>
      <c r="BA70" s="1">
        <v>10.4</v>
      </c>
      <c r="BB70" s="1">
        <v>6.45</v>
      </c>
      <c r="BC70" s="1" t="s">
        <v>196</v>
      </c>
      <c r="BD70" s="1">
        <v>10.5</v>
      </c>
      <c r="BE70" s="1">
        <v>39.0</v>
      </c>
      <c r="BF70" s="1">
        <v>33.4</v>
      </c>
      <c r="BG70" s="1">
        <v>17.0</v>
      </c>
      <c r="BH70" s="1" t="s">
        <v>198</v>
      </c>
    </row>
    <row r="71">
      <c r="A71" s="2">
        <v>2020.0</v>
      </c>
      <c r="B71" s="2" t="str">
        <f>IFERROR(__xludf.DUMMYFUNCTION("TO_TEXT(A71)"),"02020")</f>
        <v>02020</v>
      </c>
      <c r="C71" s="1">
        <v>299321.0</v>
      </c>
      <c r="D71" s="1">
        <v>1706.60633628737</v>
      </c>
      <c r="E71" s="1" t="s">
        <v>199</v>
      </c>
      <c r="F71" s="1" t="s">
        <v>200</v>
      </c>
      <c r="G71" s="1">
        <v>175.389598430271</v>
      </c>
      <c r="H71" s="1">
        <v>14.991107133</v>
      </c>
      <c r="I71" s="1">
        <v>3.2314159507</v>
      </c>
      <c r="J71" s="1">
        <v>6.2649832188</v>
      </c>
      <c r="K71" s="1">
        <v>15.0414320259999</v>
      </c>
      <c r="L71" s="1">
        <v>31.8</v>
      </c>
      <c r="M71" s="1">
        <v>8.0</v>
      </c>
      <c r="N71" s="1">
        <v>17.6</v>
      </c>
      <c r="O71" s="1">
        <v>100.0</v>
      </c>
      <c r="P71" s="1">
        <v>12.741420575</v>
      </c>
      <c r="Q71" s="1">
        <v>110.41052</v>
      </c>
      <c r="R71" s="1">
        <v>80.60910869</v>
      </c>
      <c r="S71" s="1">
        <v>12.1</v>
      </c>
      <c r="T71" s="1">
        <v>72562.0</v>
      </c>
      <c r="U71" s="1">
        <v>29.9302665309999</v>
      </c>
      <c r="V71" s="1">
        <v>1006.6571953</v>
      </c>
      <c r="W71" s="1">
        <v>16.218919691</v>
      </c>
      <c r="X71" s="1">
        <v>12.127293578</v>
      </c>
      <c r="Y71" s="1">
        <v>79.313560574</v>
      </c>
      <c r="Z71" s="1">
        <v>7.8</v>
      </c>
      <c r="AA71" s="1">
        <v>5.1138388211</v>
      </c>
      <c r="AB71" s="1">
        <v>82113.0</v>
      </c>
      <c r="AC71" s="1">
        <v>46.511289451</v>
      </c>
      <c r="AD71" s="1">
        <v>60.856708347</v>
      </c>
      <c r="AE71" s="1">
        <v>12.816129279</v>
      </c>
      <c r="AF71" s="1">
        <v>5.44800334779999</v>
      </c>
      <c r="AG71" s="1">
        <v>8.8719137814</v>
      </c>
      <c r="AH71" s="1">
        <v>10.090622835</v>
      </c>
      <c r="AI71" s="1">
        <v>2.6847272054</v>
      </c>
      <c r="AJ71" s="1">
        <v>9.297930287</v>
      </c>
      <c r="AK71" s="1">
        <v>57.316370422</v>
      </c>
      <c r="AL71" s="1">
        <v>2.4086372683</v>
      </c>
      <c r="AM71" s="1">
        <v>49.103032881</v>
      </c>
      <c r="AN71" s="1">
        <v>4.1171794151</v>
      </c>
      <c r="AO71" s="1">
        <v>37864.0</v>
      </c>
      <c r="AP71" s="1">
        <v>8.1</v>
      </c>
      <c r="AQ71" s="1">
        <v>6.0</v>
      </c>
      <c r="AR71" s="1">
        <v>6.7</v>
      </c>
      <c r="AS71" s="1">
        <v>8.9</v>
      </c>
      <c r="AT71" s="1">
        <v>25.0</v>
      </c>
      <c r="AU71" s="1">
        <v>10.6</v>
      </c>
      <c r="AV71" s="1">
        <v>40.2</v>
      </c>
      <c r="AW71" s="1">
        <v>2.3</v>
      </c>
      <c r="AX71" s="1">
        <v>0.4005</v>
      </c>
      <c r="AY71" s="1">
        <v>9.5</v>
      </c>
      <c r="AZ71" s="1">
        <v>11.5</v>
      </c>
      <c r="BA71" s="1">
        <v>16.1</v>
      </c>
      <c r="BB71" s="1">
        <v>3.73</v>
      </c>
      <c r="BC71" s="1" t="s">
        <v>196</v>
      </c>
      <c r="BD71" s="1">
        <v>6.1</v>
      </c>
      <c r="BE71" s="1">
        <v>23.4</v>
      </c>
      <c r="BF71" s="1">
        <v>34.4</v>
      </c>
      <c r="BG71" s="1">
        <v>36.1</v>
      </c>
      <c r="BH71" s="1" t="s">
        <v>200</v>
      </c>
    </row>
    <row r="72">
      <c r="A72" s="2">
        <v>2050.0</v>
      </c>
      <c r="B72" s="2" t="str">
        <f>IFERROR(__xludf.DUMMYFUNCTION("TO_TEXT(A72)"),"02050")</f>
        <v>02050</v>
      </c>
      <c r="C72" s="1">
        <v>17885.0</v>
      </c>
      <c r="D72" s="1">
        <v>40570.1055514443</v>
      </c>
      <c r="E72" s="1" t="s">
        <v>201</v>
      </c>
      <c r="F72" s="1" t="s">
        <v>202</v>
      </c>
      <c r="G72" s="1">
        <v>0.440841840485753</v>
      </c>
      <c r="H72" s="1">
        <v>23.963874681</v>
      </c>
      <c r="I72" s="1">
        <v>4.5954752699</v>
      </c>
      <c r="J72" s="1">
        <v>6.0249074386</v>
      </c>
      <c r="K72" s="1">
        <v>30.4180171019999</v>
      </c>
      <c r="L72" s="1">
        <v>31.0</v>
      </c>
      <c r="M72" s="1">
        <v>2.9</v>
      </c>
      <c r="N72" s="1">
        <v>31.3</v>
      </c>
      <c r="O72" s="1">
        <v>100.0</v>
      </c>
      <c r="P72" s="1">
        <v>19.778423538</v>
      </c>
      <c r="Q72" s="1">
        <v>99.57955</v>
      </c>
      <c r="R72" s="1">
        <v>61.6766467069999</v>
      </c>
      <c r="S72" s="1">
        <v>41.2</v>
      </c>
      <c r="T72" s="1">
        <v>6331.0</v>
      </c>
      <c r="U72" s="1">
        <v>36.344969199</v>
      </c>
      <c r="V72" s="1">
        <v>204.509002055</v>
      </c>
      <c r="W72" s="1">
        <v>60.263446762</v>
      </c>
      <c r="X72" s="1">
        <v>8.09324829559999</v>
      </c>
      <c r="Y72" s="1">
        <v>72.087654272</v>
      </c>
      <c r="Z72" s="1">
        <v>6.1</v>
      </c>
      <c r="AA72" s="1">
        <v>41.987598721</v>
      </c>
      <c r="AB72" s="1">
        <v>44304.0</v>
      </c>
      <c r="AC72" s="1">
        <v>89.940142885</v>
      </c>
      <c r="AD72" s="1">
        <v>61.079420799</v>
      </c>
      <c r="AE72" s="1">
        <v>10.166542381</v>
      </c>
      <c r="AF72" s="1">
        <v>0.9112867809</v>
      </c>
      <c r="AG72" s="1">
        <v>83.788976724</v>
      </c>
      <c r="AH72" s="1">
        <v>0.9552042161</v>
      </c>
      <c r="AI72" s="1">
        <v>0.2360562143</v>
      </c>
      <c r="AJ72" s="1">
        <v>2.426438296</v>
      </c>
      <c r="AK72" s="1">
        <v>9.6453667106</v>
      </c>
      <c r="AL72" s="1">
        <v>2.7199109847</v>
      </c>
      <c r="AM72" s="1">
        <v>48.52876592</v>
      </c>
      <c r="AN72" s="1">
        <v>73.937577147</v>
      </c>
      <c r="AO72" s="1">
        <v>18231.0</v>
      </c>
      <c r="AP72" s="1">
        <v>26.6</v>
      </c>
      <c r="AQ72" s="1">
        <v>19.3</v>
      </c>
      <c r="AR72" s="1">
        <v>19.1</v>
      </c>
      <c r="AS72" s="1">
        <v>6.7</v>
      </c>
      <c r="AT72" s="1">
        <v>35.9</v>
      </c>
      <c r="AU72" s="1">
        <v>10.1</v>
      </c>
      <c r="AV72" s="1">
        <v>89.6</v>
      </c>
      <c r="AW72" s="1">
        <v>2.8</v>
      </c>
      <c r="AX72" s="1">
        <v>0.9628</v>
      </c>
      <c r="AY72" s="1">
        <v>23.5</v>
      </c>
      <c r="AZ72" s="1">
        <v>21.1</v>
      </c>
      <c r="BA72" s="1">
        <v>31.0</v>
      </c>
      <c r="BB72" s="1">
        <v>4.09</v>
      </c>
      <c r="BC72" s="1" t="s">
        <v>196</v>
      </c>
      <c r="BD72" s="1">
        <v>19.1</v>
      </c>
      <c r="BE72" s="1">
        <v>46.4</v>
      </c>
      <c r="BF72" s="1">
        <v>22.6</v>
      </c>
      <c r="BG72" s="1">
        <v>11.9</v>
      </c>
      <c r="BH72" s="1" t="s">
        <v>202</v>
      </c>
    </row>
    <row r="73">
      <c r="A73" s="2">
        <v>2060.0</v>
      </c>
      <c r="B73" s="2" t="str">
        <f>IFERROR(__xludf.DUMMYFUNCTION("TO_TEXT(A73)"),"02060")</f>
        <v>02060</v>
      </c>
      <c r="C73" s="1">
        <v>942.0</v>
      </c>
      <c r="D73" s="1">
        <v>503.849891025826</v>
      </c>
      <c r="E73" s="1" t="s">
        <v>203</v>
      </c>
      <c r="F73" s="1" t="s">
        <v>204</v>
      </c>
      <c r="G73" s="1">
        <v>1.86960445318766</v>
      </c>
      <c r="H73" s="1">
        <v>15.385269417</v>
      </c>
      <c r="I73" s="1">
        <v>3.6321178727</v>
      </c>
      <c r="J73" s="1">
        <v>7.80443539465</v>
      </c>
      <c r="K73" s="1">
        <v>18.137643625</v>
      </c>
      <c r="L73" s="1">
        <v>41.8</v>
      </c>
      <c r="M73" s="1">
        <v>6.9</v>
      </c>
      <c r="N73" s="1">
        <v>28.8</v>
      </c>
      <c r="O73" s="1">
        <v>100.0</v>
      </c>
      <c r="P73" s="1">
        <v>17.438692098</v>
      </c>
      <c r="Q73" s="1">
        <v>0.0</v>
      </c>
      <c r="R73" s="1">
        <v>85.365853659</v>
      </c>
      <c r="S73" s="1">
        <v>15.2</v>
      </c>
      <c r="T73" s="1">
        <v>194.0</v>
      </c>
      <c r="U73" s="1">
        <v>35.567010309</v>
      </c>
      <c r="V73" s="1">
        <v>0.0</v>
      </c>
      <c r="W73" s="1">
        <v>15.2777777779999</v>
      </c>
      <c r="X73" s="1">
        <v>7.7777777778</v>
      </c>
      <c r="Y73" s="1">
        <v>77.482572377</v>
      </c>
      <c r="Z73" s="1">
        <v>14.9</v>
      </c>
      <c r="AA73" s="1">
        <v>17.663233061</v>
      </c>
      <c r="AB73" s="1">
        <v>77257.0</v>
      </c>
      <c r="AC73" s="1">
        <v>85.833333333</v>
      </c>
      <c r="AD73" s="1">
        <v>52.852852853</v>
      </c>
      <c r="AE73" s="1">
        <v>4.0404040404</v>
      </c>
      <c r="AF73" s="1">
        <v>0.7981755986</v>
      </c>
      <c r="AG73" s="1">
        <v>32.611174458</v>
      </c>
      <c r="AH73" s="1">
        <v>1.3683010262</v>
      </c>
      <c r="AI73" s="1">
        <v>0.3420752566</v>
      </c>
      <c r="AJ73" s="1">
        <v>7.52565564419999</v>
      </c>
      <c r="AK73" s="1">
        <v>43.443557583</v>
      </c>
      <c r="AL73" s="1">
        <v>0.0</v>
      </c>
      <c r="AM73" s="1">
        <v>46.6362599769999</v>
      </c>
      <c r="AN73" s="1">
        <v>100.0</v>
      </c>
      <c r="AO73" s="1">
        <v>41420.0</v>
      </c>
      <c r="AP73" s="1">
        <v>7.3</v>
      </c>
      <c r="AQ73" s="1">
        <v>5.7</v>
      </c>
      <c r="AR73" s="1">
        <v>7.4</v>
      </c>
      <c r="AS73" s="1">
        <v>8.0</v>
      </c>
      <c r="AT73" s="1">
        <v>23.4</v>
      </c>
      <c r="AU73" s="1">
        <v>12.8</v>
      </c>
      <c r="AV73" s="1">
        <v>46.9</v>
      </c>
      <c r="AW73" s="1">
        <v>0.0</v>
      </c>
      <c r="AX73" s="1">
        <v>0.2996</v>
      </c>
      <c r="AY73" s="1">
        <v>9.8</v>
      </c>
      <c r="AZ73" s="1">
        <v>12.2</v>
      </c>
      <c r="BA73" s="1">
        <v>16.5</v>
      </c>
      <c r="BB73" s="1">
        <v>3.83</v>
      </c>
      <c r="BC73" s="1" t="s">
        <v>196</v>
      </c>
      <c r="BD73" s="1">
        <v>6.0</v>
      </c>
      <c r="BE73" s="1">
        <v>37.0</v>
      </c>
      <c r="BF73" s="1">
        <v>34.5</v>
      </c>
      <c r="BG73" s="1">
        <v>22.5</v>
      </c>
      <c r="BH73" s="1" t="s">
        <v>204</v>
      </c>
    </row>
    <row r="74">
      <c r="A74" s="2">
        <v>2068.0</v>
      </c>
      <c r="B74" s="2" t="str">
        <f>IFERROR(__xludf.DUMMYFUNCTION("TO_TEXT(A74)"),"02068")</f>
        <v>02068</v>
      </c>
      <c r="C74" s="1">
        <v>2125.0</v>
      </c>
      <c r="D74" s="1">
        <v>12747.5903395311</v>
      </c>
      <c r="E74" s="1" t="s">
        <v>205</v>
      </c>
      <c r="F74" s="1" t="s">
        <v>206</v>
      </c>
      <c r="G74" s="1">
        <v>0.166698171450508</v>
      </c>
      <c r="H74" s="1">
        <v>13.489019208</v>
      </c>
      <c r="I74" s="1">
        <v>3.2666213367</v>
      </c>
      <c r="J74" s="1">
        <v>7.80443539465</v>
      </c>
      <c r="K74" s="1">
        <v>17.574687699</v>
      </c>
      <c r="L74" s="1">
        <v>25.3</v>
      </c>
      <c r="M74" s="1">
        <v>6.0</v>
      </c>
      <c r="N74" s="1">
        <v>18.1</v>
      </c>
      <c r="O74" s="1">
        <v>100.0</v>
      </c>
      <c r="P74" s="1">
        <v>13.956105796</v>
      </c>
      <c r="Q74" s="1">
        <v>48.31939</v>
      </c>
      <c r="R74" s="1">
        <v>64.705882353</v>
      </c>
      <c r="S74" s="1">
        <v>7.3</v>
      </c>
      <c r="T74" s="1">
        <v>241.0</v>
      </c>
      <c r="U74" s="1">
        <v>15.352697095</v>
      </c>
      <c r="V74" s="1">
        <v>204.509002055</v>
      </c>
      <c r="W74" s="1">
        <v>26.2411347519999</v>
      </c>
      <c r="X74" s="1">
        <v>6.2411347518</v>
      </c>
      <c r="Y74" s="1">
        <v>77.693420522</v>
      </c>
      <c r="Z74" s="1">
        <v>4.9</v>
      </c>
      <c r="AA74" s="1">
        <v>22.933714962</v>
      </c>
      <c r="AB74" s="1">
        <v>75477.0</v>
      </c>
      <c r="AC74" s="1">
        <v>1.246105919</v>
      </c>
      <c r="AD74" s="1">
        <v>78.090766823</v>
      </c>
      <c r="AE74" s="1">
        <v>4.6280991736</v>
      </c>
      <c r="AF74" s="1">
        <v>2.1369596892</v>
      </c>
      <c r="AG74" s="1">
        <v>5.2938319573</v>
      </c>
      <c r="AH74" s="1">
        <v>5.3423992229</v>
      </c>
      <c r="AI74" s="1">
        <v>0.0485672657</v>
      </c>
      <c r="AJ74" s="1">
        <v>3.2054395338</v>
      </c>
      <c r="AK74" s="1">
        <v>79.990286547</v>
      </c>
      <c r="AL74" s="1">
        <v>0.4616805171</v>
      </c>
      <c r="AM74" s="1">
        <v>44.34191355</v>
      </c>
      <c r="AN74" s="1">
        <v>100.0</v>
      </c>
      <c r="AO74" s="1">
        <v>38337.0</v>
      </c>
      <c r="AP74" s="1">
        <v>11.3</v>
      </c>
      <c r="AQ74" s="1">
        <v>1.2</v>
      </c>
      <c r="AR74" s="1">
        <v>3.8</v>
      </c>
      <c r="AS74" s="1">
        <v>7.3</v>
      </c>
      <c r="AT74" s="1">
        <v>17.9</v>
      </c>
      <c r="AU74" s="1">
        <v>9.3</v>
      </c>
      <c r="AV74" s="1">
        <v>14.7</v>
      </c>
      <c r="AW74" s="1">
        <v>0.0</v>
      </c>
      <c r="AX74" s="1">
        <v>0.0232</v>
      </c>
      <c r="AY74" s="1">
        <v>6.6</v>
      </c>
      <c r="AZ74" s="1">
        <v>14.9</v>
      </c>
      <c r="BA74" s="1">
        <v>18.0</v>
      </c>
      <c r="BB74" s="1">
        <v>3.75</v>
      </c>
      <c r="BC74" s="1" t="s">
        <v>196</v>
      </c>
      <c r="BD74" s="1">
        <v>1.5</v>
      </c>
      <c r="BE74" s="1">
        <v>26.0</v>
      </c>
      <c r="BF74" s="1">
        <v>31.4</v>
      </c>
      <c r="BG74" s="1">
        <v>41.1</v>
      </c>
      <c r="BH74" s="1" t="s">
        <v>206</v>
      </c>
    </row>
    <row r="75">
      <c r="A75" s="2">
        <v>2070.0</v>
      </c>
      <c r="B75" s="2" t="str">
        <f>IFERROR(__xludf.DUMMYFUNCTION("TO_TEXT(A75)"),"02070")</f>
        <v>02070</v>
      </c>
      <c r="C75" s="1">
        <v>4980.0</v>
      </c>
      <c r="D75" s="1">
        <v>18568.7278223633</v>
      </c>
      <c r="E75" s="1" t="s">
        <v>207</v>
      </c>
      <c r="F75" s="1" t="s">
        <v>208</v>
      </c>
      <c r="G75" s="1">
        <v>0.26819284808528</v>
      </c>
      <c r="H75" s="1">
        <v>23.024200864</v>
      </c>
      <c r="I75" s="1">
        <v>4.4665367541</v>
      </c>
      <c r="J75" s="1">
        <v>6.4655172414</v>
      </c>
      <c r="K75" s="1">
        <v>26.9308171769999</v>
      </c>
      <c r="L75" s="1">
        <v>35.6</v>
      </c>
      <c r="M75" s="1">
        <v>4.8</v>
      </c>
      <c r="N75" s="1">
        <v>23.9</v>
      </c>
      <c r="O75" s="1">
        <v>100.0</v>
      </c>
      <c r="P75" s="1">
        <v>17.430988424</v>
      </c>
      <c r="Q75" s="1">
        <v>263.58475</v>
      </c>
      <c r="R75" s="1">
        <v>67.088607595</v>
      </c>
      <c r="S75" s="1">
        <v>31.6</v>
      </c>
      <c r="T75" s="1">
        <v>1518.0</v>
      </c>
      <c r="U75" s="1">
        <v>40.052700922</v>
      </c>
      <c r="V75" s="1">
        <v>204.509002055</v>
      </c>
      <c r="W75" s="1">
        <v>37.818181818</v>
      </c>
      <c r="X75" s="1">
        <v>8.5588880761</v>
      </c>
      <c r="Y75" s="1">
        <v>73.562821554</v>
      </c>
      <c r="Z75" s="1">
        <v>10.3</v>
      </c>
      <c r="AA75" s="1">
        <v>32.1975697369999</v>
      </c>
      <c r="AB75" s="1">
        <v>54524.0</v>
      </c>
      <c r="AC75" s="1">
        <v>96.880733945</v>
      </c>
      <c r="AD75" s="1">
        <v>60.281690141</v>
      </c>
      <c r="AE75" s="1">
        <v>9.9588477366</v>
      </c>
      <c r="AF75" s="1">
        <v>0.72</v>
      </c>
      <c r="AG75" s="1">
        <v>72.34</v>
      </c>
      <c r="AH75" s="1">
        <v>0.9</v>
      </c>
      <c r="AI75" s="1">
        <v>0.24</v>
      </c>
      <c r="AJ75" s="1">
        <v>3.76</v>
      </c>
      <c r="AK75" s="1">
        <v>15.22</v>
      </c>
      <c r="AL75" s="1">
        <v>0.845007783</v>
      </c>
      <c r="AM75" s="1">
        <v>49.64</v>
      </c>
      <c r="AN75" s="1">
        <v>100.0</v>
      </c>
      <c r="AO75" s="1">
        <v>23520.0</v>
      </c>
      <c r="AP75" s="1">
        <v>16.5</v>
      </c>
      <c r="AQ75" s="1">
        <v>11.2</v>
      </c>
      <c r="AR75" s="1">
        <v>13.2</v>
      </c>
      <c r="AS75" s="1">
        <v>8.1</v>
      </c>
      <c r="AT75" s="1">
        <v>31.8</v>
      </c>
      <c r="AU75" s="1">
        <v>12.6</v>
      </c>
      <c r="AV75" s="1">
        <v>83.2</v>
      </c>
      <c r="AW75" s="1">
        <v>1.2</v>
      </c>
      <c r="AX75" s="1">
        <v>0.8481</v>
      </c>
      <c r="AY75" s="1">
        <v>18.1</v>
      </c>
      <c r="AZ75" s="1">
        <v>16.1</v>
      </c>
      <c r="BA75" s="1">
        <v>24.2</v>
      </c>
      <c r="BB75" s="1">
        <v>4.1</v>
      </c>
      <c r="BC75" s="1" t="s">
        <v>196</v>
      </c>
      <c r="BD75" s="1">
        <v>13.7</v>
      </c>
      <c r="BE75" s="1">
        <v>37.2</v>
      </c>
      <c r="BF75" s="1">
        <v>27.0</v>
      </c>
      <c r="BG75" s="1">
        <v>22.1</v>
      </c>
      <c r="BH75" s="1" t="s">
        <v>208</v>
      </c>
    </row>
    <row r="76">
      <c r="A76" s="2">
        <v>2090.0</v>
      </c>
      <c r="B76" s="2" t="str">
        <f>IFERROR(__xludf.DUMMYFUNCTION("TO_TEXT(A76)"),"02090")</f>
        <v>02090</v>
      </c>
      <c r="C76" s="1">
        <v>100150.0</v>
      </c>
      <c r="D76" s="1">
        <v>7343.29563384357</v>
      </c>
      <c r="E76" s="1" t="s">
        <v>209</v>
      </c>
      <c r="F76" s="1" t="s">
        <v>210</v>
      </c>
      <c r="G76" s="1">
        <v>13.6382906250473</v>
      </c>
      <c r="H76" s="1">
        <v>11.956412748</v>
      </c>
      <c r="I76" s="1">
        <v>3.2011142549</v>
      </c>
      <c r="J76" s="1">
        <v>5.8384662098</v>
      </c>
      <c r="K76" s="1">
        <v>15.853578868</v>
      </c>
      <c r="L76" s="1">
        <v>30.0</v>
      </c>
      <c r="M76" s="1">
        <v>7.7</v>
      </c>
      <c r="N76" s="1">
        <v>18.2</v>
      </c>
      <c r="O76" s="1">
        <v>100.0</v>
      </c>
      <c r="P76" s="1">
        <v>13.238400934</v>
      </c>
      <c r="Q76" s="1">
        <v>78.23235</v>
      </c>
      <c r="R76" s="1">
        <v>73.877917415</v>
      </c>
      <c r="S76" s="1">
        <v>9.4</v>
      </c>
      <c r="T76" s="1">
        <v>23894.0</v>
      </c>
      <c r="U76" s="1">
        <v>28.346028292</v>
      </c>
      <c r="V76" s="1">
        <v>204.509002055</v>
      </c>
      <c r="W76" s="1">
        <v>23.792663929</v>
      </c>
      <c r="X76" s="1">
        <v>14.066277912</v>
      </c>
      <c r="Y76" s="1">
        <v>79.662175255</v>
      </c>
      <c r="Z76" s="1">
        <v>6.2</v>
      </c>
      <c r="AA76" s="1">
        <v>7.27681987799999</v>
      </c>
      <c r="AB76" s="1">
        <v>74268.0</v>
      </c>
      <c r="AC76" s="1">
        <v>22.2364446259999</v>
      </c>
      <c r="AD76" s="1">
        <v>58.507928683</v>
      </c>
      <c r="AE76" s="1">
        <v>13.933015434</v>
      </c>
      <c r="AF76" s="1">
        <v>4.9004253771</v>
      </c>
      <c r="AG76" s="1">
        <v>7.9114083924</v>
      </c>
      <c r="AH76" s="1">
        <v>3.4909215831</v>
      </c>
      <c r="AI76" s="1">
        <v>0.5456143719</v>
      </c>
      <c r="AJ76" s="1">
        <v>8.3670974326</v>
      </c>
      <c r="AK76" s="1">
        <v>69.2546301439999</v>
      </c>
      <c r="AL76" s="1">
        <v>0.6419198744</v>
      </c>
      <c r="AM76" s="1">
        <v>46.135736731</v>
      </c>
      <c r="AN76" s="1">
        <v>30.870763776</v>
      </c>
      <c r="AO76" s="1">
        <v>34182.0</v>
      </c>
      <c r="AP76" s="1">
        <v>7.8</v>
      </c>
      <c r="AQ76" s="1">
        <v>8.5</v>
      </c>
      <c r="AR76" s="1">
        <v>5.6</v>
      </c>
      <c r="AS76" s="1">
        <v>7.8</v>
      </c>
      <c r="AT76" s="1">
        <v>24.5</v>
      </c>
      <c r="AU76" s="1">
        <v>10.4</v>
      </c>
      <c r="AV76" s="1">
        <v>28.5</v>
      </c>
      <c r="AW76" s="1">
        <v>0.9</v>
      </c>
      <c r="AX76" s="1">
        <v>0.3486</v>
      </c>
      <c r="AY76" s="1">
        <v>7.2</v>
      </c>
      <c r="AZ76" s="1">
        <v>11.5</v>
      </c>
      <c r="BA76" s="1">
        <v>15.7</v>
      </c>
      <c r="BB76" s="1">
        <v>3.68</v>
      </c>
      <c r="BC76" s="1" t="s">
        <v>196</v>
      </c>
      <c r="BD76" s="1">
        <v>5.5</v>
      </c>
      <c r="BE76" s="1">
        <v>22.6</v>
      </c>
      <c r="BF76" s="1">
        <v>40.5</v>
      </c>
      <c r="BG76" s="1">
        <v>31.4</v>
      </c>
      <c r="BH76" s="1" t="s">
        <v>210</v>
      </c>
    </row>
    <row r="77">
      <c r="A77" s="2">
        <v>2100.0</v>
      </c>
      <c r="B77" s="2" t="str">
        <f>IFERROR(__xludf.DUMMYFUNCTION("TO_TEXT(A77)"),"02100")</f>
        <v>02100</v>
      </c>
      <c r="C77" s="1">
        <v>2528.0</v>
      </c>
      <c r="D77" s="1">
        <v>2320.20143816981</v>
      </c>
      <c r="E77" s="1" t="s">
        <v>211</v>
      </c>
      <c r="F77" s="1" t="s">
        <v>212</v>
      </c>
      <c r="G77" s="1">
        <v>1.08956056935906</v>
      </c>
      <c r="H77" s="1">
        <v>12.712832703</v>
      </c>
      <c r="I77" s="1">
        <v>3.3150408646</v>
      </c>
      <c r="J77" s="1">
        <v>7.80443539465</v>
      </c>
      <c r="K77" s="1">
        <v>16.117828598</v>
      </c>
      <c r="L77" s="1">
        <v>27.0</v>
      </c>
      <c r="M77" s="1">
        <v>7.6</v>
      </c>
      <c r="N77" s="1">
        <v>20.8</v>
      </c>
      <c r="O77" s="1">
        <v>100.0</v>
      </c>
      <c r="P77" s="1">
        <v>17.98488665</v>
      </c>
      <c r="Q77" s="1">
        <v>277.11797</v>
      </c>
      <c r="R77" s="1">
        <v>78.260869565</v>
      </c>
      <c r="S77" s="1">
        <v>16.4</v>
      </c>
      <c r="T77" s="1">
        <v>533.0</v>
      </c>
      <c r="U77" s="1">
        <v>22.326454034</v>
      </c>
      <c r="V77" s="1">
        <v>155.82391897</v>
      </c>
      <c r="W77" s="1">
        <v>25.213675214</v>
      </c>
      <c r="X77" s="1">
        <v>5.0</v>
      </c>
      <c r="Y77" s="1">
        <v>84.794838504</v>
      </c>
      <c r="Z77" s="1">
        <v>7.4</v>
      </c>
      <c r="AA77" s="1">
        <v>7.4409816943</v>
      </c>
      <c r="AB77" s="1">
        <v>58943.0</v>
      </c>
      <c r="AC77" s="1">
        <v>57.249070632</v>
      </c>
      <c r="AD77" s="1">
        <v>67.446393762</v>
      </c>
      <c r="AE77" s="1">
        <v>3.249475891</v>
      </c>
      <c r="AF77" s="1">
        <v>0.606305578</v>
      </c>
      <c r="AG77" s="1">
        <v>10.468876314</v>
      </c>
      <c r="AH77" s="1">
        <v>1.0509296686</v>
      </c>
      <c r="AI77" s="1">
        <v>0.0</v>
      </c>
      <c r="AJ77" s="1">
        <v>3.2336297494</v>
      </c>
      <c r="AK77" s="1">
        <v>77.405012126</v>
      </c>
      <c r="AL77" s="1">
        <v>0.7630351844</v>
      </c>
      <c r="AM77" s="1">
        <v>50.606305578</v>
      </c>
      <c r="AN77" s="1">
        <v>100.0</v>
      </c>
      <c r="AO77" s="1">
        <v>32673.0</v>
      </c>
      <c r="AP77" s="1">
        <v>5.3</v>
      </c>
      <c r="AQ77" s="1">
        <v>3.8</v>
      </c>
      <c r="AR77" s="1">
        <v>4.5</v>
      </c>
      <c r="AS77" s="1">
        <v>16.6</v>
      </c>
      <c r="AT77" s="1">
        <v>18.3</v>
      </c>
      <c r="AU77" s="1">
        <v>16.0</v>
      </c>
      <c r="AV77" s="1">
        <v>23.1</v>
      </c>
      <c r="AW77" s="1">
        <v>0.6</v>
      </c>
      <c r="AX77" s="1">
        <v>0.1576</v>
      </c>
      <c r="AY77" s="1">
        <v>9.8</v>
      </c>
      <c r="AZ77" s="1">
        <v>13.3</v>
      </c>
      <c r="BA77" s="1">
        <v>21.9</v>
      </c>
      <c r="BB77" s="1">
        <v>3.71</v>
      </c>
      <c r="BC77" s="1" t="s">
        <v>196</v>
      </c>
      <c r="BD77" s="1">
        <v>2.5</v>
      </c>
      <c r="BE77" s="1">
        <v>30.2</v>
      </c>
      <c r="BF77" s="1">
        <v>33.6</v>
      </c>
      <c r="BG77" s="1">
        <v>33.8</v>
      </c>
      <c r="BH77" s="1" t="s">
        <v>212</v>
      </c>
    </row>
    <row r="78">
      <c r="A78" s="2">
        <v>2105.0</v>
      </c>
      <c r="B78" s="2" t="str">
        <f>IFERROR(__xludf.DUMMYFUNCTION("TO_TEXT(A78)"),"02105")</f>
        <v>02105</v>
      </c>
      <c r="C78" s="1">
        <v>2107.0</v>
      </c>
      <c r="D78" s="1">
        <v>6550.74775691463</v>
      </c>
      <c r="E78" s="1" t="s">
        <v>213</v>
      </c>
      <c r="F78" s="1" t="s">
        <v>214</v>
      </c>
      <c r="G78" s="1">
        <v>0.321642670147992</v>
      </c>
      <c r="H78" s="1">
        <v>17.067995134</v>
      </c>
      <c r="I78" s="1">
        <v>3.7915674166</v>
      </c>
      <c r="J78" s="1">
        <v>7.80443539465</v>
      </c>
      <c r="K78" s="1">
        <v>20.073737701</v>
      </c>
      <c r="L78" s="1">
        <v>32.2</v>
      </c>
      <c r="M78" s="1">
        <v>4.3</v>
      </c>
      <c r="N78" s="1">
        <v>19.0</v>
      </c>
      <c r="O78" s="1">
        <v>65.8158310885</v>
      </c>
      <c r="P78" s="1">
        <v>22.855428914</v>
      </c>
      <c r="Q78" s="1">
        <v>48.31939</v>
      </c>
      <c r="R78" s="1">
        <v>90.909090909</v>
      </c>
      <c r="S78" s="1">
        <v>27.6</v>
      </c>
      <c r="T78" s="1">
        <v>329.0</v>
      </c>
      <c r="U78" s="1">
        <v>51.671732523</v>
      </c>
      <c r="V78" s="1">
        <v>204.509002055</v>
      </c>
      <c r="W78" s="1">
        <v>20.359281437</v>
      </c>
      <c r="X78" s="1">
        <v>6.3778580024</v>
      </c>
      <c r="Y78" s="1">
        <v>82.286312238</v>
      </c>
      <c r="Z78" s="1">
        <v>14.4</v>
      </c>
      <c r="AA78" s="1">
        <v>38.767963566</v>
      </c>
      <c r="AB78" s="1">
        <v>51188.0</v>
      </c>
      <c r="AC78" s="1">
        <v>61.589403974</v>
      </c>
      <c r="AD78" s="1">
        <v>73.842302879</v>
      </c>
      <c r="AE78" s="1">
        <v>4.6511627907</v>
      </c>
      <c r="AF78" s="1">
        <v>1.9060901906</v>
      </c>
      <c r="AG78" s="1">
        <v>37.70339377</v>
      </c>
      <c r="AH78" s="1">
        <v>1.4876801488</v>
      </c>
      <c r="AI78" s="1">
        <v>0.0464900046</v>
      </c>
      <c r="AJ78" s="1">
        <v>6.3691306369</v>
      </c>
      <c r="AK78" s="1">
        <v>45.8391445839999</v>
      </c>
      <c r="AL78" s="1">
        <v>0.0</v>
      </c>
      <c r="AM78" s="1">
        <v>47.280334728</v>
      </c>
      <c r="AN78" s="1">
        <v>59.472952477</v>
      </c>
      <c r="AO78" s="1">
        <v>31451.0</v>
      </c>
      <c r="AP78" s="1">
        <v>12.3</v>
      </c>
      <c r="AQ78" s="1">
        <v>10.2</v>
      </c>
      <c r="AR78" s="1">
        <v>9.4</v>
      </c>
      <c r="AS78" s="1">
        <v>16.7</v>
      </c>
      <c r="AT78" s="1">
        <v>18.6</v>
      </c>
      <c r="AU78" s="1">
        <v>16.0</v>
      </c>
      <c r="AV78" s="1">
        <v>51.7</v>
      </c>
      <c r="AW78" s="1">
        <v>0.1</v>
      </c>
      <c r="AX78" s="1">
        <v>0.4435</v>
      </c>
      <c r="AY78" s="1">
        <v>15.7</v>
      </c>
      <c r="AZ78" s="1">
        <v>15.5</v>
      </c>
      <c r="BA78" s="1">
        <v>26.6</v>
      </c>
      <c r="BB78" s="1">
        <v>3.52</v>
      </c>
      <c r="BC78" s="1" t="s">
        <v>196</v>
      </c>
      <c r="BD78" s="1">
        <v>6.3</v>
      </c>
      <c r="BE78" s="1">
        <v>38.5</v>
      </c>
      <c r="BF78" s="1">
        <v>33.9</v>
      </c>
      <c r="BG78" s="1">
        <v>21.3</v>
      </c>
      <c r="BH78" s="1" t="s">
        <v>214</v>
      </c>
    </row>
    <row r="79">
      <c r="A79" s="2">
        <v>2110.0</v>
      </c>
      <c r="B79" s="2" t="str">
        <f>IFERROR(__xludf.DUMMYFUNCTION("TO_TEXT(A79)"),"02110")</f>
        <v>02110</v>
      </c>
      <c r="C79" s="1">
        <v>32524.0</v>
      </c>
      <c r="D79" s="1">
        <v>2702.00485842576</v>
      </c>
      <c r="E79" s="1" t="s">
        <v>215</v>
      </c>
      <c r="F79" s="1" t="s">
        <v>216</v>
      </c>
      <c r="G79" s="1">
        <v>12.0369879789739</v>
      </c>
      <c r="H79" s="1">
        <v>11.4644241</v>
      </c>
      <c r="I79" s="1">
        <v>3.1089788143</v>
      </c>
      <c r="J79" s="1">
        <v>4.9941927991</v>
      </c>
      <c r="K79" s="1">
        <v>16.584870857</v>
      </c>
      <c r="L79" s="1">
        <v>27.3</v>
      </c>
      <c r="M79" s="1">
        <v>8.2</v>
      </c>
      <c r="N79" s="1">
        <v>16.0</v>
      </c>
      <c r="O79" s="1">
        <v>100.0</v>
      </c>
      <c r="P79" s="1">
        <v>13.368336026</v>
      </c>
      <c r="Q79" s="1">
        <v>127.74974</v>
      </c>
      <c r="R79" s="1">
        <v>83.050847458</v>
      </c>
      <c r="S79" s="1">
        <v>8.5</v>
      </c>
      <c r="T79" s="1">
        <v>6880.0</v>
      </c>
      <c r="U79" s="1">
        <v>22.1511627909999</v>
      </c>
      <c r="V79" s="1">
        <v>714.15574964</v>
      </c>
      <c r="W79" s="1">
        <v>12.850082372</v>
      </c>
      <c r="X79" s="1">
        <v>8.1255161024</v>
      </c>
      <c r="Y79" s="1">
        <v>80.409839311</v>
      </c>
      <c r="Z79" s="1">
        <v>6.5</v>
      </c>
      <c r="AA79" s="1">
        <v>5.9062833294</v>
      </c>
      <c r="AB79" s="1">
        <v>79173.0</v>
      </c>
      <c r="AC79" s="1">
        <v>30.0524658969999</v>
      </c>
      <c r="AD79" s="1">
        <v>64.004472486</v>
      </c>
      <c r="AE79" s="1">
        <v>8.61663286</v>
      </c>
      <c r="AF79" s="1">
        <v>1.2144614331</v>
      </c>
      <c r="AG79" s="1">
        <v>11.8612399959999</v>
      </c>
      <c r="AH79" s="1">
        <v>7.0283062934</v>
      </c>
      <c r="AI79" s="1">
        <v>1.2985395323</v>
      </c>
      <c r="AJ79" s="1">
        <v>6.79475601779999</v>
      </c>
      <c r="AK79" s="1">
        <v>64.263693831</v>
      </c>
      <c r="AL79" s="1">
        <v>1.1567912189</v>
      </c>
      <c r="AM79" s="1">
        <v>49.201258057</v>
      </c>
      <c r="AN79" s="1">
        <v>21.544364508</v>
      </c>
      <c r="AO79" s="1">
        <v>40592.0</v>
      </c>
      <c r="AP79" s="1">
        <v>7.4</v>
      </c>
      <c r="AQ79" s="1">
        <v>4.9</v>
      </c>
      <c r="AR79" s="1">
        <v>4.4</v>
      </c>
      <c r="AS79" s="1">
        <v>10.4</v>
      </c>
      <c r="AT79" s="1">
        <v>22.3</v>
      </c>
      <c r="AU79" s="1">
        <v>9.8</v>
      </c>
      <c r="AV79" s="1">
        <v>34.3</v>
      </c>
      <c r="AW79" s="1">
        <v>1.2</v>
      </c>
      <c r="AX79" s="1">
        <v>0.2779</v>
      </c>
      <c r="AY79" s="1">
        <v>6.3</v>
      </c>
      <c r="AZ79" s="1">
        <v>10.4</v>
      </c>
      <c r="BA79" s="1">
        <v>14.1</v>
      </c>
      <c r="BB79" s="1">
        <v>3.49</v>
      </c>
      <c r="BC79" s="1" t="s">
        <v>196</v>
      </c>
      <c r="BD79" s="1">
        <v>3.6</v>
      </c>
      <c r="BE79" s="1">
        <v>21.6</v>
      </c>
      <c r="BF79" s="1">
        <v>36.4</v>
      </c>
      <c r="BG79" s="1">
        <v>38.4</v>
      </c>
      <c r="BH79" s="1" t="s">
        <v>216</v>
      </c>
    </row>
    <row r="80">
      <c r="A80" s="2">
        <v>2122.0</v>
      </c>
      <c r="B80" s="2" t="str">
        <f>IFERROR(__xludf.DUMMYFUNCTION("TO_TEXT(A80)"),"02122")</f>
        <v>02122</v>
      </c>
      <c r="C80" s="1">
        <v>57637.0</v>
      </c>
      <c r="D80" s="1">
        <v>16075.0748340725</v>
      </c>
      <c r="E80" s="1" t="s">
        <v>217</v>
      </c>
      <c r="F80" s="1" t="s">
        <v>218</v>
      </c>
      <c r="G80" s="1">
        <v>3.58548875168117</v>
      </c>
      <c r="H80" s="1">
        <v>14.748128764</v>
      </c>
      <c r="I80" s="1">
        <v>3.4959294474</v>
      </c>
      <c r="J80" s="1">
        <v>4.8250904704</v>
      </c>
      <c r="K80" s="1">
        <v>17.338153075</v>
      </c>
      <c r="L80" s="1">
        <v>32.7</v>
      </c>
      <c r="M80" s="1">
        <v>7.6</v>
      </c>
      <c r="N80" s="1">
        <v>22.5</v>
      </c>
      <c r="O80" s="1">
        <v>100.0</v>
      </c>
      <c r="P80" s="1">
        <v>16.04337289</v>
      </c>
      <c r="Q80" s="1">
        <v>78.47553</v>
      </c>
      <c r="R80" s="1">
        <v>85.436893204</v>
      </c>
      <c r="S80" s="1">
        <v>14.5</v>
      </c>
      <c r="T80" s="1">
        <v>13162.0</v>
      </c>
      <c r="U80" s="1">
        <v>24.373195563</v>
      </c>
      <c r="V80" s="1">
        <v>204.509002055</v>
      </c>
      <c r="W80" s="1">
        <v>17.900372439</v>
      </c>
      <c r="X80" s="1">
        <v>10.762980949</v>
      </c>
      <c r="Y80" s="1">
        <v>78.286827946</v>
      </c>
      <c r="Z80" s="1">
        <v>8.4</v>
      </c>
      <c r="AA80" s="1">
        <v>5.8353607423</v>
      </c>
      <c r="AB80" s="1">
        <v>65439.0</v>
      </c>
      <c r="AC80" s="1">
        <v>36.655480984</v>
      </c>
      <c r="AD80" s="1">
        <v>73.280897843</v>
      </c>
      <c r="AE80" s="1">
        <v>11.821696177</v>
      </c>
      <c r="AF80" s="1">
        <v>0.6560401825</v>
      </c>
      <c r="AG80" s="1">
        <v>7.9596125263</v>
      </c>
      <c r="AH80" s="1">
        <v>1.7801923701</v>
      </c>
      <c r="AI80" s="1">
        <v>0.3177694634</v>
      </c>
      <c r="AJ80" s="1">
        <v>4.2557189961</v>
      </c>
      <c r="AK80" s="1">
        <v>80.07961321</v>
      </c>
      <c r="AL80" s="1">
        <v>0.5351121536</v>
      </c>
      <c r="AM80" s="1">
        <v>47.913143013</v>
      </c>
      <c r="AN80" s="1">
        <v>79.337545126</v>
      </c>
      <c r="AO80" s="1">
        <v>32556.0</v>
      </c>
      <c r="AP80" s="1">
        <v>11.0</v>
      </c>
      <c r="AQ80" s="1">
        <v>8.7</v>
      </c>
      <c r="AR80" s="1">
        <v>7.3</v>
      </c>
      <c r="AS80" s="1">
        <v>14.1</v>
      </c>
      <c r="AT80" s="1">
        <v>23.0</v>
      </c>
      <c r="AU80" s="1">
        <v>14.1</v>
      </c>
      <c r="AV80" s="1">
        <v>18.6</v>
      </c>
      <c r="AW80" s="1">
        <v>0.5</v>
      </c>
      <c r="AX80" s="1">
        <v>0.3645</v>
      </c>
      <c r="AY80" s="1">
        <v>10.4</v>
      </c>
      <c r="AZ80" s="1">
        <v>13.9</v>
      </c>
      <c r="BA80" s="1">
        <v>20.7</v>
      </c>
      <c r="BB80" s="1">
        <v>4.34</v>
      </c>
      <c r="BC80" s="1" t="s">
        <v>196</v>
      </c>
      <c r="BD80" s="1">
        <v>7.3</v>
      </c>
      <c r="BE80" s="1">
        <v>31.2</v>
      </c>
      <c r="BF80" s="1">
        <v>36.8</v>
      </c>
      <c r="BG80" s="1">
        <v>24.6</v>
      </c>
      <c r="BH80" s="1" t="s">
        <v>218</v>
      </c>
    </row>
    <row r="81">
      <c r="A81" s="2">
        <v>2130.0</v>
      </c>
      <c r="B81" s="2" t="str">
        <f>IFERROR(__xludf.DUMMYFUNCTION("TO_TEXT(A81)"),"02130")</f>
        <v>02130</v>
      </c>
      <c r="C81" s="1">
        <v>13715.0</v>
      </c>
      <c r="D81" s="1">
        <v>4858.40342696036</v>
      </c>
      <c r="E81" s="1" t="s">
        <v>219</v>
      </c>
      <c r="F81" s="1" t="s">
        <v>220</v>
      </c>
      <c r="G81" s="1">
        <v>2.82294383457175</v>
      </c>
      <c r="H81" s="1">
        <v>13.6884538559999</v>
      </c>
      <c r="I81" s="1">
        <v>3.1893414257</v>
      </c>
      <c r="J81" s="1">
        <v>6.3436123348</v>
      </c>
      <c r="K81" s="1">
        <v>16.935100114</v>
      </c>
      <c r="L81" s="1">
        <v>38.2</v>
      </c>
      <c r="M81" s="1">
        <v>8.1</v>
      </c>
      <c r="N81" s="1">
        <v>19.2</v>
      </c>
      <c r="O81" s="1">
        <v>100.0</v>
      </c>
      <c r="P81" s="1">
        <v>17.186423156</v>
      </c>
      <c r="Q81" s="1">
        <v>101.03926</v>
      </c>
      <c r="R81" s="1">
        <v>83.870967742</v>
      </c>
      <c r="S81" s="1">
        <v>12.5</v>
      </c>
      <c r="T81" s="1">
        <v>3052.0</v>
      </c>
      <c r="U81" s="1">
        <v>35.714285714</v>
      </c>
      <c r="V81" s="1">
        <v>358.29234226</v>
      </c>
      <c r="W81" s="1">
        <v>17.082533589</v>
      </c>
      <c r="X81" s="1">
        <v>12.12880833</v>
      </c>
      <c r="Y81" s="1">
        <v>79.8767629589999</v>
      </c>
      <c r="Z81" s="1">
        <v>9.2</v>
      </c>
      <c r="AA81" s="1">
        <v>1.6138728744</v>
      </c>
      <c r="AB81" s="1">
        <v>68309.0</v>
      </c>
      <c r="AC81" s="1">
        <v>41.797371768</v>
      </c>
      <c r="AD81" s="1">
        <v>60.822226394</v>
      </c>
      <c r="AE81" s="1">
        <v>13.552401322</v>
      </c>
      <c r="AF81" s="1">
        <v>0.9484121282</v>
      </c>
      <c r="AG81" s="1">
        <v>14.017818652</v>
      </c>
      <c r="AH81" s="1">
        <v>8.4135651674</v>
      </c>
      <c r="AI81" s="1">
        <v>0.3520620779</v>
      </c>
      <c r="AJ81" s="1">
        <v>5.7766920535</v>
      </c>
      <c r="AK81" s="1">
        <v>63.177180629</v>
      </c>
      <c r="AL81" s="1">
        <v>1.2110459735</v>
      </c>
      <c r="AM81" s="1">
        <v>48.972553528</v>
      </c>
      <c r="AN81" s="1">
        <v>23.187653039</v>
      </c>
      <c r="AO81" s="1">
        <v>32694.0</v>
      </c>
      <c r="AP81" s="1">
        <v>10.8</v>
      </c>
      <c r="AQ81" s="1">
        <v>7.6</v>
      </c>
      <c r="AR81" s="1">
        <v>8.0</v>
      </c>
      <c r="AS81" s="1">
        <v>12.6</v>
      </c>
      <c r="AT81" s="1">
        <v>22.6</v>
      </c>
      <c r="AU81" s="1">
        <v>13.9</v>
      </c>
      <c r="AV81" s="1">
        <v>35.4</v>
      </c>
      <c r="AW81" s="1">
        <v>1.2</v>
      </c>
      <c r="AX81" s="1">
        <v>0.5065</v>
      </c>
      <c r="AY81" s="1">
        <v>9.4</v>
      </c>
      <c r="AZ81" s="1">
        <v>13.1</v>
      </c>
      <c r="BA81" s="1">
        <v>19.2</v>
      </c>
      <c r="BB81" s="1">
        <v>3.55</v>
      </c>
      <c r="BC81" s="1" t="s">
        <v>196</v>
      </c>
      <c r="BD81" s="1">
        <v>7.2</v>
      </c>
      <c r="BE81" s="1">
        <v>29.7</v>
      </c>
      <c r="BF81" s="1">
        <v>37.8</v>
      </c>
      <c r="BG81" s="1">
        <v>25.3</v>
      </c>
      <c r="BH81" s="1" t="s">
        <v>220</v>
      </c>
    </row>
    <row r="82">
      <c r="A82" s="2">
        <v>2150.0</v>
      </c>
      <c r="B82" s="2" t="str">
        <f>IFERROR(__xludf.DUMMYFUNCTION("TO_TEXT(A82)"),"02150")</f>
        <v>02150</v>
      </c>
      <c r="C82" s="1">
        <v>13918.0</v>
      </c>
      <c r="D82" s="1">
        <v>6550.34782860202</v>
      </c>
      <c r="E82" s="1" t="s">
        <v>221</v>
      </c>
      <c r="F82" s="1" t="s">
        <v>222</v>
      </c>
      <c r="G82" s="1">
        <v>2.12477266309847</v>
      </c>
      <c r="H82" s="1">
        <v>13.282747242</v>
      </c>
      <c r="I82" s="1">
        <v>2.9571111271</v>
      </c>
      <c r="J82" s="1">
        <v>4.600811908</v>
      </c>
      <c r="K82" s="1">
        <v>15.438973242</v>
      </c>
      <c r="L82" s="1">
        <v>34.1</v>
      </c>
      <c r="M82" s="1">
        <v>8.1</v>
      </c>
      <c r="N82" s="1">
        <v>24.5</v>
      </c>
      <c r="O82" s="1">
        <v>100.0</v>
      </c>
      <c r="P82" s="1">
        <v>18.414408349</v>
      </c>
      <c r="Q82" s="1">
        <v>126.41285</v>
      </c>
      <c r="R82" s="1">
        <v>86.1878453039999</v>
      </c>
      <c r="S82" s="1">
        <v>9.9</v>
      </c>
      <c r="T82" s="1">
        <v>3564.0</v>
      </c>
      <c r="U82" s="1">
        <v>27.328843996</v>
      </c>
      <c r="V82" s="1">
        <v>204.509002055</v>
      </c>
      <c r="W82" s="1">
        <v>21.810250818</v>
      </c>
      <c r="X82" s="1">
        <v>12.573932092</v>
      </c>
      <c r="Y82" s="1">
        <v>81.814861496</v>
      </c>
      <c r="Z82" s="1">
        <v>8.0</v>
      </c>
      <c r="AA82" s="1">
        <v>4.6062556464</v>
      </c>
      <c r="AB82" s="1">
        <v>74109.0</v>
      </c>
      <c r="AC82" s="1">
        <v>50.6208609269999</v>
      </c>
      <c r="AD82" s="1">
        <v>54.996569861</v>
      </c>
      <c r="AE82" s="1">
        <v>14.116192831</v>
      </c>
      <c r="AF82" s="1">
        <v>1.0266017235</v>
      </c>
      <c r="AG82" s="1">
        <v>12.8137879359999</v>
      </c>
      <c r="AH82" s="1">
        <v>22.240539528</v>
      </c>
      <c r="AI82" s="1">
        <v>0.9591607344</v>
      </c>
      <c r="AJ82" s="1">
        <v>8.8347695766</v>
      </c>
      <c r="AK82" s="1">
        <v>49.112026976</v>
      </c>
      <c r="AL82" s="1">
        <v>6.0610881324</v>
      </c>
      <c r="AM82" s="1">
        <v>46.826526789</v>
      </c>
      <c r="AN82" s="1">
        <v>31.319894055</v>
      </c>
      <c r="AO82" s="1">
        <v>32066.0</v>
      </c>
      <c r="AP82" s="1">
        <v>9.2</v>
      </c>
      <c r="AQ82" s="1">
        <v>3.6</v>
      </c>
      <c r="AR82" s="1">
        <v>9.3</v>
      </c>
      <c r="AS82" s="1">
        <v>8.4</v>
      </c>
      <c r="AT82" s="1">
        <v>26.9</v>
      </c>
      <c r="AU82" s="1">
        <v>11.8</v>
      </c>
      <c r="AV82" s="1">
        <v>49.2</v>
      </c>
      <c r="AW82" s="1">
        <v>5.1</v>
      </c>
      <c r="AX82" s="1">
        <v>0.5103</v>
      </c>
      <c r="AY82" s="1">
        <v>7.1</v>
      </c>
      <c r="AZ82" s="1">
        <v>12.3</v>
      </c>
      <c r="BA82" s="1">
        <v>16.8</v>
      </c>
      <c r="BB82" s="1">
        <v>3.85</v>
      </c>
      <c r="BC82" s="1" t="s">
        <v>196</v>
      </c>
      <c r="BD82" s="1">
        <v>10.2</v>
      </c>
      <c r="BE82" s="1">
        <v>29.7</v>
      </c>
      <c r="BF82" s="1">
        <v>32.1</v>
      </c>
      <c r="BG82" s="1">
        <v>28.0</v>
      </c>
      <c r="BH82" s="1" t="s">
        <v>222</v>
      </c>
    </row>
    <row r="83">
      <c r="A83" s="2">
        <v>2158.0</v>
      </c>
      <c r="B83" s="2" t="str">
        <f>IFERROR(__xludf.DUMMYFUNCTION("TO_TEXT(A83)"),"02158")</f>
        <v>02158</v>
      </c>
      <c r="C83" s="1">
        <v>7993.0</v>
      </c>
      <c r="D83" s="1">
        <v>17081.3547731236</v>
      </c>
      <c r="E83" s="1" t="s">
        <v>223</v>
      </c>
      <c r="F83" s="1" t="s">
        <v>224</v>
      </c>
      <c r="G83" s="1">
        <v>0.467937122445139</v>
      </c>
      <c r="H83" s="1">
        <v>36.931952831</v>
      </c>
      <c r="I83" s="1">
        <v>5.81908781929999</v>
      </c>
      <c r="J83" s="1">
        <v>5.9250302297</v>
      </c>
      <c r="K83" s="1">
        <v>41.0009486119999</v>
      </c>
      <c r="L83" s="1">
        <v>23.2</v>
      </c>
      <c r="M83" s="1">
        <v>1.9</v>
      </c>
      <c r="N83" s="1">
        <v>27.8</v>
      </c>
      <c r="O83" s="1">
        <v>65.8158310885</v>
      </c>
      <c r="P83" s="1">
        <v>17.650850954</v>
      </c>
      <c r="Q83" s="1">
        <v>48.31939</v>
      </c>
      <c r="R83" s="1">
        <v>61.818181818</v>
      </c>
      <c r="S83" s="1">
        <v>47.4</v>
      </c>
      <c r="T83" s="1">
        <v>3305.0</v>
      </c>
      <c r="U83" s="1">
        <v>50.771558245</v>
      </c>
      <c r="V83" s="1">
        <v>204.509002055</v>
      </c>
      <c r="W83" s="1">
        <v>70.893371758</v>
      </c>
      <c r="X83" s="1">
        <v>7.7411900635</v>
      </c>
      <c r="Y83" s="1">
        <v>68.21813755</v>
      </c>
      <c r="Z83" s="1">
        <v>4.7</v>
      </c>
      <c r="AA83" s="1">
        <v>41.839706701</v>
      </c>
      <c r="AB83" s="1">
        <v>32728.0</v>
      </c>
      <c r="AC83" s="1">
        <v>99.524564184</v>
      </c>
      <c r="AD83" s="1">
        <v>74.290780142</v>
      </c>
      <c r="AE83" s="1">
        <v>10.299234516</v>
      </c>
      <c r="AF83" s="1">
        <v>0.4094905456</v>
      </c>
      <c r="AG83" s="1">
        <v>92.2317234729999</v>
      </c>
      <c r="AH83" s="1">
        <v>0.4937974226</v>
      </c>
      <c r="AI83" s="1">
        <v>0.0120438396</v>
      </c>
      <c r="AJ83" s="1">
        <v>2.5773816693</v>
      </c>
      <c r="AK83" s="1">
        <v>3.5168011562</v>
      </c>
      <c r="AL83" s="1">
        <v>1.2232845894</v>
      </c>
      <c r="AM83" s="1">
        <v>47.3202456939999</v>
      </c>
      <c r="AN83" s="1">
        <v>59.472952477</v>
      </c>
      <c r="AO83" s="1">
        <v>11701.0</v>
      </c>
      <c r="AP83" s="1">
        <v>36.0</v>
      </c>
      <c r="AQ83" s="1">
        <v>26.4</v>
      </c>
      <c r="AR83" s="1">
        <v>21.6</v>
      </c>
      <c r="AS83" s="1">
        <v>5.3</v>
      </c>
      <c r="AT83" s="1">
        <v>40.2</v>
      </c>
      <c r="AU83" s="1">
        <v>10.3</v>
      </c>
      <c r="AV83" s="1">
        <v>96.3</v>
      </c>
      <c r="AW83" s="1">
        <v>1.2</v>
      </c>
      <c r="AX83" s="1">
        <v>0.8988</v>
      </c>
      <c r="AY83" s="1">
        <v>26.8</v>
      </c>
      <c r="AZ83" s="1">
        <v>28.0</v>
      </c>
      <c r="BA83" s="1">
        <v>43.2</v>
      </c>
      <c r="BB83" s="1">
        <v>4.35</v>
      </c>
      <c r="BC83" s="1" t="s">
        <v>196</v>
      </c>
      <c r="BD83" s="1">
        <v>21.1</v>
      </c>
      <c r="BE83" s="1">
        <v>56.0</v>
      </c>
      <c r="BF83" s="1">
        <v>19.0</v>
      </c>
      <c r="BG83" s="1">
        <v>3.9</v>
      </c>
      <c r="BH83" s="1" t="s">
        <v>224</v>
      </c>
    </row>
    <row r="84">
      <c r="A84" s="2">
        <v>2164.0</v>
      </c>
      <c r="B84" s="2" t="str">
        <f>IFERROR(__xludf.DUMMYFUNCTION("TO_TEXT(A84)"),"02164")</f>
        <v>02164</v>
      </c>
      <c r="C84" s="1">
        <v>1411.0</v>
      </c>
      <c r="D84" s="1">
        <v>23450.2343142338</v>
      </c>
      <c r="E84" s="1" t="s">
        <v>225</v>
      </c>
      <c r="F84" s="1" t="s">
        <v>226</v>
      </c>
      <c r="G84" s="1">
        <v>0.0601699744698735</v>
      </c>
      <c r="H84" s="1">
        <v>21.619199745</v>
      </c>
      <c r="I84" s="1">
        <v>4.2476552523</v>
      </c>
      <c r="J84" s="1">
        <v>5.6768558952</v>
      </c>
      <c r="K84" s="1">
        <v>28.301188773</v>
      </c>
      <c r="L84" s="1">
        <v>37.8</v>
      </c>
      <c r="M84" s="1">
        <v>3.5</v>
      </c>
      <c r="N84" s="1">
        <v>22.2</v>
      </c>
      <c r="O84" s="1">
        <v>100.0</v>
      </c>
      <c r="P84" s="1">
        <v>25.346260388</v>
      </c>
      <c r="Q84" s="1">
        <v>0.0</v>
      </c>
      <c r="R84" s="1">
        <v>89.912280702</v>
      </c>
      <c r="S84" s="1">
        <v>23.7</v>
      </c>
      <c r="T84" s="1">
        <v>372.0</v>
      </c>
      <c r="U84" s="1">
        <v>48.11827957</v>
      </c>
      <c r="V84" s="1">
        <v>204.509002055</v>
      </c>
      <c r="W84" s="1">
        <v>29.787234043</v>
      </c>
      <c r="X84" s="1">
        <v>5.9574468085</v>
      </c>
      <c r="Y84" s="1">
        <v>77.482572377</v>
      </c>
      <c r="Z84" s="1">
        <v>9.5</v>
      </c>
      <c r="AA84" s="1">
        <v>43.516344351</v>
      </c>
      <c r="AB84" s="1">
        <v>49403.0</v>
      </c>
      <c r="AC84" s="1">
        <v>82.388059701</v>
      </c>
      <c r="AD84" s="1">
        <v>69.176470588</v>
      </c>
      <c r="AE84" s="1">
        <v>4.8387096774</v>
      </c>
      <c r="AF84" s="1">
        <v>1.0081915564</v>
      </c>
      <c r="AG84" s="1">
        <v>61.49968494</v>
      </c>
      <c r="AH84" s="1">
        <v>3.1505986137</v>
      </c>
      <c r="AI84" s="1">
        <v>0.3150598614</v>
      </c>
      <c r="AJ84" s="1">
        <v>3.5286704474</v>
      </c>
      <c r="AK84" s="1">
        <v>22.306238185</v>
      </c>
      <c r="AL84" s="1">
        <v>0.3129890454</v>
      </c>
      <c r="AM84" s="1">
        <v>48.771266541</v>
      </c>
      <c r="AN84" s="1">
        <v>100.0</v>
      </c>
      <c r="AO84" s="1">
        <v>22684.0</v>
      </c>
      <c r="AP84" s="1">
        <v>18.8</v>
      </c>
      <c r="AQ84" s="1">
        <v>11.7</v>
      </c>
      <c r="AR84" s="1">
        <v>13.7</v>
      </c>
      <c r="AS84" s="1">
        <v>6.1</v>
      </c>
      <c r="AT84" s="1">
        <v>30.9</v>
      </c>
      <c r="AU84" s="1">
        <v>11.1</v>
      </c>
      <c r="AV84" s="1">
        <v>79.7</v>
      </c>
      <c r="AW84" s="1">
        <v>0.8</v>
      </c>
      <c r="AX84" s="1">
        <v>0.8007</v>
      </c>
      <c r="AY84" s="1">
        <v>17.4</v>
      </c>
      <c r="AZ84" s="1">
        <v>17.3</v>
      </c>
      <c r="BA84" s="1">
        <v>27.7</v>
      </c>
      <c r="BB84" s="1">
        <v>3.83</v>
      </c>
      <c r="BC84" s="1" t="s">
        <v>196</v>
      </c>
      <c r="BD84" s="1">
        <v>12.0</v>
      </c>
      <c r="BE84" s="1">
        <v>44.2</v>
      </c>
      <c r="BF84" s="1">
        <v>27.7</v>
      </c>
      <c r="BG84" s="1">
        <v>16.1</v>
      </c>
      <c r="BH84" s="1" t="s">
        <v>226</v>
      </c>
    </row>
    <row r="85">
      <c r="A85" s="2">
        <v>2170.0</v>
      </c>
      <c r="B85" s="2" t="str">
        <f>IFERROR(__xludf.DUMMYFUNCTION("TO_TEXT(A85)"),"02170")</f>
        <v>02170</v>
      </c>
      <c r="C85" s="1">
        <v>98679.0</v>
      </c>
      <c r="D85" s="1">
        <v>24607.9293472012</v>
      </c>
      <c r="E85" s="1" t="s">
        <v>227</v>
      </c>
      <c r="F85" s="1" t="s">
        <v>228</v>
      </c>
      <c r="G85" s="1">
        <v>4.01004889959274</v>
      </c>
      <c r="H85" s="1">
        <v>13.2139028759999</v>
      </c>
      <c r="I85" s="1">
        <v>3.2855711036</v>
      </c>
      <c r="J85" s="1">
        <v>5.7345491388</v>
      </c>
      <c r="K85" s="1">
        <v>17.50057946</v>
      </c>
      <c r="L85" s="1">
        <v>34.4</v>
      </c>
      <c r="M85" s="1">
        <v>7.6</v>
      </c>
      <c r="N85" s="1">
        <v>22.0</v>
      </c>
      <c r="O85" s="1">
        <v>100.0</v>
      </c>
      <c r="P85" s="1">
        <v>14.849157915</v>
      </c>
      <c r="Q85" s="1">
        <v>45.05688</v>
      </c>
      <c r="R85" s="1">
        <v>83.227176221</v>
      </c>
      <c r="S85" s="1">
        <v>11.8</v>
      </c>
      <c r="T85" s="1">
        <v>27781.0</v>
      </c>
      <c r="U85" s="1">
        <v>22.270616608</v>
      </c>
      <c r="V85" s="1">
        <v>204.509002055</v>
      </c>
      <c r="W85" s="1">
        <v>19.811932555</v>
      </c>
      <c r="X85" s="1">
        <v>11.99216838</v>
      </c>
      <c r="Y85" s="1">
        <v>79.262933424</v>
      </c>
      <c r="Z85" s="1">
        <v>8.7</v>
      </c>
      <c r="AA85" s="1">
        <v>7.6239409239</v>
      </c>
      <c r="AB85" s="1">
        <v>74649.0</v>
      </c>
      <c r="AC85" s="1">
        <v>36.517991588</v>
      </c>
      <c r="AD85" s="1">
        <v>76.89368179</v>
      </c>
      <c r="AE85" s="1">
        <v>13.505382095</v>
      </c>
      <c r="AF85" s="1">
        <v>1.1458042933</v>
      </c>
      <c r="AG85" s="1">
        <v>6.862745098</v>
      </c>
      <c r="AH85" s="1">
        <v>1.7507666574</v>
      </c>
      <c r="AI85" s="1">
        <v>0.3958739894</v>
      </c>
      <c r="AJ85" s="1">
        <v>5.0608679491</v>
      </c>
      <c r="AK85" s="1">
        <v>78.952699563</v>
      </c>
      <c r="AL85" s="1">
        <v>0.8505493131</v>
      </c>
      <c r="AM85" s="1">
        <v>48.083821206</v>
      </c>
      <c r="AN85" s="1">
        <v>50.2938367319999</v>
      </c>
      <c r="AO85" s="1">
        <v>30078.0</v>
      </c>
      <c r="AP85" s="1">
        <v>9.7</v>
      </c>
      <c r="AQ85" s="1">
        <v>9.9</v>
      </c>
      <c r="AR85" s="1">
        <v>7.6</v>
      </c>
      <c r="AS85" s="1">
        <v>9.6</v>
      </c>
      <c r="AT85" s="1">
        <v>27.4</v>
      </c>
      <c r="AU85" s="1">
        <v>12.1</v>
      </c>
      <c r="AV85" s="1">
        <v>19.6</v>
      </c>
      <c r="AW85" s="1">
        <v>0.6</v>
      </c>
      <c r="AX85" s="1">
        <v>0.2537</v>
      </c>
      <c r="AY85" s="1">
        <v>9.6</v>
      </c>
      <c r="AZ85" s="1">
        <v>12.6</v>
      </c>
      <c r="BA85" s="1">
        <v>18.6</v>
      </c>
      <c r="BB85" s="1">
        <v>4.09</v>
      </c>
      <c r="BC85" s="1" t="s">
        <v>196</v>
      </c>
      <c r="BD85" s="1">
        <v>7.1</v>
      </c>
      <c r="BE85" s="1">
        <v>33.1</v>
      </c>
      <c r="BF85" s="1">
        <v>38.3</v>
      </c>
      <c r="BG85" s="1">
        <v>21.6</v>
      </c>
      <c r="BH85" s="1" t="s">
        <v>228</v>
      </c>
    </row>
    <row r="86">
      <c r="A86" s="2">
        <v>2180.0</v>
      </c>
      <c r="B86" s="2" t="str">
        <f>IFERROR(__xludf.DUMMYFUNCTION("TO_TEXT(A86)"),"02180")</f>
        <v>02180</v>
      </c>
      <c r="C86" s="1">
        <v>9879.0</v>
      </c>
      <c r="D86" s="1">
        <v>22962.9421290984</v>
      </c>
      <c r="E86" s="1" t="s">
        <v>229</v>
      </c>
      <c r="F86" s="1" t="s">
        <v>230</v>
      </c>
      <c r="G86" s="1">
        <v>0.430214906454928</v>
      </c>
      <c r="H86" s="1">
        <v>24.789506346</v>
      </c>
      <c r="I86" s="1">
        <v>4.4570699331</v>
      </c>
      <c r="J86" s="1">
        <v>5.83501006039999</v>
      </c>
      <c r="K86" s="1">
        <v>31.5305728669999</v>
      </c>
      <c r="L86" s="1">
        <v>40.3</v>
      </c>
      <c r="M86" s="1">
        <v>3.5</v>
      </c>
      <c r="N86" s="1">
        <v>24.9</v>
      </c>
      <c r="O86" s="1">
        <v>100.0</v>
      </c>
      <c r="P86" s="1">
        <v>21.207087486</v>
      </c>
      <c r="Q86" s="1">
        <v>90.71666</v>
      </c>
      <c r="R86" s="1">
        <v>75.496688742</v>
      </c>
      <c r="S86" s="1">
        <v>26.9</v>
      </c>
      <c r="T86" s="1">
        <v>3367.0</v>
      </c>
      <c r="U86" s="1">
        <v>45.55984556</v>
      </c>
      <c r="V86" s="1">
        <v>204.509002055</v>
      </c>
      <c r="W86" s="1">
        <v>51.909722222</v>
      </c>
      <c r="X86" s="1">
        <v>13.014654571</v>
      </c>
      <c r="Y86" s="1">
        <v>70.485957066</v>
      </c>
      <c r="Z86" s="1">
        <v>7.4</v>
      </c>
      <c r="AA86" s="1">
        <v>38.093344951</v>
      </c>
      <c r="AB86" s="1">
        <v>55318.0</v>
      </c>
      <c r="AC86" s="1">
        <v>92.782348542</v>
      </c>
      <c r="AD86" s="1">
        <v>60.313043478</v>
      </c>
      <c r="AE86" s="1">
        <v>12.769230769</v>
      </c>
      <c r="AF86" s="1">
        <v>0.7693844924</v>
      </c>
      <c r="AG86" s="1">
        <v>75.479616307</v>
      </c>
      <c r="AH86" s="1">
        <v>1.518784972</v>
      </c>
      <c r="AI86" s="1">
        <v>0.1598721023</v>
      </c>
      <c r="AJ86" s="1">
        <v>2.5079936051</v>
      </c>
      <c r="AK86" s="1">
        <v>14.928057554</v>
      </c>
      <c r="AL86" s="1">
        <v>1.4384478145</v>
      </c>
      <c r="AM86" s="1">
        <v>47.372102318</v>
      </c>
      <c r="AN86" s="1">
        <v>66.05562579</v>
      </c>
      <c r="AO86" s="1">
        <v>20033.0</v>
      </c>
      <c r="AP86" s="1">
        <v>27.0</v>
      </c>
      <c r="AQ86" s="1">
        <v>17.4</v>
      </c>
      <c r="AR86" s="1">
        <v>15.1</v>
      </c>
      <c r="AS86" s="1">
        <v>7.3</v>
      </c>
      <c r="AT86" s="1">
        <v>34.5</v>
      </c>
      <c r="AU86" s="1">
        <v>10.7</v>
      </c>
      <c r="AV86" s="1">
        <v>84.7</v>
      </c>
      <c r="AW86" s="1">
        <v>1.3</v>
      </c>
      <c r="AX86" s="1">
        <v>0.9214</v>
      </c>
      <c r="AY86" s="1">
        <v>20.7</v>
      </c>
      <c r="AZ86" s="1">
        <v>19.1</v>
      </c>
      <c r="BA86" s="1">
        <v>27.9</v>
      </c>
      <c r="BB86" s="1">
        <v>4.35</v>
      </c>
      <c r="BC86" s="1" t="s">
        <v>196</v>
      </c>
      <c r="BD86" s="1">
        <v>15.4</v>
      </c>
      <c r="BE86" s="1">
        <v>41.1</v>
      </c>
      <c r="BF86" s="1">
        <v>27.3</v>
      </c>
      <c r="BG86" s="1">
        <v>16.1</v>
      </c>
      <c r="BH86" s="1" t="s">
        <v>230</v>
      </c>
    </row>
    <row r="87">
      <c r="A87" s="2">
        <v>2185.0</v>
      </c>
      <c r="B87" s="2" t="str">
        <f>IFERROR(__xludf.DUMMYFUNCTION("TO_TEXT(A87)"),"02185")</f>
        <v>02185</v>
      </c>
      <c r="C87" s="1">
        <v>9681.0</v>
      </c>
      <c r="D87" s="1">
        <v>88838.9973184295</v>
      </c>
      <c r="E87" s="1" t="s">
        <v>231</v>
      </c>
      <c r="F87" s="1" t="s">
        <v>232</v>
      </c>
      <c r="G87" s="1">
        <v>0.108972414054832</v>
      </c>
      <c r="H87" s="1">
        <v>16.333936667</v>
      </c>
      <c r="I87" s="1">
        <v>3.4236853338</v>
      </c>
      <c r="J87" s="1">
        <v>6.1962134251</v>
      </c>
      <c r="K87" s="1">
        <v>23.85108657</v>
      </c>
      <c r="L87" s="1">
        <v>40.1</v>
      </c>
      <c r="M87" s="1">
        <v>6.9</v>
      </c>
      <c r="N87" s="1">
        <v>35.4</v>
      </c>
      <c r="O87" s="1">
        <v>100.0</v>
      </c>
      <c r="P87" s="1">
        <v>17.808672625</v>
      </c>
      <c r="Q87" s="1">
        <v>30.66857</v>
      </c>
      <c r="R87" s="1">
        <v>68.148148148</v>
      </c>
      <c r="S87" s="1">
        <v>15.2</v>
      </c>
      <c r="T87" s="1">
        <v>2504.0</v>
      </c>
      <c r="U87" s="1">
        <v>45.207667732</v>
      </c>
      <c r="V87" s="1">
        <v>809.23663729</v>
      </c>
      <c r="W87" s="1">
        <v>43.069306931</v>
      </c>
      <c r="X87" s="1">
        <v>7.8265204387</v>
      </c>
      <c r="Y87" s="1">
        <v>76.113768993</v>
      </c>
      <c r="Z87" s="1">
        <v>7.6</v>
      </c>
      <c r="AA87" s="1">
        <v>13.197183464</v>
      </c>
      <c r="AB87" s="1">
        <v>89276.0</v>
      </c>
      <c r="AC87" s="1">
        <v>52.848540991</v>
      </c>
      <c r="AD87" s="1">
        <v>50.2543234989999</v>
      </c>
      <c r="AE87" s="1">
        <v>9.6077316657</v>
      </c>
      <c r="AF87" s="1">
        <v>1.4586709887</v>
      </c>
      <c r="AG87" s="1">
        <v>52.775526742</v>
      </c>
      <c r="AH87" s="1">
        <v>6.0676661264</v>
      </c>
      <c r="AI87" s="1">
        <v>1.762560778</v>
      </c>
      <c r="AJ87" s="1">
        <v>4.2949756888</v>
      </c>
      <c r="AK87" s="1">
        <v>30.996758509</v>
      </c>
      <c r="AL87" s="1">
        <v>0.9238646483</v>
      </c>
      <c r="AM87" s="1">
        <v>37.753241491</v>
      </c>
      <c r="AN87" s="1">
        <v>59.331919406</v>
      </c>
      <c r="AO87" s="1">
        <v>49982.0</v>
      </c>
      <c r="AP87" s="1">
        <v>11.2</v>
      </c>
      <c r="AQ87" s="1">
        <v>10.0</v>
      </c>
      <c r="AR87" s="1">
        <v>11.6</v>
      </c>
      <c r="AS87" s="1">
        <v>4.7</v>
      </c>
      <c r="AT87" s="1">
        <v>25.5</v>
      </c>
      <c r="AU87" s="1">
        <v>9.5</v>
      </c>
      <c r="AV87" s="1">
        <v>68.4</v>
      </c>
      <c r="AW87" s="1">
        <v>0.9</v>
      </c>
      <c r="AX87" s="1">
        <v>0.7281</v>
      </c>
      <c r="AY87" s="1">
        <v>11.4</v>
      </c>
      <c r="AZ87" s="1">
        <v>13.1</v>
      </c>
      <c r="BA87" s="1">
        <v>18.4</v>
      </c>
      <c r="BB87" s="1">
        <v>3.72</v>
      </c>
      <c r="BC87" s="1" t="s">
        <v>196</v>
      </c>
      <c r="BD87" s="1">
        <v>10.3</v>
      </c>
      <c r="BE87" s="1">
        <v>43.0</v>
      </c>
      <c r="BF87" s="1">
        <v>30.2</v>
      </c>
      <c r="BG87" s="1">
        <v>16.5</v>
      </c>
      <c r="BH87" s="1" t="s">
        <v>232</v>
      </c>
    </row>
    <row r="88">
      <c r="A88" s="2">
        <v>2188.0</v>
      </c>
      <c r="B88" s="2" t="str">
        <f>IFERROR(__xludf.DUMMYFUNCTION("TO_TEXT(A88)"),"02188")</f>
        <v>02188</v>
      </c>
      <c r="C88" s="1">
        <v>7723.0</v>
      </c>
      <c r="D88" s="1">
        <v>35635.3443130317</v>
      </c>
      <c r="E88" s="1" t="s">
        <v>233</v>
      </c>
      <c r="F88" s="1" t="s">
        <v>234</v>
      </c>
      <c r="G88" s="1">
        <v>0.216723035763562</v>
      </c>
      <c r="H88" s="1">
        <v>23.528243468</v>
      </c>
      <c r="I88" s="1">
        <v>4.5325399611</v>
      </c>
      <c r="J88" s="1">
        <v>6.746031746</v>
      </c>
      <c r="K88" s="1">
        <v>30.516917851</v>
      </c>
      <c r="L88" s="1">
        <v>42.1</v>
      </c>
      <c r="M88" s="1">
        <v>3.4</v>
      </c>
      <c r="N88" s="1">
        <v>26.7</v>
      </c>
      <c r="O88" s="1">
        <v>100.0</v>
      </c>
      <c r="P88" s="1">
        <v>24.104741684</v>
      </c>
      <c r="Q88" s="1">
        <v>52.05622</v>
      </c>
      <c r="R88" s="1">
        <v>75.806451613</v>
      </c>
      <c r="S88" s="1">
        <v>27.7</v>
      </c>
      <c r="T88" s="1">
        <v>2702.0</v>
      </c>
      <c r="U88" s="1">
        <v>48.445595855</v>
      </c>
      <c r="V88" s="1">
        <v>204.509002055</v>
      </c>
      <c r="W88" s="1">
        <v>50.918635171</v>
      </c>
      <c r="X88" s="1">
        <v>7.1692145493</v>
      </c>
      <c r="Y88" s="1">
        <v>71.178044978</v>
      </c>
      <c r="Z88" s="1">
        <v>10.8</v>
      </c>
      <c r="AA88" s="1">
        <v>34.05510868</v>
      </c>
      <c r="AB88" s="1">
        <v>59337.0</v>
      </c>
      <c r="AC88" s="1">
        <v>79.389671362</v>
      </c>
      <c r="AD88" s="1">
        <v>55.5913978489999</v>
      </c>
      <c r="AE88" s="1">
        <v>8.7783916513</v>
      </c>
      <c r="AF88" s="1">
        <v>1.068961022</v>
      </c>
      <c r="AG88" s="1">
        <v>79.285621171</v>
      </c>
      <c r="AH88" s="1">
        <v>0.8212749316</v>
      </c>
      <c r="AI88" s="1">
        <v>0.2346499804</v>
      </c>
      <c r="AJ88" s="1">
        <v>3.7804719072</v>
      </c>
      <c r="AK88" s="1">
        <v>10.885151871</v>
      </c>
      <c r="AL88" s="1">
        <v>0.577700751</v>
      </c>
      <c r="AM88" s="1">
        <v>46.017468387</v>
      </c>
      <c r="AN88" s="1">
        <v>57.463777748</v>
      </c>
      <c r="AO88" s="1">
        <v>21028.0</v>
      </c>
      <c r="AP88" s="1">
        <v>24.5</v>
      </c>
      <c r="AQ88" s="1">
        <v>22.6</v>
      </c>
      <c r="AR88" s="1">
        <v>20.9</v>
      </c>
      <c r="AS88" s="1">
        <v>6.8</v>
      </c>
      <c r="AT88" s="1">
        <v>35.2</v>
      </c>
      <c r="AU88" s="1">
        <v>10.3</v>
      </c>
      <c r="AV88" s="1">
        <v>88.8</v>
      </c>
      <c r="AW88" s="1">
        <v>0.9</v>
      </c>
      <c r="AX88" s="1">
        <v>0.9373</v>
      </c>
      <c r="AY88" s="1">
        <v>24.0</v>
      </c>
      <c r="AZ88" s="1">
        <v>21.2</v>
      </c>
      <c r="BA88" s="1">
        <v>31.8</v>
      </c>
      <c r="BB88" s="1">
        <v>3.94</v>
      </c>
      <c r="BC88" s="1" t="s">
        <v>196</v>
      </c>
      <c r="BD88" s="1">
        <v>17.5</v>
      </c>
      <c r="BE88" s="1">
        <v>46.7</v>
      </c>
      <c r="BF88" s="1">
        <v>22.6</v>
      </c>
      <c r="BG88" s="1">
        <v>13.2</v>
      </c>
      <c r="BH88" s="1" t="s">
        <v>234</v>
      </c>
    </row>
    <row r="89">
      <c r="A89" s="2">
        <v>2195.0</v>
      </c>
      <c r="B89" s="2" t="str">
        <f>IFERROR(__xludf.DUMMYFUNCTION("TO_TEXT(A89)"),"02195")</f>
        <v>02195</v>
      </c>
      <c r="C89" s="1">
        <v>3196.0</v>
      </c>
      <c r="D89" s="1">
        <v>2917.58235528883</v>
      </c>
      <c r="E89" s="1" t="s">
        <v>235</v>
      </c>
      <c r="F89" s="1" t="s">
        <v>236</v>
      </c>
      <c r="G89" s="1">
        <v>1.09542751868048</v>
      </c>
      <c r="H89" s="1">
        <v>12.253775012</v>
      </c>
      <c r="I89" s="1">
        <v>3.1350114019</v>
      </c>
      <c r="J89" s="1">
        <v>7.80443539465</v>
      </c>
      <c r="K89" s="1">
        <v>15.18753835</v>
      </c>
      <c r="L89" s="1">
        <v>25.0</v>
      </c>
      <c r="M89" s="1">
        <v>8.3</v>
      </c>
      <c r="N89" s="1">
        <v>18.2</v>
      </c>
      <c r="O89" s="1">
        <v>65.8158310885</v>
      </c>
      <c r="P89" s="1">
        <v>18.731231231</v>
      </c>
      <c r="Q89" s="1">
        <v>182.87108</v>
      </c>
      <c r="R89" s="1">
        <v>89.583333333</v>
      </c>
      <c r="S89" s="1">
        <v>9.5</v>
      </c>
      <c r="T89" s="1">
        <v>716.0</v>
      </c>
      <c r="U89" s="1">
        <v>33.938547486</v>
      </c>
      <c r="V89" s="1">
        <v>411.13219481</v>
      </c>
      <c r="W89" s="1">
        <v>18.623481781</v>
      </c>
      <c r="X89" s="1">
        <v>14.45978879</v>
      </c>
      <c r="Y89" s="1">
        <v>79.03083023</v>
      </c>
      <c r="Z89" s="1">
        <v>8.2</v>
      </c>
      <c r="AA89" s="1">
        <v>0.6621122956</v>
      </c>
      <c r="AB89" s="1">
        <v>66075.0</v>
      </c>
      <c r="AC89" s="1">
        <v>51.489361702</v>
      </c>
      <c r="AD89" s="1">
        <v>68.290598291</v>
      </c>
      <c r="AE89" s="1">
        <v>11.744084137</v>
      </c>
      <c r="AF89" s="1">
        <v>2.1421918659</v>
      </c>
      <c r="AG89" s="1">
        <v>10.99037566</v>
      </c>
      <c r="AH89" s="1">
        <v>3.2598571872</v>
      </c>
      <c r="AI89" s="1">
        <v>0.807202732099999</v>
      </c>
      <c r="AJ89" s="1">
        <v>6.02297423159999</v>
      </c>
      <c r="AK89" s="1">
        <v>71.220117976</v>
      </c>
      <c r="AL89" s="1">
        <v>1.2791079042</v>
      </c>
      <c r="AM89" s="1">
        <v>47.221359826</v>
      </c>
      <c r="AN89" s="1">
        <v>59.472952477</v>
      </c>
      <c r="AO89" s="1">
        <v>34788.0</v>
      </c>
      <c r="AP89" s="1">
        <v>9.3</v>
      </c>
      <c r="AQ89" s="1">
        <v>5.8</v>
      </c>
      <c r="AR89" s="1">
        <v>7.6</v>
      </c>
      <c r="AS89" s="1">
        <v>13.8</v>
      </c>
      <c r="AT89" s="1">
        <v>23.5</v>
      </c>
      <c r="AU89" s="1">
        <v>13.7</v>
      </c>
      <c r="AV89" s="1">
        <v>33.0</v>
      </c>
      <c r="AW89" s="1">
        <v>0.3</v>
      </c>
      <c r="AX89" s="1">
        <v>0.4056</v>
      </c>
      <c r="AY89" s="1">
        <v>6.7</v>
      </c>
      <c r="AZ89" s="1">
        <v>13.8</v>
      </c>
      <c r="BA89" s="1">
        <v>22.1</v>
      </c>
      <c r="BB89" s="1">
        <v>3.73</v>
      </c>
      <c r="BC89" s="1" t="s">
        <v>196</v>
      </c>
      <c r="BD89" s="1">
        <v>10.3</v>
      </c>
      <c r="BE89" s="1">
        <v>31.7</v>
      </c>
      <c r="BF89" s="1">
        <v>29.6</v>
      </c>
      <c r="BG89" s="1">
        <v>28.4</v>
      </c>
      <c r="BH89" s="1" t="s">
        <v>236</v>
      </c>
    </row>
    <row r="90">
      <c r="A90" s="2">
        <v>2198.0</v>
      </c>
      <c r="B90" s="2" t="str">
        <f>IFERROR(__xludf.DUMMYFUNCTION("TO_TEXT(A90)"),"02198")</f>
        <v>02198</v>
      </c>
      <c r="C90" s="1">
        <v>6374.0</v>
      </c>
      <c r="D90" s="1">
        <v>5262.03598865479</v>
      </c>
      <c r="E90" s="1" t="s">
        <v>237</v>
      </c>
      <c r="F90" s="1" t="s">
        <v>238</v>
      </c>
      <c r="G90" s="1">
        <v>1.21131820720014</v>
      </c>
      <c r="H90" s="1">
        <v>18.486602722</v>
      </c>
      <c r="I90" s="1">
        <v>3.8604131637</v>
      </c>
      <c r="J90" s="1">
        <v>4.3352601156</v>
      </c>
      <c r="K90" s="1">
        <v>22.27222789</v>
      </c>
      <c r="L90" s="1">
        <v>44.9</v>
      </c>
      <c r="M90" s="1">
        <v>6.3</v>
      </c>
      <c r="N90" s="1">
        <v>22.8</v>
      </c>
      <c r="O90" s="1">
        <v>65.8158310885</v>
      </c>
      <c r="P90" s="1">
        <v>23.176601259</v>
      </c>
      <c r="Q90" s="1">
        <v>77.6036</v>
      </c>
      <c r="R90" s="1">
        <v>77.477477477</v>
      </c>
      <c r="S90" s="1">
        <v>23.4</v>
      </c>
      <c r="T90" s="1">
        <v>1518.0</v>
      </c>
      <c r="U90" s="1">
        <v>37.68115942</v>
      </c>
      <c r="V90" s="1">
        <v>204.509002055</v>
      </c>
      <c r="W90" s="1">
        <v>16.997792494</v>
      </c>
      <c r="X90" s="1">
        <v>6.2915374391</v>
      </c>
      <c r="Y90" s="1">
        <v>73.24652768</v>
      </c>
      <c r="Z90" s="1">
        <v>13.6</v>
      </c>
      <c r="AA90" s="1">
        <v>14.764996087</v>
      </c>
      <c r="AB90" s="1">
        <v>49356.0</v>
      </c>
      <c r="AC90" s="1">
        <v>64.812030075</v>
      </c>
      <c r="AD90" s="1">
        <v>72.835314092</v>
      </c>
      <c r="AE90" s="1">
        <v>7.2229699417</v>
      </c>
      <c r="AF90" s="1">
        <v>0.513858611</v>
      </c>
      <c r="AG90" s="1">
        <v>42.961694176</v>
      </c>
      <c r="AH90" s="1">
        <v>0.9654313298</v>
      </c>
      <c r="AI90" s="1">
        <v>0.4671441918</v>
      </c>
      <c r="AJ90" s="1">
        <v>3.6904391155</v>
      </c>
      <c r="AK90" s="1">
        <v>45.484272812</v>
      </c>
      <c r="AL90" s="1">
        <v>0.0328947368</v>
      </c>
      <c r="AM90" s="1">
        <v>45.235129243</v>
      </c>
      <c r="AN90" s="1">
        <v>59.472952477</v>
      </c>
      <c r="AO90" s="1">
        <v>25564.0</v>
      </c>
      <c r="AP90" s="1">
        <v>14.9</v>
      </c>
      <c r="AQ90" s="1">
        <v>13.6</v>
      </c>
      <c r="AR90" s="1">
        <v>9.5</v>
      </c>
      <c r="AS90" s="1">
        <v>11.3</v>
      </c>
      <c r="AT90" s="1">
        <v>24.3</v>
      </c>
      <c r="AU90" s="1">
        <v>17.0</v>
      </c>
      <c r="AV90" s="1">
        <v>54.9</v>
      </c>
      <c r="AW90" s="1">
        <v>0.0</v>
      </c>
      <c r="AX90" s="1">
        <v>0.7116</v>
      </c>
      <c r="AY90" s="1">
        <v>17.6</v>
      </c>
      <c r="AZ90" s="1">
        <v>17.8</v>
      </c>
      <c r="BA90" s="1">
        <v>28.5</v>
      </c>
      <c r="BB90" s="1">
        <v>3.52</v>
      </c>
      <c r="BC90" s="1" t="s">
        <v>196</v>
      </c>
      <c r="BD90" s="1">
        <v>9.2</v>
      </c>
      <c r="BE90" s="1">
        <v>37.9</v>
      </c>
      <c r="BF90" s="1">
        <v>34.6</v>
      </c>
      <c r="BG90" s="1">
        <v>18.3</v>
      </c>
      <c r="BH90" s="1" t="s">
        <v>238</v>
      </c>
    </row>
    <row r="91">
      <c r="A91" s="2">
        <v>2220.0</v>
      </c>
      <c r="B91" s="2" t="str">
        <f>IFERROR(__xludf.DUMMYFUNCTION("TO_TEXT(A91)"),"02220")</f>
        <v>02220</v>
      </c>
      <c r="C91" s="1">
        <v>8921.0</v>
      </c>
      <c r="D91" s="1">
        <v>2870.38173675555</v>
      </c>
      <c r="E91" s="1" t="s">
        <v>239</v>
      </c>
      <c r="F91" s="1" t="s">
        <v>240</v>
      </c>
      <c r="G91" s="1">
        <v>3.10794898314939</v>
      </c>
      <c r="H91" s="1">
        <v>12.52473811</v>
      </c>
      <c r="I91" s="1">
        <v>3.2760449648</v>
      </c>
      <c r="J91" s="1">
        <v>6.0358890701</v>
      </c>
      <c r="K91" s="1">
        <v>16.250454989</v>
      </c>
      <c r="L91" s="1">
        <v>26.6</v>
      </c>
      <c r="M91" s="1">
        <v>8.1</v>
      </c>
      <c r="N91" s="1">
        <v>17.5</v>
      </c>
      <c r="O91" s="1">
        <v>100.0</v>
      </c>
      <c r="P91" s="1">
        <v>18.277656079</v>
      </c>
      <c r="Q91" s="1">
        <v>195.64967</v>
      </c>
      <c r="R91" s="1">
        <v>87.037037037</v>
      </c>
      <c r="S91" s="1">
        <v>8.8</v>
      </c>
      <c r="T91" s="1">
        <v>1839.0</v>
      </c>
      <c r="U91" s="1">
        <v>39.369222403</v>
      </c>
      <c r="V91" s="1">
        <v>100.63174372</v>
      </c>
      <c r="W91" s="1">
        <v>17.118402282</v>
      </c>
      <c r="X91" s="1">
        <v>12.5536173859999</v>
      </c>
      <c r="Y91" s="1">
        <v>80.931712218</v>
      </c>
      <c r="Z91" s="1">
        <v>7.9</v>
      </c>
      <c r="AA91" s="1">
        <v>4.1329062356</v>
      </c>
      <c r="AB91" s="1">
        <v>71825.0</v>
      </c>
      <c r="AC91" s="1">
        <v>49.6751329</v>
      </c>
      <c r="AD91" s="1">
        <v>57.905082842</v>
      </c>
      <c r="AE91" s="1">
        <v>13.3609222579999</v>
      </c>
      <c r="AF91" s="1">
        <v>0.9367410663</v>
      </c>
      <c r="AG91" s="1">
        <v>16.329362785</v>
      </c>
      <c r="AH91" s="1">
        <v>8.1184225743</v>
      </c>
      <c r="AI91" s="1">
        <v>0.4163293628</v>
      </c>
      <c r="AJ91" s="1">
        <v>6.9850815312</v>
      </c>
      <c r="AK91" s="1">
        <v>61.084769284</v>
      </c>
      <c r="AL91" s="1">
        <v>0.9728561134</v>
      </c>
      <c r="AM91" s="1">
        <v>49.115300104</v>
      </c>
      <c r="AN91" s="1">
        <v>20.876027474</v>
      </c>
      <c r="AO91" s="1">
        <v>35655.0</v>
      </c>
      <c r="AP91" s="1">
        <v>9.0</v>
      </c>
      <c r="AQ91" s="1">
        <v>4.5</v>
      </c>
      <c r="AR91" s="1">
        <v>7.4</v>
      </c>
      <c r="AS91" s="1">
        <v>13.2</v>
      </c>
      <c r="AT91" s="1">
        <v>22.5</v>
      </c>
      <c r="AU91" s="1">
        <v>12.3</v>
      </c>
      <c r="AV91" s="1">
        <v>37.9</v>
      </c>
      <c r="AW91" s="1">
        <v>2.2</v>
      </c>
      <c r="AX91" s="1">
        <v>0.4607</v>
      </c>
      <c r="AY91" s="1">
        <v>8.1</v>
      </c>
      <c r="AZ91" s="1">
        <v>11.0</v>
      </c>
      <c r="BA91" s="1">
        <v>13.6</v>
      </c>
      <c r="BB91" s="1">
        <v>3.73</v>
      </c>
      <c r="BC91" s="1" t="s">
        <v>196</v>
      </c>
      <c r="BD91" s="1">
        <v>5.3</v>
      </c>
      <c r="BE91" s="1">
        <v>27.4</v>
      </c>
      <c r="BF91" s="1">
        <v>34.0</v>
      </c>
      <c r="BG91" s="1">
        <v>33.4</v>
      </c>
      <c r="BH91" s="1" t="s">
        <v>240</v>
      </c>
    </row>
    <row r="92">
      <c r="A92" s="2">
        <v>2230.0</v>
      </c>
      <c r="B92" s="2" t="str">
        <f>IFERROR(__xludf.DUMMYFUNCTION("TO_TEXT(A92)"),"02230")</f>
        <v>02230</v>
      </c>
      <c r="C92" s="1">
        <v>1014.0</v>
      </c>
      <c r="D92" s="1">
        <v>452.319575630008</v>
      </c>
      <c r="E92" s="1" t="s">
        <v>241</v>
      </c>
      <c r="F92" s="1" t="s">
        <v>242</v>
      </c>
      <c r="G92" s="1">
        <v>2.24177783724629</v>
      </c>
      <c r="H92" s="1">
        <v>11.604993577</v>
      </c>
      <c r="I92" s="1">
        <v>3.0994976143</v>
      </c>
      <c r="J92" s="1">
        <v>7.80443539465</v>
      </c>
      <c r="K92" s="1">
        <v>15.58438516</v>
      </c>
      <c r="L92" s="1">
        <v>32.6</v>
      </c>
      <c r="M92" s="1">
        <v>8.0</v>
      </c>
      <c r="N92" s="1">
        <v>19.2</v>
      </c>
      <c r="O92" s="1">
        <v>65.8158310885</v>
      </c>
      <c r="P92" s="1">
        <v>14.0830800409999</v>
      </c>
      <c r="Q92" s="1">
        <v>0.0</v>
      </c>
      <c r="R92" s="1">
        <v>89.912280702</v>
      </c>
      <c r="S92" s="1">
        <v>8.9</v>
      </c>
      <c r="T92" s="1">
        <v>184.0</v>
      </c>
      <c r="U92" s="1">
        <v>29.3478260869999</v>
      </c>
      <c r="V92" s="1">
        <v>372.09302326</v>
      </c>
      <c r="W92" s="1">
        <v>10.465116279</v>
      </c>
      <c r="X92" s="1">
        <v>6.04651162789999</v>
      </c>
      <c r="Y92" s="1">
        <v>77.482572377</v>
      </c>
      <c r="Z92" s="1">
        <v>6.2</v>
      </c>
      <c r="AA92" s="1">
        <v>0.0505088909</v>
      </c>
      <c r="AB92" s="1">
        <v>74635.0</v>
      </c>
      <c r="AC92" s="1">
        <v>2.1739130435</v>
      </c>
      <c r="AD92" s="1">
        <v>51.5</v>
      </c>
      <c r="AE92" s="1">
        <v>4.0214477212</v>
      </c>
      <c r="AF92" s="1">
        <v>0.6968641115</v>
      </c>
      <c r="AG92" s="1">
        <v>5.1393728223</v>
      </c>
      <c r="AH92" s="1">
        <v>2.5261324042</v>
      </c>
      <c r="AI92" s="1">
        <v>0.3484320557</v>
      </c>
      <c r="AJ92" s="1">
        <v>5.487804878</v>
      </c>
      <c r="AK92" s="1">
        <v>81.3588850169999</v>
      </c>
      <c r="AL92" s="1">
        <v>0.4020100503</v>
      </c>
      <c r="AM92" s="1">
        <v>47.996515679</v>
      </c>
      <c r="AN92" s="1">
        <v>59.472952477</v>
      </c>
      <c r="AO92" s="1">
        <v>39412.0</v>
      </c>
      <c r="AP92" s="1">
        <v>5.3</v>
      </c>
      <c r="AQ92" s="1">
        <v>6.7</v>
      </c>
      <c r="AR92" s="1">
        <v>3.5</v>
      </c>
      <c r="AS92" s="1">
        <v>9.6</v>
      </c>
      <c r="AT92" s="1">
        <v>13.2</v>
      </c>
      <c r="AU92" s="1">
        <v>8.7</v>
      </c>
      <c r="AV92" s="1">
        <v>23.6</v>
      </c>
      <c r="AW92" s="1">
        <v>0.0</v>
      </c>
      <c r="AX92" s="1">
        <v>0.0993</v>
      </c>
      <c r="AY92" s="1">
        <v>4.0</v>
      </c>
      <c r="AZ92" s="1">
        <v>13.0</v>
      </c>
      <c r="BA92" s="1">
        <v>18.9</v>
      </c>
      <c r="BB92" s="1">
        <v>3.7</v>
      </c>
      <c r="BC92" s="1" t="s">
        <v>196</v>
      </c>
      <c r="BD92" s="1">
        <v>5.3</v>
      </c>
      <c r="BE92" s="1">
        <v>29.2</v>
      </c>
      <c r="BF92" s="1">
        <v>35.9</v>
      </c>
      <c r="BG92" s="1">
        <v>29.6</v>
      </c>
      <c r="BH92" s="1" t="s">
        <v>242</v>
      </c>
    </row>
    <row r="93">
      <c r="A93" s="2">
        <v>2240.0</v>
      </c>
      <c r="B93" s="2" t="str">
        <f>IFERROR(__xludf.DUMMYFUNCTION("TO_TEXT(A93)"),"02240")</f>
        <v>02240</v>
      </c>
      <c r="C93" s="1">
        <v>6970.0</v>
      </c>
      <c r="D93" s="1">
        <v>24767.5989814127</v>
      </c>
      <c r="E93" s="1" t="s">
        <v>243</v>
      </c>
      <c r="F93" s="1" t="s">
        <v>244</v>
      </c>
      <c r="G93" s="1">
        <v>0.281416055114213</v>
      </c>
      <c r="H93" s="1">
        <v>14.797082491</v>
      </c>
      <c r="I93" s="1">
        <v>3.3526725061</v>
      </c>
      <c r="J93" s="1">
        <v>2.972972973</v>
      </c>
      <c r="K93" s="1">
        <v>19.61017034</v>
      </c>
      <c r="L93" s="1">
        <v>32.8</v>
      </c>
      <c r="M93" s="1">
        <v>6.1</v>
      </c>
      <c r="N93" s="1">
        <v>18.6</v>
      </c>
      <c r="O93" s="1">
        <v>100.0</v>
      </c>
      <c r="P93" s="1">
        <v>21.075085324</v>
      </c>
      <c r="Q93" s="1">
        <v>101.62602</v>
      </c>
      <c r="R93" s="1">
        <v>76.623376623</v>
      </c>
      <c r="S93" s="1">
        <v>17.7</v>
      </c>
      <c r="T93" s="1">
        <v>1805.0</v>
      </c>
      <c r="U93" s="1">
        <v>20.720221607</v>
      </c>
      <c r="V93" s="1">
        <v>204.509002055</v>
      </c>
      <c r="W93" s="1">
        <v>24.220623501</v>
      </c>
      <c r="X93" s="1">
        <v>10.33157136</v>
      </c>
      <c r="Y93" s="1">
        <v>78.796720958</v>
      </c>
      <c r="Z93" s="1">
        <v>9.5</v>
      </c>
      <c r="AA93" s="1">
        <v>18.824241233</v>
      </c>
      <c r="AB93" s="1">
        <v>63527.0</v>
      </c>
      <c r="AC93" s="1">
        <v>47.226890756</v>
      </c>
      <c r="AD93" s="1">
        <v>73.555247342</v>
      </c>
      <c r="AE93" s="1">
        <v>6.10837438419999</v>
      </c>
      <c r="AF93" s="1">
        <v>1.6334200636</v>
      </c>
      <c r="AG93" s="1">
        <v>12.56143394</v>
      </c>
      <c r="AH93" s="1">
        <v>2.3561723041</v>
      </c>
      <c r="AI93" s="1">
        <v>0.4625614339</v>
      </c>
      <c r="AJ93" s="1">
        <v>6.3746747615</v>
      </c>
      <c r="AK93" s="1">
        <v>72.882335935</v>
      </c>
      <c r="AL93" s="1">
        <v>3.4710224596</v>
      </c>
      <c r="AM93" s="1">
        <v>44.854004047</v>
      </c>
      <c r="AN93" s="1">
        <v>100.0</v>
      </c>
      <c r="AO93" s="1">
        <v>30757.0</v>
      </c>
      <c r="AP93" s="1">
        <v>13.6</v>
      </c>
      <c r="AQ93" s="1">
        <v>9.4</v>
      </c>
      <c r="AR93" s="1">
        <v>9.3</v>
      </c>
      <c r="AS93" s="1">
        <v>11.4</v>
      </c>
      <c r="AT93" s="1">
        <v>26.9</v>
      </c>
      <c r="AU93" s="1">
        <v>14.6</v>
      </c>
      <c r="AV93" s="1">
        <v>24.6</v>
      </c>
      <c r="AW93" s="1">
        <v>2.8</v>
      </c>
      <c r="AX93" s="1">
        <v>0.6068</v>
      </c>
      <c r="AY93" s="1">
        <v>12.0</v>
      </c>
      <c r="AZ93" s="1">
        <v>14.8</v>
      </c>
      <c r="BA93" s="1">
        <v>22.1</v>
      </c>
      <c r="BB93" s="1">
        <v>3.76</v>
      </c>
      <c r="BC93" s="1" t="s">
        <v>196</v>
      </c>
      <c r="BD93" s="1">
        <v>10.1</v>
      </c>
      <c r="BE93" s="1">
        <v>34.2</v>
      </c>
      <c r="BF93" s="1">
        <v>35.9</v>
      </c>
      <c r="BG93" s="1">
        <v>19.7</v>
      </c>
      <c r="BH93" s="1" t="s">
        <v>244</v>
      </c>
    </row>
    <row r="94">
      <c r="A94" s="2">
        <v>2261.0</v>
      </c>
      <c r="B94" s="2" t="str">
        <f>IFERROR(__xludf.DUMMYFUNCTION("TO_TEXT(A94)"),"02261")</f>
        <v>02261</v>
      </c>
      <c r="C94" s="1">
        <v>9522.0</v>
      </c>
      <c r="D94" s="1">
        <v>34238.2671744319</v>
      </c>
      <c r="E94" s="1" t="s">
        <v>245</v>
      </c>
      <c r="F94" s="1" t="s">
        <v>246</v>
      </c>
      <c r="G94" s="1">
        <v>0.278109869038896</v>
      </c>
      <c r="H94" s="1">
        <v>12.210570824</v>
      </c>
      <c r="I94" s="1">
        <v>3.1824647905</v>
      </c>
      <c r="J94" s="1">
        <v>5.3333333333</v>
      </c>
      <c r="K94" s="1">
        <v>16.590622719</v>
      </c>
      <c r="L94" s="1">
        <v>34.8</v>
      </c>
      <c r="M94" s="1">
        <v>7.2</v>
      </c>
      <c r="N94" s="1">
        <v>19.1</v>
      </c>
      <c r="O94" s="1">
        <v>100.0</v>
      </c>
      <c r="P94" s="1">
        <v>14.89574229</v>
      </c>
      <c r="Q94" s="1">
        <v>97.00366</v>
      </c>
      <c r="R94" s="1">
        <v>66.666666667</v>
      </c>
      <c r="S94" s="1">
        <v>12.1</v>
      </c>
      <c r="T94" s="1">
        <v>2197.0</v>
      </c>
      <c r="U94" s="1">
        <v>18.2066454259999</v>
      </c>
      <c r="V94" s="1">
        <v>315.58504612</v>
      </c>
      <c r="W94" s="1">
        <v>19.591141397</v>
      </c>
      <c r="X94" s="1">
        <v>9.5059625213</v>
      </c>
      <c r="Y94" s="1">
        <v>79.179702604</v>
      </c>
      <c r="Z94" s="1">
        <v>11.2</v>
      </c>
      <c r="AA94" s="1">
        <v>15.3153985629999</v>
      </c>
      <c r="AB94" s="1">
        <v>68528.0</v>
      </c>
      <c r="AC94" s="1">
        <v>41.3907284769999</v>
      </c>
      <c r="AD94" s="1">
        <v>73.100549628</v>
      </c>
      <c r="AE94" s="1">
        <v>7.50771340419999</v>
      </c>
      <c r="AF94" s="1">
        <v>0.8948057617</v>
      </c>
      <c r="AG94" s="1">
        <v>14.2186817979999</v>
      </c>
      <c r="AH94" s="1">
        <v>4.7686599738</v>
      </c>
      <c r="AI94" s="1">
        <v>0.5674378001</v>
      </c>
      <c r="AJ94" s="1">
        <v>5.3033609777</v>
      </c>
      <c r="AK94" s="1">
        <v>69.107376691</v>
      </c>
      <c r="AL94" s="1">
        <v>0.2752609244</v>
      </c>
      <c r="AM94" s="1">
        <v>47.58838935</v>
      </c>
      <c r="AN94" s="1">
        <v>100.0</v>
      </c>
      <c r="AO94" s="1">
        <v>35457.0</v>
      </c>
      <c r="AP94" s="1">
        <v>8.5</v>
      </c>
      <c r="AQ94" s="1">
        <v>9.0</v>
      </c>
      <c r="AR94" s="1">
        <v>7.2</v>
      </c>
      <c r="AS94" s="1">
        <v>10.4</v>
      </c>
      <c r="AT94" s="1">
        <v>23.9</v>
      </c>
      <c r="AU94" s="1">
        <v>11.5</v>
      </c>
      <c r="AV94" s="1">
        <v>29.9</v>
      </c>
      <c r="AW94" s="1">
        <v>2.1</v>
      </c>
      <c r="AX94" s="1">
        <v>0.4699</v>
      </c>
      <c r="AY94" s="1">
        <v>8.6</v>
      </c>
      <c r="AZ94" s="1">
        <v>11.9</v>
      </c>
      <c r="BA94" s="1">
        <v>16.9</v>
      </c>
      <c r="BB94" s="1">
        <v>3.83</v>
      </c>
      <c r="BC94" s="1" t="s">
        <v>196</v>
      </c>
      <c r="BD94" s="1">
        <v>4.6</v>
      </c>
      <c r="BE94" s="1">
        <v>30.8</v>
      </c>
      <c r="BF94" s="1">
        <v>33.7</v>
      </c>
      <c r="BG94" s="1">
        <v>30.8</v>
      </c>
      <c r="BH94" s="1" t="s">
        <v>246</v>
      </c>
    </row>
    <row r="95">
      <c r="A95" s="2">
        <v>2275.0</v>
      </c>
      <c r="B95" s="2" t="str">
        <f>IFERROR(__xludf.DUMMYFUNCTION("TO_TEXT(A95)"),"02275")</f>
        <v>02275</v>
      </c>
      <c r="C95" s="1">
        <v>2401.0</v>
      </c>
      <c r="D95" s="1">
        <v>2541.48960986865</v>
      </c>
      <c r="E95" s="1" t="s">
        <v>247</v>
      </c>
      <c r="F95" s="1" t="s">
        <v>248</v>
      </c>
      <c r="G95" s="1">
        <v>0.94472154860554</v>
      </c>
      <c r="H95" s="1">
        <v>15.080494507</v>
      </c>
      <c r="I95" s="1">
        <v>3.4925730925</v>
      </c>
      <c r="J95" s="1">
        <v>7.80443539465</v>
      </c>
      <c r="K95" s="1">
        <v>17.384484445</v>
      </c>
      <c r="L95" s="1">
        <v>42.6</v>
      </c>
      <c r="M95" s="1">
        <v>7.5</v>
      </c>
      <c r="N95" s="1">
        <v>30.4</v>
      </c>
      <c r="O95" s="1">
        <v>65.8158310885</v>
      </c>
      <c r="P95" s="1">
        <v>18.935516888</v>
      </c>
      <c r="Q95" s="1">
        <v>119.0004</v>
      </c>
      <c r="R95" s="1">
        <v>90.0</v>
      </c>
      <c r="S95" s="1">
        <v>16.0</v>
      </c>
      <c r="T95" s="1">
        <v>492.0</v>
      </c>
      <c r="U95" s="1">
        <v>38.008130081</v>
      </c>
      <c r="V95" s="1">
        <v>0.0</v>
      </c>
      <c r="W95" s="1">
        <v>12.918660287</v>
      </c>
      <c r="X95" s="1">
        <v>7.9425837321</v>
      </c>
      <c r="Y95" s="1">
        <v>78.145923627</v>
      </c>
      <c r="Z95" s="1">
        <v>13.8</v>
      </c>
      <c r="AA95" s="1">
        <v>6.5665819907</v>
      </c>
      <c r="AB95" s="1">
        <v>57832.0</v>
      </c>
      <c r="AC95" s="1">
        <v>3.1034482759</v>
      </c>
      <c r="AD95" s="1">
        <v>68.34264432</v>
      </c>
      <c r="AE95" s="1">
        <v>6.1463414634</v>
      </c>
      <c r="AF95" s="1">
        <v>0.4794246904</v>
      </c>
      <c r="AG95" s="1">
        <v>16.540151818</v>
      </c>
      <c r="AH95" s="1">
        <v>3.3160207751</v>
      </c>
      <c r="AI95" s="1">
        <v>0.0799041150999999</v>
      </c>
      <c r="AJ95" s="1">
        <v>2.9964043148</v>
      </c>
      <c r="AK95" s="1">
        <v>66.9196963639999</v>
      </c>
      <c r="AL95" s="1">
        <v>0.9290540541</v>
      </c>
      <c r="AM95" s="1">
        <v>48.22213344</v>
      </c>
      <c r="AN95" s="1">
        <v>59.472952477</v>
      </c>
      <c r="AO95" s="1">
        <v>29782.0</v>
      </c>
      <c r="AP95" s="1">
        <v>9.9</v>
      </c>
      <c r="AQ95" s="1">
        <v>7.2</v>
      </c>
      <c r="AR95" s="1">
        <v>11.9</v>
      </c>
      <c r="AS95" s="1">
        <v>19.7</v>
      </c>
      <c r="AT95" s="1">
        <v>20.6</v>
      </c>
      <c r="AU95" s="1">
        <v>18.7</v>
      </c>
      <c r="AV95" s="1">
        <v>33.6</v>
      </c>
      <c r="AW95" s="1">
        <v>2.1</v>
      </c>
      <c r="AX95" s="1">
        <v>0.7176</v>
      </c>
      <c r="AY95" s="1">
        <v>9.7</v>
      </c>
      <c r="AZ95" s="1">
        <v>13.2</v>
      </c>
      <c r="BA95" s="1">
        <v>18.4</v>
      </c>
      <c r="BB95" s="1">
        <v>3.77</v>
      </c>
      <c r="BC95" s="1" t="s">
        <v>196</v>
      </c>
      <c r="BD95" s="1">
        <v>13.5</v>
      </c>
      <c r="BE95" s="1">
        <v>35.3</v>
      </c>
      <c r="BF95" s="1">
        <v>31.8</v>
      </c>
      <c r="BG95" s="1">
        <v>19.4</v>
      </c>
      <c r="BH95" s="1" t="s">
        <v>248</v>
      </c>
    </row>
    <row r="96">
      <c r="A96" s="2">
        <v>2282.0</v>
      </c>
      <c r="B96" s="2" t="str">
        <f>IFERROR(__xludf.DUMMYFUNCTION("TO_TEXT(A96)"),"02282")</f>
        <v>02282</v>
      </c>
      <c r="C96" s="1">
        <v>646.0</v>
      </c>
      <c r="D96" s="1">
        <v>7649.45129658049</v>
      </c>
      <c r="E96" s="1" t="s">
        <v>249</v>
      </c>
      <c r="F96" s="1" t="s">
        <v>250</v>
      </c>
      <c r="G96" s="1">
        <v>0.0844505017358277</v>
      </c>
      <c r="H96" s="1">
        <v>16.43724912</v>
      </c>
      <c r="I96" s="1">
        <v>3.5885086811</v>
      </c>
      <c r="J96" s="1">
        <v>7.80443539465</v>
      </c>
      <c r="K96" s="1">
        <v>19.879946738</v>
      </c>
      <c r="L96" s="1">
        <v>31.9</v>
      </c>
      <c r="M96" s="1">
        <v>5.9</v>
      </c>
      <c r="N96" s="1">
        <v>23.0</v>
      </c>
      <c r="O96" s="1">
        <v>100.0</v>
      </c>
      <c r="P96" s="1">
        <v>18.623481781</v>
      </c>
      <c r="Q96" s="1">
        <v>0.0</v>
      </c>
      <c r="R96" s="1">
        <v>89.912280702</v>
      </c>
      <c r="S96" s="1">
        <v>15.3</v>
      </c>
      <c r="T96" s="1">
        <v>187.0</v>
      </c>
      <c r="U96" s="1">
        <v>35.294117647</v>
      </c>
      <c r="V96" s="1">
        <v>204.509002055</v>
      </c>
      <c r="W96" s="1">
        <v>18.367346939</v>
      </c>
      <c r="X96" s="1">
        <v>8.1632653061</v>
      </c>
      <c r="Y96" s="1">
        <v>77.482572377</v>
      </c>
      <c r="Z96" s="1">
        <v>7.8</v>
      </c>
      <c r="AA96" s="1">
        <v>25.35433057</v>
      </c>
      <c r="AB96" s="1">
        <v>59523.0</v>
      </c>
      <c r="AC96" s="1">
        <v>7.8947368421</v>
      </c>
      <c r="AD96" s="1">
        <v>62.5</v>
      </c>
      <c r="AE96" s="1">
        <v>4.7169811321</v>
      </c>
      <c r="AF96" s="1">
        <v>1.9867549669</v>
      </c>
      <c r="AG96" s="1">
        <v>39.569536424</v>
      </c>
      <c r="AH96" s="1">
        <v>6.7880794702</v>
      </c>
      <c r="AI96" s="1">
        <v>1.3245033113</v>
      </c>
      <c r="AJ96" s="1">
        <v>4.6357615894</v>
      </c>
      <c r="AK96" s="1">
        <v>32.61589404</v>
      </c>
      <c r="AL96" s="1">
        <v>0.7974481659</v>
      </c>
      <c r="AM96" s="1">
        <v>44.536423841</v>
      </c>
      <c r="AN96" s="1">
        <v>100.0</v>
      </c>
      <c r="AO96" s="1">
        <v>31084.0</v>
      </c>
      <c r="AP96" s="1">
        <v>7.9</v>
      </c>
      <c r="AQ96" s="1">
        <v>7.1</v>
      </c>
      <c r="AR96" s="1">
        <v>5.5</v>
      </c>
      <c r="AS96" s="1">
        <v>11.6</v>
      </c>
      <c r="AT96" s="1">
        <v>22.3</v>
      </c>
      <c r="AU96" s="1">
        <v>8.2</v>
      </c>
      <c r="AV96" s="1">
        <v>56.8</v>
      </c>
      <c r="AW96" s="1">
        <v>1.2</v>
      </c>
      <c r="AX96" s="1">
        <v>0.5409</v>
      </c>
      <c r="AY96" s="1">
        <v>14.7</v>
      </c>
      <c r="AZ96" s="1">
        <v>11.9</v>
      </c>
      <c r="BA96" s="1">
        <v>16.6</v>
      </c>
      <c r="BB96" s="1">
        <v>3.94</v>
      </c>
      <c r="BC96" s="1" t="s">
        <v>196</v>
      </c>
      <c r="BD96" s="1">
        <v>8.8</v>
      </c>
      <c r="BE96" s="1">
        <v>33.5</v>
      </c>
      <c r="BF96" s="1">
        <v>35.1</v>
      </c>
      <c r="BG96" s="1">
        <v>22.6</v>
      </c>
      <c r="BH96" s="1" t="s">
        <v>250</v>
      </c>
    </row>
    <row r="97">
      <c r="A97" s="2">
        <v>2290.0</v>
      </c>
      <c r="B97" s="2" t="str">
        <f>IFERROR(__xludf.DUMMYFUNCTION("TO_TEXT(A97)"),"02290")</f>
        <v>02290</v>
      </c>
      <c r="C97" s="1">
        <v>5600.0</v>
      </c>
      <c r="D97" s="1">
        <v>145492.910696821</v>
      </c>
      <c r="E97" s="1" t="s">
        <v>251</v>
      </c>
      <c r="F97" s="1" t="s">
        <v>252</v>
      </c>
      <c r="G97" s="1">
        <v>0.0384898478776695</v>
      </c>
      <c r="H97" s="1">
        <v>22.928932919</v>
      </c>
      <c r="I97" s="1">
        <v>4.3818864313</v>
      </c>
      <c r="J97" s="1">
        <v>4.2513863216</v>
      </c>
      <c r="K97" s="1">
        <v>29.69143357</v>
      </c>
      <c r="L97" s="1">
        <v>30.5</v>
      </c>
      <c r="M97" s="1">
        <v>1.9</v>
      </c>
      <c r="N97" s="1">
        <v>24.0</v>
      </c>
      <c r="O97" s="1">
        <v>100.0</v>
      </c>
      <c r="P97" s="1">
        <v>24.098218166</v>
      </c>
      <c r="Q97" s="1">
        <v>18.63933</v>
      </c>
      <c r="R97" s="1">
        <v>67.136150235</v>
      </c>
      <c r="S97" s="1">
        <v>31.4</v>
      </c>
      <c r="T97" s="1">
        <v>1485.0</v>
      </c>
      <c r="U97" s="1">
        <v>53.804713805</v>
      </c>
      <c r="V97" s="1">
        <v>204.509002055</v>
      </c>
      <c r="W97" s="1">
        <v>50.505050505</v>
      </c>
      <c r="X97" s="1">
        <v>7.7079107505</v>
      </c>
      <c r="Y97" s="1">
        <v>71.147237734</v>
      </c>
      <c r="Z97" s="1">
        <v>9.1</v>
      </c>
      <c r="AA97" s="1">
        <v>49.745868785</v>
      </c>
      <c r="AB97" s="1">
        <v>38912.0</v>
      </c>
      <c r="AC97" s="1">
        <v>42.763731473</v>
      </c>
      <c r="AD97" s="1">
        <v>71.66841553</v>
      </c>
      <c r="AE97" s="1">
        <v>8.943577431</v>
      </c>
      <c r="AF97" s="1">
        <v>0.8072085602</v>
      </c>
      <c r="AG97" s="1">
        <v>69.588886803</v>
      </c>
      <c r="AH97" s="1">
        <v>0.394218134</v>
      </c>
      <c r="AI97" s="1">
        <v>0.1314060447</v>
      </c>
      <c r="AJ97" s="1">
        <v>2.7782992303</v>
      </c>
      <c r="AK97" s="1">
        <v>21.8134034169999</v>
      </c>
      <c r="AL97" s="1">
        <v>0.1396648045</v>
      </c>
      <c r="AM97" s="1">
        <v>47.024591703</v>
      </c>
      <c r="AN97" s="1">
        <v>100.0</v>
      </c>
      <c r="AO97" s="1">
        <v>20812.0</v>
      </c>
      <c r="AP97" s="1">
        <v>23.5</v>
      </c>
      <c r="AQ97" s="1">
        <v>18.4</v>
      </c>
      <c r="AR97" s="1">
        <v>17.1</v>
      </c>
      <c r="AS97" s="1">
        <v>13.4</v>
      </c>
      <c r="AT97" s="1">
        <v>27.9</v>
      </c>
      <c r="AU97" s="1">
        <v>16.0</v>
      </c>
      <c r="AV97" s="1">
        <v>78.8</v>
      </c>
      <c r="AW97" s="1">
        <v>0.2</v>
      </c>
      <c r="AX97" s="1">
        <v>0.8695</v>
      </c>
      <c r="AY97" s="1">
        <v>24.4</v>
      </c>
      <c r="AZ97" s="1">
        <v>22.0</v>
      </c>
      <c r="BA97" s="1">
        <v>35.3</v>
      </c>
      <c r="BB97" s="1">
        <v>3.8</v>
      </c>
      <c r="BC97" s="1" t="s">
        <v>196</v>
      </c>
      <c r="BD97" s="1">
        <v>14.0</v>
      </c>
      <c r="BE97" s="1">
        <v>40.2</v>
      </c>
      <c r="BF97" s="1">
        <v>32.2</v>
      </c>
      <c r="BG97" s="1">
        <v>13.6</v>
      </c>
      <c r="BH97" s="1" t="s">
        <v>252</v>
      </c>
    </row>
    <row r="98">
      <c r="A98" s="2">
        <v>4001.0</v>
      </c>
      <c r="B98" s="2" t="str">
        <f>IFERROR(__xludf.DUMMYFUNCTION("TO_TEXT(A98)"),"04001")</f>
        <v>04001</v>
      </c>
      <c r="C98" s="1">
        <v>72346.0</v>
      </c>
      <c r="D98" s="1">
        <v>11197.4595094322</v>
      </c>
      <c r="E98" s="1" t="s">
        <v>253</v>
      </c>
      <c r="F98" s="1" t="s">
        <v>254</v>
      </c>
      <c r="G98" s="1">
        <v>6.46092981529062</v>
      </c>
      <c r="H98" s="1">
        <v>25.951201969</v>
      </c>
      <c r="I98" s="1">
        <v>5.3456285975</v>
      </c>
      <c r="J98" s="1">
        <v>7.2624931356</v>
      </c>
      <c r="K98" s="1">
        <v>21.513107022</v>
      </c>
      <c r="L98" s="1">
        <v>33.5</v>
      </c>
      <c r="M98" s="1">
        <v>2.0</v>
      </c>
      <c r="N98" s="1">
        <v>27.2</v>
      </c>
      <c r="O98" s="1">
        <v>19.294443357</v>
      </c>
      <c r="P98" s="1">
        <v>19.17271189</v>
      </c>
      <c r="Q98" s="1">
        <v>32.12021</v>
      </c>
      <c r="R98" s="1">
        <v>72.588420108</v>
      </c>
      <c r="S98" s="1">
        <v>47.3</v>
      </c>
      <c r="T98" s="1">
        <v>19554.0</v>
      </c>
      <c r="U98" s="1">
        <v>50.971668201</v>
      </c>
      <c r="V98" s="1">
        <v>108.96799672</v>
      </c>
      <c r="W98" s="1">
        <v>31.88630491</v>
      </c>
      <c r="X98" s="1">
        <v>7.3392461197</v>
      </c>
      <c r="Y98" s="1">
        <v>72.923211086</v>
      </c>
      <c r="Z98" s="1">
        <v>16.8</v>
      </c>
      <c r="AA98" s="1">
        <v>47.39151395</v>
      </c>
      <c r="AB98" s="1">
        <v>33652.0</v>
      </c>
      <c r="AC98" s="1">
        <v>72.312798985</v>
      </c>
      <c r="AD98" s="1">
        <v>78.391762687</v>
      </c>
      <c r="AE98" s="1">
        <v>6.7013129103</v>
      </c>
      <c r="AF98" s="1">
        <v>0.5054443176</v>
      </c>
      <c r="AG98" s="1">
        <v>74.949177087</v>
      </c>
      <c r="AH98" s="1">
        <v>0.449747974</v>
      </c>
      <c r="AI98" s="1">
        <v>0.0417722577</v>
      </c>
      <c r="AJ98" s="1">
        <v>6.3911554206</v>
      </c>
      <c r="AK98" s="1">
        <v>18.124982595</v>
      </c>
      <c r="AL98" s="1">
        <v>5.64295793679999</v>
      </c>
      <c r="AM98" s="1">
        <v>50.834052744</v>
      </c>
      <c r="AN98" s="1">
        <v>74.061075533</v>
      </c>
      <c r="AO98" s="1">
        <v>13428.0</v>
      </c>
      <c r="AP98" s="1">
        <v>36.2</v>
      </c>
      <c r="AQ98" s="1">
        <v>15.8</v>
      </c>
      <c r="AR98" s="1">
        <v>21.8</v>
      </c>
      <c r="AS98" s="1">
        <v>13.3</v>
      </c>
      <c r="AT98" s="1">
        <v>29.3</v>
      </c>
      <c r="AU98" s="1">
        <v>14.7</v>
      </c>
      <c r="AV98" s="1">
        <v>81.4</v>
      </c>
      <c r="AW98" s="1">
        <v>5.0</v>
      </c>
      <c r="AX98" s="1">
        <v>0.9885</v>
      </c>
      <c r="AY98" s="1">
        <v>33.4</v>
      </c>
      <c r="AZ98" s="1">
        <v>22.6</v>
      </c>
      <c r="BA98" s="1">
        <v>35.0</v>
      </c>
      <c r="BB98" s="1">
        <v>3.22</v>
      </c>
      <c r="BC98" s="1" t="s">
        <v>255</v>
      </c>
      <c r="BD98" s="1">
        <v>19.6</v>
      </c>
      <c r="BE98" s="1">
        <v>32.2</v>
      </c>
      <c r="BF98" s="1">
        <v>35.9</v>
      </c>
      <c r="BG98" s="1">
        <v>12.3</v>
      </c>
      <c r="BH98" s="1" t="s">
        <v>254</v>
      </c>
    </row>
    <row r="99">
      <c r="A99" s="2">
        <v>4003.0</v>
      </c>
      <c r="B99" s="2" t="str">
        <f>IFERROR(__xludf.DUMMYFUNCTION("TO_TEXT(A99)"),"04003")</f>
        <v>04003</v>
      </c>
      <c r="C99" s="1">
        <v>128177.0</v>
      </c>
      <c r="D99" s="1">
        <v>6164.57234502477</v>
      </c>
      <c r="E99" s="1" t="s">
        <v>256</v>
      </c>
      <c r="F99" s="1" t="s">
        <v>257</v>
      </c>
      <c r="G99" s="1">
        <v>20.7925210097416</v>
      </c>
      <c r="H99" s="1">
        <v>18.069448591</v>
      </c>
      <c r="I99" s="1">
        <v>4.3145157921</v>
      </c>
      <c r="J99" s="1">
        <v>7.8340156308</v>
      </c>
      <c r="K99" s="1">
        <v>14.99584566</v>
      </c>
      <c r="L99" s="1">
        <v>29.8</v>
      </c>
      <c r="M99" s="1">
        <v>6.8</v>
      </c>
      <c r="N99" s="1">
        <v>24.7</v>
      </c>
      <c r="O99" s="1">
        <v>59.666072815</v>
      </c>
      <c r="P99" s="1">
        <v>10.456419859</v>
      </c>
      <c r="Q99" s="1">
        <v>54.5064</v>
      </c>
      <c r="R99" s="1">
        <v>87.7004089979999</v>
      </c>
      <c r="S99" s="1">
        <v>22.8</v>
      </c>
      <c r="T99" s="1">
        <v>27535.0</v>
      </c>
      <c r="U99" s="1">
        <v>35.877973488</v>
      </c>
      <c r="V99" s="1">
        <v>333.03112998</v>
      </c>
      <c r="W99" s="1">
        <v>16.199471867</v>
      </c>
      <c r="X99" s="1">
        <v>12.7573719609999</v>
      </c>
      <c r="Y99" s="1">
        <v>78.75697821</v>
      </c>
      <c r="Z99" s="1">
        <v>10.5</v>
      </c>
      <c r="AA99" s="1">
        <v>14.470191804</v>
      </c>
      <c r="AB99" s="1">
        <v>49164.0</v>
      </c>
      <c r="AC99" s="1">
        <v>60.30027743</v>
      </c>
      <c r="AD99" s="1">
        <v>69.169543147</v>
      </c>
      <c r="AE99" s="1">
        <v>11.9755041709999</v>
      </c>
      <c r="AF99" s="1">
        <v>3.9465173148</v>
      </c>
      <c r="AG99" s="1">
        <v>1.7551471168</v>
      </c>
      <c r="AH99" s="1">
        <v>2.267886724</v>
      </c>
      <c r="AI99" s="1">
        <v>0.4220241382</v>
      </c>
      <c r="AJ99" s="1">
        <v>35.633825037</v>
      </c>
      <c r="AK99" s="1">
        <v>54.857616155</v>
      </c>
      <c r="AL99" s="1">
        <v>4.5585582548</v>
      </c>
      <c r="AM99" s="1">
        <v>49.215113986</v>
      </c>
      <c r="AN99" s="1">
        <v>36.30106741</v>
      </c>
      <c r="AO99" s="1">
        <v>23757.0</v>
      </c>
      <c r="AP99" s="1">
        <v>18.9</v>
      </c>
      <c r="AQ99" s="1">
        <v>8.6</v>
      </c>
      <c r="AR99" s="1">
        <v>13.4</v>
      </c>
      <c r="AS99" s="1">
        <v>19.8</v>
      </c>
      <c r="AT99" s="1">
        <v>22.3</v>
      </c>
      <c r="AU99" s="1">
        <v>17.0</v>
      </c>
      <c r="AV99" s="1">
        <v>43.7</v>
      </c>
      <c r="AW99" s="1">
        <v>4.9</v>
      </c>
      <c r="AX99" s="1">
        <v>0.9303</v>
      </c>
      <c r="AY99" s="1">
        <v>16.6</v>
      </c>
      <c r="AZ99" s="1">
        <v>14.4</v>
      </c>
      <c r="BA99" s="1">
        <v>21.6</v>
      </c>
      <c r="BB99" s="1">
        <v>2.95</v>
      </c>
      <c r="BC99" s="1" t="s">
        <v>255</v>
      </c>
      <c r="BD99" s="1">
        <v>12.6</v>
      </c>
      <c r="BE99" s="1">
        <v>24.1</v>
      </c>
      <c r="BF99" s="1">
        <v>40.2</v>
      </c>
      <c r="BG99" s="1">
        <v>23.1</v>
      </c>
      <c r="BH99" s="1" t="s">
        <v>257</v>
      </c>
    </row>
    <row r="100">
      <c r="A100" s="2">
        <v>4005.0</v>
      </c>
      <c r="B100" s="2" t="str">
        <f>IFERROR(__xludf.DUMMYFUNCTION("TO_TEXT(A100)"),"04005")</f>
        <v>04005</v>
      </c>
      <c r="C100" s="1">
        <v>138064.0</v>
      </c>
      <c r="D100" s="1">
        <v>18618.656268515</v>
      </c>
      <c r="E100" s="1" t="s">
        <v>258</v>
      </c>
      <c r="F100" s="1" t="s">
        <v>259</v>
      </c>
      <c r="G100" s="1">
        <v>7.41535790815756</v>
      </c>
      <c r="H100" s="1">
        <v>15.884514142</v>
      </c>
      <c r="I100" s="1">
        <v>4.2184095099</v>
      </c>
      <c r="J100" s="1">
        <v>7.98543258129999</v>
      </c>
      <c r="K100" s="1">
        <v>15.990186028</v>
      </c>
      <c r="L100" s="1">
        <v>23.8</v>
      </c>
      <c r="M100" s="1">
        <v>6.1</v>
      </c>
      <c r="N100" s="1">
        <v>17.0</v>
      </c>
      <c r="O100" s="1">
        <v>82.8761875</v>
      </c>
      <c r="P100" s="1">
        <v>13.11674912</v>
      </c>
      <c r="Q100" s="1">
        <v>84.53145</v>
      </c>
      <c r="R100" s="1">
        <v>81.590473146</v>
      </c>
      <c r="S100" s="1">
        <v>17.3</v>
      </c>
      <c r="T100" s="1">
        <v>29140.0</v>
      </c>
      <c r="U100" s="1">
        <v>36.588881263</v>
      </c>
      <c r="V100" s="1">
        <v>357.25313629</v>
      </c>
      <c r="W100" s="1">
        <v>25.3034941409999</v>
      </c>
      <c r="X100" s="1">
        <v>16.616476662</v>
      </c>
      <c r="Y100" s="1">
        <v>78.980005501</v>
      </c>
      <c r="Z100" s="1">
        <v>7.5</v>
      </c>
      <c r="AA100" s="1">
        <v>13.831680319</v>
      </c>
      <c r="AB100" s="1">
        <v>60187.0</v>
      </c>
      <c r="AC100" s="1">
        <v>50.884814413</v>
      </c>
      <c r="AD100" s="1">
        <v>60.574075641</v>
      </c>
      <c r="AE100" s="1">
        <v>16.865307931</v>
      </c>
      <c r="AF100" s="1">
        <v>1.2509275204</v>
      </c>
      <c r="AG100" s="1">
        <v>27.590406989</v>
      </c>
      <c r="AH100" s="1">
        <v>2.0587452924</v>
      </c>
      <c r="AI100" s="1">
        <v>0.1848040657</v>
      </c>
      <c r="AJ100" s="1">
        <v>14.2726139979999</v>
      </c>
      <c r="AK100" s="1">
        <v>53.9907877969999</v>
      </c>
      <c r="AL100" s="1">
        <v>2.1676224151</v>
      </c>
      <c r="AM100" s="1">
        <v>50.592913044</v>
      </c>
      <c r="AN100" s="1">
        <v>31.46606557</v>
      </c>
      <c r="AO100" s="1">
        <v>24711.0</v>
      </c>
      <c r="AP100" s="1">
        <v>22.2</v>
      </c>
      <c r="AQ100" s="1">
        <v>8.2</v>
      </c>
      <c r="AR100" s="1">
        <v>11.1</v>
      </c>
      <c r="AS100" s="1">
        <v>10.9</v>
      </c>
      <c r="AT100" s="1">
        <v>21.8</v>
      </c>
      <c r="AU100" s="1">
        <v>11.5</v>
      </c>
      <c r="AV100" s="1">
        <v>45.4</v>
      </c>
      <c r="AW100" s="1">
        <v>2.2</v>
      </c>
      <c r="AX100" s="1">
        <v>0.7638</v>
      </c>
      <c r="AY100" s="1">
        <v>15.9</v>
      </c>
      <c r="AZ100" s="1">
        <v>14.3</v>
      </c>
      <c r="BA100" s="1">
        <v>20.5</v>
      </c>
      <c r="BB100" s="1">
        <v>3.29</v>
      </c>
      <c r="BC100" s="1" t="s">
        <v>255</v>
      </c>
      <c r="BD100" s="1">
        <v>9.5</v>
      </c>
      <c r="BE100" s="1">
        <v>22.0</v>
      </c>
      <c r="BF100" s="1">
        <v>32.3</v>
      </c>
      <c r="BG100" s="1">
        <v>36.2</v>
      </c>
      <c r="BH100" s="1" t="s">
        <v>259</v>
      </c>
    </row>
    <row r="101">
      <c r="A101" s="2">
        <v>4007.0</v>
      </c>
      <c r="B101" s="2" t="str">
        <f>IFERROR(__xludf.DUMMYFUNCTION("TO_TEXT(A101)"),"04007")</f>
        <v>04007</v>
      </c>
      <c r="C101" s="1">
        <v>53179.0</v>
      </c>
      <c r="D101" s="1">
        <v>4757.99089642692</v>
      </c>
      <c r="E101" s="1" t="s">
        <v>260</v>
      </c>
      <c r="F101" s="1" t="s">
        <v>261</v>
      </c>
      <c r="G101" s="1">
        <v>11.1767763237914</v>
      </c>
      <c r="H101" s="1">
        <v>18.6697216729999</v>
      </c>
      <c r="I101" s="1">
        <v>4.4866913761</v>
      </c>
      <c r="J101" s="1">
        <v>8.7663137158</v>
      </c>
      <c r="K101" s="1">
        <v>17.628104734</v>
      </c>
      <c r="L101" s="1">
        <v>30.8</v>
      </c>
      <c r="M101" s="1">
        <v>6.2</v>
      </c>
      <c r="N101" s="1">
        <v>27.1</v>
      </c>
      <c r="O101" s="1">
        <v>91.506987331</v>
      </c>
      <c r="P101" s="1">
        <v>13.477246208</v>
      </c>
      <c r="Q101" s="1">
        <v>46.7281</v>
      </c>
      <c r="R101" s="1">
        <v>75.171768707</v>
      </c>
      <c r="S101" s="1">
        <v>33.6</v>
      </c>
      <c r="T101" s="1">
        <v>10771.0</v>
      </c>
      <c r="U101" s="1">
        <v>44.4991180019999</v>
      </c>
      <c r="V101" s="1">
        <v>574.25517398</v>
      </c>
      <c r="W101" s="1">
        <v>16.230733302</v>
      </c>
      <c r="X101" s="1">
        <v>11.588696272</v>
      </c>
      <c r="Y101" s="1">
        <v>74.06521565</v>
      </c>
      <c r="Z101" s="1">
        <v>15.3</v>
      </c>
      <c r="AA101" s="1">
        <v>15.826684138</v>
      </c>
      <c r="AB101" s="1">
        <v>43585.0</v>
      </c>
      <c r="AC101" s="1">
        <v>62.197207182</v>
      </c>
      <c r="AD101" s="1">
        <v>73.857564032</v>
      </c>
      <c r="AE101" s="1">
        <v>12.13399382</v>
      </c>
      <c r="AF101" s="1">
        <v>0.6346378667</v>
      </c>
      <c r="AG101" s="1">
        <v>17.8422312529999</v>
      </c>
      <c r="AH101" s="1">
        <v>0.944534135</v>
      </c>
      <c r="AI101" s="1">
        <v>0.1521646347</v>
      </c>
      <c r="AJ101" s="1">
        <v>18.738518065</v>
      </c>
      <c r="AK101" s="1">
        <v>61.982964984</v>
      </c>
      <c r="AL101" s="1">
        <v>1.77121185039999</v>
      </c>
      <c r="AM101" s="1">
        <v>50.557627716</v>
      </c>
      <c r="AN101" s="1">
        <v>41.061999739</v>
      </c>
      <c r="AO101" s="1">
        <v>21470.0</v>
      </c>
      <c r="AP101" s="1">
        <v>21.2</v>
      </c>
      <c r="AQ101" s="1">
        <v>12.1</v>
      </c>
      <c r="AR101" s="1">
        <v>15.7</v>
      </c>
      <c r="AS101" s="1">
        <v>26.4</v>
      </c>
      <c r="AT101" s="1">
        <v>20.4</v>
      </c>
      <c r="AU101" s="1">
        <v>22.0</v>
      </c>
      <c r="AV101" s="1">
        <v>36.8</v>
      </c>
      <c r="AW101" s="1">
        <v>1.8</v>
      </c>
      <c r="AX101" s="1">
        <v>0.9115</v>
      </c>
      <c r="AY101" s="1">
        <v>21.1</v>
      </c>
      <c r="AZ101" s="1">
        <v>17.7</v>
      </c>
      <c r="BA101" s="1">
        <v>29.8</v>
      </c>
      <c r="BB101" s="1">
        <v>3.07</v>
      </c>
      <c r="BC101" s="1" t="s">
        <v>255</v>
      </c>
      <c r="BD101" s="1">
        <v>13.7</v>
      </c>
      <c r="BE101" s="1">
        <v>27.9</v>
      </c>
      <c r="BF101" s="1">
        <v>39.7</v>
      </c>
      <c r="BG101" s="1">
        <v>18.7</v>
      </c>
      <c r="BH101" s="1" t="s">
        <v>261</v>
      </c>
    </row>
    <row r="102">
      <c r="A102" s="2">
        <v>4009.0</v>
      </c>
      <c r="B102" s="2" t="str">
        <f>IFERROR(__xludf.DUMMYFUNCTION("TO_TEXT(A102)"),"04009")</f>
        <v>04009</v>
      </c>
      <c r="C102" s="1">
        <v>37529.0</v>
      </c>
      <c r="D102" s="1">
        <v>4622.70276760444</v>
      </c>
      <c r="E102" s="1" t="s">
        <v>262</v>
      </c>
      <c r="F102" s="1" t="s">
        <v>263</v>
      </c>
      <c r="G102" s="1">
        <v>8.11841078405483</v>
      </c>
      <c r="H102" s="1">
        <v>18.914279632</v>
      </c>
      <c r="I102" s="1">
        <v>4.1942100072</v>
      </c>
      <c r="J102" s="1">
        <v>7.9243353783</v>
      </c>
      <c r="K102" s="1">
        <v>17.53449299</v>
      </c>
      <c r="L102" s="1">
        <v>34.8</v>
      </c>
      <c r="M102" s="1">
        <v>6.3</v>
      </c>
      <c r="N102" s="1">
        <v>23.3</v>
      </c>
      <c r="O102" s="1">
        <v>55.599140247</v>
      </c>
      <c r="P102" s="1">
        <v>10.018351118</v>
      </c>
      <c r="Q102" s="1">
        <v>58.71991</v>
      </c>
      <c r="R102" s="1">
        <v>85.559772296</v>
      </c>
      <c r="S102" s="1">
        <v>24.4</v>
      </c>
      <c r="T102" s="1">
        <v>10189.0</v>
      </c>
      <c r="U102" s="1">
        <v>35.332221023</v>
      </c>
      <c r="V102" s="1">
        <v>108.85999395</v>
      </c>
      <c r="W102" s="1">
        <v>17.178195144</v>
      </c>
      <c r="X102" s="1">
        <v>10.009487666</v>
      </c>
      <c r="Y102" s="1">
        <v>77.315999195</v>
      </c>
      <c r="Z102" s="1">
        <v>9.9</v>
      </c>
      <c r="AA102" s="1">
        <v>19.00577286</v>
      </c>
      <c r="AB102" s="1">
        <v>50157.0</v>
      </c>
      <c r="AC102" s="1">
        <v>49.7224942869999</v>
      </c>
      <c r="AD102" s="1">
        <v>69.254312743</v>
      </c>
      <c r="AE102" s="1">
        <v>9.5901313172</v>
      </c>
      <c r="AF102" s="1">
        <v>1.4603908384</v>
      </c>
      <c r="AG102" s="1">
        <v>13.634692162</v>
      </c>
      <c r="AH102" s="1">
        <v>0.6907963858</v>
      </c>
      <c r="AI102" s="1">
        <v>0.2127547804</v>
      </c>
      <c r="AJ102" s="1">
        <v>33.139840303</v>
      </c>
      <c r="AK102" s="1">
        <v>50.998108846</v>
      </c>
      <c r="AL102" s="1">
        <v>2.4386765545</v>
      </c>
      <c r="AM102" s="1">
        <v>46.724627022</v>
      </c>
      <c r="AN102" s="1">
        <v>46.437399248</v>
      </c>
      <c r="AO102" s="1">
        <v>17710.0</v>
      </c>
      <c r="AP102" s="1">
        <v>22.5</v>
      </c>
      <c r="AQ102" s="1">
        <v>14.4</v>
      </c>
      <c r="AR102" s="1">
        <v>14.6</v>
      </c>
      <c r="AS102" s="1">
        <v>12.3</v>
      </c>
      <c r="AT102" s="1">
        <v>27.8</v>
      </c>
      <c r="AU102" s="1">
        <v>13.4</v>
      </c>
      <c r="AV102" s="1">
        <v>48.5</v>
      </c>
      <c r="AW102" s="1">
        <v>2.9</v>
      </c>
      <c r="AX102" s="1">
        <v>0.9653</v>
      </c>
      <c r="AY102" s="1">
        <v>20.1</v>
      </c>
      <c r="AZ102" s="1">
        <v>14.6</v>
      </c>
      <c r="BA102" s="1">
        <v>22.1</v>
      </c>
      <c r="BB102" s="1">
        <v>2.96</v>
      </c>
      <c r="BC102" s="1" t="s">
        <v>255</v>
      </c>
      <c r="BD102" s="1">
        <v>14.7</v>
      </c>
      <c r="BE102" s="1">
        <v>28.7</v>
      </c>
      <c r="BF102" s="1">
        <v>41.4</v>
      </c>
      <c r="BG102" s="1">
        <v>15.2</v>
      </c>
      <c r="BH102" s="1" t="s">
        <v>263</v>
      </c>
    </row>
    <row r="103">
      <c r="A103" s="2">
        <v>4011.0</v>
      </c>
      <c r="B103" s="2" t="str">
        <f>IFERROR(__xludf.DUMMYFUNCTION("TO_TEXT(A103)"),"04011")</f>
        <v>04011</v>
      </c>
      <c r="C103" s="1">
        <v>9224.0</v>
      </c>
      <c r="D103" s="1">
        <v>1841.97723340948</v>
      </c>
      <c r="E103" s="1" t="s">
        <v>264</v>
      </c>
      <c r="F103" s="1" t="s">
        <v>265</v>
      </c>
      <c r="G103" s="1">
        <v>5.00766232757742</v>
      </c>
      <c r="H103" s="1">
        <v>17.865416233</v>
      </c>
      <c r="I103" s="1">
        <v>3.7955325032</v>
      </c>
      <c r="J103" s="1">
        <v>6.7553735926</v>
      </c>
      <c r="K103" s="1">
        <v>14.269949853</v>
      </c>
      <c r="L103" s="1">
        <v>29.3</v>
      </c>
      <c r="M103" s="1">
        <v>5.8</v>
      </c>
      <c r="N103" s="1">
        <v>22.3</v>
      </c>
      <c r="O103" s="1">
        <v>46.1419936</v>
      </c>
      <c r="P103" s="1">
        <v>8.61478218309999</v>
      </c>
      <c r="Q103" s="1">
        <v>52.88207</v>
      </c>
      <c r="R103" s="1">
        <v>89.5625</v>
      </c>
      <c r="S103" s="1">
        <v>11.7</v>
      </c>
      <c r="T103" s="1">
        <v>2625.0</v>
      </c>
      <c r="U103" s="1">
        <v>33.523809524</v>
      </c>
      <c r="V103" s="1">
        <v>40.783034258</v>
      </c>
      <c r="W103" s="1">
        <v>12.1396054629999</v>
      </c>
      <c r="X103" s="1">
        <v>5.9218559219</v>
      </c>
      <c r="Y103" s="1">
        <v>81.186807841</v>
      </c>
      <c r="Z103" s="1">
        <v>11.7</v>
      </c>
      <c r="AA103" s="1">
        <v>30.546449341</v>
      </c>
      <c r="AB103" s="1">
        <v>65818.0</v>
      </c>
      <c r="AC103" s="1">
        <v>42.250287026</v>
      </c>
      <c r="AD103" s="1">
        <v>49.178294574</v>
      </c>
      <c r="AE103" s="1">
        <v>3.5920461835</v>
      </c>
      <c r="AF103" s="1">
        <v>1.6977749657</v>
      </c>
      <c r="AG103" s="1">
        <v>4.1020774017</v>
      </c>
      <c r="AH103" s="1">
        <v>0.949066751</v>
      </c>
      <c r="AI103" s="1">
        <v>0.1159970473</v>
      </c>
      <c r="AJ103" s="1">
        <v>47.29515976</v>
      </c>
      <c r="AK103" s="1">
        <v>45.755562586</v>
      </c>
      <c r="AL103" s="1">
        <v>2.8613602816</v>
      </c>
      <c r="AM103" s="1">
        <v>48.634398397</v>
      </c>
      <c r="AN103" s="1">
        <v>46.568685552</v>
      </c>
      <c r="AO103" s="1">
        <v>23778.0</v>
      </c>
      <c r="AP103" s="1">
        <v>13.4</v>
      </c>
      <c r="AQ103" s="1">
        <v>8.9</v>
      </c>
      <c r="AR103" s="1">
        <v>12.1</v>
      </c>
      <c r="AS103" s="1">
        <v>11.5</v>
      </c>
      <c r="AT103" s="1">
        <v>28.3</v>
      </c>
      <c r="AU103" s="1">
        <v>13.2</v>
      </c>
      <c r="AV103" s="1">
        <v>52.2</v>
      </c>
      <c r="AW103" s="1">
        <v>2.4</v>
      </c>
      <c r="AX103" s="1">
        <v>0.6288</v>
      </c>
      <c r="AY103" s="1">
        <v>9.3</v>
      </c>
      <c r="AZ103" s="1">
        <v>11.8</v>
      </c>
      <c r="BA103" s="1">
        <v>15.8</v>
      </c>
      <c r="BB103" s="1">
        <v>3.02</v>
      </c>
      <c r="BC103" s="1" t="s">
        <v>255</v>
      </c>
      <c r="BD103" s="1">
        <v>11.9</v>
      </c>
      <c r="BE103" s="1">
        <v>34.7</v>
      </c>
      <c r="BF103" s="1">
        <v>39.8</v>
      </c>
      <c r="BG103" s="1">
        <v>13.5</v>
      </c>
      <c r="BH103" s="1" t="s">
        <v>265</v>
      </c>
    </row>
    <row r="104">
      <c r="A104" s="2">
        <v>4012.0</v>
      </c>
      <c r="B104" s="2" t="str">
        <f>IFERROR(__xludf.DUMMYFUNCTION("TO_TEXT(A104)"),"04012")</f>
        <v>04012</v>
      </c>
      <c r="C104" s="1">
        <v>20304.0</v>
      </c>
      <c r="D104" s="1">
        <v>4499.62520333542</v>
      </c>
      <c r="E104" s="1" t="s">
        <v>266</v>
      </c>
      <c r="F104" s="1" t="s">
        <v>267</v>
      </c>
      <c r="G104" s="1">
        <v>4.51237582742431</v>
      </c>
      <c r="H104" s="1">
        <v>22.0059967119999</v>
      </c>
      <c r="I104" s="1">
        <v>4.49068383</v>
      </c>
      <c r="J104" s="1">
        <v>6.1196105702</v>
      </c>
      <c r="K104" s="1">
        <v>15.521010202</v>
      </c>
      <c r="L104" s="1">
        <v>30.2</v>
      </c>
      <c r="M104" s="1">
        <v>6.2</v>
      </c>
      <c r="N104" s="1">
        <v>39.6</v>
      </c>
      <c r="O104" s="1">
        <v>39.059983406</v>
      </c>
      <c r="P104" s="1">
        <v>19.76077339</v>
      </c>
      <c r="Q104" s="1">
        <v>29.1248</v>
      </c>
      <c r="R104" s="1">
        <v>83.634868421</v>
      </c>
      <c r="S104" s="1">
        <v>31.8</v>
      </c>
      <c r="T104" s="1">
        <v>3336.0</v>
      </c>
      <c r="U104" s="1">
        <v>54.376498801</v>
      </c>
      <c r="V104" s="1">
        <v>264.0</v>
      </c>
      <c r="W104" s="1">
        <v>14.488017429</v>
      </c>
      <c r="X104" s="1">
        <v>7.5304540421</v>
      </c>
      <c r="Y104" s="1">
        <v>76.866540704</v>
      </c>
      <c r="Z104" s="1">
        <v>14.1</v>
      </c>
      <c r="AA104" s="1">
        <v>18.95471346</v>
      </c>
      <c r="AB104" s="1">
        <v>37350.0</v>
      </c>
      <c r="AC104" s="1">
        <v>78.2269849</v>
      </c>
      <c r="AD104" s="1">
        <v>74.281867145</v>
      </c>
      <c r="AE104" s="1">
        <v>10.306508731</v>
      </c>
      <c r="AF104" s="1">
        <v>0.895819509</v>
      </c>
      <c r="AG104" s="1">
        <v>18.186557968</v>
      </c>
      <c r="AH104" s="1">
        <v>0.9716560811</v>
      </c>
      <c r="AI104" s="1">
        <v>0.1374537871</v>
      </c>
      <c r="AJ104" s="1">
        <v>28.083230638</v>
      </c>
      <c r="AK104" s="1">
        <v>56.673618352</v>
      </c>
      <c r="AL104" s="1">
        <v>3.8601823708</v>
      </c>
      <c r="AM104" s="1">
        <v>48.715518059</v>
      </c>
      <c r="AN104" s="1">
        <v>56.327785641</v>
      </c>
      <c r="AO104" s="1">
        <v>21447.0</v>
      </c>
      <c r="AP104" s="1">
        <v>21.1</v>
      </c>
      <c r="AQ104" s="1">
        <v>10.6</v>
      </c>
      <c r="AR104" s="1">
        <v>24.8</v>
      </c>
      <c r="AS104" s="1">
        <v>36.1</v>
      </c>
      <c r="AT104" s="1">
        <v>17.3</v>
      </c>
      <c r="AU104" s="1">
        <v>21.7</v>
      </c>
      <c r="AV104" s="1">
        <v>41.1</v>
      </c>
      <c r="AW104" s="1">
        <v>5.6</v>
      </c>
      <c r="AX104" s="1">
        <v>0.9169</v>
      </c>
      <c r="AY104" s="1">
        <v>22.1</v>
      </c>
      <c r="AZ104" s="1">
        <v>17.5</v>
      </c>
      <c r="BA104" s="1">
        <v>28.1</v>
      </c>
      <c r="BB104" s="1">
        <v>3.06</v>
      </c>
      <c r="BC104" s="1" t="s">
        <v>255</v>
      </c>
      <c r="BD104" s="1">
        <v>23.1</v>
      </c>
      <c r="BE104" s="1">
        <v>31.1</v>
      </c>
      <c r="BF104" s="1">
        <v>33.8</v>
      </c>
      <c r="BG104" s="1">
        <v>12.0</v>
      </c>
      <c r="BH104" s="1" t="s">
        <v>267</v>
      </c>
    </row>
    <row r="105">
      <c r="A105" s="2">
        <v>4013.0</v>
      </c>
      <c r="B105" s="2" t="str">
        <f>IFERROR(__xludf.DUMMYFUNCTION("TO_TEXT(A105)"),"04013")</f>
        <v>04013</v>
      </c>
      <c r="C105" s="1">
        <v>4088549.0</v>
      </c>
      <c r="D105" s="1">
        <v>9199.18765746298</v>
      </c>
      <c r="E105" s="1" t="s">
        <v>268</v>
      </c>
      <c r="F105" s="1" t="s">
        <v>269</v>
      </c>
      <c r="G105" s="1">
        <v>444.446743803851</v>
      </c>
      <c r="H105" s="1">
        <v>15.622654225</v>
      </c>
      <c r="I105" s="1">
        <v>3.7794427068</v>
      </c>
      <c r="J105" s="1">
        <v>7.1653733274</v>
      </c>
      <c r="K105" s="1">
        <v>13.6863982509999</v>
      </c>
      <c r="L105" s="1">
        <v>26.9</v>
      </c>
      <c r="M105" s="1">
        <v>7.7</v>
      </c>
      <c r="N105" s="1">
        <v>20.4</v>
      </c>
      <c r="O105" s="1">
        <v>91.602615272</v>
      </c>
      <c r="P105" s="1">
        <v>12.081175995</v>
      </c>
      <c r="Q105" s="1">
        <v>70.35005</v>
      </c>
      <c r="R105" s="1">
        <v>77.647877747</v>
      </c>
      <c r="S105" s="1">
        <v>18.2</v>
      </c>
      <c r="T105" s="1">
        <v>1032480.0</v>
      </c>
      <c r="U105" s="1">
        <v>34.117561599</v>
      </c>
      <c r="V105" s="1">
        <v>408.91278239</v>
      </c>
      <c r="W105" s="1">
        <v>18.18308956</v>
      </c>
      <c r="X105" s="1">
        <v>14.567583097</v>
      </c>
      <c r="Y105" s="1">
        <v>80.379854898</v>
      </c>
      <c r="Z105" s="1">
        <v>8.9</v>
      </c>
      <c r="AA105" s="1">
        <v>4.3994726153</v>
      </c>
      <c r="AB105" s="1">
        <v>65234.0</v>
      </c>
      <c r="AC105" s="1">
        <v>52.168156758</v>
      </c>
      <c r="AD105" s="1">
        <v>61.357985806</v>
      </c>
      <c r="AE105" s="1">
        <v>14.336364086</v>
      </c>
      <c r="AF105" s="1">
        <v>5.4661441944</v>
      </c>
      <c r="AG105" s="1">
        <v>2.8070492044</v>
      </c>
      <c r="AH105" s="1">
        <v>4.5977350264</v>
      </c>
      <c r="AI105" s="1">
        <v>0.2905126117</v>
      </c>
      <c r="AJ105" s="1">
        <v>31.278441398</v>
      </c>
      <c r="AK105" s="1">
        <v>54.902054582</v>
      </c>
      <c r="AL105" s="1">
        <v>5.1505854956</v>
      </c>
      <c r="AM105" s="1">
        <v>50.537178541</v>
      </c>
      <c r="AN105" s="1">
        <v>2.3637996949</v>
      </c>
      <c r="AO105" s="1">
        <v>28791.0</v>
      </c>
      <c r="AP105" s="1">
        <v>16.5</v>
      </c>
      <c r="AQ105" s="1">
        <v>6.8</v>
      </c>
      <c r="AR105" s="1">
        <v>13.1</v>
      </c>
      <c r="AS105" s="1">
        <v>13.8</v>
      </c>
      <c r="AT105" s="1">
        <v>25.0</v>
      </c>
      <c r="AU105" s="1">
        <v>10.8</v>
      </c>
      <c r="AV105" s="1">
        <v>43.1</v>
      </c>
      <c r="AW105" s="1">
        <v>5.4</v>
      </c>
      <c r="AX105" s="1">
        <v>0.6469</v>
      </c>
      <c r="AY105" s="1">
        <v>12.2</v>
      </c>
      <c r="AZ105" s="1">
        <v>12.1</v>
      </c>
      <c r="BA105" s="1">
        <v>17.2</v>
      </c>
      <c r="BB105" s="1">
        <v>3.15</v>
      </c>
      <c r="BC105" s="1" t="s">
        <v>255</v>
      </c>
      <c r="BD105" s="1">
        <v>12.3</v>
      </c>
      <c r="BE105" s="1">
        <v>22.4</v>
      </c>
      <c r="BF105" s="1">
        <v>32.6</v>
      </c>
      <c r="BG105" s="1">
        <v>32.7</v>
      </c>
      <c r="BH105" s="1" t="s">
        <v>269</v>
      </c>
    </row>
    <row r="106">
      <c r="A106" s="2">
        <v>4015.0</v>
      </c>
      <c r="B106" s="2" t="str">
        <f>IFERROR(__xludf.DUMMYFUNCTION("TO_TEXT(A106)"),"04015")</f>
        <v>04015</v>
      </c>
      <c r="C106" s="1">
        <v>203629.0</v>
      </c>
      <c r="D106" s="1">
        <v>13311.0853740811</v>
      </c>
      <c r="E106" s="1" t="s">
        <v>270</v>
      </c>
      <c r="F106" s="1" t="s">
        <v>271</v>
      </c>
      <c r="G106" s="1">
        <v>15.2977006966314</v>
      </c>
      <c r="H106" s="1">
        <v>18.912272625</v>
      </c>
      <c r="I106" s="1">
        <v>4.7614010081</v>
      </c>
      <c r="J106" s="1">
        <v>7.1872089413</v>
      </c>
      <c r="K106" s="1">
        <v>19.352843037</v>
      </c>
      <c r="L106" s="1">
        <v>31.8</v>
      </c>
      <c r="M106" s="1">
        <v>5.8</v>
      </c>
      <c r="N106" s="1">
        <v>32.2</v>
      </c>
      <c r="O106" s="1">
        <v>58.570529408</v>
      </c>
      <c r="P106" s="1">
        <v>13.362976831</v>
      </c>
      <c r="Q106" s="1">
        <v>49.2278</v>
      </c>
      <c r="R106" s="1">
        <v>78.230185497</v>
      </c>
      <c r="S106" s="1">
        <v>26.9</v>
      </c>
      <c r="T106" s="1">
        <v>36164.0</v>
      </c>
      <c r="U106" s="1">
        <v>43.432695498</v>
      </c>
      <c r="V106" s="1">
        <v>221.32486208</v>
      </c>
      <c r="W106" s="1">
        <v>16.896950514</v>
      </c>
      <c r="X106" s="1">
        <v>12.739286155</v>
      </c>
      <c r="Y106" s="1">
        <v>75.682292666</v>
      </c>
      <c r="Z106" s="1">
        <v>13.6</v>
      </c>
      <c r="AA106" s="1">
        <v>20.01212971</v>
      </c>
      <c r="AB106" s="1">
        <v>45129.0</v>
      </c>
      <c r="AC106" s="1">
        <v>62.8311135319999</v>
      </c>
      <c r="AD106" s="1">
        <v>68.6377727089999</v>
      </c>
      <c r="AE106" s="1">
        <v>12.664123817</v>
      </c>
      <c r="AF106" s="1">
        <v>1.0713433548</v>
      </c>
      <c r="AG106" s="1">
        <v>3.0212359819</v>
      </c>
      <c r="AH106" s="1">
        <v>1.2402767836</v>
      </c>
      <c r="AI106" s="1">
        <v>0.2514912909</v>
      </c>
      <c r="AJ106" s="1">
        <v>16.830827965</v>
      </c>
      <c r="AK106" s="1">
        <v>76.915771892</v>
      </c>
      <c r="AL106" s="1">
        <v>1.8021906595</v>
      </c>
      <c r="AM106" s="1">
        <v>49.425435457</v>
      </c>
      <c r="AN106" s="1">
        <v>22.963643811</v>
      </c>
      <c r="AO106" s="1">
        <v>22026.0</v>
      </c>
      <c r="AP106" s="1">
        <v>19.3</v>
      </c>
      <c r="AQ106" s="1">
        <v>11.7</v>
      </c>
      <c r="AR106" s="1">
        <v>16.1</v>
      </c>
      <c r="AS106" s="1">
        <v>26.9</v>
      </c>
      <c r="AT106" s="1">
        <v>18.7</v>
      </c>
      <c r="AU106" s="1">
        <v>21.5</v>
      </c>
      <c r="AV106" s="1">
        <v>21.7</v>
      </c>
      <c r="AW106" s="1">
        <v>2.1</v>
      </c>
      <c r="AX106" s="1">
        <v>0.9102</v>
      </c>
      <c r="AY106" s="1">
        <v>16.0</v>
      </c>
      <c r="AZ106" s="1">
        <v>16.8</v>
      </c>
      <c r="BA106" s="1">
        <v>25.7</v>
      </c>
      <c r="BB106" s="1">
        <v>3.13</v>
      </c>
      <c r="BC106" s="1" t="s">
        <v>255</v>
      </c>
      <c r="BD106" s="1">
        <v>13.9</v>
      </c>
      <c r="BE106" s="1">
        <v>35.3</v>
      </c>
      <c r="BF106" s="1">
        <v>37.8</v>
      </c>
      <c r="BG106" s="1">
        <v>12.9</v>
      </c>
      <c r="BH106" s="1" t="s">
        <v>271</v>
      </c>
    </row>
    <row r="107">
      <c r="A107" s="2">
        <v>4017.0</v>
      </c>
      <c r="B107" s="2" t="str">
        <f>IFERROR(__xludf.DUMMYFUNCTION("TO_TEXT(A107)"),"04017")</f>
        <v>04017</v>
      </c>
      <c r="C107" s="1">
        <v>108209.0</v>
      </c>
      <c r="D107" s="1">
        <v>9949.88494015215</v>
      </c>
      <c r="E107" s="1" t="s">
        <v>272</v>
      </c>
      <c r="F107" s="1" t="s">
        <v>273</v>
      </c>
      <c r="G107" s="1">
        <v>10.8754021429262</v>
      </c>
      <c r="H107" s="1">
        <v>24.284684904</v>
      </c>
      <c r="I107" s="1">
        <v>5.2379861823</v>
      </c>
      <c r="J107" s="1">
        <v>8.7178534955</v>
      </c>
      <c r="K107" s="1">
        <v>20.611978362</v>
      </c>
      <c r="L107" s="1">
        <v>34.0</v>
      </c>
      <c r="M107" s="1">
        <v>4.6</v>
      </c>
      <c r="N107" s="1">
        <v>28.9</v>
      </c>
      <c r="O107" s="1">
        <v>56.347662612</v>
      </c>
      <c r="P107" s="1">
        <v>15.120113587</v>
      </c>
      <c r="Q107" s="1">
        <v>62.41051</v>
      </c>
      <c r="R107" s="1">
        <v>78.216307692</v>
      </c>
      <c r="S107" s="1">
        <v>40.2</v>
      </c>
      <c r="T107" s="1">
        <v>29471.0</v>
      </c>
      <c r="U107" s="1">
        <v>43.391808897</v>
      </c>
      <c r="V107" s="1">
        <v>280.6343814</v>
      </c>
      <c r="W107" s="1">
        <v>25.051334702</v>
      </c>
      <c r="X107" s="1">
        <v>11.226415094</v>
      </c>
      <c r="Y107" s="1">
        <v>74.442247892</v>
      </c>
      <c r="Z107" s="1">
        <v>15.4</v>
      </c>
      <c r="AA107" s="1">
        <v>25.005407877</v>
      </c>
      <c r="AB107" s="1">
        <v>40650.0</v>
      </c>
      <c r="AC107" s="1">
        <v>65.074430561</v>
      </c>
      <c r="AD107" s="1">
        <v>69.058621792</v>
      </c>
      <c r="AE107" s="1">
        <v>11.574658919</v>
      </c>
      <c r="AF107" s="1">
        <v>0.8022092444</v>
      </c>
      <c r="AG107" s="1">
        <v>45.618180995</v>
      </c>
      <c r="AH107" s="1">
        <v>0.6854090271</v>
      </c>
      <c r="AI107" s="1">
        <v>0.1149893612</v>
      </c>
      <c r="AJ107" s="1">
        <v>11.452759292</v>
      </c>
      <c r="AK107" s="1">
        <v>41.695866721</v>
      </c>
      <c r="AL107" s="1">
        <v>3.3873591493</v>
      </c>
      <c r="AM107" s="1">
        <v>49.94703246</v>
      </c>
      <c r="AN107" s="1">
        <v>54.1382423289999</v>
      </c>
      <c r="AO107" s="1">
        <v>16564.0</v>
      </c>
      <c r="AP107" s="1">
        <v>29.9</v>
      </c>
      <c r="AQ107" s="1">
        <v>18.5</v>
      </c>
      <c r="AR107" s="1">
        <v>18.5</v>
      </c>
      <c r="AS107" s="1">
        <v>15.7</v>
      </c>
      <c r="AT107" s="1">
        <v>27.9</v>
      </c>
      <c r="AU107" s="1">
        <v>17.9</v>
      </c>
      <c r="AV107" s="1">
        <v>58.1</v>
      </c>
      <c r="AW107" s="1">
        <v>4.3</v>
      </c>
      <c r="AX107" s="1">
        <v>0.9946</v>
      </c>
      <c r="AY107" s="1">
        <v>25.2</v>
      </c>
      <c r="AZ107" s="1">
        <v>20.2</v>
      </c>
      <c r="BA107" s="1">
        <v>31.3</v>
      </c>
      <c r="BB107" s="1">
        <v>2.96</v>
      </c>
      <c r="BC107" s="1" t="s">
        <v>255</v>
      </c>
      <c r="BD107" s="1">
        <v>16.6</v>
      </c>
      <c r="BE107" s="1">
        <v>30.3</v>
      </c>
      <c r="BF107" s="1">
        <v>37.8</v>
      </c>
      <c r="BG107" s="1">
        <v>15.3</v>
      </c>
      <c r="BH107" s="1" t="s">
        <v>273</v>
      </c>
    </row>
    <row r="108">
      <c r="A108" s="2">
        <v>4019.0</v>
      </c>
      <c r="B108" s="2" t="str">
        <f>IFERROR(__xludf.DUMMYFUNCTION("TO_TEXT(A108)"),"04019")</f>
        <v>04019</v>
      </c>
      <c r="C108" s="1">
        <v>1003338.0</v>
      </c>
      <c r="D108" s="1">
        <v>9187.21027033208</v>
      </c>
      <c r="E108" s="1" t="s">
        <v>274</v>
      </c>
      <c r="F108" s="1" t="s">
        <v>275</v>
      </c>
      <c r="G108" s="1">
        <v>109.210301111758</v>
      </c>
      <c r="H108" s="1">
        <v>17.160990512</v>
      </c>
      <c r="I108" s="1">
        <v>4.0478581618</v>
      </c>
      <c r="J108" s="1">
        <v>7.26036438809999</v>
      </c>
      <c r="K108" s="1">
        <v>14.916461188</v>
      </c>
      <c r="L108" s="1">
        <v>25.0</v>
      </c>
      <c r="M108" s="1">
        <v>7.5</v>
      </c>
      <c r="N108" s="1">
        <v>19.8</v>
      </c>
      <c r="O108" s="1">
        <v>87.846322875</v>
      </c>
      <c r="P108" s="1">
        <v>10.86259278</v>
      </c>
      <c r="Q108" s="1">
        <v>84.37878</v>
      </c>
      <c r="R108" s="1">
        <v>73.417255075</v>
      </c>
      <c r="S108" s="1">
        <v>22.2</v>
      </c>
      <c r="T108" s="1">
        <v>215714.0</v>
      </c>
      <c r="U108" s="1">
        <v>40.124887583</v>
      </c>
      <c r="V108" s="1">
        <v>470.11635898</v>
      </c>
      <c r="W108" s="1">
        <v>19.5022635879999</v>
      </c>
      <c r="X108" s="1">
        <v>15.8554477359999</v>
      </c>
      <c r="Y108" s="1">
        <v>79.5664140969999</v>
      </c>
      <c r="Z108" s="1">
        <v>8.4</v>
      </c>
      <c r="AA108" s="1">
        <v>7.68111718169999</v>
      </c>
      <c r="AB108" s="1">
        <v>53395.0</v>
      </c>
      <c r="AC108" s="1">
        <v>55.503078482</v>
      </c>
      <c r="AD108" s="1">
        <v>62.390030606</v>
      </c>
      <c r="AE108" s="1">
        <v>15.633716842</v>
      </c>
      <c r="AF108" s="1">
        <v>3.3891747741</v>
      </c>
      <c r="AG108" s="1">
        <v>4.3292434699</v>
      </c>
      <c r="AH108" s="1">
        <v>3.3974513821</v>
      </c>
      <c r="AI108" s="1">
        <v>0.2346322154</v>
      </c>
      <c r="AJ108" s="1">
        <v>37.551067153</v>
      </c>
      <c r="AK108" s="1">
        <v>51.431420122</v>
      </c>
      <c r="AL108" s="1">
        <v>4.2099258652</v>
      </c>
      <c r="AM108" s="1">
        <v>50.777664322</v>
      </c>
      <c r="AN108" s="1">
        <v>7.5234911447</v>
      </c>
      <c r="AO108" s="1">
        <v>26204.0</v>
      </c>
      <c r="AP108" s="1">
        <v>19.1</v>
      </c>
      <c r="AQ108" s="1">
        <v>9.2</v>
      </c>
      <c r="AR108" s="1">
        <v>12.3</v>
      </c>
      <c r="AS108" s="1">
        <v>17.8</v>
      </c>
      <c r="AT108" s="1">
        <v>21.9</v>
      </c>
      <c r="AU108" s="1">
        <v>14.7</v>
      </c>
      <c r="AV108" s="1">
        <v>46.7</v>
      </c>
      <c r="AW108" s="1">
        <v>4.2</v>
      </c>
      <c r="AX108" s="1">
        <v>0.8717</v>
      </c>
      <c r="AY108" s="1">
        <v>14.0</v>
      </c>
      <c r="AZ108" s="1">
        <v>13.6</v>
      </c>
      <c r="BA108" s="1">
        <v>19.8</v>
      </c>
      <c r="BB108" s="1">
        <v>3.1</v>
      </c>
      <c r="BC108" s="1" t="s">
        <v>255</v>
      </c>
      <c r="BD108" s="1">
        <v>11.6</v>
      </c>
      <c r="BE108" s="1">
        <v>22.2</v>
      </c>
      <c r="BF108" s="1">
        <v>33.8</v>
      </c>
      <c r="BG108" s="1">
        <v>32.4</v>
      </c>
      <c r="BH108" s="1" t="s">
        <v>275</v>
      </c>
    </row>
    <row r="109">
      <c r="A109" s="2">
        <v>4021.0</v>
      </c>
      <c r="B109" s="2" t="str">
        <f>IFERROR(__xludf.DUMMYFUNCTION("TO_TEXT(A109)"),"04021")</f>
        <v>04021</v>
      </c>
      <c r="C109" s="1">
        <v>397604.0</v>
      </c>
      <c r="D109" s="1">
        <v>5365.84584419979</v>
      </c>
      <c r="E109" s="1" t="s">
        <v>276</v>
      </c>
      <c r="F109" s="1" t="s">
        <v>277</v>
      </c>
      <c r="G109" s="1">
        <v>74.0990351837614</v>
      </c>
      <c r="H109" s="1">
        <v>20.091217453</v>
      </c>
      <c r="I109" s="1">
        <v>4.1786557492</v>
      </c>
      <c r="J109" s="1">
        <v>6.9917203312</v>
      </c>
      <c r="K109" s="1">
        <v>16.274473498</v>
      </c>
      <c r="L109" s="1">
        <v>32.6</v>
      </c>
      <c r="M109" s="1">
        <v>7.6</v>
      </c>
      <c r="N109" s="1">
        <v>28.5</v>
      </c>
      <c r="O109" s="1">
        <v>66.048646779</v>
      </c>
      <c r="P109" s="1">
        <v>11.027964753</v>
      </c>
      <c r="Q109" s="1">
        <v>16.03767</v>
      </c>
      <c r="R109" s="1">
        <v>80.753066589</v>
      </c>
      <c r="S109" s="1">
        <v>17.5</v>
      </c>
      <c r="T109" s="1">
        <v>97058.0</v>
      </c>
      <c r="U109" s="1">
        <v>33.167796575</v>
      </c>
      <c r="V109" s="1">
        <v>220.88403588</v>
      </c>
      <c r="W109" s="1">
        <v>15.382262997</v>
      </c>
      <c r="X109" s="1">
        <v>11.97312395</v>
      </c>
      <c r="Y109" s="1">
        <v>82.236621291</v>
      </c>
      <c r="Z109" s="1">
        <v>12.8</v>
      </c>
      <c r="AA109" s="1">
        <v>7.2032499213</v>
      </c>
      <c r="AB109" s="1">
        <v>58848.0</v>
      </c>
      <c r="AC109" s="1">
        <v>62.3775788939999</v>
      </c>
      <c r="AD109" s="1">
        <v>74.38121877</v>
      </c>
      <c r="AE109" s="1">
        <v>12.2431950059999</v>
      </c>
      <c r="AF109" s="1">
        <v>4.5218702056</v>
      </c>
      <c r="AG109" s="1">
        <v>6.6525323278</v>
      </c>
      <c r="AH109" s="1">
        <v>1.9166342382</v>
      </c>
      <c r="AI109" s="1">
        <v>0.4262666112</v>
      </c>
      <c r="AJ109" s="1">
        <v>30.425953509</v>
      </c>
      <c r="AK109" s="1">
        <v>56.567547379</v>
      </c>
      <c r="AL109" s="1">
        <v>3.3825808608</v>
      </c>
      <c r="AM109" s="1">
        <v>47.9093702619999</v>
      </c>
      <c r="AN109" s="1">
        <v>21.904622508</v>
      </c>
      <c r="AO109" s="1">
        <v>21982.0</v>
      </c>
      <c r="AP109" s="1">
        <v>16.5</v>
      </c>
      <c r="AQ109" s="1">
        <v>9.4</v>
      </c>
      <c r="AR109" s="1">
        <v>15.1</v>
      </c>
      <c r="AS109" s="1">
        <v>18.2</v>
      </c>
      <c r="AT109" s="1">
        <v>24.2</v>
      </c>
      <c r="AU109" s="1">
        <v>14.2</v>
      </c>
      <c r="AV109" s="1">
        <v>42.1</v>
      </c>
      <c r="AW109" s="1">
        <v>3.6</v>
      </c>
      <c r="AX109" s="1">
        <v>0.8593</v>
      </c>
      <c r="AY109" s="1">
        <v>12.1</v>
      </c>
      <c r="AZ109" s="1">
        <v>12.7</v>
      </c>
      <c r="BA109" s="1">
        <v>19.3</v>
      </c>
      <c r="BB109" s="1">
        <v>2.96</v>
      </c>
      <c r="BC109" s="1" t="s">
        <v>255</v>
      </c>
      <c r="BD109" s="1">
        <v>14.2</v>
      </c>
      <c r="BE109" s="1">
        <v>29.3</v>
      </c>
      <c r="BF109" s="1">
        <v>37.0</v>
      </c>
      <c r="BG109" s="1">
        <v>19.5</v>
      </c>
      <c r="BH109" s="1" t="s">
        <v>277</v>
      </c>
    </row>
    <row r="110">
      <c r="A110" s="2">
        <v>4023.0</v>
      </c>
      <c r="B110" s="2" t="str">
        <f>IFERROR(__xludf.DUMMYFUNCTION("TO_TEXT(A110)"),"04023")</f>
        <v>04023</v>
      </c>
      <c r="C110" s="1">
        <v>46547.0</v>
      </c>
      <c r="D110" s="1">
        <v>1236.9214826654</v>
      </c>
      <c r="E110" s="1" t="s">
        <v>278</v>
      </c>
      <c r="F110" s="1" t="s">
        <v>279</v>
      </c>
      <c r="G110" s="1">
        <v>37.6313295971684</v>
      </c>
      <c r="H110" s="1">
        <v>26.579217588</v>
      </c>
      <c r="I110" s="1">
        <v>4.359773714</v>
      </c>
      <c r="J110" s="1">
        <v>6.9384996621</v>
      </c>
      <c r="K110" s="1">
        <v>14.571449262</v>
      </c>
      <c r="L110" s="1">
        <v>26.9</v>
      </c>
      <c r="M110" s="1">
        <v>7.8</v>
      </c>
      <c r="N110" s="1">
        <v>20.3</v>
      </c>
      <c r="O110" s="1">
        <v>66.661746099</v>
      </c>
      <c r="P110" s="1">
        <v>13.993283224</v>
      </c>
      <c r="Q110" s="1">
        <v>49.77062</v>
      </c>
      <c r="R110" s="1">
        <v>89.797927461</v>
      </c>
      <c r="S110" s="1">
        <v>36.0</v>
      </c>
      <c r="T110" s="1">
        <v>12825.0</v>
      </c>
      <c r="U110" s="1">
        <v>40.748538012</v>
      </c>
      <c r="V110" s="1">
        <v>140.32005827</v>
      </c>
      <c r="W110" s="1">
        <v>22.554697555</v>
      </c>
      <c r="X110" s="1">
        <v>17.140987897</v>
      </c>
      <c r="Y110" s="1">
        <v>83.55016695</v>
      </c>
      <c r="Z110" s="1">
        <v>8.0</v>
      </c>
      <c r="AA110" s="1">
        <v>12.807902716</v>
      </c>
      <c r="AB110" s="1">
        <v>40545.0</v>
      </c>
      <c r="AC110" s="1">
        <v>77.476005718</v>
      </c>
      <c r="AD110" s="1">
        <v>66.182760855</v>
      </c>
      <c r="AE110" s="1">
        <v>16.465430017</v>
      </c>
      <c r="AF110" s="1">
        <v>0.3956053407</v>
      </c>
      <c r="AG110" s="1">
        <v>1.4082690116</v>
      </c>
      <c r="AH110" s="1">
        <v>0.763260304</v>
      </c>
      <c r="AI110" s="1">
        <v>0.1462019737</v>
      </c>
      <c r="AJ110" s="1">
        <v>83.4447765039999</v>
      </c>
      <c r="AK110" s="1">
        <v>14.858850594</v>
      </c>
      <c r="AL110" s="1">
        <v>13.091438879</v>
      </c>
      <c r="AM110" s="1">
        <v>51.682397712</v>
      </c>
      <c r="AN110" s="1">
        <v>26.883171658</v>
      </c>
      <c r="AO110" s="1">
        <v>18860.0</v>
      </c>
      <c r="AP110" s="1">
        <v>21.9</v>
      </c>
      <c r="AQ110" s="1">
        <v>9.7</v>
      </c>
      <c r="AR110" s="1">
        <v>25.2</v>
      </c>
      <c r="AS110" s="1">
        <v>15.9</v>
      </c>
      <c r="AT110" s="1">
        <v>28.5</v>
      </c>
      <c r="AU110" s="1">
        <v>11.7</v>
      </c>
      <c r="AV110" s="1">
        <v>84.7</v>
      </c>
      <c r="AW110" s="1">
        <v>12.6</v>
      </c>
      <c r="AX110" s="1">
        <v>0.915</v>
      </c>
      <c r="AY110" s="1">
        <v>18.8</v>
      </c>
      <c r="AZ110" s="1">
        <v>15.3</v>
      </c>
      <c r="BA110" s="1">
        <v>23.8</v>
      </c>
      <c r="BB110" s="1">
        <v>2.58</v>
      </c>
      <c r="BC110" s="1" t="s">
        <v>255</v>
      </c>
      <c r="BD110" s="1">
        <v>23.4</v>
      </c>
      <c r="BE110" s="1">
        <v>28.7</v>
      </c>
      <c r="BF110" s="1">
        <v>27.5</v>
      </c>
      <c r="BG110" s="1">
        <v>20.4</v>
      </c>
      <c r="BH110" s="1" t="s">
        <v>279</v>
      </c>
    </row>
    <row r="111">
      <c r="A111" s="2">
        <v>4025.0</v>
      </c>
      <c r="B111" s="2" t="str">
        <f>IFERROR(__xludf.DUMMYFUNCTION("TO_TEXT(A111)"),"04025")</f>
        <v>04025</v>
      </c>
      <c r="C111" s="1">
        <v>218586.0</v>
      </c>
      <c r="D111" s="1">
        <v>8123.50744415007</v>
      </c>
      <c r="E111" s="1" t="s">
        <v>280</v>
      </c>
      <c r="F111" s="1" t="s">
        <v>281</v>
      </c>
      <c r="G111" s="1">
        <v>26.9078352550054</v>
      </c>
      <c r="H111" s="1">
        <v>15.400511422</v>
      </c>
      <c r="I111" s="1">
        <v>4.4569737785</v>
      </c>
      <c r="J111" s="1">
        <v>7.1684030477</v>
      </c>
      <c r="K111" s="1">
        <v>17.0653300709999</v>
      </c>
      <c r="L111" s="1">
        <v>23.0</v>
      </c>
      <c r="M111" s="1">
        <v>6.8</v>
      </c>
      <c r="N111" s="1">
        <v>23.2</v>
      </c>
      <c r="O111" s="1">
        <v>84.5303815039999</v>
      </c>
      <c r="P111" s="1">
        <v>12.9243819709999</v>
      </c>
      <c r="Q111" s="1">
        <v>62.23484</v>
      </c>
      <c r="R111" s="1">
        <v>82.083333333</v>
      </c>
      <c r="S111" s="1">
        <v>19.2</v>
      </c>
      <c r="T111" s="1">
        <v>37459.0</v>
      </c>
      <c r="U111" s="1">
        <v>31.399663632</v>
      </c>
      <c r="V111" s="1">
        <v>299.58178042</v>
      </c>
      <c r="W111" s="1">
        <v>17.138423672</v>
      </c>
      <c r="X111" s="1">
        <v>14.344640434</v>
      </c>
      <c r="Y111" s="1">
        <v>78.9459011089999</v>
      </c>
      <c r="Z111" s="1">
        <v>10.7</v>
      </c>
      <c r="AA111" s="1">
        <v>12.606566425</v>
      </c>
      <c r="AB111" s="1">
        <v>48758.0</v>
      </c>
      <c r="AC111" s="1">
        <v>53.793298193</v>
      </c>
      <c r="AD111" s="1">
        <v>71.927046986</v>
      </c>
      <c r="AE111" s="1">
        <v>15.043390254</v>
      </c>
      <c r="AF111" s="1">
        <v>0.693555409</v>
      </c>
      <c r="AG111" s="1">
        <v>2.1229088809</v>
      </c>
      <c r="AH111" s="1">
        <v>1.1819322135</v>
      </c>
      <c r="AI111" s="1">
        <v>0.1487113835</v>
      </c>
      <c r="AJ111" s="1">
        <v>14.675442794</v>
      </c>
      <c r="AK111" s="1">
        <v>80.357596996</v>
      </c>
      <c r="AL111" s="1">
        <v>1.5569647324</v>
      </c>
      <c r="AM111" s="1">
        <v>51.153267555</v>
      </c>
      <c r="AN111" s="1">
        <v>33.197177693</v>
      </c>
      <c r="AO111" s="1">
        <v>26584.0</v>
      </c>
      <c r="AP111" s="1">
        <v>14.7</v>
      </c>
      <c r="AQ111" s="1">
        <v>8.5</v>
      </c>
      <c r="AR111" s="1">
        <v>9.8</v>
      </c>
      <c r="AS111" s="1">
        <v>28.3</v>
      </c>
      <c r="AT111" s="1">
        <v>17.4</v>
      </c>
      <c r="AU111" s="1">
        <v>18.5</v>
      </c>
      <c r="AV111" s="1">
        <v>18.8</v>
      </c>
      <c r="AW111" s="1">
        <v>2.0</v>
      </c>
      <c r="AX111" s="1">
        <v>0.5457</v>
      </c>
      <c r="AY111" s="1">
        <v>12.0</v>
      </c>
      <c r="AZ111" s="1">
        <v>13.9</v>
      </c>
      <c r="BA111" s="1">
        <v>20.7</v>
      </c>
      <c r="BB111" s="1">
        <v>3.32</v>
      </c>
      <c r="BC111" s="1" t="s">
        <v>255</v>
      </c>
      <c r="BD111" s="1">
        <v>9.0</v>
      </c>
      <c r="BE111" s="1">
        <v>25.8</v>
      </c>
      <c r="BF111" s="1">
        <v>39.3</v>
      </c>
      <c r="BG111" s="1">
        <v>25.9</v>
      </c>
      <c r="BH111" s="1" t="s">
        <v>281</v>
      </c>
    </row>
    <row r="112">
      <c r="A112" s="2">
        <v>4027.0</v>
      </c>
      <c r="B112" s="2" t="str">
        <f>IFERROR(__xludf.DUMMYFUNCTION("TO_TEXT(A112)"),"04027")</f>
        <v>04027</v>
      </c>
      <c r="C112" s="1">
        <v>203292.0</v>
      </c>
      <c r="D112" s="1">
        <v>5514.02522459087</v>
      </c>
      <c r="E112" s="1" t="s">
        <v>282</v>
      </c>
      <c r="F112" s="1" t="s">
        <v>283</v>
      </c>
      <c r="G112" s="1">
        <v>36.8681664881363</v>
      </c>
      <c r="H112" s="1">
        <v>22.726376366</v>
      </c>
      <c r="I112" s="1">
        <v>3.7010171729</v>
      </c>
      <c r="J112" s="1">
        <v>5.9683313033</v>
      </c>
      <c r="K112" s="1">
        <v>13.32703585</v>
      </c>
      <c r="L112" s="1">
        <v>36.9</v>
      </c>
      <c r="M112" s="1">
        <v>6.8</v>
      </c>
      <c r="N112" s="1">
        <v>26.3</v>
      </c>
      <c r="O112" s="1">
        <v>83.55359615</v>
      </c>
      <c r="P112" s="1">
        <v>14.199480988</v>
      </c>
      <c r="Q112" s="1">
        <v>47.22118</v>
      </c>
      <c r="R112" s="1">
        <v>88.75193662</v>
      </c>
      <c r="S112" s="1">
        <v>28.3</v>
      </c>
      <c r="T112" s="1">
        <v>52772.0</v>
      </c>
      <c r="U112" s="1">
        <v>31.404911696</v>
      </c>
      <c r="V112" s="1">
        <v>330.44589467</v>
      </c>
      <c r="W112" s="1">
        <v>18.434966514</v>
      </c>
      <c r="X112" s="1">
        <v>12.776465536</v>
      </c>
      <c r="Y112" s="1">
        <v>82.926694812</v>
      </c>
      <c r="Z112" s="1">
        <v>14.1</v>
      </c>
      <c r="AA112" s="1">
        <v>9.5970112012</v>
      </c>
      <c r="AB112" s="1">
        <v>44116.0</v>
      </c>
      <c r="AC112" s="1">
        <v>74.701352418</v>
      </c>
      <c r="AD112" s="1">
        <v>67.085271104</v>
      </c>
      <c r="AE112" s="1">
        <v>13.5292678359999</v>
      </c>
      <c r="AF112" s="1">
        <v>1.8917823201</v>
      </c>
      <c r="AG112" s="1">
        <v>2.2740986574</v>
      </c>
      <c r="AH112" s="1">
        <v>1.587249208</v>
      </c>
      <c r="AI112" s="1">
        <v>0.2507919747</v>
      </c>
      <c r="AJ112" s="1">
        <v>64.312584854</v>
      </c>
      <c r="AK112" s="1">
        <v>30.417483783</v>
      </c>
      <c r="AL112" s="1">
        <v>14.117653167</v>
      </c>
      <c r="AM112" s="1">
        <v>48.471677478</v>
      </c>
      <c r="AN112" s="1">
        <v>10.42957635</v>
      </c>
      <c r="AO112" s="1">
        <v>19483.0</v>
      </c>
      <c r="AP112" s="1">
        <v>20.5</v>
      </c>
      <c r="AQ112" s="1">
        <v>12.5</v>
      </c>
      <c r="AR112" s="1">
        <v>28.3</v>
      </c>
      <c r="AS112" s="1">
        <v>17.4</v>
      </c>
      <c r="AT112" s="1">
        <v>26.2</v>
      </c>
      <c r="AU112" s="1">
        <v>11.6</v>
      </c>
      <c r="AV112" s="1">
        <v>67.3</v>
      </c>
      <c r="AW112" s="1">
        <v>14.8</v>
      </c>
      <c r="AX112" s="1">
        <v>0.9898</v>
      </c>
      <c r="AY112" s="1">
        <v>20.4</v>
      </c>
      <c r="AZ112" s="1">
        <v>18.8</v>
      </c>
      <c r="BA112" s="1">
        <v>30.8</v>
      </c>
      <c r="BB112" s="1">
        <v>2.72</v>
      </c>
      <c r="BC112" s="1" t="s">
        <v>255</v>
      </c>
      <c r="BD112" s="1">
        <v>26.7</v>
      </c>
      <c r="BE112" s="1">
        <v>25.7</v>
      </c>
      <c r="BF112" s="1">
        <v>32.5</v>
      </c>
      <c r="BG112" s="1">
        <v>15.0</v>
      </c>
      <c r="BH112" s="1" t="s">
        <v>283</v>
      </c>
    </row>
    <row r="113">
      <c r="A113" s="2">
        <v>5001.0</v>
      </c>
      <c r="B113" s="2" t="str">
        <f>IFERROR(__xludf.DUMMYFUNCTION("TO_TEXT(A113)"),"05001")</f>
        <v>05001</v>
      </c>
      <c r="C113" s="1">
        <v>18569.0</v>
      </c>
      <c r="D113" s="1">
        <v>988.800869077691</v>
      </c>
      <c r="E113" s="1" t="s">
        <v>284</v>
      </c>
      <c r="F113" s="1" t="s">
        <v>285</v>
      </c>
      <c r="G113" s="1">
        <v>18.7793119734211</v>
      </c>
      <c r="H113" s="1">
        <v>23.123405671</v>
      </c>
      <c r="I113" s="1">
        <v>4.6816468788</v>
      </c>
      <c r="J113" s="1">
        <v>9.8986285033</v>
      </c>
      <c r="K113" s="1">
        <v>20.0832304</v>
      </c>
      <c r="L113" s="1">
        <v>30.6</v>
      </c>
      <c r="M113" s="1">
        <v>5.5</v>
      </c>
      <c r="N113" s="1">
        <v>38.2</v>
      </c>
      <c r="O113" s="1">
        <v>47.952047952</v>
      </c>
      <c r="P113" s="1">
        <v>8.92445314139999</v>
      </c>
      <c r="Q113" s="1">
        <v>55.65759</v>
      </c>
      <c r="R113" s="1">
        <v>82.278481013</v>
      </c>
      <c r="S113" s="1">
        <v>24.4</v>
      </c>
      <c r="T113" s="1">
        <v>4069.0</v>
      </c>
      <c r="U113" s="1">
        <v>42.0496436469999</v>
      </c>
      <c r="V113" s="1">
        <v>472.89628709</v>
      </c>
      <c r="W113" s="1">
        <v>9.694209499</v>
      </c>
      <c r="X113" s="1">
        <v>8.2836315441</v>
      </c>
      <c r="Y113" s="1">
        <v>74.104079317</v>
      </c>
      <c r="Z113" s="1">
        <v>19.3</v>
      </c>
      <c r="AA113" s="1">
        <v>17.82182264</v>
      </c>
      <c r="AB113" s="1">
        <v>43887.0</v>
      </c>
      <c r="AC113" s="1">
        <v>50.674507091</v>
      </c>
      <c r="AD113" s="1">
        <v>63.707367873</v>
      </c>
      <c r="AE113" s="1">
        <v>11.320216709</v>
      </c>
      <c r="AF113" s="1">
        <v>24.458326299</v>
      </c>
      <c r="AG113" s="1">
        <v>0.3601778378</v>
      </c>
      <c r="AH113" s="1">
        <v>0.8329112499</v>
      </c>
      <c r="AI113" s="1">
        <v>0.039394451</v>
      </c>
      <c r="AJ113" s="1">
        <v>3.2753672126</v>
      </c>
      <c r="AK113" s="1">
        <v>69.45804491</v>
      </c>
      <c r="AL113" s="1">
        <v>0.0945794172</v>
      </c>
      <c r="AM113" s="1">
        <v>51.640497496</v>
      </c>
      <c r="AN113" s="1">
        <v>34.707397865</v>
      </c>
      <c r="AO113" s="1">
        <v>23287.0</v>
      </c>
      <c r="AP113" s="1">
        <v>19.6</v>
      </c>
      <c r="AQ113" s="1">
        <v>9.1</v>
      </c>
      <c r="AR113" s="1">
        <v>17.5</v>
      </c>
      <c r="AS113" s="1">
        <v>17.8</v>
      </c>
      <c r="AT113" s="1">
        <v>23.1</v>
      </c>
      <c r="AU113" s="1">
        <v>23.2</v>
      </c>
      <c r="AV113" s="1">
        <v>29.6</v>
      </c>
      <c r="AW113" s="1">
        <v>0.3</v>
      </c>
      <c r="AX113" s="1">
        <v>0.7771</v>
      </c>
      <c r="AY113" s="1">
        <v>15.8</v>
      </c>
      <c r="AZ113" s="1">
        <v>19.3</v>
      </c>
      <c r="BA113" s="1">
        <v>25.0</v>
      </c>
      <c r="BB113" s="1">
        <v>3.03</v>
      </c>
      <c r="BC113" s="1" t="s">
        <v>286</v>
      </c>
      <c r="BD113" s="1">
        <v>16.1</v>
      </c>
      <c r="BE113" s="1">
        <v>38.9</v>
      </c>
      <c r="BF113" s="1">
        <v>29.2</v>
      </c>
      <c r="BG113" s="1">
        <v>15.8</v>
      </c>
      <c r="BH113" s="1" t="s">
        <v>285</v>
      </c>
    </row>
    <row r="114">
      <c r="A114" s="2">
        <v>5003.0</v>
      </c>
      <c r="B114" s="2" t="str">
        <f>IFERROR(__xludf.DUMMYFUNCTION("TO_TEXT(A114)"),"05003")</f>
        <v>05003</v>
      </c>
      <c r="C114" s="1">
        <v>20989.0</v>
      </c>
      <c r="D114" s="1">
        <v>925.34821542972</v>
      </c>
      <c r="E114" s="1" t="s">
        <v>287</v>
      </c>
      <c r="F114" s="1" t="s">
        <v>288</v>
      </c>
      <c r="G114" s="1">
        <v>22.6822720895971</v>
      </c>
      <c r="H114" s="1">
        <v>24.022563465</v>
      </c>
      <c r="I114" s="1">
        <v>4.8799598555</v>
      </c>
      <c r="J114" s="1">
        <v>11.68009206</v>
      </c>
      <c r="K114" s="1">
        <v>20.452066927</v>
      </c>
      <c r="L114" s="1">
        <v>42.6</v>
      </c>
      <c r="M114" s="1">
        <v>6.0</v>
      </c>
      <c r="N114" s="1">
        <v>47.4</v>
      </c>
      <c r="O114" s="1">
        <v>50.061776415</v>
      </c>
      <c r="P114" s="1">
        <v>9.2027221078</v>
      </c>
      <c r="Q114" s="1">
        <v>39.4419</v>
      </c>
      <c r="R114" s="1">
        <v>90.217391304</v>
      </c>
      <c r="S114" s="1">
        <v>28.8</v>
      </c>
      <c r="T114" s="1">
        <v>4746.0</v>
      </c>
      <c r="U114" s="1">
        <v>34.787189212</v>
      </c>
      <c r="V114" s="1">
        <v>320.91965034</v>
      </c>
      <c r="W114" s="1">
        <v>12.2901678659999</v>
      </c>
      <c r="X114" s="1">
        <v>10.248937462</v>
      </c>
      <c r="Y114" s="1">
        <v>74.877804053</v>
      </c>
      <c r="Z114" s="1">
        <v>15.2</v>
      </c>
      <c r="AA114" s="1">
        <v>12.004846939</v>
      </c>
      <c r="AB114" s="1">
        <v>41127.0</v>
      </c>
      <c r="AC114" s="1">
        <v>30.386888769</v>
      </c>
      <c r="AD114" s="1">
        <v>73.670246368</v>
      </c>
      <c r="AE114" s="1">
        <v>11.8313992259999</v>
      </c>
      <c r="AF114" s="1">
        <v>24.498653098</v>
      </c>
      <c r="AG114" s="1">
        <v>0.7133592737</v>
      </c>
      <c r="AH114" s="1">
        <v>0.2544148459</v>
      </c>
      <c r="AI114" s="1">
        <v>0.0997705278</v>
      </c>
      <c r="AJ114" s="1">
        <v>5.5123216602</v>
      </c>
      <c r="AK114" s="1">
        <v>68.3029033219999</v>
      </c>
      <c r="AL114" s="1">
        <v>1.4307931571</v>
      </c>
      <c r="AM114" s="1">
        <v>51.25710865</v>
      </c>
      <c r="AN114" s="1">
        <v>51.681691301</v>
      </c>
      <c r="AO114" s="1">
        <v>20290.0</v>
      </c>
      <c r="AP114" s="1">
        <v>19.9</v>
      </c>
      <c r="AQ114" s="1">
        <v>10.0</v>
      </c>
      <c r="AR114" s="1">
        <v>16.1</v>
      </c>
      <c r="AS114" s="1">
        <v>18.1</v>
      </c>
      <c r="AT114" s="1">
        <v>23.5</v>
      </c>
      <c r="AU114" s="1">
        <v>22.4</v>
      </c>
      <c r="AV114" s="1">
        <v>32.0</v>
      </c>
      <c r="AW114" s="1">
        <v>1.0</v>
      </c>
      <c r="AX114" s="1">
        <v>0.7692</v>
      </c>
      <c r="AY114" s="1">
        <v>18.5</v>
      </c>
      <c r="AZ114" s="1">
        <v>19.6</v>
      </c>
      <c r="BA114" s="1">
        <v>27.7</v>
      </c>
      <c r="BB114" s="1">
        <v>2.95</v>
      </c>
      <c r="BC114" s="1" t="s">
        <v>286</v>
      </c>
      <c r="BD114" s="1">
        <v>16.7</v>
      </c>
      <c r="BE114" s="1">
        <v>43.7</v>
      </c>
      <c r="BF114" s="1">
        <v>27.3</v>
      </c>
      <c r="BG114" s="1">
        <v>12.3</v>
      </c>
      <c r="BH114" s="1" t="s">
        <v>288</v>
      </c>
    </row>
    <row r="115">
      <c r="A115" s="2">
        <v>5005.0</v>
      </c>
      <c r="B115" s="2" t="str">
        <f>IFERROR(__xludf.DUMMYFUNCTION("TO_TEXT(A115)"),"05005")</f>
        <v>05005</v>
      </c>
      <c r="C115" s="1">
        <v>40992.0</v>
      </c>
      <c r="D115" s="1">
        <v>554.283406856346</v>
      </c>
      <c r="E115" s="1" t="s">
        <v>289</v>
      </c>
      <c r="F115" s="1" t="s">
        <v>290</v>
      </c>
      <c r="G115" s="1">
        <v>73.9549470414219</v>
      </c>
      <c r="H115" s="1">
        <v>18.946243722</v>
      </c>
      <c r="I115" s="1">
        <v>4.6638369435</v>
      </c>
      <c r="J115" s="1">
        <v>6.6960705694</v>
      </c>
      <c r="K115" s="1">
        <v>16.242815884</v>
      </c>
      <c r="L115" s="1">
        <v>33.7</v>
      </c>
      <c r="M115" s="1">
        <v>7.7</v>
      </c>
      <c r="N115" s="1">
        <v>29.8</v>
      </c>
      <c r="O115" s="1">
        <v>65.1193602</v>
      </c>
      <c r="P115" s="1">
        <v>8.3837602026</v>
      </c>
      <c r="Q115" s="1">
        <v>74.9607099999999</v>
      </c>
      <c r="R115" s="1">
        <v>85.875706215</v>
      </c>
      <c r="S115" s="1">
        <v>23.0</v>
      </c>
      <c r="T115" s="1">
        <v>7188.0</v>
      </c>
      <c r="U115" s="1">
        <v>32.136894825</v>
      </c>
      <c r="V115" s="1">
        <v>182.38793547</v>
      </c>
      <c r="W115" s="1">
        <v>10.132890365</v>
      </c>
      <c r="X115" s="1">
        <v>8.3823941688</v>
      </c>
      <c r="Y115" s="1">
        <v>77.062365179</v>
      </c>
      <c r="Z115" s="1">
        <v>17.0</v>
      </c>
      <c r="AA115" s="1">
        <v>4.4191340205</v>
      </c>
      <c r="AB115" s="1">
        <v>39686.0</v>
      </c>
      <c r="AC115" s="1">
        <v>33.701657459</v>
      </c>
      <c r="AD115" s="1">
        <v>75.824714208</v>
      </c>
      <c r="AE115" s="1">
        <v>8.9323019592</v>
      </c>
      <c r="AF115" s="1">
        <v>0.3508013167</v>
      </c>
      <c r="AG115" s="1">
        <v>0.790504337</v>
      </c>
      <c r="AH115" s="1">
        <v>0.5237992263</v>
      </c>
      <c r="AI115" s="1">
        <v>0.0648742161</v>
      </c>
      <c r="AJ115" s="1">
        <v>2.5156779356</v>
      </c>
      <c r="AK115" s="1">
        <v>94.461664144</v>
      </c>
      <c r="AL115" s="1">
        <v>0.1316522356</v>
      </c>
      <c r="AM115" s="1">
        <v>51.714361229</v>
      </c>
      <c r="AN115" s="1">
        <v>65.84202539</v>
      </c>
      <c r="AO115" s="1">
        <v>23068.0</v>
      </c>
      <c r="AP115" s="1">
        <v>13.8</v>
      </c>
      <c r="AQ115" s="1">
        <v>6.2</v>
      </c>
      <c r="AR115" s="1">
        <v>12.8</v>
      </c>
      <c r="AS115" s="1">
        <v>30.1</v>
      </c>
      <c r="AT115" s="1">
        <v>17.7</v>
      </c>
      <c r="AU115" s="1">
        <v>21.5</v>
      </c>
      <c r="AV115" s="1">
        <v>4.8</v>
      </c>
      <c r="AW115" s="1">
        <v>0.3</v>
      </c>
      <c r="AX115" s="1">
        <v>0.306</v>
      </c>
      <c r="AY115" s="1">
        <v>12.7</v>
      </c>
      <c r="AZ115" s="1">
        <v>16.3</v>
      </c>
      <c r="BA115" s="1">
        <v>23.2</v>
      </c>
      <c r="BB115" s="1">
        <v>3.19</v>
      </c>
      <c r="BC115" s="1" t="s">
        <v>286</v>
      </c>
      <c r="BD115" s="1">
        <v>11.3</v>
      </c>
      <c r="BE115" s="1">
        <v>36.3</v>
      </c>
      <c r="BF115" s="1">
        <v>34.5</v>
      </c>
      <c r="BG115" s="1">
        <v>17.9</v>
      </c>
      <c r="BH115" s="1" t="s">
        <v>290</v>
      </c>
    </row>
    <row r="116">
      <c r="A116" s="2">
        <v>5007.0</v>
      </c>
      <c r="B116" s="2" t="str">
        <f>IFERROR(__xludf.DUMMYFUNCTION("TO_TEXT(A116)"),"05007")</f>
        <v>05007</v>
      </c>
      <c r="C116" s="1">
        <v>245231.0</v>
      </c>
      <c r="D116" s="1">
        <v>847.481654041517</v>
      </c>
      <c r="E116" s="1" t="s">
        <v>291</v>
      </c>
      <c r="F116" s="1" t="s">
        <v>292</v>
      </c>
      <c r="G116" s="1">
        <v>289.364376008057</v>
      </c>
      <c r="H116" s="1">
        <v>16.233360057</v>
      </c>
      <c r="I116" s="1">
        <v>3.9625852472</v>
      </c>
      <c r="J116" s="1">
        <v>7.5935096831</v>
      </c>
      <c r="K116" s="1">
        <v>16.513156719</v>
      </c>
      <c r="L116" s="1">
        <v>29.3</v>
      </c>
      <c r="M116" s="1">
        <v>8.2</v>
      </c>
      <c r="N116" s="1">
        <v>23.8</v>
      </c>
      <c r="O116" s="1">
        <v>77.304496722</v>
      </c>
      <c r="P116" s="1">
        <v>10.426607884</v>
      </c>
      <c r="Q116" s="1">
        <v>60.45813</v>
      </c>
      <c r="R116" s="1">
        <v>90.446280992</v>
      </c>
      <c r="S116" s="1">
        <v>12.1</v>
      </c>
      <c r="T116" s="1">
        <v>68814.0</v>
      </c>
      <c r="U116" s="1">
        <v>22.8383759119999</v>
      </c>
      <c r="V116" s="1">
        <v>274.52575313</v>
      </c>
      <c r="W116" s="1">
        <v>11.106061467</v>
      </c>
      <c r="X116" s="1">
        <v>8.355422381</v>
      </c>
      <c r="Y116" s="1">
        <v>79.857051954</v>
      </c>
      <c r="Z116" s="1">
        <v>9.0</v>
      </c>
      <c r="AA116" s="1">
        <v>5.3032876628</v>
      </c>
      <c r="AB116" s="1">
        <v>68978.0</v>
      </c>
      <c r="AC116" s="1">
        <v>29.961221419</v>
      </c>
      <c r="AD116" s="1">
        <v>66.379739858</v>
      </c>
      <c r="AE116" s="1">
        <v>8.7419856014</v>
      </c>
      <c r="AF116" s="1">
        <v>1.7893825566</v>
      </c>
      <c r="AG116" s="1">
        <v>1.8843907736</v>
      </c>
      <c r="AH116" s="1">
        <v>4.0831523653</v>
      </c>
      <c r="AI116" s="1">
        <v>0.716780138499999</v>
      </c>
      <c r="AJ116" s="1">
        <v>16.864875572</v>
      </c>
      <c r="AK116" s="1">
        <v>72.970712525</v>
      </c>
      <c r="AL116" s="1">
        <v>3.3341507309</v>
      </c>
      <c r="AM116" s="1">
        <v>50.264849161</v>
      </c>
      <c r="AN116" s="1">
        <v>25.160048613</v>
      </c>
      <c r="AO116" s="1">
        <v>28996.0</v>
      </c>
      <c r="AP116" s="1">
        <v>11.4</v>
      </c>
      <c r="AQ116" s="1">
        <v>3.4</v>
      </c>
      <c r="AR116" s="1">
        <v>12.8</v>
      </c>
      <c r="AS116" s="1">
        <v>12.8</v>
      </c>
      <c r="AT116" s="1">
        <v>27.1</v>
      </c>
      <c r="AU116" s="1">
        <v>9.3</v>
      </c>
      <c r="AV116" s="1">
        <v>25.3</v>
      </c>
      <c r="AW116" s="1">
        <v>3.1</v>
      </c>
      <c r="AX116" s="1">
        <v>0.2677</v>
      </c>
      <c r="AY116" s="1">
        <v>8.9</v>
      </c>
      <c r="AZ116" s="1">
        <v>11.6</v>
      </c>
      <c r="BA116" s="1">
        <v>14.4</v>
      </c>
      <c r="BB116" s="1">
        <v>3.02</v>
      </c>
      <c r="BC116" s="1" t="s">
        <v>286</v>
      </c>
      <c r="BD116" s="1">
        <v>11.4</v>
      </c>
      <c r="BE116" s="1">
        <v>29.2</v>
      </c>
      <c r="BF116" s="1">
        <v>26.1</v>
      </c>
      <c r="BG116" s="1">
        <v>33.4</v>
      </c>
      <c r="BH116" s="1" t="s">
        <v>292</v>
      </c>
    </row>
    <row r="117">
      <c r="A117" s="2">
        <v>5009.0</v>
      </c>
      <c r="B117" s="2" t="str">
        <f>IFERROR(__xludf.DUMMYFUNCTION("TO_TEXT(A117)"),"05009")</f>
        <v>05009</v>
      </c>
      <c r="C117" s="1">
        <v>37301.0</v>
      </c>
      <c r="D117" s="1">
        <v>590.33078031366</v>
      </c>
      <c r="E117" s="1" t="s">
        <v>293</v>
      </c>
      <c r="F117" s="1" t="s">
        <v>294</v>
      </c>
      <c r="G117" s="1">
        <v>63.1866086673997</v>
      </c>
      <c r="H117" s="1">
        <v>21.217831003</v>
      </c>
      <c r="I117" s="1">
        <v>4.6404371332</v>
      </c>
      <c r="J117" s="1">
        <v>6.9174370418</v>
      </c>
      <c r="K117" s="1">
        <v>19.902994421</v>
      </c>
      <c r="L117" s="1">
        <v>34.4</v>
      </c>
      <c r="M117" s="1">
        <v>7.0</v>
      </c>
      <c r="N117" s="1">
        <v>30.2</v>
      </c>
      <c r="O117" s="1">
        <v>53.957672818</v>
      </c>
      <c r="P117" s="1">
        <v>8.6164801628</v>
      </c>
      <c r="Q117" s="1">
        <v>74.90436</v>
      </c>
      <c r="R117" s="1">
        <v>92.5925925929999</v>
      </c>
      <c r="S117" s="1">
        <v>21.5</v>
      </c>
      <c r="T117" s="1">
        <v>8220.0</v>
      </c>
      <c r="U117" s="1">
        <v>27.323600973</v>
      </c>
      <c r="V117" s="1">
        <v>551.20743862</v>
      </c>
      <c r="W117" s="1">
        <v>11.891165603</v>
      </c>
      <c r="X117" s="1">
        <v>9.1956373551</v>
      </c>
      <c r="Y117" s="1">
        <v>76.812035712</v>
      </c>
      <c r="Z117" s="1">
        <v>14.5</v>
      </c>
      <c r="AA117" s="1">
        <v>10.356405747</v>
      </c>
      <c r="AB117" s="1">
        <v>44482.0</v>
      </c>
      <c r="AC117" s="1">
        <v>31.277971159</v>
      </c>
      <c r="AD117" s="1">
        <v>71.54001345</v>
      </c>
      <c r="AE117" s="1">
        <v>8.7517433752</v>
      </c>
      <c r="AF117" s="1">
        <v>0.3628601921</v>
      </c>
      <c r="AG117" s="1">
        <v>0.869797225199999</v>
      </c>
      <c r="AH117" s="1">
        <v>0.6883671291</v>
      </c>
      <c r="AI117" s="1">
        <v>0.1147278549</v>
      </c>
      <c r="AJ117" s="1">
        <v>2.6120597652</v>
      </c>
      <c r="AK117" s="1">
        <v>93.601921025</v>
      </c>
      <c r="AL117" s="1">
        <v>0.0485714286</v>
      </c>
      <c r="AM117" s="1">
        <v>50.792422625</v>
      </c>
      <c r="AN117" s="1">
        <v>62.1981952689999</v>
      </c>
      <c r="AO117" s="1">
        <v>21719.0</v>
      </c>
      <c r="AP117" s="1">
        <v>17.5</v>
      </c>
      <c r="AQ117" s="1">
        <v>8.4</v>
      </c>
      <c r="AR117" s="1">
        <v>15.0</v>
      </c>
      <c r="AS117" s="1">
        <v>19.7</v>
      </c>
      <c r="AT117" s="1">
        <v>22.2</v>
      </c>
      <c r="AU117" s="1">
        <v>20.3</v>
      </c>
      <c r="AV117" s="1">
        <v>5.7</v>
      </c>
      <c r="AW117" s="1">
        <v>0.0</v>
      </c>
      <c r="AX117" s="1">
        <v>0.5731</v>
      </c>
      <c r="AY117" s="1">
        <v>15.1</v>
      </c>
      <c r="AZ117" s="1">
        <v>15.9</v>
      </c>
      <c r="BA117" s="1">
        <v>22.7</v>
      </c>
      <c r="BB117" s="1">
        <v>2.67</v>
      </c>
      <c r="BC117" s="1" t="s">
        <v>286</v>
      </c>
      <c r="BD117" s="1">
        <v>12.6</v>
      </c>
      <c r="BE117" s="1">
        <v>33.4</v>
      </c>
      <c r="BF117" s="1">
        <v>37.9</v>
      </c>
      <c r="BG117" s="1">
        <v>16.1</v>
      </c>
      <c r="BH117" s="1" t="s">
        <v>294</v>
      </c>
    </row>
    <row r="118">
      <c r="A118" s="2">
        <v>5011.0</v>
      </c>
      <c r="B118" s="2" t="str">
        <f>IFERROR(__xludf.DUMMYFUNCTION("TO_TEXT(A118)"),"05011")</f>
        <v>05011</v>
      </c>
      <c r="C118" s="1">
        <v>11096.0</v>
      </c>
      <c r="D118" s="1">
        <v>649.236101054246</v>
      </c>
      <c r="E118" s="1" t="s">
        <v>295</v>
      </c>
      <c r="F118" s="1" t="s">
        <v>296</v>
      </c>
      <c r="G118" s="1">
        <v>17.0908549016021</v>
      </c>
      <c r="H118" s="1">
        <v>28.442057219</v>
      </c>
      <c r="I118" s="1">
        <v>4.861078714</v>
      </c>
      <c r="J118" s="1">
        <v>9.7664543524</v>
      </c>
      <c r="K118" s="1">
        <v>21.76763047</v>
      </c>
      <c r="L118" s="1">
        <v>46.4</v>
      </c>
      <c r="M118" s="1">
        <v>6.5</v>
      </c>
      <c r="N118" s="1">
        <v>40.8</v>
      </c>
      <c r="O118" s="1">
        <v>66.996871741</v>
      </c>
      <c r="P118" s="1">
        <v>11.5567404659999</v>
      </c>
      <c r="Q118" s="1">
        <v>55.22828</v>
      </c>
      <c r="R118" s="1">
        <v>90.163934426</v>
      </c>
      <c r="S118" s="1">
        <v>29.8</v>
      </c>
      <c r="T118" s="1">
        <v>2557.0</v>
      </c>
      <c r="U118" s="1">
        <v>45.248337896</v>
      </c>
      <c r="V118" s="1">
        <v>261.40255994</v>
      </c>
      <c r="W118" s="1">
        <v>17.802197802</v>
      </c>
      <c r="X118" s="1">
        <v>14.4306651629999</v>
      </c>
      <c r="Y118" s="1">
        <v>73.654388065</v>
      </c>
      <c r="Z118" s="1">
        <v>16.1</v>
      </c>
      <c r="AA118" s="1">
        <v>5.1734806802</v>
      </c>
      <c r="AB118" s="1">
        <v>37729.0</v>
      </c>
      <c r="AC118" s="1">
        <v>1.9477434679</v>
      </c>
      <c r="AD118" s="1">
        <v>62.508265374</v>
      </c>
      <c r="AE118" s="1">
        <v>13.126491647</v>
      </c>
      <c r="AF118" s="1">
        <v>27.23685418</v>
      </c>
      <c r="AG118" s="1">
        <v>1.5233550518</v>
      </c>
      <c r="AH118" s="1">
        <v>0.4588418831</v>
      </c>
      <c r="AI118" s="1">
        <v>0.0458841883</v>
      </c>
      <c r="AJ118" s="1">
        <v>15.710746077</v>
      </c>
      <c r="AK118" s="1">
        <v>55.272093237</v>
      </c>
      <c r="AL118" s="1">
        <v>3.0294174946</v>
      </c>
      <c r="AM118" s="1">
        <v>51.307699367</v>
      </c>
      <c r="AN118" s="1">
        <v>49.59158846</v>
      </c>
      <c r="AO118" s="1">
        <v>20465.0</v>
      </c>
      <c r="AP118" s="1">
        <v>28.8</v>
      </c>
      <c r="AQ118" s="1">
        <v>11.0</v>
      </c>
      <c r="AR118" s="1">
        <v>20.1</v>
      </c>
      <c r="AS118" s="1">
        <v>18.3</v>
      </c>
      <c r="AT118" s="1">
        <v>23.5</v>
      </c>
      <c r="AU118" s="1">
        <v>23.2</v>
      </c>
      <c r="AV118" s="1">
        <v>43.5</v>
      </c>
      <c r="AW118" s="1">
        <v>3.1</v>
      </c>
      <c r="AX118" s="1">
        <v>0.9924</v>
      </c>
      <c r="AY118" s="1">
        <v>22.9</v>
      </c>
      <c r="AZ118" s="1">
        <v>19.6</v>
      </c>
      <c r="BA118" s="1">
        <v>26.7</v>
      </c>
      <c r="BB118" s="1">
        <v>2.88</v>
      </c>
      <c r="BC118" s="1" t="s">
        <v>286</v>
      </c>
      <c r="BD118" s="1">
        <v>19.0</v>
      </c>
      <c r="BE118" s="1">
        <v>41.3</v>
      </c>
      <c r="BF118" s="1">
        <v>25.4</v>
      </c>
      <c r="BG118" s="1">
        <v>14.3</v>
      </c>
      <c r="BH118" s="1" t="s">
        <v>296</v>
      </c>
    </row>
    <row r="119">
      <c r="A119" s="2">
        <v>5013.0</v>
      </c>
      <c r="B119" s="2" t="str">
        <f>IFERROR(__xludf.DUMMYFUNCTION("TO_TEXT(A119)"),"05013")</f>
        <v>05013</v>
      </c>
      <c r="C119" s="1">
        <v>5210.0</v>
      </c>
      <c r="D119" s="1">
        <v>628.564011170368</v>
      </c>
      <c r="E119" s="1" t="s">
        <v>74</v>
      </c>
      <c r="F119" s="1" t="s">
        <v>297</v>
      </c>
      <c r="G119" s="1">
        <v>8.28873417410445</v>
      </c>
      <c r="H119" s="1">
        <v>23.9755289119999</v>
      </c>
      <c r="I119" s="1">
        <v>4.7398127023</v>
      </c>
      <c r="J119" s="1">
        <v>8.253968254</v>
      </c>
      <c r="K119" s="1">
        <v>20.6248556559999</v>
      </c>
      <c r="L119" s="1">
        <v>29.4</v>
      </c>
      <c r="M119" s="1">
        <v>4.6</v>
      </c>
      <c r="N119" s="1">
        <v>37.1</v>
      </c>
      <c r="O119" s="1">
        <v>10.581222057</v>
      </c>
      <c r="P119" s="1">
        <v>8.3375570198</v>
      </c>
      <c r="Q119" s="1">
        <v>38.11702</v>
      </c>
      <c r="R119" s="1">
        <v>91.666666667</v>
      </c>
      <c r="S119" s="1">
        <v>21.1</v>
      </c>
      <c r="T119" s="1">
        <v>1037.0</v>
      </c>
      <c r="U119" s="1">
        <v>45.419479267</v>
      </c>
      <c r="V119" s="1">
        <v>211.17296986</v>
      </c>
      <c r="W119" s="1">
        <v>12.019230769</v>
      </c>
      <c r="X119" s="1">
        <v>10.970258411</v>
      </c>
      <c r="Y119" s="1">
        <v>73.695576481</v>
      </c>
      <c r="Z119" s="1">
        <v>17.2</v>
      </c>
      <c r="AA119" s="1">
        <v>32.550601099</v>
      </c>
      <c r="AB119" s="1">
        <v>44969.0</v>
      </c>
      <c r="AC119" s="1">
        <v>46.19205298</v>
      </c>
      <c r="AD119" s="1">
        <v>83.574380165</v>
      </c>
      <c r="AE119" s="1">
        <v>9.2225201072</v>
      </c>
      <c r="AF119" s="1">
        <v>21.224180406</v>
      </c>
      <c r="AG119" s="1">
        <v>0.7011559598</v>
      </c>
      <c r="AH119" s="1">
        <v>0.2842524161</v>
      </c>
      <c r="AI119" s="1">
        <v>0.0189501611</v>
      </c>
      <c r="AJ119" s="1">
        <v>4.0742846314</v>
      </c>
      <c r="AK119" s="1">
        <v>72.238014023</v>
      </c>
      <c r="AL119" s="1">
        <v>0.0</v>
      </c>
      <c r="AM119" s="1">
        <v>49.554671215</v>
      </c>
      <c r="AN119" s="1">
        <v>100.0</v>
      </c>
      <c r="AO119" s="1">
        <v>21093.0</v>
      </c>
      <c r="AP119" s="1">
        <v>19.2</v>
      </c>
      <c r="AQ119" s="1">
        <v>6.8</v>
      </c>
      <c r="AR119" s="1">
        <v>16.8</v>
      </c>
      <c r="AS119" s="1">
        <v>18.5</v>
      </c>
      <c r="AT119" s="1">
        <v>19.6</v>
      </c>
      <c r="AU119" s="1">
        <v>29.0</v>
      </c>
      <c r="AV119" s="1">
        <v>27.1</v>
      </c>
      <c r="AW119" s="1">
        <v>0.0</v>
      </c>
      <c r="AX119" s="1">
        <v>0.5683</v>
      </c>
      <c r="AY119" s="1">
        <v>15.4</v>
      </c>
      <c r="AZ119" s="1">
        <v>16.9</v>
      </c>
      <c r="BA119" s="1">
        <v>26.5</v>
      </c>
      <c r="BB119" s="1">
        <v>2.83</v>
      </c>
      <c r="BC119" s="1" t="s">
        <v>286</v>
      </c>
      <c r="BD119" s="1">
        <v>15.8</v>
      </c>
      <c r="BE119" s="1">
        <v>44.7</v>
      </c>
      <c r="BF119" s="1">
        <v>28.1</v>
      </c>
      <c r="BG119" s="1">
        <v>11.4</v>
      </c>
      <c r="BH119" s="1" t="s">
        <v>297</v>
      </c>
    </row>
    <row r="120">
      <c r="A120" s="2">
        <v>5015.0</v>
      </c>
      <c r="B120" s="2" t="str">
        <f>IFERROR(__xludf.DUMMYFUNCTION("TO_TEXT(A120)"),"05015")</f>
        <v>05015</v>
      </c>
      <c r="C120" s="1">
        <v>27690.0</v>
      </c>
      <c r="D120" s="1">
        <v>629.979382723662</v>
      </c>
      <c r="E120" s="1" t="s">
        <v>298</v>
      </c>
      <c r="F120" s="1" t="s">
        <v>299</v>
      </c>
      <c r="G120" s="1">
        <v>43.9538193778416</v>
      </c>
      <c r="H120" s="1">
        <v>22.0227691809999</v>
      </c>
      <c r="I120" s="1">
        <v>4.5278291208</v>
      </c>
      <c r="J120" s="1">
        <v>6.45748067299999</v>
      </c>
      <c r="K120" s="1">
        <v>18.372733646</v>
      </c>
      <c r="L120" s="1">
        <v>27.7</v>
      </c>
      <c r="M120" s="1">
        <v>8.1</v>
      </c>
      <c r="N120" s="1">
        <v>33.5</v>
      </c>
      <c r="O120" s="1">
        <v>52.2444072</v>
      </c>
      <c r="P120" s="1">
        <v>12.77965783</v>
      </c>
      <c r="Q120" s="1">
        <v>57.25737</v>
      </c>
      <c r="R120" s="1">
        <v>82.278481013</v>
      </c>
      <c r="S120" s="1">
        <v>24.8</v>
      </c>
      <c r="T120" s="1">
        <v>6103.0</v>
      </c>
      <c r="U120" s="1">
        <v>22.792069474</v>
      </c>
      <c r="V120" s="1">
        <v>336.59124863</v>
      </c>
      <c r="W120" s="1">
        <v>15.724137931</v>
      </c>
      <c r="X120" s="1">
        <v>10.31598513</v>
      </c>
      <c r="Y120" s="1">
        <v>76.2073768469999</v>
      </c>
      <c r="Z120" s="1">
        <v>8.5</v>
      </c>
      <c r="AA120" s="1">
        <v>3.8132992535</v>
      </c>
      <c r="AB120" s="1">
        <v>45023.0</v>
      </c>
      <c r="AC120" s="1">
        <v>46.950139205</v>
      </c>
      <c r="AD120" s="1">
        <v>75.978854941</v>
      </c>
      <c r="AE120" s="1">
        <v>8.6072423398</v>
      </c>
      <c r="AF120" s="1">
        <v>0.5491974631</v>
      </c>
      <c r="AG120" s="1">
        <v>1.3180739113</v>
      </c>
      <c r="AH120" s="1">
        <v>1.5448393155</v>
      </c>
      <c r="AI120" s="1">
        <v>1.0700492506</v>
      </c>
      <c r="AJ120" s="1">
        <v>15.242887007</v>
      </c>
      <c r="AK120" s="1">
        <v>79.194274174</v>
      </c>
      <c r="AL120" s="1">
        <v>3.9460691227</v>
      </c>
      <c r="AM120" s="1">
        <v>50.2285370089999</v>
      </c>
      <c r="AN120" s="1">
        <v>72.833928441</v>
      </c>
      <c r="AO120" s="1">
        <v>20888.0</v>
      </c>
      <c r="AP120" s="1">
        <v>17.5</v>
      </c>
      <c r="AQ120" s="1">
        <v>6.0</v>
      </c>
      <c r="AR120" s="1">
        <v>16.2</v>
      </c>
      <c r="AS120" s="1">
        <v>20.9</v>
      </c>
      <c r="AT120" s="1">
        <v>22.1</v>
      </c>
      <c r="AU120" s="1">
        <v>17.2</v>
      </c>
      <c r="AV120" s="1">
        <v>18.9</v>
      </c>
      <c r="AW120" s="1">
        <v>4.5</v>
      </c>
      <c r="AX120" s="1">
        <v>0.6826</v>
      </c>
      <c r="AY120" s="1">
        <v>14.7</v>
      </c>
      <c r="AZ120" s="1">
        <v>14.4</v>
      </c>
      <c r="BA120" s="1">
        <v>19.2</v>
      </c>
      <c r="BB120" s="1">
        <v>2.98</v>
      </c>
      <c r="BC120" s="1" t="s">
        <v>286</v>
      </c>
      <c r="BD120" s="1">
        <v>13.7</v>
      </c>
      <c r="BE120" s="1">
        <v>35.9</v>
      </c>
      <c r="BF120" s="1">
        <v>29.1</v>
      </c>
      <c r="BG120" s="1">
        <v>21.2</v>
      </c>
      <c r="BH120" s="1" t="s">
        <v>299</v>
      </c>
    </row>
    <row r="121">
      <c r="A121" s="2">
        <v>5017.0</v>
      </c>
      <c r="B121" s="2" t="str">
        <f>IFERROR(__xludf.DUMMYFUNCTION("TO_TEXT(A121)"),"05017")</f>
        <v>05017</v>
      </c>
      <c r="C121" s="1">
        <v>11189.0</v>
      </c>
      <c r="D121" s="1">
        <v>644.309824864042</v>
      </c>
      <c r="E121" s="1" t="s">
        <v>300</v>
      </c>
      <c r="F121" s="1" t="s">
        <v>301</v>
      </c>
      <c r="G121" s="1">
        <v>17.3658689782684</v>
      </c>
      <c r="H121" s="1">
        <v>30.052423775</v>
      </c>
      <c r="I121" s="1">
        <v>4.990559468</v>
      </c>
      <c r="J121" s="1">
        <v>11.029411765</v>
      </c>
      <c r="K121" s="1">
        <v>23.103409519</v>
      </c>
      <c r="L121" s="1">
        <v>38.8</v>
      </c>
      <c r="M121" s="1">
        <v>2.9</v>
      </c>
      <c r="N121" s="1">
        <v>35.6</v>
      </c>
      <c r="O121" s="1">
        <v>29.423728814</v>
      </c>
      <c r="P121" s="1">
        <v>8.9078233927</v>
      </c>
      <c r="Q121" s="1">
        <v>103.42234</v>
      </c>
      <c r="R121" s="1">
        <v>86.554621849</v>
      </c>
      <c r="S121" s="1">
        <v>44.1</v>
      </c>
      <c r="T121" s="1">
        <v>2456.0</v>
      </c>
      <c r="U121" s="1">
        <v>52.320846906</v>
      </c>
      <c r="V121" s="1">
        <v>366.78138018</v>
      </c>
      <c r="W121" s="1">
        <v>17.331812999</v>
      </c>
      <c r="X121" s="1">
        <v>15.671819263</v>
      </c>
      <c r="Y121" s="1">
        <v>73.779280375</v>
      </c>
      <c r="Z121" s="1">
        <v>9.7</v>
      </c>
      <c r="AA121" s="1">
        <v>33.39104809</v>
      </c>
      <c r="AB121" s="1">
        <v>31787.0</v>
      </c>
      <c r="AC121" s="1">
        <v>39.744451917</v>
      </c>
      <c r="AD121" s="1">
        <v>64.275766017</v>
      </c>
      <c r="AE121" s="1">
        <v>14.9053627759999</v>
      </c>
      <c r="AF121" s="1">
        <v>53.41061506</v>
      </c>
      <c r="AG121" s="1">
        <v>0.4694385898</v>
      </c>
      <c r="AH121" s="1">
        <v>0.7472695919</v>
      </c>
      <c r="AI121" s="1">
        <v>0.0383215175</v>
      </c>
      <c r="AJ121" s="1">
        <v>5.7865491473</v>
      </c>
      <c r="AK121" s="1">
        <v>38.915501054</v>
      </c>
      <c r="AL121" s="1">
        <v>1.1203931204</v>
      </c>
      <c r="AM121" s="1">
        <v>49.492239893</v>
      </c>
      <c r="AN121" s="1">
        <v>54.2796610169999</v>
      </c>
      <c r="AO121" s="1">
        <v>18853.0</v>
      </c>
      <c r="AP121" s="1">
        <v>30.9</v>
      </c>
      <c r="AQ121" s="1">
        <v>10.8</v>
      </c>
      <c r="AR121" s="1">
        <v>19.9</v>
      </c>
      <c r="AS121" s="1">
        <v>19.2</v>
      </c>
      <c r="AT121" s="1">
        <v>22.9</v>
      </c>
      <c r="AU121" s="1">
        <v>24.5</v>
      </c>
      <c r="AV121" s="1">
        <v>60.9</v>
      </c>
      <c r="AW121" s="1">
        <v>0.9</v>
      </c>
      <c r="AX121" s="1">
        <v>0.9975</v>
      </c>
      <c r="AY121" s="1">
        <v>31.0</v>
      </c>
      <c r="AZ121" s="1">
        <v>23.9</v>
      </c>
      <c r="BA121" s="1">
        <v>33.4</v>
      </c>
      <c r="BB121" s="1">
        <v>2.91</v>
      </c>
      <c r="BC121" s="1" t="s">
        <v>286</v>
      </c>
      <c r="BD121" s="1">
        <v>19.2</v>
      </c>
      <c r="BE121" s="1">
        <v>38.1</v>
      </c>
      <c r="BF121" s="1">
        <v>26.8</v>
      </c>
      <c r="BG121" s="1">
        <v>15.9</v>
      </c>
      <c r="BH121" s="1" t="s">
        <v>301</v>
      </c>
    </row>
    <row r="122">
      <c r="A122" s="2">
        <v>5019.0</v>
      </c>
      <c r="B122" s="2" t="str">
        <f>IFERROR(__xludf.DUMMYFUNCTION("TO_TEXT(A122)"),"05019")</f>
        <v>05019</v>
      </c>
      <c r="C122" s="1">
        <v>22684.0</v>
      </c>
      <c r="D122" s="1">
        <v>866.07388272196</v>
      </c>
      <c r="E122" s="1" t="s">
        <v>302</v>
      </c>
      <c r="F122" s="1" t="s">
        <v>303</v>
      </c>
      <c r="G122" s="1">
        <v>26.1917608330447</v>
      </c>
      <c r="H122" s="1">
        <v>23.742513205</v>
      </c>
      <c r="I122" s="1">
        <v>4.6832680925</v>
      </c>
      <c r="J122" s="1">
        <v>9.1074681239</v>
      </c>
      <c r="K122" s="1">
        <v>19.33947371</v>
      </c>
      <c r="L122" s="1">
        <v>26.9</v>
      </c>
      <c r="M122" s="1">
        <v>5.1</v>
      </c>
      <c r="N122" s="1">
        <v>38.3</v>
      </c>
      <c r="O122" s="1">
        <v>66.879756469</v>
      </c>
      <c r="P122" s="1">
        <v>7.2066968781</v>
      </c>
      <c r="Q122" s="1">
        <v>44.85713</v>
      </c>
      <c r="R122" s="1">
        <v>84.293193717</v>
      </c>
      <c r="S122" s="1">
        <v>26.4</v>
      </c>
      <c r="T122" s="1">
        <v>4203.0</v>
      </c>
      <c r="U122" s="1">
        <v>38.948370212</v>
      </c>
      <c r="V122" s="1">
        <v>329.47836278</v>
      </c>
      <c r="W122" s="1">
        <v>14.968696642</v>
      </c>
      <c r="X122" s="1">
        <v>12.246543779</v>
      </c>
      <c r="Y122" s="1">
        <v>75.638718913</v>
      </c>
      <c r="Z122" s="1">
        <v>14.8</v>
      </c>
      <c r="AA122" s="1">
        <v>21.455667302</v>
      </c>
      <c r="AB122" s="1">
        <v>45408.0</v>
      </c>
      <c r="AC122" s="1">
        <v>29.934082978</v>
      </c>
      <c r="AD122" s="1">
        <v>62.6807760139999</v>
      </c>
      <c r="AE122" s="1">
        <v>10.8925497909999</v>
      </c>
      <c r="AF122" s="1">
        <v>24.110421105</v>
      </c>
      <c r="AG122" s="1">
        <v>0.6527355968</v>
      </c>
      <c r="AH122" s="1">
        <v>0.6391369385</v>
      </c>
      <c r="AI122" s="1">
        <v>0.0543946331</v>
      </c>
      <c r="AJ122" s="1">
        <v>4.8819183174</v>
      </c>
      <c r="AK122" s="1">
        <v>68.437514165</v>
      </c>
      <c r="AL122" s="1">
        <v>0.7972074154</v>
      </c>
      <c r="AM122" s="1">
        <v>52.622274602</v>
      </c>
      <c r="AN122" s="1">
        <v>54.377038487</v>
      </c>
      <c r="AO122" s="1">
        <v>19500.0</v>
      </c>
      <c r="AP122" s="1">
        <v>24.0</v>
      </c>
      <c r="AQ122" s="1">
        <v>7.9</v>
      </c>
      <c r="AR122" s="1">
        <v>13.5</v>
      </c>
      <c r="AS122" s="1">
        <v>15.7</v>
      </c>
      <c r="AT122" s="1">
        <v>19.5</v>
      </c>
      <c r="AU122" s="1">
        <v>19.1</v>
      </c>
      <c r="AV122" s="1">
        <v>30.6</v>
      </c>
      <c r="AW122" s="1">
        <v>0.7</v>
      </c>
      <c r="AX122" s="1">
        <v>0.8714</v>
      </c>
      <c r="AY122" s="1">
        <v>20.6</v>
      </c>
      <c r="AZ122" s="1">
        <v>17.5</v>
      </c>
      <c r="BA122" s="1">
        <v>23.7</v>
      </c>
      <c r="BB122" s="1">
        <v>2.98</v>
      </c>
      <c r="BC122" s="1" t="s">
        <v>286</v>
      </c>
      <c r="BD122" s="1">
        <v>10.0</v>
      </c>
      <c r="BE122" s="1">
        <v>30.2</v>
      </c>
      <c r="BF122" s="1">
        <v>33.1</v>
      </c>
      <c r="BG122" s="1">
        <v>26.6</v>
      </c>
      <c r="BH122" s="1" t="s">
        <v>303</v>
      </c>
    </row>
    <row r="123">
      <c r="A123" s="2">
        <v>5021.0</v>
      </c>
      <c r="B123" s="2" t="str">
        <f>IFERROR(__xludf.DUMMYFUNCTION("TO_TEXT(A123)"),"05021")</f>
        <v>05021</v>
      </c>
      <c r="C123" s="1">
        <v>15202.0</v>
      </c>
      <c r="D123" s="1">
        <v>639.4476149648</v>
      </c>
      <c r="E123" s="1" t="s">
        <v>86</v>
      </c>
      <c r="F123" s="1" t="s">
        <v>304</v>
      </c>
      <c r="G123" s="1">
        <v>23.7736440706511</v>
      </c>
      <c r="H123" s="1">
        <v>22.5538313619999</v>
      </c>
      <c r="I123" s="1">
        <v>4.9261715864</v>
      </c>
      <c r="J123" s="1">
        <v>7.00256191289999</v>
      </c>
      <c r="K123" s="1">
        <v>20.333190979</v>
      </c>
      <c r="L123" s="1">
        <v>42.6</v>
      </c>
      <c r="M123" s="1">
        <v>7.1</v>
      </c>
      <c r="N123" s="1">
        <v>31.9</v>
      </c>
      <c r="O123" s="1">
        <v>52.179319779</v>
      </c>
      <c r="P123" s="1">
        <v>8.6579335473</v>
      </c>
      <c r="Q123" s="1">
        <v>13.40483</v>
      </c>
      <c r="R123" s="1">
        <v>93.081761006</v>
      </c>
      <c r="S123" s="1">
        <v>29.3</v>
      </c>
      <c r="T123" s="1">
        <v>3223.0</v>
      </c>
      <c r="U123" s="1">
        <v>45.764815389</v>
      </c>
      <c r="V123" s="1">
        <v>221.23893805</v>
      </c>
      <c r="W123" s="1">
        <v>13.013168087</v>
      </c>
      <c r="X123" s="1">
        <v>9.5200629426</v>
      </c>
      <c r="Y123" s="1">
        <v>73.195824757</v>
      </c>
      <c r="Z123" s="1">
        <v>15.4</v>
      </c>
      <c r="AA123" s="1">
        <v>4.306306956</v>
      </c>
      <c r="AB123" s="1">
        <v>37687.0</v>
      </c>
      <c r="AC123" s="1">
        <v>42.017149857</v>
      </c>
      <c r="AD123" s="1">
        <v>69.4612637789999</v>
      </c>
      <c r="AE123" s="1">
        <v>9.9785584694</v>
      </c>
      <c r="AF123" s="1">
        <v>0.747625782999999</v>
      </c>
      <c r="AG123" s="1">
        <v>0.5118879235</v>
      </c>
      <c r="AH123" s="1">
        <v>0.195325655</v>
      </c>
      <c r="AI123" s="1">
        <v>0.0202061022</v>
      </c>
      <c r="AJ123" s="1">
        <v>2.1351114703</v>
      </c>
      <c r="AK123" s="1">
        <v>95.177476931</v>
      </c>
      <c r="AL123" s="1">
        <v>0.1195499297</v>
      </c>
      <c r="AM123" s="1">
        <v>51.1349094089999</v>
      </c>
      <c r="AN123" s="1">
        <v>58.857178387</v>
      </c>
      <c r="AO123" s="1">
        <v>19192.0</v>
      </c>
      <c r="AP123" s="1">
        <v>22.2</v>
      </c>
      <c r="AQ123" s="1">
        <v>7.0</v>
      </c>
      <c r="AR123" s="1">
        <v>20.9</v>
      </c>
      <c r="AS123" s="1">
        <v>21.0</v>
      </c>
      <c r="AT123" s="1">
        <v>21.1</v>
      </c>
      <c r="AU123" s="1">
        <v>23.6</v>
      </c>
      <c r="AV123" s="1">
        <v>4.0</v>
      </c>
      <c r="AW123" s="1">
        <v>0.2</v>
      </c>
      <c r="AX123" s="1">
        <v>0.6507</v>
      </c>
      <c r="AY123" s="1">
        <v>18.7</v>
      </c>
      <c r="AZ123" s="1">
        <v>19.9</v>
      </c>
      <c r="BA123" s="1">
        <v>28.8</v>
      </c>
      <c r="BB123" s="1">
        <v>2.65</v>
      </c>
      <c r="BC123" s="1" t="s">
        <v>286</v>
      </c>
      <c r="BD123" s="1">
        <v>17.5</v>
      </c>
      <c r="BE123" s="1">
        <v>41.9</v>
      </c>
      <c r="BF123" s="1">
        <v>28.0</v>
      </c>
      <c r="BG123" s="1">
        <v>12.6</v>
      </c>
      <c r="BH123" s="1" t="s">
        <v>304</v>
      </c>
    </row>
    <row r="124">
      <c r="A124" s="2">
        <v>5023.0</v>
      </c>
      <c r="B124" s="2" t="str">
        <f>IFERROR(__xludf.DUMMYFUNCTION("TO_TEXT(A124)"),"05023")</f>
        <v>05023</v>
      </c>
      <c r="C124" s="1">
        <v>25587.0</v>
      </c>
      <c r="D124" s="1">
        <v>553.690253025622</v>
      </c>
      <c r="E124" s="1" t="s">
        <v>88</v>
      </c>
      <c r="F124" s="1" t="s">
        <v>305</v>
      </c>
      <c r="G124" s="1">
        <v>46.2117580365208</v>
      </c>
      <c r="H124" s="1">
        <v>20.06844482</v>
      </c>
      <c r="I124" s="1">
        <v>4.5759302338</v>
      </c>
      <c r="J124" s="1">
        <v>7.7208153181</v>
      </c>
      <c r="K124" s="1">
        <v>17.409398052</v>
      </c>
      <c r="L124" s="1">
        <v>36.6</v>
      </c>
      <c r="M124" s="1">
        <v>7.6</v>
      </c>
      <c r="N124" s="1">
        <v>34.3</v>
      </c>
      <c r="O124" s="1">
        <v>65.791297651</v>
      </c>
      <c r="P124" s="1">
        <v>9.1217696014</v>
      </c>
      <c r="Q124" s="1">
        <v>55.89269</v>
      </c>
      <c r="R124" s="1">
        <v>92.045454545</v>
      </c>
      <c r="S124" s="1">
        <v>23.8</v>
      </c>
      <c r="T124" s="1">
        <v>4752.0</v>
      </c>
      <c r="U124" s="1">
        <v>29.04040404</v>
      </c>
      <c r="V124" s="1">
        <v>367.18504555</v>
      </c>
      <c r="W124" s="1">
        <v>10.7142857139999</v>
      </c>
      <c r="X124" s="1">
        <v>8.7126774351</v>
      </c>
      <c r="Y124" s="1">
        <v>75.71160271</v>
      </c>
      <c r="Z124" s="1">
        <v>11.7</v>
      </c>
      <c r="AA124" s="1">
        <v>3.2608803105</v>
      </c>
      <c r="AB124" s="1">
        <v>44902.0</v>
      </c>
      <c r="AC124" s="1">
        <v>37.340619308</v>
      </c>
      <c r="AD124" s="1">
        <v>74.57832448</v>
      </c>
      <c r="AE124" s="1">
        <v>9.3911853806</v>
      </c>
      <c r="AF124" s="1">
        <v>0.3645103144</v>
      </c>
      <c r="AG124" s="1">
        <v>0.7450430603</v>
      </c>
      <c r="AH124" s="1">
        <v>0.5007009814</v>
      </c>
      <c r="AI124" s="1">
        <v>0.0400560785</v>
      </c>
      <c r="AJ124" s="1">
        <v>2.419387142</v>
      </c>
      <c r="AK124" s="1">
        <v>94.7005808129999</v>
      </c>
      <c r="AL124" s="1">
        <v>0.0</v>
      </c>
      <c r="AM124" s="1">
        <v>50.823152413</v>
      </c>
      <c r="AN124" s="1">
        <v>75.521755872</v>
      </c>
      <c r="AO124" s="1">
        <v>25078.0</v>
      </c>
      <c r="AP124" s="1">
        <v>15.5</v>
      </c>
      <c r="AQ124" s="1">
        <v>8.5</v>
      </c>
      <c r="AR124" s="1">
        <v>16.7</v>
      </c>
      <c r="AS124" s="1">
        <v>25.4</v>
      </c>
      <c r="AT124" s="1">
        <v>19.7</v>
      </c>
      <c r="AU124" s="1">
        <v>18.3</v>
      </c>
      <c r="AV124" s="1">
        <v>5.0</v>
      </c>
      <c r="AW124" s="1">
        <v>0.2</v>
      </c>
      <c r="AX124" s="1">
        <v>0.3706</v>
      </c>
      <c r="AY124" s="1">
        <v>14.1</v>
      </c>
      <c r="AZ124" s="1">
        <v>16.1</v>
      </c>
      <c r="BA124" s="1">
        <v>23.3</v>
      </c>
      <c r="BB124" s="1">
        <v>3.1</v>
      </c>
      <c r="BC124" s="1" t="s">
        <v>286</v>
      </c>
      <c r="BD124" s="1">
        <v>14.1</v>
      </c>
      <c r="BE124" s="1">
        <v>42.8</v>
      </c>
      <c r="BF124" s="1">
        <v>27.6</v>
      </c>
      <c r="BG124" s="1">
        <v>15.5</v>
      </c>
      <c r="BH124" s="1" t="s">
        <v>305</v>
      </c>
    </row>
    <row r="125">
      <c r="A125" s="2">
        <v>5025.0</v>
      </c>
      <c r="B125" s="2" t="str">
        <f>IFERROR(__xludf.DUMMYFUNCTION("TO_TEXT(A125)"),"05025")</f>
        <v>05025</v>
      </c>
      <c r="C125" s="1">
        <v>8421.0</v>
      </c>
      <c r="D125" s="1">
        <v>597.783407604507</v>
      </c>
      <c r="E125" s="1" t="s">
        <v>306</v>
      </c>
      <c r="F125" s="1" t="s">
        <v>307</v>
      </c>
      <c r="G125" s="1">
        <v>14.0870420504734</v>
      </c>
      <c r="H125" s="1">
        <v>22.0305959</v>
      </c>
      <c r="I125" s="1">
        <v>4.6735157552</v>
      </c>
      <c r="J125" s="1">
        <v>7.8014184397</v>
      </c>
      <c r="K125" s="1">
        <v>19.038559786</v>
      </c>
      <c r="L125" s="1">
        <v>35.5</v>
      </c>
      <c r="M125" s="1">
        <v>7.0</v>
      </c>
      <c r="N125" s="1">
        <v>32.9</v>
      </c>
      <c r="O125" s="1">
        <v>1.2429508574</v>
      </c>
      <c r="P125" s="1">
        <v>8.8858195212</v>
      </c>
      <c r="Q125" s="1">
        <v>12.19215</v>
      </c>
      <c r="R125" s="1">
        <v>95.652173913</v>
      </c>
      <c r="S125" s="1">
        <v>21.0</v>
      </c>
      <c r="T125" s="1">
        <v>1854.0</v>
      </c>
      <c r="U125" s="1">
        <v>32.84789644</v>
      </c>
      <c r="V125" s="1">
        <v>95.277794319</v>
      </c>
      <c r="W125" s="1">
        <v>7.93413173649999</v>
      </c>
      <c r="X125" s="1">
        <v>6.7175572519</v>
      </c>
      <c r="Y125" s="1">
        <v>74.505046371</v>
      </c>
      <c r="Z125" s="1">
        <v>17.1</v>
      </c>
      <c r="AA125" s="1">
        <v>5.5162997873</v>
      </c>
      <c r="AB125" s="1">
        <v>47600.0</v>
      </c>
      <c r="AC125" s="1">
        <v>22.766379881</v>
      </c>
      <c r="AD125" s="1">
        <v>75.394896719</v>
      </c>
      <c r="AE125" s="1">
        <v>7.35245631389999</v>
      </c>
      <c r="AF125" s="1">
        <v>11.46171115</v>
      </c>
      <c r="AG125" s="1">
        <v>0.5113494637</v>
      </c>
      <c r="AH125" s="1">
        <v>0.1621351958</v>
      </c>
      <c r="AI125" s="1">
        <v>0.0374158144</v>
      </c>
      <c r="AJ125" s="1">
        <v>2.3946121227</v>
      </c>
      <c r="AK125" s="1">
        <v>84.297829883</v>
      </c>
      <c r="AL125" s="1">
        <v>0.4236744126</v>
      </c>
      <c r="AM125" s="1">
        <v>50.3866300819999</v>
      </c>
      <c r="AN125" s="1">
        <v>100.0</v>
      </c>
      <c r="AO125" s="1">
        <v>21485.0</v>
      </c>
      <c r="AP125" s="1">
        <v>20.0</v>
      </c>
      <c r="AQ125" s="1">
        <v>8.9</v>
      </c>
      <c r="AR125" s="1">
        <v>13.9</v>
      </c>
      <c r="AS125" s="1">
        <v>18.6</v>
      </c>
      <c r="AT125" s="1">
        <v>23.0</v>
      </c>
      <c r="AU125" s="1">
        <v>22.6</v>
      </c>
      <c r="AV125" s="1">
        <v>15.3</v>
      </c>
      <c r="AW125" s="1">
        <v>0.7</v>
      </c>
      <c r="AX125" s="1">
        <v>0.6323</v>
      </c>
      <c r="AY125" s="1">
        <v>13.7</v>
      </c>
      <c r="AZ125" s="1">
        <v>17.5</v>
      </c>
      <c r="BA125" s="1">
        <v>26.6</v>
      </c>
      <c r="BB125" s="1">
        <v>2.95</v>
      </c>
      <c r="BC125" s="1" t="s">
        <v>286</v>
      </c>
      <c r="BD125" s="1">
        <v>10.4</v>
      </c>
      <c r="BE125" s="1">
        <v>46.6</v>
      </c>
      <c r="BF125" s="1">
        <v>26.8</v>
      </c>
      <c r="BG125" s="1">
        <v>16.2</v>
      </c>
      <c r="BH125" s="1" t="s">
        <v>307</v>
      </c>
    </row>
    <row r="126">
      <c r="A126" s="2">
        <v>5027.0</v>
      </c>
      <c r="B126" s="2" t="str">
        <f>IFERROR(__xludf.DUMMYFUNCTION("TO_TEXT(A126)"),"05027")</f>
        <v>05027</v>
      </c>
      <c r="C126" s="1">
        <v>24168.0</v>
      </c>
      <c r="D126" s="1">
        <v>766.06715195426</v>
      </c>
      <c r="E126" s="1" t="s">
        <v>308</v>
      </c>
      <c r="F126" s="1" t="s">
        <v>309</v>
      </c>
      <c r="G126" s="1">
        <v>31.5481481464734</v>
      </c>
      <c r="H126" s="1">
        <v>26.520424178</v>
      </c>
      <c r="I126" s="1">
        <v>4.95713373639999</v>
      </c>
      <c r="J126" s="1">
        <v>12.319920517</v>
      </c>
      <c r="K126" s="1">
        <v>20.4764249429999</v>
      </c>
      <c r="L126" s="1">
        <v>36.4</v>
      </c>
      <c r="M126" s="1">
        <v>5.9</v>
      </c>
      <c r="N126" s="1">
        <v>34.3</v>
      </c>
      <c r="O126" s="1">
        <v>41.731834474</v>
      </c>
      <c r="P126" s="1">
        <v>8.2783138649</v>
      </c>
      <c r="Q126" s="1">
        <v>59.25424</v>
      </c>
      <c r="R126" s="1">
        <v>90.650406504</v>
      </c>
      <c r="S126" s="1">
        <v>27.6</v>
      </c>
      <c r="T126" s="1">
        <v>4863.0</v>
      </c>
      <c r="U126" s="1">
        <v>45.548015628</v>
      </c>
      <c r="V126" s="1">
        <v>316.84489192</v>
      </c>
      <c r="W126" s="1">
        <v>9.9264705882</v>
      </c>
      <c r="X126" s="1">
        <v>8.8175494917</v>
      </c>
      <c r="Y126" s="1">
        <v>75.559910047</v>
      </c>
      <c r="Z126" s="1">
        <v>16.3</v>
      </c>
      <c r="AA126" s="1">
        <v>7.2379852963</v>
      </c>
      <c r="AB126" s="1">
        <v>40909.0</v>
      </c>
      <c r="AC126" s="1">
        <v>28.951048951</v>
      </c>
      <c r="AD126" s="1">
        <v>68.745815666</v>
      </c>
      <c r="AE126" s="1">
        <v>14.7952443859999</v>
      </c>
      <c r="AF126" s="1">
        <v>35.344351447</v>
      </c>
      <c r="AG126" s="1">
        <v>0.5948081744</v>
      </c>
      <c r="AH126" s="1">
        <v>1.066406084</v>
      </c>
      <c r="AI126" s="1">
        <v>0.0424862982</v>
      </c>
      <c r="AJ126" s="1">
        <v>2.8975655351</v>
      </c>
      <c r="AK126" s="1">
        <v>59.136678421</v>
      </c>
      <c r="AL126" s="1">
        <v>0.921474359</v>
      </c>
      <c r="AM126" s="1">
        <v>51.7695543189999</v>
      </c>
      <c r="AN126" s="1">
        <v>57.486151841</v>
      </c>
      <c r="AO126" s="1">
        <v>19922.0</v>
      </c>
      <c r="AP126" s="1">
        <v>24.9</v>
      </c>
      <c r="AQ126" s="1">
        <v>9.3</v>
      </c>
      <c r="AR126" s="1">
        <v>14.8</v>
      </c>
      <c r="AS126" s="1">
        <v>16.6</v>
      </c>
      <c r="AT126" s="1">
        <v>21.4</v>
      </c>
      <c r="AU126" s="1">
        <v>18.5</v>
      </c>
      <c r="AV126" s="1">
        <v>40.8</v>
      </c>
      <c r="AW126" s="1">
        <v>0.9</v>
      </c>
      <c r="AX126" s="1">
        <v>0.9236</v>
      </c>
      <c r="AY126" s="1">
        <v>21.2</v>
      </c>
      <c r="AZ126" s="1">
        <v>19.8</v>
      </c>
      <c r="BA126" s="1">
        <v>27.4</v>
      </c>
      <c r="BB126" s="1">
        <v>2.91</v>
      </c>
      <c r="BC126" s="1" t="s">
        <v>286</v>
      </c>
      <c r="BD126" s="1">
        <v>14.1</v>
      </c>
      <c r="BE126" s="1">
        <v>41.7</v>
      </c>
      <c r="BF126" s="1">
        <v>24.5</v>
      </c>
      <c r="BG126" s="1">
        <v>19.6</v>
      </c>
      <c r="BH126" s="1" t="s">
        <v>309</v>
      </c>
    </row>
    <row r="127">
      <c r="A127" s="2">
        <v>5029.0</v>
      </c>
      <c r="B127" s="2" t="str">
        <f>IFERROR(__xludf.DUMMYFUNCTION("TO_TEXT(A127)"),"05029")</f>
        <v>05029</v>
      </c>
      <c r="C127" s="1">
        <v>21060.0</v>
      </c>
      <c r="D127" s="1">
        <v>552.256504947638</v>
      </c>
      <c r="E127" s="1" t="s">
        <v>310</v>
      </c>
      <c r="F127" s="1" t="s">
        <v>311</v>
      </c>
      <c r="G127" s="1">
        <v>38.1344534855172</v>
      </c>
      <c r="H127" s="1">
        <v>22.154074123</v>
      </c>
      <c r="I127" s="1">
        <v>4.6648802061</v>
      </c>
      <c r="J127" s="1">
        <v>8.908045977</v>
      </c>
      <c r="K127" s="1">
        <v>19.000933819</v>
      </c>
      <c r="L127" s="1">
        <v>36.8</v>
      </c>
      <c r="M127" s="1">
        <v>6.9</v>
      </c>
      <c r="N127" s="1">
        <v>38.3</v>
      </c>
      <c r="O127" s="1">
        <v>42.91355239</v>
      </c>
      <c r="P127" s="1">
        <v>8.5021946967</v>
      </c>
      <c r="Q127" s="1">
        <v>66.9344</v>
      </c>
      <c r="R127" s="1">
        <v>85.520361991</v>
      </c>
      <c r="S127" s="1">
        <v>26.5</v>
      </c>
      <c r="T127" s="1">
        <v>4716.0</v>
      </c>
      <c r="U127" s="1">
        <v>34.096692112</v>
      </c>
      <c r="V127" s="1">
        <v>210.99547189</v>
      </c>
      <c r="W127" s="1">
        <v>13.755980861</v>
      </c>
      <c r="X127" s="1">
        <v>10.664251208</v>
      </c>
      <c r="Y127" s="1">
        <v>74.916093065</v>
      </c>
      <c r="Z127" s="1">
        <v>18.5</v>
      </c>
      <c r="AA127" s="1">
        <v>6.300562421</v>
      </c>
      <c r="AB127" s="1">
        <v>44565.0</v>
      </c>
      <c r="AC127" s="1">
        <v>56.3592525619999</v>
      </c>
      <c r="AD127" s="1">
        <v>68.271386431</v>
      </c>
      <c r="AE127" s="1">
        <v>8.9256198347</v>
      </c>
      <c r="AF127" s="1">
        <v>11.3110909</v>
      </c>
      <c r="AG127" s="1">
        <v>0.8759753004</v>
      </c>
      <c r="AH127" s="1">
        <v>0.4643147767</v>
      </c>
      <c r="AI127" s="1">
        <v>0.0335072519</v>
      </c>
      <c r="AJ127" s="1">
        <v>4.0208702312</v>
      </c>
      <c r="AK127" s="1">
        <v>81.317313676</v>
      </c>
      <c r="AL127" s="1">
        <v>0.9151921904</v>
      </c>
      <c r="AM127" s="1">
        <v>50.887942176</v>
      </c>
      <c r="AN127" s="1">
        <v>70.516617308</v>
      </c>
      <c r="AO127" s="1">
        <v>21896.0</v>
      </c>
      <c r="AP127" s="1">
        <v>21.5</v>
      </c>
      <c r="AQ127" s="1">
        <v>7.2</v>
      </c>
      <c r="AR127" s="1">
        <v>15.0</v>
      </c>
      <c r="AS127" s="1">
        <v>18.3</v>
      </c>
      <c r="AT127" s="1">
        <v>23.1</v>
      </c>
      <c r="AU127" s="1">
        <v>20.9</v>
      </c>
      <c r="AV127" s="1">
        <v>18.2</v>
      </c>
      <c r="AW127" s="1">
        <v>0.7</v>
      </c>
      <c r="AX127" s="1">
        <v>0.7778</v>
      </c>
      <c r="AY127" s="1">
        <v>15.6</v>
      </c>
      <c r="AZ127" s="1">
        <v>18.5</v>
      </c>
      <c r="BA127" s="1">
        <v>25.8</v>
      </c>
      <c r="BB127" s="1">
        <v>2.79</v>
      </c>
      <c r="BC127" s="1" t="s">
        <v>286</v>
      </c>
      <c r="BD127" s="1">
        <v>13.0</v>
      </c>
      <c r="BE127" s="1">
        <v>43.8</v>
      </c>
      <c r="BF127" s="1">
        <v>27.6</v>
      </c>
      <c r="BG127" s="1">
        <v>15.6</v>
      </c>
      <c r="BH127" s="1" t="s">
        <v>311</v>
      </c>
    </row>
    <row r="128">
      <c r="A128" s="2">
        <v>5031.0</v>
      </c>
      <c r="B128" s="2" t="str">
        <f>IFERROR(__xludf.DUMMYFUNCTION("TO_TEXT(A128)"),"05031")</f>
        <v>05031</v>
      </c>
      <c r="C128" s="1">
        <v>102884.0</v>
      </c>
      <c r="D128" s="1">
        <v>707.27971124309</v>
      </c>
      <c r="E128" s="1" t="s">
        <v>312</v>
      </c>
      <c r="F128" s="1" t="s">
        <v>313</v>
      </c>
      <c r="G128" s="1">
        <v>145.464373379486</v>
      </c>
      <c r="H128" s="1">
        <v>22.717330723</v>
      </c>
      <c r="I128" s="1">
        <v>4.9287783847</v>
      </c>
      <c r="J128" s="1">
        <v>9.0891584826</v>
      </c>
      <c r="K128" s="1">
        <v>20.762920838</v>
      </c>
      <c r="L128" s="1">
        <v>38.2</v>
      </c>
      <c r="M128" s="1">
        <v>6.7</v>
      </c>
      <c r="N128" s="1">
        <v>34.0</v>
      </c>
      <c r="O128" s="1">
        <v>64.566635215</v>
      </c>
      <c r="P128" s="1">
        <v>7.9404688636</v>
      </c>
      <c r="Q128" s="1">
        <v>115.76343</v>
      </c>
      <c r="R128" s="1">
        <v>92.5925925929999</v>
      </c>
      <c r="S128" s="1">
        <v>24.9</v>
      </c>
      <c r="T128" s="1">
        <v>25727.0</v>
      </c>
      <c r="U128" s="1">
        <v>43.277490574</v>
      </c>
      <c r="V128" s="1">
        <v>431.20608197</v>
      </c>
      <c r="W128" s="1">
        <v>14.7540983609999</v>
      </c>
      <c r="X128" s="1">
        <v>12.25974026</v>
      </c>
      <c r="Y128" s="1">
        <v>76.832532885</v>
      </c>
      <c r="Z128" s="1">
        <v>13.9</v>
      </c>
      <c r="AA128" s="1">
        <v>8.565899244</v>
      </c>
      <c r="AB128" s="1">
        <v>45615.0</v>
      </c>
      <c r="AC128" s="1">
        <v>38.263968969</v>
      </c>
      <c r="AD128" s="1">
        <v>57.4632352939999</v>
      </c>
      <c r="AE128" s="1">
        <v>13.049514114</v>
      </c>
      <c r="AF128" s="1">
        <v>16.029219403</v>
      </c>
      <c r="AG128" s="1">
        <v>0.5407247739</v>
      </c>
      <c r="AH128" s="1">
        <v>1.248180696</v>
      </c>
      <c r="AI128" s="1">
        <v>0.0561911605</v>
      </c>
      <c r="AJ128" s="1">
        <v>5.1806407635</v>
      </c>
      <c r="AK128" s="1">
        <v>75.597376518</v>
      </c>
      <c r="AL128" s="1">
        <v>0.8971255365</v>
      </c>
      <c r="AM128" s="1">
        <v>51.42688701</v>
      </c>
      <c r="AN128" s="1">
        <v>32.168223718</v>
      </c>
      <c r="AO128" s="1">
        <v>24226.0</v>
      </c>
      <c r="AP128" s="1">
        <v>18.9</v>
      </c>
      <c r="AQ128" s="1">
        <v>6.3</v>
      </c>
      <c r="AR128" s="1">
        <v>12.0</v>
      </c>
      <c r="AS128" s="1">
        <v>12.8</v>
      </c>
      <c r="AT128" s="1">
        <v>24.8</v>
      </c>
      <c r="AU128" s="1">
        <v>17.7</v>
      </c>
      <c r="AV128" s="1">
        <v>22.0</v>
      </c>
      <c r="AW128" s="1">
        <v>0.9</v>
      </c>
      <c r="AX128" s="1">
        <v>0.7593</v>
      </c>
      <c r="AY128" s="1">
        <v>16.9</v>
      </c>
      <c r="AZ128" s="1">
        <v>16.8</v>
      </c>
      <c r="BA128" s="1">
        <v>21.8</v>
      </c>
      <c r="BB128" s="1">
        <v>2.75</v>
      </c>
      <c r="BC128" s="1" t="s">
        <v>286</v>
      </c>
      <c r="BD128" s="1">
        <v>10.7</v>
      </c>
      <c r="BE128" s="1">
        <v>34.6</v>
      </c>
      <c r="BF128" s="1">
        <v>28.5</v>
      </c>
      <c r="BG128" s="1">
        <v>26.2</v>
      </c>
      <c r="BH128" s="1" t="s">
        <v>313</v>
      </c>
    </row>
    <row r="129">
      <c r="A129" s="2">
        <v>5033.0</v>
      </c>
      <c r="B129" s="2" t="str">
        <f>IFERROR(__xludf.DUMMYFUNCTION("TO_TEXT(A129)"),"05033")</f>
        <v>05033</v>
      </c>
      <c r="C129" s="1">
        <v>61927.0</v>
      </c>
      <c r="D129" s="1">
        <v>591.177170724143</v>
      </c>
      <c r="E129" s="1" t="s">
        <v>314</v>
      </c>
      <c r="F129" s="1" t="s">
        <v>315</v>
      </c>
      <c r="G129" s="1">
        <v>104.752015244676</v>
      </c>
      <c r="H129" s="1">
        <v>20.108698295</v>
      </c>
      <c r="I129" s="1">
        <v>4.7792006058</v>
      </c>
      <c r="J129" s="1">
        <v>7.7653631285</v>
      </c>
      <c r="K129" s="1">
        <v>19.004177141</v>
      </c>
      <c r="L129" s="1">
        <v>35.2</v>
      </c>
      <c r="M129" s="1">
        <v>7.4</v>
      </c>
      <c r="N129" s="1">
        <v>31.0</v>
      </c>
      <c r="O129" s="1">
        <v>74.449538322</v>
      </c>
      <c r="P129" s="1">
        <v>9.8941616995</v>
      </c>
      <c r="Q129" s="1">
        <v>39.68506</v>
      </c>
      <c r="R129" s="1">
        <v>90.3376018629999</v>
      </c>
      <c r="S129" s="1">
        <v>22.8</v>
      </c>
      <c r="T129" s="1">
        <v>15395.0</v>
      </c>
      <c r="U129" s="1">
        <v>31.614160442</v>
      </c>
      <c r="V129" s="1">
        <v>380.19415898</v>
      </c>
      <c r="W129" s="1">
        <v>13.821656051</v>
      </c>
      <c r="X129" s="1">
        <v>10.372455608</v>
      </c>
      <c r="Y129" s="1">
        <v>76.376156601</v>
      </c>
      <c r="Z129" s="1">
        <v>15.0</v>
      </c>
      <c r="AA129" s="1">
        <v>7.8368922521</v>
      </c>
      <c r="AB129" s="1">
        <v>47363.0</v>
      </c>
      <c r="AC129" s="1">
        <v>38.112756369</v>
      </c>
      <c r="AD129" s="1">
        <v>76.714062698</v>
      </c>
      <c r="AE129" s="1">
        <v>10.236083283</v>
      </c>
      <c r="AF129" s="1">
        <v>1.4036526512</v>
      </c>
      <c r="AG129" s="1">
        <v>2.5581175283</v>
      </c>
      <c r="AH129" s="1">
        <v>1.654417563</v>
      </c>
      <c r="AI129" s="1">
        <v>0.0646626501999999</v>
      </c>
      <c r="AJ129" s="1">
        <v>8.0449799703</v>
      </c>
      <c r="AK129" s="1">
        <v>83.816988928</v>
      </c>
      <c r="AL129" s="1">
        <v>1.201467702</v>
      </c>
      <c r="AM129" s="1">
        <v>50.701826326</v>
      </c>
      <c r="AN129" s="1">
        <v>51.961322399</v>
      </c>
      <c r="AO129" s="1">
        <v>20889.0</v>
      </c>
      <c r="AP129" s="1">
        <v>18.8</v>
      </c>
      <c r="AQ129" s="1">
        <v>7.1</v>
      </c>
      <c r="AR129" s="1">
        <v>14.7</v>
      </c>
      <c r="AS129" s="1">
        <v>15.3</v>
      </c>
      <c r="AT129" s="1">
        <v>25.1</v>
      </c>
      <c r="AU129" s="1">
        <v>18.8</v>
      </c>
      <c r="AV129" s="1">
        <v>14.5</v>
      </c>
      <c r="AW129" s="1">
        <v>1.3</v>
      </c>
      <c r="AX129" s="1">
        <v>0.6606</v>
      </c>
      <c r="AY129" s="1">
        <v>18.3</v>
      </c>
      <c r="AZ129" s="1">
        <v>16.0</v>
      </c>
      <c r="BA129" s="1">
        <v>22.6</v>
      </c>
      <c r="BB129" s="1">
        <v>2.75</v>
      </c>
      <c r="BC129" s="1" t="s">
        <v>286</v>
      </c>
      <c r="BD129" s="1">
        <v>15.0</v>
      </c>
      <c r="BE129" s="1">
        <v>37.3</v>
      </c>
      <c r="BF129" s="1">
        <v>31.7</v>
      </c>
      <c r="BG129" s="1">
        <v>16.0</v>
      </c>
      <c r="BH129" s="1" t="s">
        <v>315</v>
      </c>
    </row>
    <row r="130">
      <c r="A130" s="2">
        <v>5035.0</v>
      </c>
      <c r="B130" s="2" t="str">
        <f>IFERROR(__xludf.DUMMYFUNCTION("TO_TEXT(A130)"),"05035")</f>
        <v>05035</v>
      </c>
      <c r="C130" s="1">
        <v>49511.0</v>
      </c>
      <c r="D130" s="1">
        <v>610.329484757316</v>
      </c>
      <c r="E130" s="1" t="s">
        <v>316</v>
      </c>
      <c r="F130" s="1" t="s">
        <v>317</v>
      </c>
      <c r="G130" s="1">
        <v>81.121756750269</v>
      </c>
      <c r="H130" s="1">
        <v>25.870442919</v>
      </c>
      <c r="I130" s="1">
        <v>4.8389930599</v>
      </c>
      <c r="J130" s="1">
        <v>13.80583241</v>
      </c>
      <c r="K130" s="1">
        <v>23.311338002</v>
      </c>
      <c r="L130" s="1">
        <v>41.3</v>
      </c>
      <c r="M130" s="1">
        <v>5.8</v>
      </c>
      <c r="N130" s="1">
        <v>37.8</v>
      </c>
      <c r="O130" s="1">
        <v>73.016777337</v>
      </c>
      <c r="P130" s="1">
        <v>7.98873791159999</v>
      </c>
      <c r="Q130" s="1">
        <v>34.87179</v>
      </c>
      <c r="R130" s="1">
        <v>89.081225033</v>
      </c>
      <c r="S130" s="1">
        <v>29.0</v>
      </c>
      <c r="T130" s="1">
        <v>13250.0</v>
      </c>
      <c r="U130" s="1">
        <v>52.988679245</v>
      </c>
      <c r="V130" s="1">
        <v>1274.2625512</v>
      </c>
      <c r="W130" s="1">
        <v>18.167072182</v>
      </c>
      <c r="X130" s="1">
        <v>14.657079646</v>
      </c>
      <c r="Y130" s="1">
        <v>72.888538347</v>
      </c>
      <c r="Z130" s="1">
        <v>19.6</v>
      </c>
      <c r="AA130" s="1">
        <v>4.9532027225</v>
      </c>
      <c r="AB130" s="1">
        <v>42606.0</v>
      </c>
      <c r="AC130" s="1">
        <v>43.804868316</v>
      </c>
      <c r="AD130" s="1">
        <v>57.960119428</v>
      </c>
      <c r="AE130" s="1">
        <v>14.726065924</v>
      </c>
      <c r="AF130" s="1">
        <v>53.661412436</v>
      </c>
      <c r="AG130" s="1">
        <v>0.384758595</v>
      </c>
      <c r="AH130" s="1">
        <v>0.672293244</v>
      </c>
      <c r="AI130" s="1">
        <v>0.0620578379</v>
      </c>
      <c r="AJ130" s="1">
        <v>2.6209093542</v>
      </c>
      <c r="AK130" s="1">
        <v>41.475321666</v>
      </c>
      <c r="AL130" s="1">
        <v>0.4859730506</v>
      </c>
      <c r="AM130" s="1">
        <v>52.3995697319999</v>
      </c>
      <c r="AN130" s="1">
        <v>20.887195002</v>
      </c>
      <c r="AO130" s="1">
        <v>20133.0</v>
      </c>
      <c r="AP130" s="1">
        <v>24.6</v>
      </c>
      <c r="AQ130" s="1">
        <v>9.1</v>
      </c>
      <c r="AR130" s="1">
        <v>18.2</v>
      </c>
      <c r="AS130" s="1">
        <v>12.2</v>
      </c>
      <c r="AT130" s="1">
        <v>28.1</v>
      </c>
      <c r="AU130" s="1">
        <v>17.5</v>
      </c>
      <c r="AV130" s="1">
        <v>56.3</v>
      </c>
      <c r="AW130" s="1">
        <v>0.5</v>
      </c>
      <c r="AX130" s="1">
        <v>0.9217</v>
      </c>
      <c r="AY130" s="1">
        <v>22.4</v>
      </c>
      <c r="AZ130" s="1">
        <v>19.3</v>
      </c>
      <c r="BA130" s="1">
        <v>26.5</v>
      </c>
      <c r="BB130" s="1">
        <v>2.96</v>
      </c>
      <c r="BC130" s="1" t="s">
        <v>286</v>
      </c>
      <c r="BD130" s="1">
        <v>17.4</v>
      </c>
      <c r="BE130" s="1">
        <v>34.8</v>
      </c>
      <c r="BF130" s="1">
        <v>30.4</v>
      </c>
      <c r="BG130" s="1">
        <v>17.4</v>
      </c>
      <c r="BH130" s="1" t="s">
        <v>317</v>
      </c>
    </row>
    <row r="131">
      <c r="A131" s="2">
        <v>5037.0</v>
      </c>
      <c r="B131" s="2" t="str">
        <f>IFERROR(__xludf.DUMMYFUNCTION("TO_TEXT(A131)"),"05037")</f>
        <v>05037</v>
      </c>
      <c r="C131" s="1">
        <v>17329.0</v>
      </c>
      <c r="D131" s="1">
        <v>616.380332443576</v>
      </c>
      <c r="E131" s="1" t="s">
        <v>318</v>
      </c>
      <c r="F131" s="1" t="s">
        <v>319</v>
      </c>
      <c r="G131" s="1">
        <v>28.1141351984755</v>
      </c>
      <c r="H131" s="1">
        <v>23.667438515</v>
      </c>
      <c r="I131" s="1">
        <v>4.8444909307</v>
      </c>
      <c r="J131" s="1">
        <v>10.788113695</v>
      </c>
      <c r="K131" s="1">
        <v>20.48800941</v>
      </c>
      <c r="L131" s="1">
        <v>38.9</v>
      </c>
      <c r="M131" s="1">
        <v>6.7</v>
      </c>
      <c r="N131" s="1">
        <v>36.5</v>
      </c>
      <c r="O131" s="1">
        <v>49.725797426</v>
      </c>
      <c r="P131" s="1">
        <v>8.8189674274</v>
      </c>
      <c r="Q131" s="1">
        <v>41.511</v>
      </c>
      <c r="R131" s="1">
        <v>92.09486166</v>
      </c>
      <c r="S131" s="1">
        <v>27.6</v>
      </c>
      <c r="T131" s="1">
        <v>4029.0</v>
      </c>
      <c r="U131" s="1">
        <v>39.563167039</v>
      </c>
      <c r="V131" s="1">
        <v>664.31748599</v>
      </c>
      <c r="W131" s="1">
        <v>12.900820283</v>
      </c>
      <c r="X131" s="1">
        <v>11.7431192659999</v>
      </c>
      <c r="Y131" s="1">
        <v>72.67955455</v>
      </c>
      <c r="Z131" s="1">
        <v>16.9</v>
      </c>
      <c r="AA131" s="1">
        <v>6.4161126151</v>
      </c>
      <c r="AB131" s="1">
        <v>41214.0</v>
      </c>
      <c r="AC131" s="1">
        <v>30.429558426</v>
      </c>
      <c r="AD131" s="1">
        <v>67.433522558</v>
      </c>
      <c r="AE131" s="1">
        <v>11.589991929</v>
      </c>
      <c r="AF131" s="1">
        <v>22.721276085</v>
      </c>
      <c r="AG131" s="1">
        <v>0.4137682898</v>
      </c>
      <c r="AH131" s="1">
        <v>0.7555768769</v>
      </c>
      <c r="AI131" s="1">
        <v>0.047973135</v>
      </c>
      <c r="AJ131" s="1">
        <v>2.0028783881</v>
      </c>
      <c r="AK131" s="1">
        <v>72.739266011</v>
      </c>
      <c r="AL131" s="1">
        <v>0.0629722922</v>
      </c>
      <c r="AM131" s="1">
        <v>51.763012713</v>
      </c>
      <c r="AN131" s="1">
        <v>56.787912703</v>
      </c>
      <c r="AO131" s="1">
        <v>20692.0</v>
      </c>
      <c r="AP131" s="1">
        <v>19.8</v>
      </c>
      <c r="AQ131" s="1">
        <v>7.5</v>
      </c>
      <c r="AR131" s="1">
        <v>19.3</v>
      </c>
      <c r="AS131" s="1">
        <v>17.1</v>
      </c>
      <c r="AT131" s="1">
        <v>24.6</v>
      </c>
      <c r="AU131" s="1">
        <v>21.9</v>
      </c>
      <c r="AV131" s="1">
        <v>26.8</v>
      </c>
      <c r="AW131" s="1">
        <v>0.2</v>
      </c>
      <c r="AX131" s="1">
        <v>0.7408</v>
      </c>
      <c r="AY131" s="1">
        <v>17.8</v>
      </c>
      <c r="AZ131" s="1">
        <v>17.7</v>
      </c>
      <c r="BA131" s="1">
        <v>23.5</v>
      </c>
      <c r="BB131" s="1">
        <v>2.81</v>
      </c>
      <c r="BC131" s="1" t="s">
        <v>286</v>
      </c>
      <c r="BD131" s="1">
        <v>16.4</v>
      </c>
      <c r="BE131" s="1">
        <v>41.5</v>
      </c>
      <c r="BF131" s="1">
        <v>27.7</v>
      </c>
      <c r="BG131" s="1">
        <v>14.4</v>
      </c>
      <c r="BH131" s="1" t="s">
        <v>319</v>
      </c>
    </row>
    <row r="132">
      <c r="A132" s="2">
        <v>5039.0</v>
      </c>
      <c r="B132" s="2" t="str">
        <f>IFERROR(__xludf.DUMMYFUNCTION("TO_TEXT(A132)"),"05039")</f>
        <v>05039</v>
      </c>
      <c r="C132" s="1">
        <v>7738.0</v>
      </c>
      <c r="D132" s="1">
        <v>667.386000858734</v>
      </c>
      <c r="E132" s="1" t="s">
        <v>106</v>
      </c>
      <c r="F132" s="1" t="s">
        <v>320</v>
      </c>
      <c r="G132" s="1">
        <v>11.5944895308613</v>
      </c>
      <c r="H132" s="1">
        <v>22.724611879</v>
      </c>
      <c r="I132" s="1">
        <v>4.5443712804</v>
      </c>
      <c r="J132" s="1">
        <v>11.434108527</v>
      </c>
      <c r="K132" s="1">
        <v>19.211906124</v>
      </c>
      <c r="L132" s="1">
        <v>38.5</v>
      </c>
      <c r="M132" s="1">
        <v>5.5</v>
      </c>
      <c r="N132" s="1">
        <v>44.6</v>
      </c>
      <c r="O132" s="1">
        <v>18.482010843</v>
      </c>
      <c r="P132" s="1">
        <v>8.0890538033</v>
      </c>
      <c r="Q132" s="1">
        <v>40.57893</v>
      </c>
      <c r="R132" s="1">
        <v>86.956521739</v>
      </c>
      <c r="S132" s="1">
        <v>34.2</v>
      </c>
      <c r="T132" s="1">
        <v>1174.0</v>
      </c>
      <c r="U132" s="1">
        <v>40.119250426</v>
      </c>
      <c r="V132" s="1">
        <v>597.36380754</v>
      </c>
      <c r="W132" s="1">
        <v>9.9378881988</v>
      </c>
      <c r="X132" s="1">
        <v>7.0125786164</v>
      </c>
      <c r="Y132" s="1">
        <v>74.645275664</v>
      </c>
      <c r="Z132" s="1">
        <v>7.7</v>
      </c>
      <c r="AA132" s="1">
        <v>18.307766575</v>
      </c>
      <c r="AB132" s="1">
        <v>37259.0</v>
      </c>
      <c r="AC132" s="1">
        <v>12.111292962</v>
      </c>
      <c r="AD132" s="1">
        <v>67.919551599</v>
      </c>
      <c r="AE132" s="1">
        <v>8.2809224319</v>
      </c>
      <c r="AF132" s="1">
        <v>41.214146477</v>
      </c>
      <c r="AG132" s="1">
        <v>0.626566416</v>
      </c>
      <c r="AH132" s="1">
        <v>0.2367028683</v>
      </c>
      <c r="AI132" s="1">
        <v>0.0556947925</v>
      </c>
      <c r="AJ132" s="1">
        <v>3.3695349485</v>
      </c>
      <c r="AK132" s="1">
        <v>53.06321359</v>
      </c>
      <c r="AL132" s="1">
        <v>0.6795016988</v>
      </c>
      <c r="AM132" s="1">
        <v>50.584795322</v>
      </c>
      <c r="AN132" s="1">
        <v>52.63676688</v>
      </c>
      <c r="AO132" s="1">
        <v>17803.0</v>
      </c>
      <c r="AP132" s="1">
        <v>14.7</v>
      </c>
      <c r="AQ132" s="1">
        <v>7.1</v>
      </c>
      <c r="AR132" s="1">
        <v>16.6</v>
      </c>
      <c r="AS132" s="1">
        <v>20.2</v>
      </c>
      <c r="AT132" s="1">
        <v>23.4</v>
      </c>
      <c r="AU132" s="1">
        <v>24.9</v>
      </c>
      <c r="AV132" s="1">
        <v>46.7</v>
      </c>
      <c r="AW132" s="1">
        <v>0.9</v>
      </c>
      <c r="AX132" s="1">
        <v>0.8641</v>
      </c>
      <c r="AY132" s="1">
        <v>18.8</v>
      </c>
      <c r="AZ132" s="1">
        <v>17.8</v>
      </c>
      <c r="BA132" s="1">
        <v>23.7</v>
      </c>
      <c r="BB132" s="1">
        <v>2.89</v>
      </c>
      <c r="BC132" s="1" t="s">
        <v>286</v>
      </c>
      <c r="BD132" s="1">
        <v>16.1</v>
      </c>
      <c r="BE132" s="1">
        <v>44.1</v>
      </c>
      <c r="BF132" s="1">
        <v>28.0</v>
      </c>
      <c r="BG132" s="1">
        <v>11.9</v>
      </c>
      <c r="BH132" s="1" t="s">
        <v>320</v>
      </c>
    </row>
    <row r="133">
      <c r="A133" s="2">
        <v>5041.0</v>
      </c>
      <c r="B133" s="2" t="str">
        <f>IFERROR(__xludf.DUMMYFUNCTION("TO_TEXT(A133)"),"05041")</f>
        <v>05041</v>
      </c>
      <c r="C133" s="1">
        <v>12234.0</v>
      </c>
      <c r="D133" s="1">
        <v>768.145018554764</v>
      </c>
      <c r="E133" s="1" t="s">
        <v>321</v>
      </c>
      <c r="F133" s="1" t="s">
        <v>322</v>
      </c>
      <c r="G133" s="1">
        <v>15.9266801248257</v>
      </c>
      <c r="H133" s="1">
        <v>31.97991039</v>
      </c>
      <c r="I133" s="1">
        <v>5.18467803589999</v>
      </c>
      <c r="J133" s="1">
        <v>13.537906137</v>
      </c>
      <c r="K133" s="1">
        <v>24.25184846</v>
      </c>
      <c r="L133" s="1">
        <v>37.9</v>
      </c>
      <c r="M133" s="1">
        <v>4.1</v>
      </c>
      <c r="N133" s="1">
        <v>36.8</v>
      </c>
      <c r="O133" s="1">
        <v>59.8631611319999</v>
      </c>
      <c r="P133" s="1">
        <v>9.5309168443</v>
      </c>
      <c r="Q133" s="1">
        <v>42.50255</v>
      </c>
      <c r="R133" s="1">
        <v>86.995515695</v>
      </c>
      <c r="S133" s="1">
        <v>36.1</v>
      </c>
      <c r="T133" s="1">
        <v>2909.0</v>
      </c>
      <c r="U133" s="1">
        <v>50.085940186</v>
      </c>
      <c r="V133" s="1">
        <v>730.14190661</v>
      </c>
      <c r="W133" s="1">
        <v>15.119617225</v>
      </c>
      <c r="X133" s="1">
        <v>14.076246334</v>
      </c>
      <c r="Y133" s="1">
        <v>72.200352515</v>
      </c>
      <c r="Z133" s="1">
        <v>13.8</v>
      </c>
      <c r="AA133" s="1">
        <v>20.006678734</v>
      </c>
      <c r="AB133" s="1">
        <v>36132.0</v>
      </c>
      <c r="AC133" s="1">
        <v>43.355811186</v>
      </c>
      <c r="AD133" s="1">
        <v>59.38172569</v>
      </c>
      <c r="AE133" s="1">
        <v>12.182852143</v>
      </c>
      <c r="AF133" s="1">
        <v>46.8902015289999</v>
      </c>
      <c r="AG133" s="1">
        <v>0.4256428075</v>
      </c>
      <c r="AH133" s="1">
        <v>0.6341209173</v>
      </c>
      <c r="AI133" s="1">
        <v>0.1476719944</v>
      </c>
      <c r="AJ133" s="1">
        <v>6.4107018763</v>
      </c>
      <c r="AK133" s="1">
        <v>44.51876303</v>
      </c>
      <c r="AL133" s="1">
        <v>2.7226165873</v>
      </c>
      <c r="AM133" s="1">
        <v>52.771021543</v>
      </c>
      <c r="AN133" s="1">
        <v>31.419126691</v>
      </c>
      <c r="AO133" s="1">
        <v>17324.0</v>
      </c>
      <c r="AP133" s="1">
        <v>32.0</v>
      </c>
      <c r="AQ133" s="1">
        <v>12.8</v>
      </c>
      <c r="AR133" s="1">
        <v>23.9</v>
      </c>
      <c r="AS133" s="1">
        <v>17.0</v>
      </c>
      <c r="AT133" s="1">
        <v>25.7</v>
      </c>
      <c r="AU133" s="1">
        <v>20.6</v>
      </c>
      <c r="AV133" s="1">
        <v>54.1</v>
      </c>
      <c r="AW133" s="1">
        <v>1.7</v>
      </c>
      <c r="AX133" s="1">
        <v>0.9411</v>
      </c>
      <c r="AY133" s="1">
        <v>25.4</v>
      </c>
      <c r="AZ133" s="1">
        <v>22.2</v>
      </c>
      <c r="BA133" s="1">
        <v>30.5</v>
      </c>
      <c r="BB133" s="1">
        <v>2.88</v>
      </c>
      <c r="BC133" s="1" t="s">
        <v>286</v>
      </c>
      <c r="BD133" s="1">
        <v>18.9</v>
      </c>
      <c r="BE133" s="1">
        <v>44.6</v>
      </c>
      <c r="BF133" s="1">
        <v>22.4</v>
      </c>
      <c r="BG133" s="1">
        <v>14.1</v>
      </c>
      <c r="BH133" s="1" t="s">
        <v>322</v>
      </c>
    </row>
    <row r="134">
      <c r="A134" s="2">
        <v>5043.0</v>
      </c>
      <c r="B134" s="2" t="str">
        <f>IFERROR(__xludf.DUMMYFUNCTION("TO_TEXT(A134)"),"05043")</f>
        <v>05043</v>
      </c>
      <c r="C134" s="1">
        <v>18688.0</v>
      </c>
      <c r="D134" s="1">
        <v>828.353520804402</v>
      </c>
      <c r="E134" s="1" t="s">
        <v>323</v>
      </c>
      <c r="F134" s="1" t="s">
        <v>324</v>
      </c>
      <c r="G134" s="1">
        <v>22.5604159705294</v>
      </c>
      <c r="H134" s="1">
        <v>25.466292777</v>
      </c>
      <c r="I134" s="1">
        <v>4.8398505677</v>
      </c>
      <c r="J134" s="1">
        <v>9.5406360424</v>
      </c>
      <c r="K134" s="1">
        <v>20.831699776</v>
      </c>
      <c r="L134" s="1">
        <v>40.8</v>
      </c>
      <c r="M134" s="1">
        <v>5.8</v>
      </c>
      <c r="N134" s="1">
        <v>30.1</v>
      </c>
      <c r="O134" s="1">
        <v>39.98595278</v>
      </c>
      <c r="P134" s="1">
        <v>8.4215625216</v>
      </c>
      <c r="Q134" s="1">
        <v>70.0922</v>
      </c>
      <c r="R134" s="1">
        <v>88.127853881</v>
      </c>
      <c r="S134" s="1">
        <v>27.3</v>
      </c>
      <c r="T134" s="1">
        <v>3812.0</v>
      </c>
      <c r="U134" s="1">
        <v>26.9937040919999</v>
      </c>
      <c r="V134" s="1">
        <v>361.86573717</v>
      </c>
      <c r="W134" s="1">
        <v>15.8562367859999</v>
      </c>
      <c r="X134" s="1">
        <v>15.198237885</v>
      </c>
      <c r="Y134" s="1">
        <v>74.678673126</v>
      </c>
      <c r="Z134" s="1">
        <v>19.4</v>
      </c>
      <c r="AA134" s="1">
        <v>10.7882217159999</v>
      </c>
      <c r="AB134" s="1">
        <v>42494.0</v>
      </c>
      <c r="AC134" s="1">
        <v>39.766461239</v>
      </c>
      <c r="AD134" s="1">
        <v>68.253063551</v>
      </c>
      <c r="AE134" s="1">
        <v>11.8683718029999</v>
      </c>
      <c r="AF134" s="1">
        <v>27.848101266</v>
      </c>
      <c r="AG134" s="1">
        <v>0.551069402</v>
      </c>
      <c r="AH134" s="1">
        <v>0.676560454</v>
      </c>
      <c r="AI134" s="1">
        <v>0.0327367962</v>
      </c>
      <c r="AJ134" s="1">
        <v>3.8738542121</v>
      </c>
      <c r="AK134" s="1">
        <v>66.117415976</v>
      </c>
      <c r="AL134" s="1">
        <v>0.0978135788</v>
      </c>
      <c r="AM134" s="1">
        <v>51.140331733</v>
      </c>
      <c r="AN134" s="1">
        <v>48.608784915</v>
      </c>
      <c r="AO134" s="1">
        <v>18373.0</v>
      </c>
      <c r="AP134" s="1">
        <v>27.7</v>
      </c>
      <c r="AQ134" s="1">
        <v>12.9</v>
      </c>
      <c r="AR134" s="1">
        <v>18.3</v>
      </c>
      <c r="AS134" s="1">
        <v>15.9</v>
      </c>
      <c r="AT134" s="1">
        <v>22.4</v>
      </c>
      <c r="AU134" s="1">
        <v>21.7</v>
      </c>
      <c r="AV134" s="1">
        <v>32.9</v>
      </c>
      <c r="AW134" s="1">
        <v>0.2</v>
      </c>
      <c r="AX134" s="1">
        <v>0.8523</v>
      </c>
      <c r="AY134" s="1">
        <v>18.5</v>
      </c>
      <c r="AZ134" s="1">
        <v>18.2</v>
      </c>
      <c r="BA134" s="1">
        <v>24.6</v>
      </c>
      <c r="BB134" s="1">
        <v>2.95</v>
      </c>
      <c r="BC134" s="1" t="s">
        <v>286</v>
      </c>
      <c r="BD134" s="1">
        <v>13.1</v>
      </c>
      <c r="BE134" s="1">
        <v>35.3</v>
      </c>
      <c r="BF134" s="1">
        <v>28.8</v>
      </c>
      <c r="BG134" s="1">
        <v>22.8</v>
      </c>
      <c r="BH134" s="1" t="s">
        <v>324</v>
      </c>
    </row>
    <row r="135">
      <c r="A135" s="2">
        <v>5045.0</v>
      </c>
      <c r="B135" s="2" t="str">
        <f>IFERROR(__xludf.DUMMYFUNCTION("TO_TEXT(A135)"),"05045")</f>
        <v>05045</v>
      </c>
      <c r="C135" s="1">
        <v>120417.0</v>
      </c>
      <c r="D135" s="1">
        <v>647.912111736209</v>
      </c>
      <c r="E135" s="1" t="s">
        <v>325</v>
      </c>
      <c r="F135" s="1" t="s">
        <v>326</v>
      </c>
      <c r="G135" s="1">
        <v>185.853911076486</v>
      </c>
      <c r="H135" s="1">
        <v>20.651997468</v>
      </c>
      <c r="I135" s="1">
        <v>4.6228021422</v>
      </c>
      <c r="J135" s="1">
        <v>7.3204936425</v>
      </c>
      <c r="K135" s="1">
        <v>20.535015324</v>
      </c>
      <c r="L135" s="1">
        <v>35.2</v>
      </c>
      <c r="M135" s="1">
        <v>7.2</v>
      </c>
      <c r="N135" s="1">
        <v>30.2</v>
      </c>
      <c r="O135" s="1">
        <v>55.178077837</v>
      </c>
      <c r="P135" s="1">
        <v>7.9798883958</v>
      </c>
      <c r="Q135" s="1">
        <v>49.3312</v>
      </c>
      <c r="R135" s="1">
        <v>93.313298272</v>
      </c>
      <c r="S135" s="1">
        <v>17.2</v>
      </c>
      <c r="T135" s="1">
        <v>28336.0</v>
      </c>
      <c r="U135" s="1">
        <v>27.1986166009999</v>
      </c>
      <c r="V135" s="1">
        <v>361.23582836</v>
      </c>
      <c r="W135" s="1">
        <v>15.431530495</v>
      </c>
      <c r="X135" s="1">
        <v>12.7805793359999</v>
      </c>
      <c r="Y135" s="1">
        <v>76.736489996</v>
      </c>
      <c r="Z135" s="1">
        <v>9.6</v>
      </c>
      <c r="AA135" s="1">
        <v>5.5647170659</v>
      </c>
      <c r="AB135" s="1">
        <v>53882.0</v>
      </c>
      <c r="AC135" s="1">
        <v>26.595578674</v>
      </c>
      <c r="AD135" s="1">
        <v>62.626148089</v>
      </c>
      <c r="AE135" s="1">
        <v>14.306246024</v>
      </c>
      <c r="AF135" s="1">
        <v>12.001826835</v>
      </c>
      <c r="AG135" s="1">
        <v>0.6794545134</v>
      </c>
      <c r="AH135" s="1">
        <v>1.3084306844</v>
      </c>
      <c r="AI135" s="1">
        <v>0.0785218659</v>
      </c>
      <c r="AJ135" s="1">
        <v>4.1384228322</v>
      </c>
      <c r="AK135" s="1">
        <v>79.98012916</v>
      </c>
      <c r="AL135" s="1">
        <v>0.674874442</v>
      </c>
      <c r="AM135" s="1">
        <v>51.130554621</v>
      </c>
      <c r="AN135" s="1">
        <v>38.760299195</v>
      </c>
      <c r="AO135" s="1">
        <v>24809.0</v>
      </c>
      <c r="AP135" s="1">
        <v>16.1</v>
      </c>
      <c r="AQ135" s="1">
        <v>5.8</v>
      </c>
      <c r="AR135" s="1">
        <v>8.9</v>
      </c>
      <c r="AS135" s="1">
        <v>11.3</v>
      </c>
      <c r="AT135" s="1">
        <v>23.7</v>
      </c>
      <c r="AU135" s="1">
        <v>12.7</v>
      </c>
      <c r="AV135" s="1">
        <v>18.7</v>
      </c>
      <c r="AW135" s="1">
        <v>0.5</v>
      </c>
      <c r="AX135" s="1">
        <v>0.4317</v>
      </c>
      <c r="AY135" s="1">
        <v>14.4</v>
      </c>
      <c r="AZ135" s="1">
        <v>15.6</v>
      </c>
      <c r="BA135" s="1">
        <v>18.4</v>
      </c>
      <c r="BB135" s="1">
        <v>3.0</v>
      </c>
      <c r="BC135" s="1" t="s">
        <v>286</v>
      </c>
      <c r="BD135" s="1">
        <v>8.2</v>
      </c>
      <c r="BE135" s="1">
        <v>30.5</v>
      </c>
      <c r="BF135" s="1">
        <v>30.8</v>
      </c>
      <c r="BG135" s="1">
        <v>30.6</v>
      </c>
      <c r="BH135" s="1" t="s">
        <v>326</v>
      </c>
    </row>
    <row r="136">
      <c r="A136" s="2">
        <v>5047.0</v>
      </c>
      <c r="B136" s="2" t="str">
        <f>IFERROR(__xludf.DUMMYFUNCTION("TO_TEXT(A136)"),"05047")</f>
        <v>05047</v>
      </c>
      <c r="C136" s="1">
        <v>17799.0</v>
      </c>
      <c r="D136" s="1">
        <v>608.857717987596</v>
      </c>
      <c r="E136" s="1" t="s">
        <v>118</v>
      </c>
      <c r="F136" s="1" t="s">
        <v>327</v>
      </c>
      <c r="G136" s="1">
        <v>29.2334308561111</v>
      </c>
      <c r="H136" s="1">
        <v>21.811707435</v>
      </c>
      <c r="I136" s="1">
        <v>4.8103070085</v>
      </c>
      <c r="J136" s="1">
        <v>9.1851851852</v>
      </c>
      <c r="K136" s="1">
        <v>21.150183953</v>
      </c>
      <c r="L136" s="1">
        <v>34.0</v>
      </c>
      <c r="M136" s="1">
        <v>7.4</v>
      </c>
      <c r="N136" s="1">
        <v>37.0</v>
      </c>
      <c r="O136" s="1">
        <v>65.897931034</v>
      </c>
      <c r="P136" s="1">
        <v>9.4372475275</v>
      </c>
      <c r="Q136" s="1">
        <v>27.94857</v>
      </c>
      <c r="R136" s="1">
        <v>97.252747253</v>
      </c>
      <c r="S136" s="1">
        <v>23.2</v>
      </c>
      <c r="T136" s="1">
        <v>4124.0</v>
      </c>
      <c r="U136" s="1">
        <v>16.779825412</v>
      </c>
      <c r="V136" s="1">
        <v>427.00227547</v>
      </c>
      <c r="W136" s="1">
        <v>14.82300885</v>
      </c>
      <c r="X136" s="1">
        <v>13.07063197</v>
      </c>
      <c r="Y136" s="1">
        <v>73.964128144</v>
      </c>
      <c r="Z136" s="1">
        <v>13.1</v>
      </c>
      <c r="AA136" s="1">
        <v>3.6394647708</v>
      </c>
      <c r="AB136" s="1">
        <v>43696.0</v>
      </c>
      <c r="AC136" s="1">
        <v>30.742821473</v>
      </c>
      <c r="AD136" s="1">
        <v>72.470588235</v>
      </c>
      <c r="AE136" s="1">
        <v>14.378566899</v>
      </c>
      <c r="AF136" s="1">
        <v>0.887142055</v>
      </c>
      <c r="AG136" s="1">
        <v>1.4317798989</v>
      </c>
      <c r="AH136" s="1">
        <v>1.0443571028</v>
      </c>
      <c r="AI136" s="1">
        <v>0.1965188097</v>
      </c>
      <c r="AJ136" s="1">
        <v>3.419427288</v>
      </c>
      <c r="AK136" s="1">
        <v>91.482313307</v>
      </c>
      <c r="AL136" s="1">
        <v>0.4171881519</v>
      </c>
      <c r="AM136" s="1">
        <v>49.983155531</v>
      </c>
      <c r="AN136" s="1">
        <v>82.604137931</v>
      </c>
      <c r="AO136" s="1">
        <v>19811.0</v>
      </c>
      <c r="AP136" s="1">
        <v>21.1</v>
      </c>
      <c r="AQ136" s="1">
        <v>8.8</v>
      </c>
      <c r="AR136" s="1">
        <v>18.9</v>
      </c>
      <c r="AS136" s="1">
        <v>18.4</v>
      </c>
      <c r="AT136" s="1">
        <v>23.8</v>
      </c>
      <c r="AU136" s="1">
        <v>19.9</v>
      </c>
      <c r="AV136" s="1">
        <v>7.4</v>
      </c>
      <c r="AW136" s="1">
        <v>0.6</v>
      </c>
      <c r="AX136" s="1">
        <v>0.652</v>
      </c>
      <c r="AY136" s="1">
        <v>16.2</v>
      </c>
      <c r="AZ136" s="1">
        <v>18.5</v>
      </c>
      <c r="BA136" s="1">
        <v>24.7</v>
      </c>
      <c r="BB136" s="1">
        <v>2.82</v>
      </c>
      <c r="BC136" s="1" t="s">
        <v>286</v>
      </c>
      <c r="BD136" s="1">
        <v>16.3</v>
      </c>
      <c r="BE136" s="1">
        <v>41.0</v>
      </c>
      <c r="BF136" s="1">
        <v>30.6</v>
      </c>
      <c r="BG136" s="1">
        <v>12.1</v>
      </c>
      <c r="BH136" s="1" t="s">
        <v>327</v>
      </c>
    </row>
    <row r="137">
      <c r="A137" s="2">
        <v>5049.0</v>
      </c>
      <c r="B137" s="2" t="str">
        <f>IFERROR(__xludf.DUMMYFUNCTION("TO_TEXT(A137)"),"05049")</f>
        <v>05049</v>
      </c>
      <c r="C137" s="1">
        <v>12186.0</v>
      </c>
      <c r="D137" s="1">
        <v>618.193114538348</v>
      </c>
      <c r="E137" s="1" t="s">
        <v>328</v>
      </c>
      <c r="F137" s="1" t="s">
        <v>329</v>
      </c>
      <c r="G137" s="1">
        <v>19.7122868459967</v>
      </c>
      <c r="H137" s="1">
        <v>22.386930549</v>
      </c>
      <c r="I137" s="1">
        <v>4.9461654276</v>
      </c>
      <c r="J137" s="1">
        <v>6.05686032139999</v>
      </c>
      <c r="K137" s="1">
        <v>20.012115075</v>
      </c>
      <c r="L137" s="1">
        <v>27.7</v>
      </c>
      <c r="M137" s="1">
        <v>6.5</v>
      </c>
      <c r="N137" s="1">
        <v>29.9</v>
      </c>
      <c r="O137" s="1">
        <v>44.320130666</v>
      </c>
      <c r="P137" s="1">
        <v>9.5882620564</v>
      </c>
      <c r="Q137" s="1">
        <v>58.06719</v>
      </c>
      <c r="R137" s="1">
        <v>97.520661157</v>
      </c>
      <c r="S137" s="1">
        <v>32.8</v>
      </c>
      <c r="T137" s="1">
        <v>2459.0</v>
      </c>
      <c r="U137" s="1">
        <v>28.9955266369999</v>
      </c>
      <c r="V137" s="1">
        <v>183.62849914</v>
      </c>
      <c r="W137" s="1">
        <v>14.122137405</v>
      </c>
      <c r="X137" s="1">
        <v>9.5667177914</v>
      </c>
      <c r="Y137" s="1">
        <v>75.566080075</v>
      </c>
      <c r="Z137" s="1">
        <v>13.9</v>
      </c>
      <c r="AA137" s="1">
        <v>12.136119897</v>
      </c>
      <c r="AB137" s="1">
        <v>35630.0</v>
      </c>
      <c r="AC137" s="1">
        <v>36.525877454</v>
      </c>
      <c r="AD137" s="1">
        <v>78.18</v>
      </c>
      <c r="AE137" s="1">
        <v>11.873295574</v>
      </c>
      <c r="AF137" s="1">
        <v>0.6357486348</v>
      </c>
      <c r="AG137" s="1">
        <v>0.7824598582</v>
      </c>
      <c r="AH137" s="1">
        <v>0.3260249409</v>
      </c>
      <c r="AI137" s="1">
        <v>0.0163012469999999</v>
      </c>
      <c r="AJ137" s="1">
        <v>1.5323172223</v>
      </c>
      <c r="AK137" s="1">
        <v>95.028119651</v>
      </c>
      <c r="AL137" s="1">
        <v>0.432451133</v>
      </c>
      <c r="AM137" s="1">
        <v>50.92509577</v>
      </c>
      <c r="AN137" s="1">
        <v>92.9195590039999</v>
      </c>
      <c r="AO137" s="1">
        <v>19082.0</v>
      </c>
      <c r="AP137" s="1">
        <v>23.2</v>
      </c>
      <c r="AQ137" s="1">
        <v>7.3</v>
      </c>
      <c r="AR137" s="1">
        <v>16.1</v>
      </c>
      <c r="AS137" s="1">
        <v>25.0</v>
      </c>
      <c r="AT137" s="1">
        <v>20.2</v>
      </c>
      <c r="AU137" s="1">
        <v>25.4</v>
      </c>
      <c r="AV137" s="1">
        <v>4.3</v>
      </c>
      <c r="AW137" s="1">
        <v>0.4</v>
      </c>
      <c r="AX137" s="1">
        <v>0.6673</v>
      </c>
      <c r="AY137" s="1">
        <v>17.7</v>
      </c>
      <c r="AZ137" s="1">
        <v>19.8</v>
      </c>
      <c r="BA137" s="1">
        <v>30.0</v>
      </c>
      <c r="BB137" s="1">
        <v>2.94</v>
      </c>
      <c r="BC137" s="1" t="s">
        <v>286</v>
      </c>
      <c r="BD137" s="1">
        <v>14.4</v>
      </c>
      <c r="BE137" s="1">
        <v>35.8</v>
      </c>
      <c r="BF137" s="1">
        <v>37.5</v>
      </c>
      <c r="BG137" s="1">
        <v>12.2</v>
      </c>
      <c r="BH137" s="1" t="s">
        <v>329</v>
      </c>
    </row>
    <row r="138">
      <c r="A138" s="2">
        <v>5051.0</v>
      </c>
      <c r="B138" s="2" t="str">
        <f>IFERROR(__xludf.DUMMYFUNCTION("TO_TEXT(A138)"),"05051")</f>
        <v>05051</v>
      </c>
      <c r="C138" s="1">
        <v>97119.0</v>
      </c>
      <c r="D138" s="1">
        <v>677.813948308376</v>
      </c>
      <c r="E138" s="1" t="s">
        <v>330</v>
      </c>
      <c r="F138" s="1" t="s">
        <v>331</v>
      </c>
      <c r="G138" s="1">
        <v>143.28268139418</v>
      </c>
      <c r="H138" s="1">
        <v>19.986587977</v>
      </c>
      <c r="I138" s="1">
        <v>4.8199649075</v>
      </c>
      <c r="J138" s="1">
        <v>9.0600522193</v>
      </c>
      <c r="K138" s="1">
        <v>19.415844716</v>
      </c>
      <c r="L138" s="1">
        <v>29.5</v>
      </c>
      <c r="M138" s="1">
        <v>6.6</v>
      </c>
      <c r="N138" s="1">
        <v>34.9</v>
      </c>
      <c r="O138" s="1">
        <v>78.002374406</v>
      </c>
      <c r="P138" s="1">
        <v>9.82478436039999</v>
      </c>
      <c r="Q138" s="1">
        <v>88.18342</v>
      </c>
      <c r="R138" s="1">
        <v>85.2402745999999</v>
      </c>
      <c r="S138" s="1">
        <v>35.4</v>
      </c>
      <c r="T138" s="1">
        <v>19593.0</v>
      </c>
      <c r="U138" s="1">
        <v>43.224621038</v>
      </c>
      <c r="V138" s="1">
        <v>644.64141821</v>
      </c>
      <c r="W138" s="1">
        <v>17.20976335</v>
      </c>
      <c r="X138" s="1">
        <v>14.2605412209999</v>
      </c>
      <c r="Y138" s="1">
        <v>74.963188555</v>
      </c>
      <c r="Z138" s="1">
        <v>15.1</v>
      </c>
      <c r="AA138" s="1">
        <v>10.7148331329999</v>
      </c>
      <c r="AB138" s="1">
        <v>43610.0</v>
      </c>
      <c r="AC138" s="1">
        <v>37.1484375</v>
      </c>
      <c r="AD138" s="1">
        <v>67.566551361</v>
      </c>
      <c r="AE138" s="1">
        <v>13.5316472279999</v>
      </c>
      <c r="AF138" s="1">
        <v>8.5311737298</v>
      </c>
      <c r="AG138" s="1">
        <v>0.7624503298</v>
      </c>
      <c r="AH138" s="1">
        <v>0.8754059342</v>
      </c>
      <c r="AI138" s="1">
        <v>0.0695887206</v>
      </c>
      <c r="AJ138" s="1">
        <v>5.8605805111</v>
      </c>
      <c r="AK138" s="1">
        <v>81.800028239</v>
      </c>
      <c r="AL138" s="1">
        <v>1.2107396695</v>
      </c>
      <c r="AM138" s="1">
        <v>51.933356193</v>
      </c>
      <c r="AN138" s="1">
        <v>36.903274181</v>
      </c>
      <c r="AO138" s="1">
        <v>24602.0</v>
      </c>
      <c r="AP138" s="1">
        <v>20.6</v>
      </c>
      <c r="AQ138" s="1">
        <v>9.1</v>
      </c>
      <c r="AR138" s="1">
        <v>11.6</v>
      </c>
      <c r="AS138" s="1">
        <v>21.7</v>
      </c>
      <c r="AT138" s="1">
        <v>20.8</v>
      </c>
      <c r="AU138" s="1">
        <v>19.2</v>
      </c>
      <c r="AV138" s="1">
        <v>17.1</v>
      </c>
      <c r="AW138" s="1">
        <v>1.0</v>
      </c>
      <c r="AX138" s="1">
        <v>0.8338</v>
      </c>
      <c r="AY138" s="1">
        <v>16.9</v>
      </c>
      <c r="AZ138" s="1">
        <v>17.6</v>
      </c>
      <c r="BA138" s="1">
        <v>25.5</v>
      </c>
      <c r="BB138" s="1">
        <v>2.98</v>
      </c>
      <c r="BC138" s="1" t="s">
        <v>286</v>
      </c>
      <c r="BD138" s="1">
        <v>10.9</v>
      </c>
      <c r="BE138" s="1">
        <v>31.4</v>
      </c>
      <c r="BF138" s="1">
        <v>36.0</v>
      </c>
      <c r="BG138" s="1">
        <v>21.6</v>
      </c>
      <c r="BH138" s="1" t="s">
        <v>331</v>
      </c>
    </row>
    <row r="139">
      <c r="A139" s="2">
        <v>5053.0</v>
      </c>
      <c r="B139" s="2" t="str">
        <f>IFERROR(__xludf.DUMMYFUNCTION("TO_TEXT(A139)"),"05053")</f>
        <v>05053</v>
      </c>
      <c r="C139" s="1">
        <v>18046.0</v>
      </c>
      <c r="D139" s="1">
        <v>631.81096914414</v>
      </c>
      <c r="E139" s="1" t="s">
        <v>332</v>
      </c>
      <c r="F139" s="1" t="s">
        <v>333</v>
      </c>
      <c r="G139" s="1">
        <v>28.5623404488297</v>
      </c>
      <c r="H139" s="1">
        <v>20.2285545879999</v>
      </c>
      <c r="I139" s="1">
        <v>4.3876016568</v>
      </c>
      <c r="J139" s="1">
        <v>9.1791044776</v>
      </c>
      <c r="K139" s="1">
        <v>18.2222458229999</v>
      </c>
      <c r="L139" s="1">
        <v>35.7</v>
      </c>
      <c r="M139" s="1">
        <v>7.8</v>
      </c>
      <c r="N139" s="1">
        <v>39.0</v>
      </c>
      <c r="O139" s="1">
        <v>26.583767434</v>
      </c>
      <c r="P139" s="1">
        <v>6.0703517588</v>
      </c>
      <c r="Q139" s="1">
        <v>11.01018</v>
      </c>
      <c r="R139" s="1">
        <v>89.473684211</v>
      </c>
      <c r="S139" s="1">
        <v>18.3</v>
      </c>
      <c r="T139" s="1">
        <v>4129.0</v>
      </c>
      <c r="U139" s="1">
        <v>33.083070961</v>
      </c>
      <c r="V139" s="1">
        <v>254.38256926</v>
      </c>
      <c r="W139" s="1">
        <v>12.663755459</v>
      </c>
      <c r="X139" s="1">
        <v>9.5799557848</v>
      </c>
      <c r="Y139" s="1">
        <v>76.603883437</v>
      </c>
      <c r="Z139" s="1">
        <v>16.6</v>
      </c>
      <c r="AA139" s="1">
        <v>4.4258731035</v>
      </c>
      <c r="AB139" s="1">
        <v>52050.0</v>
      </c>
      <c r="AC139" s="1">
        <v>24.439757448</v>
      </c>
      <c r="AD139" s="1">
        <v>79.896755162</v>
      </c>
      <c r="AE139" s="1">
        <v>11.889727399</v>
      </c>
      <c r="AF139" s="1">
        <v>2.6775896195</v>
      </c>
      <c r="AG139" s="1">
        <v>0.522322410399999</v>
      </c>
      <c r="AH139" s="1">
        <v>0.406861667</v>
      </c>
      <c r="AI139" s="1">
        <v>0.0659775676</v>
      </c>
      <c r="AJ139" s="1">
        <v>2.9140092369</v>
      </c>
      <c r="AK139" s="1">
        <v>92.3301077629999</v>
      </c>
      <c r="AL139" s="1">
        <v>0.0818091509</v>
      </c>
      <c r="AM139" s="1">
        <v>50.599296239</v>
      </c>
      <c r="AN139" s="1">
        <v>75.029406822</v>
      </c>
      <c r="AO139" s="1">
        <v>24696.0</v>
      </c>
      <c r="AP139" s="1">
        <v>13.0</v>
      </c>
      <c r="AQ139" s="1">
        <v>8.0</v>
      </c>
      <c r="AR139" s="1">
        <v>10.0</v>
      </c>
      <c r="AS139" s="1">
        <v>16.1</v>
      </c>
      <c r="AT139" s="1">
        <v>23.4</v>
      </c>
      <c r="AU139" s="1">
        <v>17.1</v>
      </c>
      <c r="AV139" s="1">
        <v>6.9</v>
      </c>
      <c r="AW139" s="1">
        <v>0.1</v>
      </c>
      <c r="AX139" s="1">
        <v>0.2423</v>
      </c>
      <c r="AY139" s="1">
        <v>12.1</v>
      </c>
      <c r="AZ139" s="1">
        <v>15.3</v>
      </c>
      <c r="BA139" s="1">
        <v>21.0</v>
      </c>
      <c r="BB139" s="1">
        <v>3.07</v>
      </c>
      <c r="BC139" s="1" t="s">
        <v>286</v>
      </c>
      <c r="BD139" s="1">
        <v>9.2</v>
      </c>
      <c r="BE139" s="1">
        <v>43.8</v>
      </c>
      <c r="BF139" s="1">
        <v>28.3</v>
      </c>
      <c r="BG139" s="1">
        <v>18.7</v>
      </c>
      <c r="BH139" s="1" t="s">
        <v>333</v>
      </c>
    </row>
    <row r="140">
      <c r="A140" s="2">
        <v>5055.0</v>
      </c>
      <c r="B140" s="2" t="str">
        <f>IFERROR(__xludf.DUMMYFUNCTION("TO_TEXT(A140)"),"05055")</f>
        <v>05055</v>
      </c>
      <c r="C140" s="1">
        <v>43745.0</v>
      </c>
      <c r="D140" s="1">
        <v>577.688057197028</v>
      </c>
      <c r="E140" s="1" t="s">
        <v>122</v>
      </c>
      <c r="F140" s="1" t="s">
        <v>334</v>
      </c>
      <c r="G140" s="1">
        <v>75.7242588885306</v>
      </c>
      <c r="H140" s="1">
        <v>20.034219944</v>
      </c>
      <c r="I140" s="1">
        <v>4.5952843129</v>
      </c>
      <c r="J140" s="1">
        <v>8.0531861515</v>
      </c>
      <c r="K140" s="1">
        <v>19.622216775</v>
      </c>
      <c r="L140" s="1">
        <v>36.4</v>
      </c>
      <c r="M140" s="1">
        <v>7.0</v>
      </c>
      <c r="N140" s="1">
        <v>33.4</v>
      </c>
      <c r="O140" s="1">
        <v>40.116417201</v>
      </c>
      <c r="P140" s="1">
        <v>7.0139960619</v>
      </c>
      <c r="Q140" s="1">
        <v>57.70981</v>
      </c>
      <c r="R140" s="1">
        <v>95.833333333</v>
      </c>
      <c r="S140" s="1">
        <v>23.5</v>
      </c>
      <c r="T140" s="1">
        <v>10736.0</v>
      </c>
      <c r="U140" s="1">
        <v>36.37295082</v>
      </c>
      <c r="V140" s="1">
        <v>379.01637852</v>
      </c>
      <c r="W140" s="1">
        <v>11.631374888</v>
      </c>
      <c r="X140" s="1">
        <v>9.8410757946</v>
      </c>
      <c r="Y140" s="1">
        <v>74.289973508</v>
      </c>
      <c r="Z140" s="1">
        <v>14.6</v>
      </c>
      <c r="AA140" s="1">
        <v>9.4648709511</v>
      </c>
      <c r="AB140" s="1">
        <v>46512.0</v>
      </c>
      <c r="AC140" s="1">
        <v>30.937972769</v>
      </c>
      <c r="AD140" s="1">
        <v>67.740979916</v>
      </c>
      <c r="AE140" s="1">
        <v>9.1304081758</v>
      </c>
      <c r="AF140" s="1">
        <v>1.7826806398</v>
      </c>
      <c r="AG140" s="1">
        <v>0.611141754</v>
      </c>
      <c r="AH140" s="1">
        <v>0.4015444015</v>
      </c>
      <c r="AI140" s="1">
        <v>0.3993381136</v>
      </c>
      <c r="AJ140" s="1">
        <v>2.9233314948</v>
      </c>
      <c r="AK140" s="1">
        <v>92.6442360729999</v>
      </c>
      <c r="AL140" s="1">
        <v>0.189321319</v>
      </c>
      <c r="AM140" s="1">
        <v>50.824048538</v>
      </c>
      <c r="AN140" s="1">
        <v>41.506296032</v>
      </c>
      <c r="AO140" s="1">
        <v>21643.0</v>
      </c>
      <c r="AP140" s="1">
        <v>17.7</v>
      </c>
      <c r="AQ140" s="1">
        <v>8.2</v>
      </c>
      <c r="AR140" s="1">
        <v>14.7</v>
      </c>
      <c r="AS140" s="1">
        <v>14.9</v>
      </c>
      <c r="AT140" s="1">
        <v>24.5</v>
      </c>
      <c r="AU140" s="1">
        <v>20.6</v>
      </c>
      <c r="AV140" s="1">
        <v>5.8</v>
      </c>
      <c r="AW140" s="1">
        <v>0.1</v>
      </c>
      <c r="AX140" s="1">
        <v>0.4247</v>
      </c>
      <c r="AY140" s="1">
        <v>15.5</v>
      </c>
      <c r="AZ140" s="1">
        <v>17.3</v>
      </c>
      <c r="BA140" s="1">
        <v>24.6</v>
      </c>
      <c r="BB140" s="1">
        <v>2.69</v>
      </c>
      <c r="BC140" s="1" t="s">
        <v>286</v>
      </c>
      <c r="BD140" s="1">
        <v>11.8</v>
      </c>
      <c r="BE140" s="1">
        <v>45.9</v>
      </c>
      <c r="BF140" s="1">
        <v>26.2</v>
      </c>
      <c r="BG140" s="1">
        <v>16.2</v>
      </c>
      <c r="BH140" s="1" t="s">
        <v>334</v>
      </c>
    </row>
    <row r="141">
      <c r="A141" s="2">
        <v>5057.0</v>
      </c>
      <c r="B141" s="2" t="str">
        <f>IFERROR(__xludf.DUMMYFUNCTION("TO_TEXT(A141)"),"05057")</f>
        <v>05057</v>
      </c>
      <c r="C141" s="1">
        <v>22208.0</v>
      </c>
      <c r="D141" s="1">
        <v>727.519965345068</v>
      </c>
      <c r="E141" s="1" t="s">
        <v>335</v>
      </c>
      <c r="F141" s="1" t="s">
        <v>336</v>
      </c>
      <c r="G141" s="1">
        <v>30.5256227428296</v>
      </c>
      <c r="H141" s="1">
        <v>26.767114539</v>
      </c>
      <c r="I141" s="1">
        <v>4.9041004476</v>
      </c>
      <c r="J141" s="1">
        <v>9.4594594595</v>
      </c>
      <c r="K141" s="1">
        <v>22.176658181</v>
      </c>
      <c r="L141" s="1">
        <v>29.1</v>
      </c>
      <c r="M141" s="1">
        <v>5.8</v>
      </c>
      <c r="N141" s="1">
        <v>36.4</v>
      </c>
      <c r="O141" s="1">
        <v>63.691450307</v>
      </c>
      <c r="P141" s="1">
        <v>10.76914357</v>
      </c>
      <c r="Q141" s="1">
        <v>27.44614</v>
      </c>
      <c r="R141" s="1">
        <v>81.914893617</v>
      </c>
      <c r="S141" s="1">
        <v>30.9</v>
      </c>
      <c r="T141" s="1">
        <v>5684.0</v>
      </c>
      <c r="U141" s="1">
        <v>41.379310345</v>
      </c>
      <c r="V141" s="1">
        <v>628.47746266</v>
      </c>
      <c r="W141" s="1">
        <v>15.653298836</v>
      </c>
      <c r="X141" s="1">
        <v>11.467710372</v>
      </c>
      <c r="Y141" s="1">
        <v>76.121942286</v>
      </c>
      <c r="Z141" s="1">
        <v>18.4</v>
      </c>
      <c r="AA141" s="1">
        <v>14.493976375</v>
      </c>
      <c r="AB141" s="1">
        <v>38682.0</v>
      </c>
      <c r="AC141" s="1">
        <v>53.987378084</v>
      </c>
      <c r="AD141" s="1">
        <v>68.661397566</v>
      </c>
      <c r="AE141" s="1">
        <v>10.54846771</v>
      </c>
      <c r="AF141" s="1">
        <v>29.635251368</v>
      </c>
      <c r="AG141" s="1">
        <v>0.699139874</v>
      </c>
      <c r="AH141" s="1">
        <v>0.5473529276</v>
      </c>
      <c r="AI141" s="1">
        <v>0.1931833862</v>
      </c>
      <c r="AJ141" s="1">
        <v>13.168667495</v>
      </c>
      <c r="AK141" s="1">
        <v>54.321328366</v>
      </c>
      <c r="AL141" s="1">
        <v>3.7777451125</v>
      </c>
      <c r="AM141" s="1">
        <v>51.786946323</v>
      </c>
      <c r="AN141" s="1">
        <v>55.769826175</v>
      </c>
      <c r="AO141" s="1">
        <v>17813.0</v>
      </c>
      <c r="AP141" s="1">
        <v>26.7</v>
      </c>
      <c r="AQ141" s="1">
        <v>8.3</v>
      </c>
      <c r="AR141" s="1">
        <v>21.3</v>
      </c>
      <c r="AS141" s="1">
        <v>16.5</v>
      </c>
      <c r="AT141" s="1">
        <v>26.4</v>
      </c>
      <c r="AU141" s="1">
        <v>20.1</v>
      </c>
      <c r="AV141" s="1">
        <v>44.6</v>
      </c>
      <c r="AW141" s="1">
        <v>4.5</v>
      </c>
      <c r="AX141" s="1">
        <v>0.9752</v>
      </c>
      <c r="AY141" s="1">
        <v>18.5</v>
      </c>
      <c r="AZ141" s="1">
        <v>18.2</v>
      </c>
      <c r="BA141" s="1">
        <v>25.8</v>
      </c>
      <c r="BB141" s="1">
        <v>2.75</v>
      </c>
      <c r="BC141" s="1" t="s">
        <v>286</v>
      </c>
      <c r="BD141" s="1">
        <v>17.4</v>
      </c>
      <c r="BE141" s="1">
        <v>36.8</v>
      </c>
      <c r="BF141" s="1">
        <v>30.7</v>
      </c>
      <c r="BG141" s="1">
        <v>15.1</v>
      </c>
      <c r="BH141" s="1" t="s">
        <v>336</v>
      </c>
    </row>
    <row r="142">
      <c r="A142" s="2">
        <v>5059.0</v>
      </c>
      <c r="B142" s="2" t="str">
        <f>IFERROR(__xludf.DUMMYFUNCTION("TO_TEXT(A142)"),"05059")</f>
        <v>05059</v>
      </c>
      <c r="C142" s="1">
        <v>33440.0</v>
      </c>
      <c r="D142" s="1">
        <v>615.206993948308</v>
      </c>
      <c r="E142" s="1" t="s">
        <v>337</v>
      </c>
      <c r="F142" s="1" t="s">
        <v>338</v>
      </c>
      <c r="G142" s="1">
        <v>54.3556889452556</v>
      </c>
      <c r="H142" s="1">
        <v>20.161343444</v>
      </c>
      <c r="I142" s="1">
        <v>4.5777368494</v>
      </c>
      <c r="J142" s="1">
        <v>9.5295536791</v>
      </c>
      <c r="K142" s="1">
        <v>20.333526847</v>
      </c>
      <c r="L142" s="1">
        <v>36.1</v>
      </c>
      <c r="M142" s="1">
        <v>7.2</v>
      </c>
      <c r="N142" s="1">
        <v>37.5</v>
      </c>
      <c r="O142" s="1">
        <v>24.924824591</v>
      </c>
      <c r="P142" s="1">
        <v>7.6132015306</v>
      </c>
      <c r="Q142" s="1">
        <v>20.84947</v>
      </c>
      <c r="R142" s="1">
        <v>91.534391534</v>
      </c>
      <c r="S142" s="1">
        <v>29.7</v>
      </c>
      <c r="T142" s="1">
        <v>6955.0</v>
      </c>
      <c r="U142" s="1">
        <v>35.327102804</v>
      </c>
      <c r="V142" s="1">
        <v>230.12552301</v>
      </c>
      <c r="W142" s="1">
        <v>13.006134969</v>
      </c>
      <c r="X142" s="1">
        <v>10.7774578359999</v>
      </c>
      <c r="Y142" s="1">
        <v>73.652496668</v>
      </c>
      <c r="Z142" s="1">
        <v>17.8</v>
      </c>
      <c r="AA142" s="1">
        <v>6.7104511644</v>
      </c>
      <c r="AB142" s="1">
        <v>47205.0</v>
      </c>
      <c r="AC142" s="1">
        <v>32.54778252</v>
      </c>
      <c r="AD142" s="1">
        <v>75.696857074</v>
      </c>
      <c r="AE142" s="1">
        <v>8.5767035918</v>
      </c>
      <c r="AF142" s="1">
        <v>11.139135337</v>
      </c>
      <c r="AG142" s="1">
        <v>0.6438978072</v>
      </c>
      <c r="AH142" s="1">
        <v>0.4124506691</v>
      </c>
      <c r="AI142" s="1">
        <v>0.071214504</v>
      </c>
      <c r="AJ142" s="1">
        <v>3.522150678</v>
      </c>
      <c r="AK142" s="1">
        <v>82.472330198</v>
      </c>
      <c r="AL142" s="1">
        <v>0.414494756</v>
      </c>
      <c r="AM142" s="1">
        <v>47.648437732</v>
      </c>
      <c r="AN142" s="1">
        <v>65.9690793669999</v>
      </c>
      <c r="AO142" s="1">
        <v>20522.0</v>
      </c>
      <c r="AP142" s="1">
        <v>17.0</v>
      </c>
      <c r="AQ142" s="1">
        <v>6.8</v>
      </c>
      <c r="AR142" s="1">
        <v>14.1</v>
      </c>
      <c r="AS142" s="1">
        <v>17.3</v>
      </c>
      <c r="AT142" s="1">
        <v>21.3</v>
      </c>
      <c r="AU142" s="1">
        <v>24.2</v>
      </c>
      <c r="AV142" s="1">
        <v>17.0</v>
      </c>
      <c r="AW142" s="1">
        <v>0.4</v>
      </c>
      <c r="AX142" s="1">
        <v>0.6281</v>
      </c>
      <c r="AY142" s="1">
        <v>20.2</v>
      </c>
      <c r="AZ142" s="1">
        <v>17.9</v>
      </c>
      <c r="BA142" s="1">
        <v>25.0</v>
      </c>
      <c r="BB142" s="1">
        <v>2.92</v>
      </c>
      <c r="BC142" s="1" t="s">
        <v>286</v>
      </c>
      <c r="BD142" s="1">
        <v>14.2</v>
      </c>
      <c r="BE142" s="1">
        <v>39.0</v>
      </c>
      <c r="BF142" s="1">
        <v>33.5</v>
      </c>
      <c r="BG142" s="1">
        <v>13.3</v>
      </c>
      <c r="BH142" s="1" t="s">
        <v>338</v>
      </c>
    </row>
    <row r="143">
      <c r="A143" s="2">
        <v>5061.0</v>
      </c>
      <c r="B143" s="2" t="str">
        <f>IFERROR(__xludf.DUMMYFUNCTION("TO_TEXT(A143)"),"05061")</f>
        <v>05061</v>
      </c>
      <c r="C143" s="1">
        <v>13487.0</v>
      </c>
      <c r="D143" s="1">
        <v>588.566256721766</v>
      </c>
      <c r="E143" s="1" t="s">
        <v>339</v>
      </c>
      <c r="F143" s="1" t="s">
        <v>340</v>
      </c>
      <c r="G143" s="1">
        <v>22.9150071822343</v>
      </c>
      <c r="H143" s="1">
        <v>26.394572298</v>
      </c>
      <c r="I143" s="1">
        <v>4.9937108266</v>
      </c>
      <c r="J143" s="1">
        <v>7.3208722741</v>
      </c>
      <c r="K143" s="1">
        <v>21.855604946</v>
      </c>
      <c r="L143" s="1">
        <v>44.5</v>
      </c>
      <c r="M143" s="1">
        <v>5.7</v>
      </c>
      <c r="N143" s="1">
        <v>29.5</v>
      </c>
      <c r="O143" s="1">
        <v>10.131264051</v>
      </c>
      <c r="P143" s="1">
        <v>11.598574171</v>
      </c>
      <c r="Q143" s="1">
        <v>44.51699</v>
      </c>
      <c r="R143" s="1">
        <v>97.087378641</v>
      </c>
      <c r="S143" s="1">
        <v>27.3</v>
      </c>
      <c r="T143" s="1">
        <v>3440.0</v>
      </c>
      <c r="U143" s="1">
        <v>40.843023256</v>
      </c>
      <c r="V143" s="1">
        <v>153.55230141</v>
      </c>
      <c r="W143" s="1">
        <v>12.031558185</v>
      </c>
      <c r="X143" s="1">
        <v>9.3117408907</v>
      </c>
      <c r="Y143" s="1">
        <v>74.2776676719999</v>
      </c>
      <c r="Z143" s="1">
        <v>12.9</v>
      </c>
      <c r="AA143" s="1">
        <v>20.691118693</v>
      </c>
      <c r="AB143" s="1">
        <v>40199.0</v>
      </c>
      <c r="AC143" s="1">
        <v>45.0477130639999</v>
      </c>
      <c r="AD143" s="1">
        <v>68.52433281</v>
      </c>
      <c r="AE143" s="1">
        <v>11.529361153</v>
      </c>
      <c r="AF143" s="1">
        <v>20.53069485</v>
      </c>
      <c r="AG143" s="1">
        <v>1.5665992055</v>
      </c>
      <c r="AH143" s="1">
        <v>0.5621767484</v>
      </c>
      <c r="AI143" s="1">
        <v>0.1124353497</v>
      </c>
      <c r="AJ143" s="1">
        <v>12.570272094</v>
      </c>
      <c r="AK143" s="1">
        <v>63.705869125</v>
      </c>
      <c r="AL143" s="1">
        <v>3.3951360462</v>
      </c>
      <c r="AM143" s="1">
        <v>51.9001574089999</v>
      </c>
      <c r="AN143" s="1">
        <v>67.517586482</v>
      </c>
      <c r="AO143" s="1">
        <v>22587.0</v>
      </c>
      <c r="AP143" s="1">
        <v>19.6</v>
      </c>
      <c r="AQ143" s="1">
        <v>7.4</v>
      </c>
      <c r="AR143" s="1">
        <v>20.6</v>
      </c>
      <c r="AS143" s="1">
        <v>16.5</v>
      </c>
      <c r="AT143" s="1">
        <v>25.9</v>
      </c>
      <c r="AU143" s="1">
        <v>17.3</v>
      </c>
      <c r="AV143" s="1">
        <v>34.6</v>
      </c>
      <c r="AW143" s="1">
        <v>3.7</v>
      </c>
      <c r="AX143" s="1">
        <v>0.8994</v>
      </c>
      <c r="AY143" s="1">
        <v>16.8</v>
      </c>
      <c r="AZ143" s="1">
        <v>16.7</v>
      </c>
      <c r="BA143" s="1">
        <v>24.4</v>
      </c>
      <c r="BB143" s="1">
        <v>2.93</v>
      </c>
      <c r="BC143" s="1" t="s">
        <v>286</v>
      </c>
      <c r="BD143" s="1">
        <v>14.8</v>
      </c>
      <c r="BE143" s="1">
        <v>38.4</v>
      </c>
      <c r="BF143" s="1">
        <v>33.3</v>
      </c>
      <c r="BG143" s="1">
        <v>13.6</v>
      </c>
      <c r="BH143" s="1" t="s">
        <v>340</v>
      </c>
    </row>
    <row r="144">
      <c r="A144" s="2">
        <v>5063.0</v>
      </c>
      <c r="B144" s="2" t="str">
        <f>IFERROR(__xludf.DUMMYFUNCTION("TO_TEXT(A144)"),"05063")</f>
        <v>05063</v>
      </c>
      <c r="C144" s="1">
        <v>37030.0</v>
      </c>
      <c r="D144" s="1">
        <v>763.953374006736</v>
      </c>
      <c r="E144" s="1" t="s">
        <v>341</v>
      </c>
      <c r="F144" s="1" t="s">
        <v>342</v>
      </c>
      <c r="G144" s="1">
        <v>48.471544547002</v>
      </c>
      <c r="H144" s="1">
        <v>22.985249998</v>
      </c>
      <c r="I144" s="1">
        <v>4.8815689845</v>
      </c>
      <c r="J144" s="1">
        <v>7.91081246179999</v>
      </c>
      <c r="K144" s="1">
        <v>19.872211004</v>
      </c>
      <c r="L144" s="1">
        <v>28.6</v>
      </c>
      <c r="M144" s="1">
        <v>7.2</v>
      </c>
      <c r="N144" s="1">
        <v>29.8</v>
      </c>
      <c r="O144" s="1">
        <v>50.650803613</v>
      </c>
      <c r="P144" s="1">
        <v>8.1407267798</v>
      </c>
      <c r="Q144" s="1">
        <v>77.32509</v>
      </c>
      <c r="R144" s="1">
        <v>88.03986711</v>
      </c>
      <c r="S144" s="1">
        <v>20.3</v>
      </c>
      <c r="T144" s="1">
        <v>8793.0</v>
      </c>
      <c r="U144" s="1">
        <v>36.756510861</v>
      </c>
      <c r="V144" s="1">
        <v>496.48940056</v>
      </c>
      <c r="W144" s="1">
        <v>13.447432763</v>
      </c>
      <c r="X144" s="1">
        <v>9.544973545</v>
      </c>
      <c r="Y144" s="1">
        <v>76.266663674</v>
      </c>
      <c r="Z144" s="1">
        <v>13.8</v>
      </c>
      <c r="AA144" s="1">
        <v>7.31366056799999</v>
      </c>
      <c r="AB144" s="1">
        <v>45596.0</v>
      </c>
      <c r="AC144" s="1">
        <v>39.548107138</v>
      </c>
      <c r="AD144" s="1">
        <v>72.126436782</v>
      </c>
      <c r="AE144" s="1">
        <v>9.8424026167</v>
      </c>
      <c r="AF144" s="1">
        <v>2.2028770105</v>
      </c>
      <c r="AG144" s="1">
        <v>0.8121450183</v>
      </c>
      <c r="AH144" s="1">
        <v>0.809490949599999</v>
      </c>
      <c r="AI144" s="1">
        <v>0.2309039758</v>
      </c>
      <c r="AJ144" s="1">
        <v>6.5422793142</v>
      </c>
      <c r="AK144" s="1">
        <v>88.343330325</v>
      </c>
      <c r="AL144" s="1">
        <v>1.6437648814</v>
      </c>
      <c r="AM144" s="1">
        <v>51.242104146</v>
      </c>
      <c r="AN144" s="1">
        <v>68.584058722</v>
      </c>
      <c r="AO144" s="1">
        <v>22035.0</v>
      </c>
      <c r="AP144" s="1">
        <v>19.2</v>
      </c>
      <c r="AQ144" s="1">
        <v>6.7</v>
      </c>
      <c r="AR144" s="1">
        <v>15.5</v>
      </c>
      <c r="AS144" s="1">
        <v>16.7</v>
      </c>
      <c r="AT144" s="1">
        <v>24.0</v>
      </c>
      <c r="AU144" s="1">
        <v>18.5</v>
      </c>
      <c r="AV144" s="1">
        <v>10.7</v>
      </c>
      <c r="AW144" s="1">
        <v>1.3</v>
      </c>
      <c r="AX144" s="1">
        <v>0.7619</v>
      </c>
      <c r="AY144" s="1">
        <v>15.9</v>
      </c>
      <c r="AZ144" s="1">
        <v>17.0</v>
      </c>
      <c r="BA144" s="1">
        <v>23.8</v>
      </c>
      <c r="BB144" s="1">
        <v>2.8</v>
      </c>
      <c r="BC144" s="1" t="s">
        <v>286</v>
      </c>
      <c r="BD144" s="1">
        <v>14.0</v>
      </c>
      <c r="BE144" s="1">
        <v>37.6</v>
      </c>
      <c r="BF144" s="1">
        <v>30.9</v>
      </c>
      <c r="BG144" s="1">
        <v>17.5</v>
      </c>
      <c r="BH144" s="1" t="s">
        <v>342</v>
      </c>
    </row>
    <row r="145">
      <c r="A145" s="2">
        <v>5065.0</v>
      </c>
      <c r="B145" s="2" t="str">
        <f>IFERROR(__xludf.DUMMYFUNCTION("TO_TEXT(A145)"),"05065")</f>
        <v>05065</v>
      </c>
      <c r="C145" s="1">
        <v>13461.0</v>
      </c>
      <c r="D145" s="1">
        <v>580.575715213334</v>
      </c>
      <c r="E145" s="1" t="s">
        <v>343</v>
      </c>
      <c r="F145" s="1" t="s">
        <v>344</v>
      </c>
      <c r="G145" s="1">
        <v>23.1856063684195</v>
      </c>
      <c r="H145" s="1">
        <v>20.424630773</v>
      </c>
      <c r="I145" s="1">
        <v>4.6081638051</v>
      </c>
      <c r="J145" s="1">
        <v>7.4663402693</v>
      </c>
      <c r="K145" s="1">
        <v>19.661089295</v>
      </c>
      <c r="L145" s="1">
        <v>34.5</v>
      </c>
      <c r="M145" s="1">
        <v>7.7</v>
      </c>
      <c r="N145" s="1">
        <v>30.5</v>
      </c>
      <c r="O145" s="1">
        <v>49.853971963</v>
      </c>
      <c r="P145" s="1">
        <v>10.390170295</v>
      </c>
      <c r="Q145" s="1">
        <v>36.53368</v>
      </c>
      <c r="R145" s="1">
        <v>97.037037037</v>
      </c>
      <c r="S145" s="1">
        <v>27.9</v>
      </c>
      <c r="T145" s="1">
        <v>2461.0</v>
      </c>
      <c r="U145" s="1">
        <v>21.129622105</v>
      </c>
      <c r="V145" s="1">
        <v>221.24723441</v>
      </c>
      <c r="W145" s="1">
        <v>12.61682243</v>
      </c>
      <c r="X145" s="1">
        <v>9.7900763359</v>
      </c>
      <c r="Y145" s="1">
        <v>75.168099698</v>
      </c>
      <c r="Z145" s="1">
        <v>13.1</v>
      </c>
      <c r="AA145" s="1">
        <v>0.5460539614</v>
      </c>
      <c r="AB145" s="1">
        <v>37828.0</v>
      </c>
      <c r="AC145" s="1">
        <v>37.154150198</v>
      </c>
      <c r="AD145" s="1">
        <v>79.1047732219999</v>
      </c>
      <c r="AE145" s="1">
        <v>9.44537114259999</v>
      </c>
      <c r="AF145" s="1">
        <v>2.0672404914</v>
      </c>
      <c r="AG145" s="1">
        <v>0.8607371441</v>
      </c>
      <c r="AH145" s="1">
        <v>0.5223276687</v>
      </c>
      <c r="AI145" s="1">
        <v>0.0147134555</v>
      </c>
      <c r="AJ145" s="1">
        <v>2.5895681601</v>
      </c>
      <c r="AK145" s="1">
        <v>92.6726991829999</v>
      </c>
      <c r="AL145" s="1">
        <v>0.1473553591</v>
      </c>
      <c r="AM145" s="1">
        <v>48.135069521</v>
      </c>
      <c r="AN145" s="1">
        <v>100.0</v>
      </c>
      <c r="AO145" s="1">
        <v>18964.0</v>
      </c>
      <c r="AP145" s="1">
        <v>22.0</v>
      </c>
      <c r="AQ145" s="1">
        <v>9.6</v>
      </c>
      <c r="AR145" s="1">
        <v>16.1</v>
      </c>
      <c r="AS145" s="1">
        <v>24.8</v>
      </c>
      <c r="AT145" s="1">
        <v>18.6</v>
      </c>
      <c r="AU145" s="1">
        <v>22.4</v>
      </c>
      <c r="AV145" s="1">
        <v>4.4</v>
      </c>
      <c r="AW145" s="1">
        <v>0.0</v>
      </c>
      <c r="AX145" s="1">
        <v>0.6377</v>
      </c>
      <c r="AY145" s="1">
        <v>15.9</v>
      </c>
      <c r="AZ145" s="1">
        <v>18.2</v>
      </c>
      <c r="BA145" s="1">
        <v>28.5</v>
      </c>
      <c r="BB145" s="1">
        <v>2.95</v>
      </c>
      <c r="BC145" s="1" t="s">
        <v>286</v>
      </c>
      <c r="BD145" s="1">
        <v>16.2</v>
      </c>
      <c r="BE145" s="1">
        <v>38.0</v>
      </c>
      <c r="BF145" s="1">
        <v>32.7</v>
      </c>
      <c r="BG145" s="1">
        <v>13.1</v>
      </c>
      <c r="BH145" s="1" t="s">
        <v>344</v>
      </c>
    </row>
    <row r="146">
      <c r="A146" s="2">
        <v>5067.0</v>
      </c>
      <c r="B146" s="2" t="str">
        <f>IFERROR(__xludf.DUMMYFUNCTION("TO_TEXT(A146)"),"05067")</f>
        <v>05067</v>
      </c>
      <c r="C146" s="1">
        <v>17495.0</v>
      </c>
      <c r="D146" s="1">
        <v>633.936540191152</v>
      </c>
      <c r="E146" s="1" t="s">
        <v>130</v>
      </c>
      <c r="F146" s="1" t="s">
        <v>345</v>
      </c>
      <c r="G146" s="1">
        <v>27.5973995673521</v>
      </c>
      <c r="H146" s="1">
        <v>25.456038602</v>
      </c>
      <c r="I146" s="1">
        <v>5.0391918705</v>
      </c>
      <c r="J146" s="1">
        <v>9.2989985694</v>
      </c>
      <c r="K146" s="1">
        <v>22.098124353</v>
      </c>
      <c r="L146" s="1">
        <v>43.0</v>
      </c>
      <c r="M146" s="1">
        <v>6.0</v>
      </c>
      <c r="N146" s="1">
        <v>33.1</v>
      </c>
      <c r="O146" s="1">
        <v>36.117130633</v>
      </c>
      <c r="P146" s="1">
        <v>8.7250021095</v>
      </c>
      <c r="Q146" s="1">
        <v>40.85206</v>
      </c>
      <c r="R146" s="1">
        <v>88.8</v>
      </c>
      <c r="S146" s="1">
        <v>30.4</v>
      </c>
      <c r="T146" s="1">
        <v>3459.0</v>
      </c>
      <c r="U146" s="1">
        <v>43.365134432</v>
      </c>
      <c r="V146" s="1">
        <v>692.10139285</v>
      </c>
      <c r="W146" s="1">
        <v>13.5048231509999</v>
      </c>
      <c r="X146" s="1">
        <v>9.6763485477</v>
      </c>
      <c r="Y146" s="1">
        <v>72.896082561</v>
      </c>
      <c r="Z146" s="1">
        <v>23.8</v>
      </c>
      <c r="AA146" s="1">
        <v>10.403987962</v>
      </c>
      <c r="AB146" s="1">
        <v>36573.0</v>
      </c>
      <c r="AC146" s="1">
        <v>45.504087193</v>
      </c>
      <c r="AD146" s="1">
        <v>69.35192781</v>
      </c>
      <c r="AE146" s="1">
        <v>10.013764625</v>
      </c>
      <c r="AF146" s="1">
        <v>17.49449765</v>
      </c>
      <c r="AG146" s="1">
        <v>0.7257153055</v>
      </c>
      <c r="AH146" s="1">
        <v>0.5175182916</v>
      </c>
      <c r="AI146" s="1">
        <v>0.1963000416</v>
      </c>
      <c r="AJ146" s="1">
        <v>2.8969127357</v>
      </c>
      <c r="AK146" s="1">
        <v>76.598655642</v>
      </c>
      <c r="AL146" s="1">
        <v>0.0</v>
      </c>
      <c r="AM146" s="1">
        <v>50.342037951</v>
      </c>
      <c r="AN146" s="1">
        <v>65.060843474</v>
      </c>
      <c r="AO146" s="1">
        <v>18316.0</v>
      </c>
      <c r="AP146" s="1">
        <v>27.1</v>
      </c>
      <c r="AQ146" s="1">
        <v>7.7</v>
      </c>
      <c r="AR146" s="1">
        <v>23.4</v>
      </c>
      <c r="AS146" s="1">
        <v>16.8</v>
      </c>
      <c r="AT146" s="1">
        <v>20.3</v>
      </c>
      <c r="AU146" s="1">
        <v>22.1</v>
      </c>
      <c r="AV146" s="1">
        <v>22.6</v>
      </c>
      <c r="AW146" s="1">
        <v>0.2</v>
      </c>
      <c r="AX146" s="1">
        <v>0.858</v>
      </c>
      <c r="AY146" s="1">
        <v>22.9</v>
      </c>
      <c r="AZ146" s="1">
        <v>20.9</v>
      </c>
      <c r="BA146" s="1">
        <v>30.6</v>
      </c>
      <c r="BB146" s="1">
        <v>2.8</v>
      </c>
      <c r="BC146" s="1" t="s">
        <v>286</v>
      </c>
      <c r="BD146" s="1">
        <v>19.8</v>
      </c>
      <c r="BE146" s="1">
        <v>42.5</v>
      </c>
      <c r="BF146" s="1">
        <v>27.5</v>
      </c>
      <c r="BG146" s="1">
        <v>10.1</v>
      </c>
      <c r="BH146" s="1" t="s">
        <v>345</v>
      </c>
    </row>
    <row r="147">
      <c r="A147" s="2">
        <v>5069.0</v>
      </c>
      <c r="B147" s="2" t="str">
        <f>IFERROR(__xludf.DUMMYFUNCTION("TO_TEXT(A147)"),"05069")</f>
        <v>05069</v>
      </c>
      <c r="C147" s="1">
        <v>72385.0</v>
      </c>
      <c r="D147" s="1">
        <v>870.745145877102</v>
      </c>
      <c r="E147" s="1" t="s">
        <v>132</v>
      </c>
      <c r="F147" s="1" t="s">
        <v>346</v>
      </c>
      <c r="G147" s="1">
        <v>83.1299494952528</v>
      </c>
      <c r="H147" s="1">
        <v>25.737283487</v>
      </c>
      <c r="I147" s="1">
        <v>4.7398776193</v>
      </c>
      <c r="J147" s="1">
        <v>12.8481012659999</v>
      </c>
      <c r="K147" s="1">
        <v>21.331822966</v>
      </c>
      <c r="L147" s="1">
        <v>40.8</v>
      </c>
      <c r="M147" s="1">
        <v>5.4</v>
      </c>
      <c r="N147" s="1">
        <v>34.1</v>
      </c>
      <c r="O147" s="1">
        <v>53.164589656</v>
      </c>
      <c r="P147" s="1">
        <v>7.23452561909999</v>
      </c>
      <c r="Q147" s="1">
        <v>68.0026</v>
      </c>
      <c r="R147" s="1">
        <v>81.37603796</v>
      </c>
      <c r="S147" s="1">
        <v>33.8</v>
      </c>
      <c r="T147" s="1">
        <v>15479.0</v>
      </c>
      <c r="U147" s="1">
        <v>53.9957361589999</v>
      </c>
      <c r="V147" s="1">
        <v>1008.8679351</v>
      </c>
      <c r="W147" s="1">
        <v>17.498192336</v>
      </c>
      <c r="X147" s="1">
        <v>15.86245147</v>
      </c>
      <c r="Y147" s="1">
        <v>73.28620647</v>
      </c>
      <c r="Z147" s="1">
        <v>15.9</v>
      </c>
      <c r="AA147" s="1">
        <v>7.1019348462</v>
      </c>
      <c r="AB147" s="1">
        <v>38596.0</v>
      </c>
      <c r="AC147" s="1">
        <v>35.616693001</v>
      </c>
      <c r="AD147" s="1">
        <v>62.449494013</v>
      </c>
      <c r="AE147" s="1">
        <v>15.789886012</v>
      </c>
      <c r="AF147" s="1">
        <v>56.769533429</v>
      </c>
      <c r="AG147" s="1">
        <v>0.4154799307</v>
      </c>
      <c r="AH147" s="1">
        <v>0.866194908499999</v>
      </c>
      <c r="AI147" s="1">
        <v>0.1145139032</v>
      </c>
      <c r="AJ147" s="1">
        <v>2.137592859</v>
      </c>
      <c r="AK147" s="1">
        <v>38.608802889</v>
      </c>
      <c r="AL147" s="1">
        <v>0.3915284727</v>
      </c>
      <c r="AM147" s="1">
        <v>50.579910151</v>
      </c>
      <c r="AN147" s="1">
        <v>30.916252341</v>
      </c>
      <c r="AO147" s="1">
        <v>19691.0</v>
      </c>
      <c r="AP147" s="1">
        <v>25.5</v>
      </c>
      <c r="AQ147" s="1">
        <v>9.7</v>
      </c>
      <c r="AR147" s="1">
        <v>15.7</v>
      </c>
      <c r="AS147" s="1">
        <v>15.2</v>
      </c>
      <c r="AT147" s="1">
        <v>23.2</v>
      </c>
      <c r="AU147" s="1">
        <v>19.4</v>
      </c>
      <c r="AV147" s="1">
        <v>60.1</v>
      </c>
      <c r="AW147" s="1">
        <v>0.3</v>
      </c>
      <c r="AX147" s="1">
        <v>0.9408</v>
      </c>
      <c r="AY147" s="1">
        <v>24.4</v>
      </c>
      <c r="AZ147" s="1">
        <v>20.0</v>
      </c>
      <c r="BA147" s="1">
        <v>28.5</v>
      </c>
      <c r="BB147" s="1">
        <v>2.91</v>
      </c>
      <c r="BC147" s="1" t="s">
        <v>286</v>
      </c>
      <c r="BD147" s="1">
        <v>13.9</v>
      </c>
      <c r="BE147" s="1">
        <v>38.9</v>
      </c>
      <c r="BF147" s="1">
        <v>29.3</v>
      </c>
      <c r="BG147" s="1">
        <v>18.0</v>
      </c>
      <c r="BH147" s="1" t="s">
        <v>346</v>
      </c>
    </row>
    <row r="148">
      <c r="A148" s="2">
        <v>5071.0</v>
      </c>
      <c r="B148" s="2" t="str">
        <f>IFERROR(__xludf.DUMMYFUNCTION("TO_TEXT(A148)"),"05071")</f>
        <v>05071</v>
      </c>
      <c r="C148" s="1">
        <v>26025.0</v>
      </c>
      <c r="D148" s="1">
        <v>659.889733617132</v>
      </c>
      <c r="E148" s="1" t="s">
        <v>347</v>
      </c>
      <c r="F148" s="1" t="s">
        <v>348</v>
      </c>
      <c r="G148" s="1">
        <v>39.438407167431</v>
      </c>
      <c r="H148" s="1">
        <v>24.322376912</v>
      </c>
      <c r="I148" s="1">
        <v>4.7286393693</v>
      </c>
      <c r="J148" s="1">
        <v>7.0182555781</v>
      </c>
      <c r="K148" s="1">
        <v>20.752465241</v>
      </c>
      <c r="L148" s="1">
        <v>39.5</v>
      </c>
      <c r="M148" s="1">
        <v>7.6</v>
      </c>
      <c r="N148" s="1">
        <v>28.9</v>
      </c>
      <c r="O148" s="1">
        <v>60.606891151</v>
      </c>
      <c r="P148" s="1">
        <v>10.567369301</v>
      </c>
      <c r="Q148" s="1">
        <v>56.49292</v>
      </c>
      <c r="R148" s="1">
        <v>91.4556962029999</v>
      </c>
      <c r="S148" s="1">
        <v>33.5</v>
      </c>
      <c r="T148" s="1">
        <v>6335.0</v>
      </c>
      <c r="U148" s="1">
        <v>30.292028414</v>
      </c>
      <c r="V148" s="1">
        <v>243.57966206</v>
      </c>
      <c r="W148" s="1">
        <v>15.077383924</v>
      </c>
      <c r="X148" s="1">
        <v>10.369246333</v>
      </c>
      <c r="Y148" s="1">
        <v>76.03319228</v>
      </c>
      <c r="Z148" s="1">
        <v>12.9</v>
      </c>
      <c r="AA148" s="1">
        <v>2.903847696</v>
      </c>
      <c r="AB148" s="1">
        <v>39381.0</v>
      </c>
      <c r="AC148" s="1">
        <v>45.18134715</v>
      </c>
      <c r="AD148" s="1">
        <v>71.591836735</v>
      </c>
      <c r="AE148" s="1">
        <v>10.810810811</v>
      </c>
      <c r="AF148" s="1">
        <v>1.6677884975</v>
      </c>
      <c r="AG148" s="1">
        <v>1.1704434971</v>
      </c>
      <c r="AH148" s="1">
        <v>2.4829855658</v>
      </c>
      <c r="AI148" s="1">
        <v>0.1346196993</v>
      </c>
      <c r="AJ148" s="1">
        <v>14.1163712509999</v>
      </c>
      <c r="AK148" s="1">
        <v>78.939495924</v>
      </c>
      <c r="AL148" s="1">
        <v>3.3144902192</v>
      </c>
      <c r="AM148" s="1">
        <v>50.400119662</v>
      </c>
      <c r="AN148" s="1">
        <v>71.3664839469999</v>
      </c>
      <c r="AO148" s="1">
        <v>18871.0</v>
      </c>
      <c r="AP148" s="1">
        <v>21.4</v>
      </c>
      <c r="AQ148" s="1">
        <v>5.7</v>
      </c>
      <c r="AR148" s="1">
        <v>21.0</v>
      </c>
      <c r="AS148" s="1">
        <v>15.6</v>
      </c>
      <c r="AT148" s="1">
        <v>24.3</v>
      </c>
      <c r="AU148" s="1">
        <v>17.0</v>
      </c>
      <c r="AV148" s="1">
        <v>18.9</v>
      </c>
      <c r="AW148" s="1">
        <v>2.7</v>
      </c>
      <c r="AX148" s="1">
        <v>0.8013</v>
      </c>
      <c r="AY148" s="1">
        <v>17.5</v>
      </c>
      <c r="AZ148" s="1">
        <v>18.6</v>
      </c>
      <c r="BA148" s="1">
        <v>25.6</v>
      </c>
      <c r="BB148" s="1">
        <v>2.83</v>
      </c>
      <c r="BC148" s="1" t="s">
        <v>286</v>
      </c>
      <c r="BD148" s="1">
        <v>21.1</v>
      </c>
      <c r="BE148" s="1">
        <v>40.7</v>
      </c>
      <c r="BF148" s="1">
        <v>22.9</v>
      </c>
      <c r="BG148" s="1">
        <v>15.4</v>
      </c>
      <c r="BH148" s="1" t="s">
        <v>348</v>
      </c>
    </row>
    <row r="149">
      <c r="A149" s="2">
        <v>5073.0</v>
      </c>
      <c r="B149" s="2" t="str">
        <f>IFERROR(__xludf.DUMMYFUNCTION("TO_TEXT(A149)"),"05073")</f>
        <v>05073</v>
      </c>
      <c r="C149" s="1">
        <v>7127.0</v>
      </c>
      <c r="D149" s="1">
        <v>528.294918302138</v>
      </c>
      <c r="E149" s="1" t="s">
        <v>349</v>
      </c>
      <c r="F149" s="1" t="s">
        <v>350</v>
      </c>
      <c r="G149" s="1">
        <v>13.4905708025834</v>
      </c>
      <c r="H149" s="1">
        <v>25.2938732119999</v>
      </c>
      <c r="I149" s="1">
        <v>4.8058105247</v>
      </c>
      <c r="J149" s="1">
        <v>10.606060606</v>
      </c>
      <c r="K149" s="1">
        <v>20.145484054</v>
      </c>
      <c r="L149" s="1">
        <v>46.2</v>
      </c>
      <c r="M149" s="1">
        <v>5.8</v>
      </c>
      <c r="N149" s="1">
        <v>45.4</v>
      </c>
      <c r="O149" s="1">
        <v>13.734466972</v>
      </c>
      <c r="P149" s="1">
        <v>10.590988882</v>
      </c>
      <c r="Q149" s="1">
        <v>29.14602</v>
      </c>
      <c r="R149" s="1">
        <v>92.941176471</v>
      </c>
      <c r="S149" s="1">
        <v>34.8</v>
      </c>
      <c r="T149" s="1">
        <v>1309.0</v>
      </c>
      <c r="U149" s="1">
        <v>46.600458365</v>
      </c>
      <c r="V149" s="1">
        <v>178.27854239</v>
      </c>
      <c r="W149" s="1">
        <v>16.468590832</v>
      </c>
      <c r="X149" s="1">
        <v>13.795493934</v>
      </c>
      <c r="Y149" s="1">
        <v>75.449649416</v>
      </c>
      <c r="Z149" s="1">
        <v>29.0</v>
      </c>
      <c r="AA149" s="1">
        <v>9.4076247201</v>
      </c>
      <c r="AB149" s="1">
        <v>35527.0</v>
      </c>
      <c r="AC149" s="1">
        <v>44.137168142</v>
      </c>
      <c r="AD149" s="1">
        <v>76.635187128</v>
      </c>
      <c r="AE149" s="1">
        <v>11.808846761</v>
      </c>
      <c r="AF149" s="1">
        <v>35.902424424</v>
      </c>
      <c r="AG149" s="1">
        <v>0.5686920084</v>
      </c>
      <c r="AH149" s="1">
        <v>0.5237952709</v>
      </c>
      <c r="AI149" s="1">
        <v>0.0748278958</v>
      </c>
      <c r="AJ149" s="1">
        <v>2.7686321461</v>
      </c>
      <c r="AK149" s="1">
        <v>59.2337623469999</v>
      </c>
      <c r="AL149" s="1">
        <v>0.3210518269</v>
      </c>
      <c r="AM149" s="1">
        <v>50.868003592</v>
      </c>
      <c r="AN149" s="1">
        <v>100.0</v>
      </c>
      <c r="AO149" s="1">
        <v>24171.0</v>
      </c>
      <c r="AP149" s="1">
        <v>26.4</v>
      </c>
      <c r="AQ149" s="1">
        <v>11.1</v>
      </c>
      <c r="AR149" s="1">
        <v>19.8</v>
      </c>
      <c r="AS149" s="1">
        <v>21.5</v>
      </c>
      <c r="AT149" s="1">
        <v>20.5</v>
      </c>
      <c r="AU149" s="1">
        <v>23.7</v>
      </c>
      <c r="AV149" s="1">
        <v>40.7</v>
      </c>
      <c r="AW149" s="1">
        <v>0.1</v>
      </c>
      <c r="AX149" s="1">
        <v>0.8039</v>
      </c>
      <c r="AY149" s="1">
        <v>25.5</v>
      </c>
      <c r="AZ149" s="1">
        <v>19.9</v>
      </c>
      <c r="BA149" s="1">
        <v>27.8</v>
      </c>
      <c r="BB149" s="1">
        <v>3.04</v>
      </c>
      <c r="BC149" s="1" t="s">
        <v>286</v>
      </c>
      <c r="BD149" s="1">
        <v>20.3</v>
      </c>
      <c r="BE149" s="1">
        <v>40.2</v>
      </c>
      <c r="BF149" s="1">
        <v>23.7</v>
      </c>
      <c r="BG149" s="1">
        <v>15.8</v>
      </c>
      <c r="BH149" s="1" t="s">
        <v>350</v>
      </c>
    </row>
    <row r="150">
      <c r="A150" s="2">
        <v>5075.0</v>
      </c>
      <c r="B150" s="2" t="str">
        <f>IFERROR(__xludf.DUMMYFUNCTION("TO_TEXT(A150)"),"05075")</f>
        <v>05075</v>
      </c>
      <c r="C150" s="1">
        <v>16915.0</v>
      </c>
      <c r="D150" s="1">
        <v>587.617090978208</v>
      </c>
      <c r="E150" s="1" t="s">
        <v>138</v>
      </c>
      <c r="F150" s="1" t="s">
        <v>351</v>
      </c>
      <c r="G150" s="1">
        <v>28.7857522521027</v>
      </c>
      <c r="H150" s="1">
        <v>20.94174644</v>
      </c>
      <c r="I150" s="1">
        <v>4.7258437594</v>
      </c>
      <c r="J150" s="1">
        <v>8.4884586746</v>
      </c>
      <c r="K150" s="1">
        <v>19.39464182</v>
      </c>
      <c r="L150" s="1">
        <v>32.3</v>
      </c>
      <c r="M150" s="1">
        <v>6.3</v>
      </c>
      <c r="N150" s="1">
        <v>31.0</v>
      </c>
      <c r="O150" s="1">
        <v>43.1467126039999</v>
      </c>
      <c r="P150" s="1">
        <v>8.2793095368</v>
      </c>
      <c r="Q150" s="1">
        <v>30.25719</v>
      </c>
      <c r="R150" s="1">
        <v>88.70292887</v>
      </c>
      <c r="S150" s="1">
        <v>26.8</v>
      </c>
      <c r="T150" s="1">
        <v>3697.0</v>
      </c>
      <c r="U150" s="1">
        <v>31.83662429</v>
      </c>
      <c r="V150" s="1">
        <v>226.87244395</v>
      </c>
      <c r="W150" s="1">
        <v>11.7335352009999</v>
      </c>
      <c r="X150" s="1">
        <v>9.7931034483</v>
      </c>
      <c r="Y150" s="1">
        <v>73.389894994</v>
      </c>
      <c r="Z150" s="1">
        <v>9.3</v>
      </c>
      <c r="AA150" s="1">
        <v>15.56016189</v>
      </c>
      <c r="AB150" s="1">
        <v>40308.0</v>
      </c>
      <c r="AC150" s="1">
        <v>45.3050901039999</v>
      </c>
      <c r="AD150" s="1">
        <v>66.743224621</v>
      </c>
      <c r="AE150" s="1">
        <v>9.1314398943</v>
      </c>
      <c r="AF150" s="1">
        <v>1.1804794937</v>
      </c>
      <c r="AG150" s="1">
        <v>0.5902397469</v>
      </c>
      <c r="AH150" s="1">
        <v>0.3225021297</v>
      </c>
      <c r="AI150" s="1">
        <v>0.0365096751</v>
      </c>
      <c r="AJ150" s="1">
        <v>1.6794450529</v>
      </c>
      <c r="AK150" s="1">
        <v>94.833880978</v>
      </c>
      <c r="AL150" s="1">
        <v>0.2094839078</v>
      </c>
      <c r="AM150" s="1">
        <v>50.638919314</v>
      </c>
      <c r="AN150" s="1">
        <v>63.5601492969999</v>
      </c>
      <c r="AO150" s="1">
        <v>18010.0</v>
      </c>
      <c r="AP150" s="1">
        <v>23.6</v>
      </c>
      <c r="AQ150" s="1">
        <v>8.2</v>
      </c>
      <c r="AR150" s="1">
        <v>18.3</v>
      </c>
      <c r="AS150" s="1">
        <v>19.2</v>
      </c>
      <c r="AT150" s="1">
        <v>22.2</v>
      </c>
      <c r="AU150" s="1">
        <v>22.1</v>
      </c>
      <c r="AV150" s="1">
        <v>4.0</v>
      </c>
      <c r="AW150" s="1">
        <v>0.2</v>
      </c>
      <c r="AX150" s="1">
        <v>0.7081</v>
      </c>
      <c r="AY150" s="1">
        <v>18.4</v>
      </c>
      <c r="AZ150" s="1">
        <v>18.5</v>
      </c>
      <c r="BA150" s="1">
        <v>23.9</v>
      </c>
      <c r="BB150" s="1">
        <v>2.78</v>
      </c>
      <c r="BC150" s="1" t="s">
        <v>286</v>
      </c>
      <c r="BD150" s="1">
        <v>15.9</v>
      </c>
      <c r="BE150" s="1">
        <v>38.6</v>
      </c>
      <c r="BF150" s="1">
        <v>30.1</v>
      </c>
      <c r="BG150" s="1">
        <v>15.4</v>
      </c>
      <c r="BH150" s="1" t="s">
        <v>351</v>
      </c>
    </row>
    <row r="151">
      <c r="A151" s="2">
        <v>5077.0</v>
      </c>
      <c r="B151" s="2" t="str">
        <f>IFERROR(__xludf.DUMMYFUNCTION("TO_TEXT(A151)"),"05077")</f>
        <v>05077</v>
      </c>
      <c r="C151" s="1">
        <v>9781.0</v>
      </c>
      <c r="D151" s="1">
        <v>602.620955624602</v>
      </c>
      <c r="E151" s="1" t="s">
        <v>140</v>
      </c>
      <c r="F151" s="1" t="s">
        <v>352</v>
      </c>
      <c r="G151" s="1">
        <v>16.2307664688863</v>
      </c>
      <c r="H151" s="1">
        <v>29.158042656</v>
      </c>
      <c r="I151" s="1">
        <v>4.8703105941</v>
      </c>
      <c r="J151" s="1">
        <v>13.544668588</v>
      </c>
      <c r="K151" s="1">
        <v>24.770229015</v>
      </c>
      <c r="L151" s="1">
        <v>39.4</v>
      </c>
      <c r="M151" s="1">
        <v>3.4</v>
      </c>
      <c r="N151" s="1">
        <v>33.4</v>
      </c>
      <c r="O151" s="1">
        <v>43.0161166539999</v>
      </c>
      <c r="P151" s="1">
        <v>8.5520442778</v>
      </c>
      <c r="Q151" s="1">
        <v>10.89799</v>
      </c>
      <c r="R151" s="1">
        <v>80.263157895</v>
      </c>
      <c r="S151" s="1">
        <v>50.9</v>
      </c>
      <c r="T151" s="1">
        <v>1724.0</v>
      </c>
      <c r="U151" s="1">
        <v>50.406032483</v>
      </c>
      <c r="V151" s="1">
        <v>293.51184346</v>
      </c>
      <c r="W151" s="1">
        <v>17.09039548</v>
      </c>
      <c r="X151" s="1">
        <v>15.395683453</v>
      </c>
      <c r="Y151" s="1">
        <v>75.745810396</v>
      </c>
      <c r="Z151" s="1">
        <v>16.4</v>
      </c>
      <c r="AA151" s="1">
        <v>27.326237521</v>
      </c>
      <c r="AB151" s="1">
        <v>28080.0</v>
      </c>
      <c r="AC151" s="1">
        <v>42.949547219</v>
      </c>
      <c r="AD151" s="1">
        <v>57.696897375</v>
      </c>
      <c r="AE151" s="1">
        <v>16.228859302</v>
      </c>
      <c r="AF151" s="1">
        <v>53.8786867</v>
      </c>
      <c r="AG151" s="1">
        <v>0.5898720089</v>
      </c>
      <c r="AH151" s="1">
        <v>0.5898720089</v>
      </c>
      <c r="AI151" s="1">
        <v>0.0222593211</v>
      </c>
      <c r="AJ151" s="1">
        <v>2.5041736227</v>
      </c>
      <c r="AK151" s="1">
        <v>41.235392321</v>
      </c>
      <c r="AL151" s="1">
        <v>0.751795332099999</v>
      </c>
      <c r="AM151" s="1">
        <v>43.806343907</v>
      </c>
      <c r="AN151" s="1">
        <v>63.5072908669999</v>
      </c>
      <c r="AO151" s="1">
        <v>14292.0</v>
      </c>
      <c r="AP151" s="1">
        <v>30.1</v>
      </c>
      <c r="AQ151" s="1">
        <v>16.4</v>
      </c>
      <c r="AR151" s="1">
        <v>30.7</v>
      </c>
      <c r="AS151" s="1">
        <v>16.9</v>
      </c>
      <c r="AT151" s="1">
        <v>19.7</v>
      </c>
      <c r="AU151" s="1">
        <v>27.2</v>
      </c>
      <c r="AV151" s="1">
        <v>59.3</v>
      </c>
      <c r="AW151" s="1">
        <v>0.0</v>
      </c>
      <c r="AX151" s="1">
        <v>0.9163</v>
      </c>
      <c r="AY151" s="1">
        <v>35.4</v>
      </c>
      <c r="AZ151" s="1">
        <v>22.1</v>
      </c>
      <c r="BA151" s="1">
        <v>29.6</v>
      </c>
      <c r="BB151" s="1">
        <v>2.85</v>
      </c>
      <c r="BC151" s="1" t="s">
        <v>286</v>
      </c>
      <c r="BD151" s="1">
        <v>24.2</v>
      </c>
      <c r="BE151" s="1">
        <v>40.4</v>
      </c>
      <c r="BF151" s="1">
        <v>24.7</v>
      </c>
      <c r="BG151" s="1">
        <v>10.7</v>
      </c>
      <c r="BH151" s="1" t="s">
        <v>352</v>
      </c>
    </row>
    <row r="152">
      <c r="A152" s="2">
        <v>5079.0</v>
      </c>
      <c r="B152" s="2" t="str">
        <f>IFERROR(__xludf.DUMMYFUNCTION("TO_TEXT(A152)"),"05079")</f>
        <v>05079</v>
      </c>
      <c r="C152" s="1">
        <v>13935.0</v>
      </c>
      <c r="D152" s="1">
        <v>561.561551178476</v>
      </c>
      <c r="E152" s="1" t="s">
        <v>353</v>
      </c>
      <c r="F152" s="1" t="s">
        <v>354</v>
      </c>
      <c r="G152" s="1">
        <v>24.814733079137</v>
      </c>
      <c r="H152" s="1">
        <v>24.863479648</v>
      </c>
      <c r="I152" s="1">
        <v>4.4806736187</v>
      </c>
      <c r="J152" s="1">
        <v>9.2182030338</v>
      </c>
      <c r="K152" s="1">
        <v>22.4674206909999</v>
      </c>
      <c r="L152" s="1">
        <v>32.6</v>
      </c>
      <c r="M152" s="1">
        <v>5.7</v>
      </c>
      <c r="N152" s="1">
        <v>40.0</v>
      </c>
      <c r="O152" s="1">
        <v>39.019385878</v>
      </c>
      <c r="P152" s="1">
        <v>9.3666708973</v>
      </c>
      <c r="Q152" s="1">
        <v>14.65631</v>
      </c>
      <c r="R152" s="1">
        <v>94.690265487</v>
      </c>
      <c r="S152" s="1">
        <v>27.1</v>
      </c>
      <c r="T152" s="1">
        <v>2349.0</v>
      </c>
      <c r="U152" s="1">
        <v>26.309067688</v>
      </c>
      <c r="V152" s="1">
        <v>154.85450879</v>
      </c>
      <c r="W152" s="1">
        <v>15.228426396</v>
      </c>
      <c r="X152" s="1">
        <v>11.764705882</v>
      </c>
      <c r="Y152" s="1">
        <v>74.657056107</v>
      </c>
      <c r="Z152" s="1">
        <v>15.5</v>
      </c>
      <c r="AA152" s="1">
        <v>16.783480937</v>
      </c>
      <c r="AB152" s="1">
        <v>44951.0</v>
      </c>
      <c r="AC152" s="1">
        <v>33.98241206</v>
      </c>
      <c r="AD152" s="1">
        <v>74.598155468</v>
      </c>
      <c r="AE152" s="1">
        <v>9.7993602792</v>
      </c>
      <c r="AF152" s="1">
        <v>30.2548008669999</v>
      </c>
      <c r="AG152" s="1">
        <v>0.5305237988</v>
      </c>
      <c r="AH152" s="1">
        <v>0.3213031458</v>
      </c>
      <c r="AI152" s="1">
        <v>0.0074721662</v>
      </c>
      <c r="AJ152" s="1">
        <v>3.9154150788</v>
      </c>
      <c r="AK152" s="1">
        <v>64.051408503</v>
      </c>
      <c r="AL152" s="1">
        <v>0.7453038254</v>
      </c>
      <c r="AM152" s="1">
        <v>38.182769185</v>
      </c>
      <c r="AN152" s="1">
        <v>100.0</v>
      </c>
      <c r="AO152" s="1">
        <v>12610.0</v>
      </c>
      <c r="AP152" s="1">
        <v>23.3</v>
      </c>
      <c r="AQ152" s="1">
        <v>11.6</v>
      </c>
      <c r="AR152" s="1">
        <v>20.9</v>
      </c>
      <c r="AS152" s="1">
        <v>13.5</v>
      </c>
      <c r="AT152" s="1">
        <v>17.9</v>
      </c>
      <c r="AU152" s="1">
        <v>22.3</v>
      </c>
      <c r="AV152" s="1">
        <v>35.4</v>
      </c>
      <c r="AW152" s="1">
        <v>0.8</v>
      </c>
      <c r="AX152" s="1">
        <v>0.944</v>
      </c>
      <c r="AY152" s="1">
        <v>27.1</v>
      </c>
      <c r="AZ152" s="1">
        <v>18.6</v>
      </c>
      <c r="BA152" s="1">
        <v>25.2</v>
      </c>
      <c r="BB152" s="1">
        <v>2.84</v>
      </c>
      <c r="BC152" s="1" t="s">
        <v>286</v>
      </c>
      <c r="BD152" s="1">
        <v>18.9</v>
      </c>
      <c r="BE152" s="1">
        <v>47.3</v>
      </c>
      <c r="BF152" s="1">
        <v>24.1</v>
      </c>
      <c r="BG152" s="1">
        <v>9.7</v>
      </c>
      <c r="BH152" s="1" t="s">
        <v>354</v>
      </c>
    </row>
    <row r="153">
      <c r="A153" s="2">
        <v>5081.0</v>
      </c>
      <c r="B153" s="2" t="str">
        <f>IFERROR(__xludf.DUMMYFUNCTION("TO_TEXT(A153)"),"05081")</f>
        <v>05081</v>
      </c>
      <c r="C153" s="1">
        <v>12616.0</v>
      </c>
      <c r="D153" s="1">
        <v>532.256161500992</v>
      </c>
      <c r="E153" s="1" t="s">
        <v>355</v>
      </c>
      <c r="F153" s="1" t="s">
        <v>356</v>
      </c>
      <c r="G153" s="1">
        <v>23.7028726251326</v>
      </c>
      <c r="H153" s="1">
        <v>24.336815437</v>
      </c>
      <c r="I153" s="1">
        <v>4.8372952902</v>
      </c>
      <c r="J153" s="1">
        <v>8.3333333333</v>
      </c>
      <c r="K153" s="1">
        <v>21.064747174</v>
      </c>
      <c r="L153" s="1">
        <v>37.8</v>
      </c>
      <c r="M153" s="1">
        <v>6.8</v>
      </c>
      <c r="N153" s="1">
        <v>35.2</v>
      </c>
      <c r="O153" s="1">
        <v>62.128919596</v>
      </c>
      <c r="P153" s="1">
        <v>8.9756801319</v>
      </c>
      <c r="Q153" s="1">
        <v>24.27381</v>
      </c>
      <c r="R153" s="1">
        <v>85.039370079</v>
      </c>
      <c r="S153" s="1">
        <v>24.1</v>
      </c>
      <c r="T153" s="1">
        <v>2690.0</v>
      </c>
      <c r="U153" s="1">
        <v>42.973977695</v>
      </c>
      <c r="V153" s="1">
        <v>144.27122991</v>
      </c>
      <c r="W153" s="1">
        <v>8.0924855491</v>
      </c>
      <c r="X153" s="1">
        <v>6.6860465116</v>
      </c>
      <c r="Y153" s="1">
        <v>74.533449393</v>
      </c>
      <c r="Z153" s="1">
        <v>20.8</v>
      </c>
      <c r="AA153" s="1">
        <v>4.9105335268</v>
      </c>
      <c r="AB153" s="1">
        <v>43559.0</v>
      </c>
      <c r="AC153" s="1">
        <v>39.613778706</v>
      </c>
      <c r="AD153" s="1">
        <v>72.316176471</v>
      </c>
      <c r="AE153" s="1">
        <v>6.22074883</v>
      </c>
      <c r="AF153" s="1">
        <v>19.608956677</v>
      </c>
      <c r="AG153" s="1">
        <v>1.6631510628</v>
      </c>
      <c r="AH153" s="1">
        <v>0.4705500568</v>
      </c>
      <c r="AI153" s="1">
        <v>0.0730163881</v>
      </c>
      <c r="AJ153" s="1">
        <v>3.7076099302</v>
      </c>
      <c r="AK153" s="1">
        <v>72.626967386</v>
      </c>
      <c r="AL153" s="1">
        <v>0.0513127512</v>
      </c>
      <c r="AM153" s="1">
        <v>51.841635567</v>
      </c>
      <c r="AN153" s="1">
        <v>68.521752335</v>
      </c>
      <c r="AO153" s="1">
        <v>20237.0</v>
      </c>
      <c r="AP153" s="1">
        <v>19.4</v>
      </c>
      <c r="AQ153" s="1">
        <v>8.8</v>
      </c>
      <c r="AR153" s="1">
        <v>14.0</v>
      </c>
      <c r="AS153" s="1">
        <v>19.2</v>
      </c>
      <c r="AT153" s="1">
        <v>22.7</v>
      </c>
      <c r="AU153" s="1">
        <v>20.6</v>
      </c>
      <c r="AV153" s="1">
        <v>26.9</v>
      </c>
      <c r="AW153" s="1">
        <v>0.1</v>
      </c>
      <c r="AX153" s="1">
        <v>0.6692</v>
      </c>
      <c r="AY153" s="1">
        <v>17.8</v>
      </c>
      <c r="AZ153" s="1">
        <v>18.0</v>
      </c>
      <c r="BA153" s="1">
        <v>24.6</v>
      </c>
      <c r="BB153" s="1">
        <v>2.92</v>
      </c>
      <c r="BC153" s="1" t="s">
        <v>286</v>
      </c>
      <c r="BD153" s="1">
        <v>11.0</v>
      </c>
      <c r="BE153" s="1">
        <v>44.7</v>
      </c>
      <c r="BF153" s="1">
        <v>31.8</v>
      </c>
      <c r="BG153" s="1">
        <v>12.5</v>
      </c>
      <c r="BH153" s="1" t="s">
        <v>356</v>
      </c>
    </row>
    <row r="154">
      <c r="A154" s="2">
        <v>5083.0</v>
      </c>
      <c r="B154" s="2" t="str">
        <f>IFERROR(__xludf.DUMMYFUNCTION("TO_TEXT(A154)"),"05083")</f>
        <v>05083</v>
      </c>
      <c r="C154" s="1">
        <v>21935.0</v>
      </c>
      <c r="D154" s="1">
        <v>708.119260312236</v>
      </c>
      <c r="E154" s="1" t="s">
        <v>357</v>
      </c>
      <c r="F154" s="1" t="s">
        <v>358</v>
      </c>
      <c r="G154" s="1">
        <v>30.9764205401334</v>
      </c>
      <c r="H154" s="1">
        <v>22.2788819809999</v>
      </c>
      <c r="I154" s="1">
        <v>4.7704860121</v>
      </c>
      <c r="J154" s="1">
        <v>10.595303113</v>
      </c>
      <c r="K154" s="1">
        <v>20.399456184</v>
      </c>
      <c r="L154" s="1">
        <v>32.8</v>
      </c>
      <c r="M154" s="1">
        <v>7.3</v>
      </c>
      <c r="N154" s="1">
        <v>35.3</v>
      </c>
      <c r="O154" s="1">
        <v>72.616651009</v>
      </c>
      <c r="P154" s="1">
        <v>9.6222131672</v>
      </c>
      <c r="Q154" s="1">
        <v>18.41451</v>
      </c>
      <c r="R154" s="1">
        <v>91.930835735</v>
      </c>
      <c r="S154" s="1">
        <v>29.5</v>
      </c>
      <c r="T154" s="1">
        <v>4650.0</v>
      </c>
      <c r="U154" s="1">
        <v>30.47311828</v>
      </c>
      <c r="V154" s="1">
        <v>379.99907317</v>
      </c>
      <c r="W154" s="1">
        <v>9.9404761905</v>
      </c>
      <c r="X154" s="1">
        <v>7.48780487799999</v>
      </c>
      <c r="Y154" s="1">
        <v>75.188287763</v>
      </c>
      <c r="Z154" s="1">
        <v>18.0</v>
      </c>
      <c r="AA154" s="1">
        <v>4.91348650019999</v>
      </c>
      <c r="AB154" s="1">
        <v>41471.0</v>
      </c>
      <c r="AC154" s="1">
        <v>57.253599114</v>
      </c>
      <c r="AD154" s="1">
        <v>71.774574669</v>
      </c>
      <c r="AE154" s="1">
        <v>8.8729016787</v>
      </c>
      <c r="AF154" s="1">
        <v>1.4123384092</v>
      </c>
      <c r="AG154" s="1">
        <v>1.1593136127</v>
      </c>
      <c r="AH154" s="1">
        <v>2.4014353407</v>
      </c>
      <c r="AI154" s="1">
        <v>0.0230022542</v>
      </c>
      <c r="AJ154" s="1">
        <v>3.1053043198</v>
      </c>
      <c r="AK154" s="1">
        <v>90.357455031</v>
      </c>
      <c r="AL154" s="1">
        <v>0.8293896668</v>
      </c>
      <c r="AM154" s="1">
        <v>50.075907439</v>
      </c>
      <c r="AN154" s="1">
        <v>71.019549949</v>
      </c>
      <c r="AO154" s="1">
        <v>20340.0</v>
      </c>
      <c r="AP154" s="1">
        <v>19.0</v>
      </c>
      <c r="AQ154" s="1">
        <v>8.1</v>
      </c>
      <c r="AR154" s="1">
        <v>17.2</v>
      </c>
      <c r="AS154" s="1">
        <v>19.1</v>
      </c>
      <c r="AT154" s="1">
        <v>22.4</v>
      </c>
      <c r="AU154" s="1">
        <v>21.3</v>
      </c>
      <c r="AV154" s="1">
        <v>8.6</v>
      </c>
      <c r="AW154" s="1">
        <v>1.7</v>
      </c>
      <c r="AX154" s="1">
        <v>0.758</v>
      </c>
      <c r="AY154" s="1">
        <v>17.4</v>
      </c>
      <c r="AZ154" s="1">
        <v>18.3</v>
      </c>
      <c r="BA154" s="1">
        <v>27.4</v>
      </c>
      <c r="BB154" s="1">
        <v>2.89</v>
      </c>
      <c r="BC154" s="1" t="s">
        <v>286</v>
      </c>
      <c r="BD154" s="1">
        <v>13.8</v>
      </c>
      <c r="BE154" s="1">
        <v>45.1</v>
      </c>
      <c r="BF154" s="1">
        <v>27.8</v>
      </c>
      <c r="BG154" s="1">
        <v>13.3</v>
      </c>
      <c r="BH154" s="1" t="s">
        <v>358</v>
      </c>
    </row>
    <row r="155">
      <c r="A155" s="2">
        <v>5085.0</v>
      </c>
      <c r="B155" s="2" t="str">
        <f>IFERROR(__xludf.DUMMYFUNCTION("TO_TEXT(A155)"),"05085")</f>
        <v>05085</v>
      </c>
      <c r="C155" s="1">
        <v>71279.0</v>
      </c>
      <c r="D155" s="1">
        <v>770.929555676706</v>
      </c>
      <c r="E155" s="1" t="s">
        <v>359</v>
      </c>
      <c r="F155" s="1" t="s">
        <v>360</v>
      </c>
      <c r="G155" s="1">
        <v>92.4585125516854</v>
      </c>
      <c r="H155" s="1">
        <v>18.911733535</v>
      </c>
      <c r="I155" s="1">
        <v>4.3286406665</v>
      </c>
      <c r="J155" s="1">
        <v>7.7533577534</v>
      </c>
      <c r="K155" s="1">
        <v>18.585972716</v>
      </c>
      <c r="L155" s="1">
        <v>43.0</v>
      </c>
      <c r="M155" s="1">
        <v>7.5</v>
      </c>
      <c r="N155" s="1">
        <v>32.7</v>
      </c>
      <c r="O155" s="1">
        <v>46.679150331</v>
      </c>
      <c r="P155" s="1">
        <v>7.1151847302</v>
      </c>
      <c r="Q155" s="1">
        <v>16.46136</v>
      </c>
      <c r="R155" s="1">
        <v>90.643274854</v>
      </c>
      <c r="S155" s="1">
        <v>15.9</v>
      </c>
      <c r="T155" s="1">
        <v>18651.0</v>
      </c>
      <c r="U155" s="1">
        <v>26.658088038</v>
      </c>
      <c r="V155" s="1">
        <v>340.31158036</v>
      </c>
      <c r="W155" s="1">
        <v>12.637045586</v>
      </c>
      <c r="X155" s="1">
        <v>8.4269662921</v>
      </c>
      <c r="Y155" s="1">
        <v>74.93233795</v>
      </c>
      <c r="Z155" s="1">
        <v>12.8</v>
      </c>
      <c r="AA155" s="1">
        <v>6.6371536165</v>
      </c>
      <c r="AB155" s="1">
        <v>56651.0</v>
      </c>
      <c r="AC155" s="1">
        <v>24.674955595</v>
      </c>
      <c r="AD155" s="1">
        <v>68.877475063</v>
      </c>
      <c r="AE155" s="1">
        <v>9.7585630419</v>
      </c>
      <c r="AF155" s="1">
        <v>6.2329445945</v>
      </c>
      <c r="AG155" s="1">
        <v>0.7086902806</v>
      </c>
      <c r="AH155" s="1">
        <v>0.9354168647</v>
      </c>
      <c r="AI155" s="1">
        <v>0.0801010087</v>
      </c>
      <c r="AJ155" s="1">
        <v>4.7612582647</v>
      </c>
      <c r="AK155" s="1">
        <v>85.619832467</v>
      </c>
      <c r="AL155" s="1">
        <v>0.655537882999999</v>
      </c>
      <c r="AM155" s="1">
        <v>50.71479968</v>
      </c>
      <c r="AN155" s="1">
        <v>44.812452455</v>
      </c>
      <c r="AO155" s="1">
        <v>24501.0</v>
      </c>
      <c r="AP155" s="1">
        <v>12.1</v>
      </c>
      <c r="AQ155" s="1">
        <v>5.6</v>
      </c>
      <c r="AR155" s="1">
        <v>11.9</v>
      </c>
      <c r="AS155" s="1">
        <v>12.6</v>
      </c>
      <c r="AT155" s="1">
        <v>26.5</v>
      </c>
      <c r="AU155" s="1">
        <v>14.2</v>
      </c>
      <c r="AV155" s="1">
        <v>13.1</v>
      </c>
      <c r="AW155" s="1">
        <v>0.6</v>
      </c>
      <c r="AX155" s="1">
        <v>0.3779</v>
      </c>
      <c r="AY155" s="1">
        <v>10.7</v>
      </c>
      <c r="AZ155" s="1">
        <v>14.0</v>
      </c>
      <c r="BA155" s="1">
        <v>18.6</v>
      </c>
      <c r="BB155" s="1">
        <v>3.1</v>
      </c>
      <c r="BC155" s="1" t="s">
        <v>286</v>
      </c>
      <c r="BD155" s="1">
        <v>10.9</v>
      </c>
      <c r="BE155" s="1">
        <v>36.7</v>
      </c>
      <c r="BF155" s="1">
        <v>31.8</v>
      </c>
      <c r="BG155" s="1">
        <v>20.6</v>
      </c>
      <c r="BH155" s="1" t="s">
        <v>360</v>
      </c>
    </row>
    <row r="156">
      <c r="A156" s="2">
        <v>5087.0</v>
      </c>
      <c r="B156" s="2" t="str">
        <f>IFERROR(__xludf.DUMMYFUNCTION("TO_TEXT(A156)"),"05087")</f>
        <v>05087</v>
      </c>
      <c r="C156" s="1">
        <v>15761.0</v>
      </c>
      <c r="D156" s="1">
        <v>834.25281534752</v>
      </c>
      <c r="E156" s="1" t="s">
        <v>148</v>
      </c>
      <c r="F156" s="1" t="s">
        <v>361</v>
      </c>
      <c r="G156" s="1">
        <v>18.8923545837056</v>
      </c>
      <c r="H156" s="1">
        <v>21.945368576</v>
      </c>
      <c r="I156" s="1">
        <v>4.7161584429</v>
      </c>
      <c r="J156" s="1">
        <v>6.4925899788</v>
      </c>
      <c r="K156" s="1">
        <v>20.813868314</v>
      </c>
      <c r="L156" s="1">
        <v>34.7</v>
      </c>
      <c r="M156" s="1">
        <v>7.0</v>
      </c>
      <c r="N156" s="1">
        <v>30.9</v>
      </c>
      <c r="O156" s="1">
        <v>47.6235922889999</v>
      </c>
      <c r="P156" s="1">
        <v>11.462059517</v>
      </c>
      <c r="Q156" s="1">
        <v>18.36098</v>
      </c>
      <c r="R156" s="1">
        <v>87.9069767439999</v>
      </c>
      <c r="S156" s="1">
        <v>26.5</v>
      </c>
      <c r="T156" s="1">
        <v>3769.0</v>
      </c>
      <c r="U156" s="1">
        <v>22.578933404</v>
      </c>
      <c r="V156" s="1">
        <v>187.53973299</v>
      </c>
      <c r="W156" s="1">
        <v>11.464968153</v>
      </c>
      <c r="X156" s="1">
        <v>6.3607085346</v>
      </c>
      <c r="Y156" s="1">
        <v>73.347963366</v>
      </c>
      <c r="Z156" s="1">
        <v>12.1</v>
      </c>
      <c r="AA156" s="1">
        <v>12.048017344</v>
      </c>
      <c r="AB156" s="1">
        <v>42674.0</v>
      </c>
      <c r="AC156" s="1">
        <v>40.533230294</v>
      </c>
      <c r="AD156" s="1">
        <v>78.369652946</v>
      </c>
      <c r="AE156" s="1">
        <v>8.1938933931</v>
      </c>
      <c r="AF156" s="1">
        <v>0.412596323</v>
      </c>
      <c r="AG156" s="1">
        <v>1.6928584431</v>
      </c>
      <c r="AH156" s="1">
        <v>0.8069898671</v>
      </c>
      <c r="AI156" s="1">
        <v>0.5036102178</v>
      </c>
      <c r="AJ156" s="1">
        <v>5.9826466841</v>
      </c>
      <c r="AK156" s="1">
        <v>89.339239124</v>
      </c>
      <c r="AL156" s="1">
        <v>1.4091060153</v>
      </c>
      <c r="AM156" s="1">
        <v>50.0697773189999</v>
      </c>
      <c r="AN156" s="1">
        <v>100.0</v>
      </c>
      <c r="AO156" s="1">
        <v>22637.0</v>
      </c>
      <c r="AP156" s="1">
        <v>18.1</v>
      </c>
      <c r="AQ156" s="1">
        <v>5.2</v>
      </c>
      <c r="AR156" s="1">
        <v>19.6</v>
      </c>
      <c r="AS156" s="1">
        <v>17.6</v>
      </c>
      <c r="AT156" s="1">
        <v>23.5</v>
      </c>
      <c r="AU156" s="1">
        <v>17.9</v>
      </c>
      <c r="AV156" s="1">
        <v>9.5</v>
      </c>
      <c r="AW156" s="1">
        <v>1.7</v>
      </c>
      <c r="AX156" s="1">
        <v>0.5132</v>
      </c>
      <c r="AY156" s="1">
        <v>16.4</v>
      </c>
      <c r="AZ156" s="1">
        <v>15.7</v>
      </c>
      <c r="BA156" s="1">
        <v>20.4</v>
      </c>
      <c r="BB156" s="1">
        <v>2.98</v>
      </c>
      <c r="BC156" s="1" t="s">
        <v>286</v>
      </c>
      <c r="BD156" s="1">
        <v>19.4</v>
      </c>
      <c r="BE156" s="1">
        <v>43.9</v>
      </c>
      <c r="BF156" s="1">
        <v>22.6</v>
      </c>
      <c r="BG156" s="1">
        <v>14.2</v>
      </c>
      <c r="BH156" s="1" t="s">
        <v>361</v>
      </c>
    </row>
    <row r="157">
      <c r="A157" s="2">
        <v>5089.0</v>
      </c>
      <c r="B157" s="2" t="str">
        <f>IFERROR(__xludf.DUMMYFUNCTION("TO_TEXT(A157)"),"05089")</f>
        <v>05089</v>
      </c>
      <c r="C157" s="1">
        <v>16404.0</v>
      </c>
      <c r="D157" s="1">
        <v>597.008430619944</v>
      </c>
      <c r="E157" s="1" t="s">
        <v>152</v>
      </c>
      <c r="F157" s="1" t="s">
        <v>362</v>
      </c>
      <c r="G157" s="1">
        <v>27.4769989143466</v>
      </c>
      <c r="H157" s="1">
        <v>19.774073123</v>
      </c>
      <c r="I157" s="1">
        <v>4.8257213224</v>
      </c>
      <c r="J157" s="1">
        <v>7.6497695853</v>
      </c>
      <c r="K157" s="1">
        <v>19.92201061</v>
      </c>
      <c r="L157" s="1">
        <v>28.8</v>
      </c>
      <c r="M157" s="1">
        <v>7.2</v>
      </c>
      <c r="N157" s="1">
        <v>29.9</v>
      </c>
      <c r="O157" s="1">
        <v>19.311835705</v>
      </c>
      <c r="P157" s="1">
        <v>9.7206703911</v>
      </c>
      <c r="Q157" s="1">
        <v>12.17434</v>
      </c>
      <c r="R157" s="1">
        <v>92.43697479</v>
      </c>
      <c r="S157" s="1">
        <v>32.0</v>
      </c>
      <c r="T157" s="1">
        <v>2998.0</v>
      </c>
      <c r="U157" s="1">
        <v>32.721814543</v>
      </c>
      <c r="V157" s="1">
        <v>342.15961284</v>
      </c>
      <c r="W157" s="1">
        <v>12.828207052</v>
      </c>
      <c r="X157" s="1">
        <v>9.4342507645</v>
      </c>
      <c r="Y157" s="1">
        <v>74.594639269</v>
      </c>
      <c r="Z157" s="1">
        <v>17.0</v>
      </c>
      <c r="AA157" s="1">
        <v>6.7152097251</v>
      </c>
      <c r="AB157" s="1">
        <v>36581.0</v>
      </c>
      <c r="AC157" s="1">
        <v>39.522546419</v>
      </c>
      <c r="AD157" s="1">
        <v>78.872394662</v>
      </c>
      <c r="AE157" s="1">
        <v>12.7996164909999</v>
      </c>
      <c r="AF157" s="1">
        <v>0.5322329865</v>
      </c>
      <c r="AG157" s="1">
        <v>0.9448630547</v>
      </c>
      <c r="AH157" s="1">
        <v>0.6697763425</v>
      </c>
      <c r="AI157" s="1">
        <v>0.0598014592</v>
      </c>
      <c r="AJ157" s="1">
        <v>2.2844157397</v>
      </c>
      <c r="AK157" s="1">
        <v>93.816529123</v>
      </c>
      <c r="AL157" s="1">
        <v>0.025480953</v>
      </c>
      <c r="AM157" s="1">
        <v>50.908982179</v>
      </c>
      <c r="AN157" s="1">
        <v>100.0</v>
      </c>
      <c r="AO157" s="1">
        <v>18706.0</v>
      </c>
      <c r="AP157" s="1">
        <v>19.9</v>
      </c>
      <c r="AQ157" s="1">
        <v>10.0</v>
      </c>
      <c r="AR157" s="1">
        <v>14.0</v>
      </c>
      <c r="AS157" s="1">
        <v>26.5</v>
      </c>
      <c r="AT157" s="1">
        <v>17.7</v>
      </c>
      <c r="AU157" s="1">
        <v>24.1</v>
      </c>
      <c r="AV157" s="1">
        <v>5.1</v>
      </c>
      <c r="AW157" s="1">
        <v>0.1</v>
      </c>
      <c r="AX157" s="1">
        <v>0.4989</v>
      </c>
      <c r="AY157" s="1">
        <v>16.3</v>
      </c>
      <c r="AZ157" s="1">
        <v>18.5</v>
      </c>
      <c r="BA157" s="1">
        <v>27.4</v>
      </c>
      <c r="BB157" s="1">
        <v>3.0</v>
      </c>
      <c r="BC157" s="1" t="s">
        <v>286</v>
      </c>
      <c r="BD157" s="1">
        <v>13.5</v>
      </c>
      <c r="BE157" s="1">
        <v>37.5</v>
      </c>
      <c r="BF157" s="1">
        <v>31.9</v>
      </c>
      <c r="BG157" s="1">
        <v>17.1</v>
      </c>
      <c r="BH157" s="1" t="s">
        <v>362</v>
      </c>
    </row>
    <row r="158">
      <c r="A158" s="2">
        <v>5091.0</v>
      </c>
      <c r="B158" s="2" t="str">
        <f>IFERROR(__xludf.DUMMYFUNCTION("TO_TEXT(A158)"),"05091")</f>
        <v>05091</v>
      </c>
      <c r="C158" s="1">
        <v>43666.0</v>
      </c>
      <c r="D158" s="1">
        <v>625.587303747088</v>
      </c>
      <c r="E158" s="1" t="s">
        <v>363</v>
      </c>
      <c r="F158" s="1" t="s">
        <v>364</v>
      </c>
      <c r="G158" s="1">
        <v>69.8000099082145</v>
      </c>
      <c r="H158" s="1">
        <v>22.721385795</v>
      </c>
      <c r="I158" s="1">
        <v>4.7535841537</v>
      </c>
      <c r="J158" s="1">
        <v>9.9101287345</v>
      </c>
      <c r="K158" s="1">
        <v>21.478718195</v>
      </c>
      <c r="L158" s="1">
        <v>34.3</v>
      </c>
      <c r="M158" s="1">
        <v>5.8</v>
      </c>
      <c r="N158" s="1">
        <v>40.0</v>
      </c>
      <c r="O158" s="1">
        <v>64.842851226</v>
      </c>
      <c r="P158" s="1">
        <v>8.0762711864</v>
      </c>
      <c r="Q158" s="1">
        <v>72.75373</v>
      </c>
      <c r="R158" s="1">
        <v>87.4</v>
      </c>
      <c r="S158" s="1">
        <v>32.7</v>
      </c>
      <c r="T158" s="1">
        <v>10227.0</v>
      </c>
      <c r="U158" s="1">
        <v>48.733744011</v>
      </c>
      <c r="V158" s="1">
        <v>537.36952462</v>
      </c>
      <c r="W158" s="1">
        <v>15.172008233</v>
      </c>
      <c r="X158" s="1">
        <v>12.42870009</v>
      </c>
      <c r="Y158" s="1">
        <v>73.86976633</v>
      </c>
      <c r="Z158" s="1">
        <v>12.3</v>
      </c>
      <c r="AA158" s="1">
        <v>13.711804574</v>
      </c>
      <c r="AB158" s="1">
        <v>42162.0</v>
      </c>
      <c r="AC158" s="1">
        <v>31.7912218269999</v>
      </c>
      <c r="AD158" s="1">
        <v>63.715070456</v>
      </c>
      <c r="AE158" s="1">
        <v>11.9548777409999</v>
      </c>
      <c r="AF158" s="1">
        <v>24.844008075</v>
      </c>
      <c r="AG158" s="1">
        <v>0.8418975959</v>
      </c>
      <c r="AH158" s="1">
        <v>0.5023857589</v>
      </c>
      <c r="AI158" s="1">
        <v>0.0711139658999999</v>
      </c>
      <c r="AJ158" s="1">
        <v>3.5602862911</v>
      </c>
      <c r="AK158" s="1">
        <v>68.572215085</v>
      </c>
      <c r="AL158" s="1">
        <v>0.1442613331</v>
      </c>
      <c r="AM158" s="1">
        <v>50.883189576</v>
      </c>
      <c r="AN158" s="1">
        <v>40.011964475</v>
      </c>
      <c r="AO158" s="1">
        <v>21217.0</v>
      </c>
      <c r="AP158" s="1">
        <v>20.6</v>
      </c>
      <c r="AQ158" s="1">
        <v>8.6</v>
      </c>
      <c r="AR158" s="1">
        <v>14.5</v>
      </c>
      <c r="AS158" s="1">
        <v>15.0</v>
      </c>
      <c r="AT158" s="1">
        <v>24.2</v>
      </c>
      <c r="AU158" s="1">
        <v>17.7</v>
      </c>
      <c r="AV158" s="1">
        <v>30.3</v>
      </c>
      <c r="AW158" s="1">
        <v>0.2</v>
      </c>
      <c r="AX158" s="1">
        <v>0.8411</v>
      </c>
      <c r="AY158" s="1">
        <v>14.1</v>
      </c>
      <c r="AZ158" s="1">
        <v>19.3</v>
      </c>
      <c r="BA158" s="1">
        <v>26.9</v>
      </c>
      <c r="BB158" s="1">
        <v>3.02</v>
      </c>
      <c r="BC158" s="1" t="s">
        <v>286</v>
      </c>
      <c r="BD158" s="1">
        <v>13.5</v>
      </c>
      <c r="BE158" s="1">
        <v>35.3</v>
      </c>
      <c r="BF158" s="1">
        <v>34.4</v>
      </c>
      <c r="BG158" s="1">
        <v>16.8</v>
      </c>
      <c r="BH158" s="1" t="s">
        <v>364</v>
      </c>
    </row>
    <row r="159">
      <c r="A159" s="2">
        <v>5093.0</v>
      </c>
      <c r="B159" s="2" t="str">
        <f>IFERROR(__xludf.DUMMYFUNCTION("TO_TEXT(A159)"),"05093")</f>
        <v>05093</v>
      </c>
      <c r="C159" s="1">
        <v>44199.0</v>
      </c>
      <c r="D159" s="1">
        <v>900.575219214936</v>
      </c>
      <c r="E159" s="1" t="s">
        <v>365</v>
      </c>
      <c r="F159" s="1" t="s">
        <v>366</v>
      </c>
      <c r="G159" s="1">
        <v>49.0786322529837</v>
      </c>
      <c r="H159" s="1">
        <v>27.270440358</v>
      </c>
      <c r="I159" s="1">
        <v>4.9036079468</v>
      </c>
      <c r="J159" s="1">
        <v>11.11361587</v>
      </c>
      <c r="K159" s="1">
        <v>23.644712474</v>
      </c>
      <c r="L159" s="1">
        <v>40.9</v>
      </c>
      <c r="M159" s="1">
        <v>5.7</v>
      </c>
      <c r="N159" s="1">
        <v>38.0</v>
      </c>
      <c r="O159" s="1">
        <v>71.749139415</v>
      </c>
      <c r="P159" s="1">
        <v>7.56535667299999</v>
      </c>
      <c r="Q159" s="1">
        <v>42.69551</v>
      </c>
      <c r="R159" s="1">
        <v>86.585365854</v>
      </c>
      <c r="S159" s="1">
        <v>35.9</v>
      </c>
      <c r="T159" s="1">
        <v>11242.0</v>
      </c>
      <c r="U159" s="1">
        <v>51.876890233</v>
      </c>
      <c r="V159" s="1">
        <v>987.16908698</v>
      </c>
      <c r="W159" s="1">
        <v>16.216216216</v>
      </c>
      <c r="X159" s="1">
        <v>13.993993994</v>
      </c>
      <c r="Y159" s="1">
        <v>71.590958423</v>
      </c>
      <c r="Z159" s="1">
        <v>17.3</v>
      </c>
      <c r="AA159" s="1">
        <v>7.2484024061</v>
      </c>
      <c r="AB159" s="1">
        <v>36718.0</v>
      </c>
      <c r="AC159" s="1">
        <v>42.982131855</v>
      </c>
      <c r="AD159" s="1">
        <v>56.4009947889999</v>
      </c>
      <c r="AE159" s="1">
        <v>12.52364737</v>
      </c>
      <c r="AF159" s="1">
        <v>35.420354519</v>
      </c>
      <c r="AG159" s="1">
        <v>0.4486044763</v>
      </c>
      <c r="AH159" s="1">
        <v>0.4898275904</v>
      </c>
      <c r="AI159" s="1">
        <v>0.0315235578</v>
      </c>
      <c r="AJ159" s="1">
        <v>4.1829336308</v>
      </c>
      <c r="AK159" s="1">
        <v>58.233710808</v>
      </c>
      <c r="AL159" s="1">
        <v>1.0845222818</v>
      </c>
      <c r="AM159" s="1">
        <v>51.315502316</v>
      </c>
      <c r="AN159" s="1">
        <v>36.267211704</v>
      </c>
      <c r="AO159" s="1">
        <v>19159.0</v>
      </c>
      <c r="AP159" s="1">
        <v>25.5</v>
      </c>
      <c r="AQ159" s="1">
        <v>10.9</v>
      </c>
      <c r="AR159" s="1">
        <v>19.6</v>
      </c>
      <c r="AS159" s="1">
        <v>13.4</v>
      </c>
      <c r="AT159" s="1">
        <v>27.0</v>
      </c>
      <c r="AU159" s="1">
        <v>20.6</v>
      </c>
      <c r="AV159" s="1">
        <v>40.9</v>
      </c>
      <c r="AW159" s="1">
        <v>0.8</v>
      </c>
      <c r="AX159" s="1">
        <v>0.9204</v>
      </c>
      <c r="AY159" s="1">
        <v>23.0</v>
      </c>
      <c r="AZ159" s="1">
        <v>21.6</v>
      </c>
      <c r="BA159" s="1">
        <v>29.9</v>
      </c>
      <c r="BB159" s="1">
        <v>2.83</v>
      </c>
      <c r="BC159" s="1" t="s">
        <v>286</v>
      </c>
      <c r="BD159" s="1">
        <v>18.9</v>
      </c>
      <c r="BE159" s="1">
        <v>38.8</v>
      </c>
      <c r="BF159" s="1">
        <v>28.5</v>
      </c>
      <c r="BG159" s="1">
        <v>13.8</v>
      </c>
      <c r="BH159" s="1" t="s">
        <v>366</v>
      </c>
    </row>
    <row r="160">
      <c r="A160" s="2">
        <v>5095.0</v>
      </c>
      <c r="B160" s="2" t="str">
        <f>IFERROR(__xludf.DUMMYFUNCTION("TO_TEXT(A160)"),"05095")</f>
        <v>05095</v>
      </c>
      <c r="C160" s="1">
        <v>7542.0</v>
      </c>
      <c r="D160" s="1">
        <v>607.130262504313</v>
      </c>
      <c r="E160" s="1" t="s">
        <v>158</v>
      </c>
      <c r="F160" s="1" t="s">
        <v>367</v>
      </c>
      <c r="G160" s="1">
        <v>12.4223753381859</v>
      </c>
      <c r="H160" s="1">
        <v>28.112733004</v>
      </c>
      <c r="I160" s="1">
        <v>5.1168042464</v>
      </c>
      <c r="J160" s="1">
        <v>12.030075188</v>
      </c>
      <c r="K160" s="1">
        <v>22.240461226</v>
      </c>
      <c r="L160" s="1">
        <v>38.5</v>
      </c>
      <c r="M160" s="1">
        <v>5.7</v>
      </c>
      <c r="N160" s="1">
        <v>37.4</v>
      </c>
      <c r="O160" s="1">
        <v>57.000859001</v>
      </c>
      <c r="P160" s="1">
        <v>8.4918094521</v>
      </c>
      <c r="Q160" s="1">
        <v>42.34298</v>
      </c>
      <c r="R160" s="1">
        <v>90.0</v>
      </c>
      <c r="S160" s="1">
        <v>38.9</v>
      </c>
      <c r="T160" s="1">
        <v>1476.0</v>
      </c>
      <c r="U160" s="1">
        <v>65.650406504</v>
      </c>
      <c r="V160" s="1">
        <v>370.99494098</v>
      </c>
      <c r="W160" s="1">
        <v>15.582450832</v>
      </c>
      <c r="X160" s="1">
        <v>12.461538462</v>
      </c>
      <c r="Y160" s="1">
        <v>68.2494289</v>
      </c>
      <c r="Z160" s="1">
        <v>17.2</v>
      </c>
      <c r="AA160" s="1">
        <v>6.3405944177</v>
      </c>
      <c r="AB160" s="1">
        <v>32922.0</v>
      </c>
      <c r="AC160" s="1">
        <v>46.146341463</v>
      </c>
      <c r="AD160" s="1">
        <v>59.951894167</v>
      </c>
      <c r="AE160" s="1">
        <v>10.732984293</v>
      </c>
      <c r="AF160" s="1">
        <v>39.608695652</v>
      </c>
      <c r="AG160" s="1">
        <v>0.6956521739</v>
      </c>
      <c r="AH160" s="1">
        <v>0.7246376812</v>
      </c>
      <c r="AI160" s="1">
        <v>0.0</v>
      </c>
      <c r="AJ160" s="1">
        <v>2.9710144928</v>
      </c>
      <c r="AK160" s="1">
        <v>54.260869565</v>
      </c>
      <c r="AL160" s="1">
        <v>0.0880410858</v>
      </c>
      <c r="AM160" s="1">
        <v>53.492753623</v>
      </c>
      <c r="AN160" s="1">
        <v>68.977788686</v>
      </c>
      <c r="AO160" s="1">
        <v>19849.0</v>
      </c>
      <c r="AP160" s="1">
        <v>28.6</v>
      </c>
      <c r="AQ160" s="1">
        <v>10.7</v>
      </c>
      <c r="AR160" s="1">
        <v>21.8</v>
      </c>
      <c r="AS160" s="1">
        <v>21.0</v>
      </c>
      <c r="AT160" s="1">
        <v>21.2</v>
      </c>
      <c r="AU160" s="1">
        <v>24.0</v>
      </c>
      <c r="AV160" s="1">
        <v>45.3</v>
      </c>
      <c r="AW160" s="1">
        <v>0.3</v>
      </c>
      <c r="AX160" s="1">
        <v>0.9121</v>
      </c>
      <c r="AY160" s="1">
        <v>25.5</v>
      </c>
      <c r="AZ160" s="1">
        <v>22.3</v>
      </c>
      <c r="BA160" s="1">
        <v>32.9</v>
      </c>
      <c r="BB160" s="1">
        <v>2.74</v>
      </c>
      <c r="BC160" s="1" t="s">
        <v>286</v>
      </c>
      <c r="BD160" s="1">
        <v>21.1</v>
      </c>
      <c r="BE160" s="1">
        <v>41.3</v>
      </c>
      <c r="BF160" s="1">
        <v>24.9</v>
      </c>
      <c r="BG160" s="1">
        <v>12.7</v>
      </c>
      <c r="BH160" s="1" t="s">
        <v>367</v>
      </c>
    </row>
    <row r="161">
      <c r="A161" s="2">
        <v>5097.0</v>
      </c>
      <c r="B161" s="2" t="str">
        <f>IFERROR(__xludf.DUMMYFUNCTION("TO_TEXT(A161)"),"05097")</f>
        <v>05097</v>
      </c>
      <c r="C161" s="1">
        <v>9100.0</v>
      </c>
      <c r="D161" s="1">
        <v>779.880374944256</v>
      </c>
      <c r="E161" s="1" t="s">
        <v>160</v>
      </c>
      <c r="F161" s="1" t="s">
        <v>368</v>
      </c>
      <c r="G161" s="1">
        <v>11.6684562047743</v>
      </c>
      <c r="H161" s="1">
        <v>21.744151884</v>
      </c>
      <c r="I161" s="1">
        <v>4.7107999845</v>
      </c>
      <c r="J161" s="1">
        <v>6.711409396</v>
      </c>
      <c r="K161" s="1">
        <v>18.470426628</v>
      </c>
      <c r="L161" s="1">
        <v>29.0</v>
      </c>
      <c r="M161" s="1">
        <v>6.9</v>
      </c>
      <c r="N161" s="1">
        <v>24.4</v>
      </c>
      <c r="O161" s="1">
        <v>97.944555708</v>
      </c>
      <c r="P161" s="1">
        <v>11.429461227</v>
      </c>
      <c r="Q161" s="1">
        <v>22.42404</v>
      </c>
      <c r="R161" s="1">
        <v>93.103448276</v>
      </c>
      <c r="S161" s="1">
        <v>30.8</v>
      </c>
      <c r="T161" s="1">
        <v>1670.0</v>
      </c>
      <c r="U161" s="1">
        <v>30.5389221559999</v>
      </c>
      <c r="V161" s="1">
        <v>218.50759314</v>
      </c>
      <c r="W161" s="1">
        <v>10.843373494</v>
      </c>
      <c r="X161" s="1">
        <v>6.7385444744</v>
      </c>
      <c r="Y161" s="1">
        <v>77.299616811</v>
      </c>
      <c r="Z161" s="1">
        <v>18.8</v>
      </c>
      <c r="AA161" s="1">
        <v>11.194825885</v>
      </c>
      <c r="AB161" s="1">
        <v>38318.0</v>
      </c>
      <c r="AC161" s="1">
        <v>41.922455574</v>
      </c>
      <c r="AD161" s="1">
        <v>82.6375963839999</v>
      </c>
      <c r="AE161" s="1">
        <v>7.9590676521</v>
      </c>
      <c r="AF161" s="1">
        <v>0.4594352308</v>
      </c>
      <c r="AG161" s="1">
        <v>1.33348274319999</v>
      </c>
      <c r="AH161" s="1">
        <v>1.6024204393</v>
      </c>
      <c r="AI161" s="1">
        <v>0.033617212</v>
      </c>
      <c r="AJ161" s="1">
        <v>4.5607350964</v>
      </c>
      <c r="AK161" s="1">
        <v>90.239802779</v>
      </c>
      <c r="AL161" s="1">
        <v>0.9802777454</v>
      </c>
      <c r="AM161" s="1">
        <v>50.537875392</v>
      </c>
      <c r="AN161" s="1">
        <v>100.0</v>
      </c>
      <c r="AO161" s="1">
        <v>20375.0</v>
      </c>
      <c r="AP161" s="1">
        <v>18.8</v>
      </c>
      <c r="AQ161" s="1">
        <v>4.5</v>
      </c>
      <c r="AR161" s="1">
        <v>20.2</v>
      </c>
      <c r="AS161" s="1">
        <v>24.8</v>
      </c>
      <c r="AT161" s="1">
        <v>19.7</v>
      </c>
      <c r="AU161" s="1">
        <v>28.7</v>
      </c>
      <c r="AV161" s="1">
        <v>8.6</v>
      </c>
      <c r="AW161" s="1">
        <v>0.7</v>
      </c>
      <c r="AX161" s="1">
        <v>0.5473</v>
      </c>
      <c r="AY161" s="1">
        <v>19.9</v>
      </c>
      <c r="AZ161" s="1">
        <v>18.7</v>
      </c>
      <c r="BA161" s="1">
        <v>27.7</v>
      </c>
      <c r="BB161" s="1">
        <v>2.92</v>
      </c>
      <c r="BC161" s="1" t="s">
        <v>286</v>
      </c>
      <c r="BD161" s="1">
        <v>20.2</v>
      </c>
      <c r="BE161" s="1">
        <v>36.4</v>
      </c>
      <c r="BF161" s="1">
        <v>29.9</v>
      </c>
      <c r="BG161" s="1">
        <v>13.5</v>
      </c>
      <c r="BH161" s="1" t="s">
        <v>368</v>
      </c>
    </row>
    <row r="162">
      <c r="A162" s="2">
        <v>5099.0</v>
      </c>
      <c r="B162" s="2" t="str">
        <f>IFERROR(__xludf.DUMMYFUNCTION("TO_TEXT(A162)"),"05099")</f>
        <v>05099</v>
      </c>
      <c r="C162" s="1">
        <v>8668.0</v>
      </c>
      <c r="D162" s="1">
        <v>617.836394514446</v>
      </c>
      <c r="E162" s="1" t="s">
        <v>369</v>
      </c>
      <c r="F162" s="1" t="s">
        <v>370</v>
      </c>
      <c r="G162" s="1">
        <v>14.029604077973</v>
      </c>
      <c r="H162" s="1">
        <v>25.5894101169999</v>
      </c>
      <c r="I162" s="1">
        <v>4.8879626813</v>
      </c>
      <c r="J162" s="1">
        <v>10.449927431</v>
      </c>
      <c r="K162" s="1">
        <v>21.285822663</v>
      </c>
      <c r="L162" s="1">
        <v>35.6</v>
      </c>
      <c r="M162" s="1">
        <v>5.6</v>
      </c>
      <c r="N162" s="1">
        <v>41.3</v>
      </c>
      <c r="O162" s="1">
        <v>40.357897077</v>
      </c>
      <c r="P162" s="1">
        <v>8.3602771363</v>
      </c>
      <c r="Q162" s="1">
        <v>36.02738</v>
      </c>
      <c r="R162" s="1">
        <v>92.929292929</v>
      </c>
      <c r="S162" s="1">
        <v>30.0</v>
      </c>
      <c r="T162" s="1">
        <v>1870.0</v>
      </c>
      <c r="U162" s="1">
        <v>46.898395722</v>
      </c>
      <c r="V162" s="1">
        <v>194.30792091</v>
      </c>
      <c r="W162" s="1">
        <v>13.5327635329999</v>
      </c>
      <c r="X162" s="1">
        <v>8.966918166</v>
      </c>
      <c r="Y162" s="1">
        <v>74.678201754</v>
      </c>
      <c r="Z162" s="1">
        <v>14.1</v>
      </c>
      <c r="AA162" s="1">
        <v>14.334572322</v>
      </c>
      <c r="AB162" s="1">
        <v>37626.0</v>
      </c>
      <c r="AC162" s="1">
        <v>65.138282387</v>
      </c>
      <c r="AD162" s="1">
        <v>68.059339994</v>
      </c>
      <c r="AE162" s="1">
        <v>7.3138297872</v>
      </c>
      <c r="AF162" s="1">
        <v>30.687004564</v>
      </c>
      <c r="AG162" s="1">
        <v>0.4083593562</v>
      </c>
      <c r="AH162" s="1">
        <v>0.5284650492</v>
      </c>
      <c r="AI162" s="1">
        <v>0.0240211386</v>
      </c>
      <c r="AJ162" s="1">
        <v>4.2157098246</v>
      </c>
      <c r="AK162" s="1">
        <v>62.695171751</v>
      </c>
      <c r="AL162" s="1">
        <v>0.0</v>
      </c>
      <c r="AM162" s="1">
        <v>50.4443910639999</v>
      </c>
      <c r="AN162" s="1">
        <v>69.178615094</v>
      </c>
      <c r="AO162" s="1">
        <v>17595.0</v>
      </c>
      <c r="AP162" s="1">
        <v>30.8</v>
      </c>
      <c r="AQ162" s="1">
        <v>7.2</v>
      </c>
      <c r="AR162" s="1">
        <v>16.9</v>
      </c>
      <c r="AS162" s="1">
        <v>19.5</v>
      </c>
      <c r="AT162" s="1">
        <v>22.7</v>
      </c>
      <c r="AU162" s="1">
        <v>23.7</v>
      </c>
      <c r="AV162" s="1">
        <v>36.3</v>
      </c>
      <c r="AW162" s="1">
        <v>0.0</v>
      </c>
      <c r="AX162" s="1">
        <v>0.8036</v>
      </c>
      <c r="AY162" s="1">
        <v>24.1</v>
      </c>
      <c r="AZ162" s="1">
        <v>21.2</v>
      </c>
      <c r="BA162" s="1">
        <v>30.8</v>
      </c>
      <c r="BB162" s="1">
        <v>2.82</v>
      </c>
      <c r="BC162" s="1" t="s">
        <v>286</v>
      </c>
      <c r="BD162" s="1">
        <v>9.6</v>
      </c>
      <c r="BE162" s="1">
        <v>43.0</v>
      </c>
      <c r="BF162" s="1">
        <v>32.8</v>
      </c>
      <c r="BG162" s="1">
        <v>14.6</v>
      </c>
      <c r="BH162" s="1" t="s">
        <v>370</v>
      </c>
    </row>
    <row r="163">
      <c r="A163" s="2">
        <v>5101.0</v>
      </c>
      <c r="B163" s="2" t="str">
        <f>IFERROR(__xludf.DUMMYFUNCTION("TO_TEXT(A163)"),"05101")</f>
        <v>05101</v>
      </c>
      <c r="C163" s="1">
        <v>7988.0</v>
      </c>
      <c r="D163" s="1">
        <v>820.905442181216</v>
      </c>
      <c r="E163" s="1" t="s">
        <v>371</v>
      </c>
      <c r="F163" s="1" t="s">
        <v>372</v>
      </c>
      <c r="G163" s="1">
        <v>9.7307187765441</v>
      </c>
      <c r="H163" s="1">
        <v>21.745638421</v>
      </c>
      <c r="I163" s="1">
        <v>4.7699991317</v>
      </c>
      <c r="J163" s="1">
        <v>6.0836501901</v>
      </c>
      <c r="K163" s="1">
        <v>19.007814468</v>
      </c>
      <c r="L163" s="1">
        <v>32.0</v>
      </c>
      <c r="M163" s="1">
        <v>6.2</v>
      </c>
      <c r="N163" s="1">
        <v>26.1</v>
      </c>
      <c r="O163" s="1">
        <v>59.1476590639999</v>
      </c>
      <c r="P163" s="1">
        <v>9.6335078534</v>
      </c>
      <c r="Q163" s="1">
        <v>48.31939</v>
      </c>
      <c r="R163" s="1">
        <v>79.661016949</v>
      </c>
      <c r="S163" s="1">
        <v>32.9</v>
      </c>
      <c r="T163" s="1">
        <v>1550.0</v>
      </c>
      <c r="U163" s="1">
        <v>20.2580645159999</v>
      </c>
      <c r="V163" s="1">
        <v>316.07560528</v>
      </c>
      <c r="W163" s="1">
        <v>18.027734977</v>
      </c>
      <c r="X163" s="1">
        <v>10.372670807</v>
      </c>
      <c r="Y163" s="1">
        <v>77.350640186</v>
      </c>
      <c r="Z163" s="1">
        <v>10.9</v>
      </c>
      <c r="AA163" s="1">
        <v>21.320554533</v>
      </c>
      <c r="AB163" s="1">
        <v>36078.0</v>
      </c>
      <c r="AC163" s="1">
        <v>49.108734403</v>
      </c>
      <c r="AD163" s="1">
        <v>88.202828562</v>
      </c>
      <c r="AE163" s="1">
        <v>10.23878437</v>
      </c>
      <c r="AF163" s="1">
        <v>0.5124919923</v>
      </c>
      <c r="AG163" s="1">
        <v>1.2812299808</v>
      </c>
      <c r="AH163" s="1">
        <v>0.397181294</v>
      </c>
      <c r="AI163" s="1">
        <v>0.0128122998</v>
      </c>
      <c r="AJ163" s="1">
        <v>2.0115310698</v>
      </c>
      <c r="AK163" s="1">
        <v>93.516976297</v>
      </c>
      <c r="AL163" s="1">
        <v>0.0</v>
      </c>
      <c r="AM163" s="1">
        <v>49.34016656</v>
      </c>
      <c r="AN163" s="1">
        <v>100.0</v>
      </c>
      <c r="AO163" s="1">
        <v>17790.0</v>
      </c>
      <c r="AP163" s="1">
        <v>21.6</v>
      </c>
      <c r="AQ163" s="1">
        <v>5.1</v>
      </c>
      <c r="AR163" s="1">
        <v>19.6</v>
      </c>
      <c r="AS163" s="1">
        <v>23.6</v>
      </c>
      <c r="AT163" s="1">
        <v>19.9</v>
      </c>
      <c r="AU163" s="1">
        <v>22.1</v>
      </c>
      <c r="AV163" s="1">
        <v>5.5</v>
      </c>
      <c r="AW163" s="1">
        <v>0.0</v>
      </c>
      <c r="AX163" s="1">
        <v>0.3639</v>
      </c>
      <c r="AY163" s="1">
        <v>18.1</v>
      </c>
      <c r="AZ163" s="1">
        <v>15.7</v>
      </c>
      <c r="BA163" s="1">
        <v>22.6</v>
      </c>
      <c r="BB163" s="1">
        <v>2.9</v>
      </c>
      <c r="BC163" s="1" t="s">
        <v>286</v>
      </c>
      <c r="BD163" s="1">
        <v>13.5</v>
      </c>
      <c r="BE163" s="1">
        <v>35.4</v>
      </c>
      <c r="BF163" s="1">
        <v>30.6</v>
      </c>
      <c r="BG163" s="1">
        <v>20.5</v>
      </c>
      <c r="BH163" s="1" t="s">
        <v>372</v>
      </c>
    </row>
    <row r="164">
      <c r="A164" s="2">
        <v>5103.0</v>
      </c>
      <c r="B164" s="2" t="str">
        <f>IFERROR(__xludf.DUMMYFUNCTION("TO_TEXT(A164)"),"05103")</f>
        <v>05103</v>
      </c>
      <c r="C164" s="1">
        <v>24728.0</v>
      </c>
      <c r="D164" s="1">
        <v>732.783053753952</v>
      </c>
      <c r="E164" s="1" t="s">
        <v>373</v>
      </c>
      <c r="F164" s="1" t="s">
        <v>374</v>
      </c>
      <c r="G164" s="1">
        <v>33.7453218566146</v>
      </c>
      <c r="H164" s="1">
        <v>27.010479833</v>
      </c>
      <c r="I164" s="1">
        <v>5.0988186442</v>
      </c>
      <c r="J164" s="1">
        <v>10.231362468</v>
      </c>
      <c r="K164" s="1">
        <v>22.845478643</v>
      </c>
      <c r="L164" s="1">
        <v>38.1</v>
      </c>
      <c r="M164" s="1">
        <v>5.2</v>
      </c>
      <c r="N164" s="1">
        <v>34.4</v>
      </c>
      <c r="O164" s="1">
        <v>41.581163859</v>
      </c>
      <c r="P164" s="1">
        <v>6.9505055881</v>
      </c>
      <c r="Q164" s="1">
        <v>50.27652</v>
      </c>
      <c r="R164" s="1">
        <v>90.875912409</v>
      </c>
      <c r="S164" s="1">
        <v>32.7</v>
      </c>
      <c r="T164" s="1">
        <v>5442.0</v>
      </c>
      <c r="U164" s="1">
        <v>50.551267916</v>
      </c>
      <c r="V164" s="1">
        <v>619.67042308</v>
      </c>
      <c r="W164" s="1">
        <v>15.608337373</v>
      </c>
      <c r="X164" s="1">
        <v>12.2593516209999</v>
      </c>
      <c r="Y164" s="1">
        <v>74.102179555</v>
      </c>
      <c r="Z164" s="1">
        <v>15.1</v>
      </c>
      <c r="AA164" s="1">
        <v>13.610736972</v>
      </c>
      <c r="AB164" s="1">
        <v>37624.0</v>
      </c>
      <c r="AC164" s="1">
        <v>32.611464968</v>
      </c>
      <c r="AD164" s="1">
        <v>68.165091994</v>
      </c>
      <c r="AE164" s="1">
        <v>13.106796117</v>
      </c>
      <c r="AF164" s="1">
        <v>39.803439803</v>
      </c>
      <c r="AG164" s="1">
        <v>0.4659832246</v>
      </c>
      <c r="AH164" s="1">
        <v>0.4659832246</v>
      </c>
      <c r="AI164" s="1">
        <v>0.0423621113</v>
      </c>
      <c r="AJ164" s="1">
        <v>2.5247818351</v>
      </c>
      <c r="AK164" s="1">
        <v>54.875879014</v>
      </c>
      <c r="AL164" s="1">
        <v>0.1589123334</v>
      </c>
      <c r="AM164" s="1">
        <v>52.571380158</v>
      </c>
      <c r="AN164" s="1">
        <v>56.3514548239999</v>
      </c>
      <c r="AO164" s="1">
        <v>20033.0</v>
      </c>
      <c r="AP164" s="1">
        <v>24.5</v>
      </c>
      <c r="AQ164" s="1">
        <v>7.9</v>
      </c>
      <c r="AR164" s="1">
        <v>13.8</v>
      </c>
      <c r="AS164" s="1">
        <v>18.2</v>
      </c>
      <c r="AT164" s="1">
        <v>22.8</v>
      </c>
      <c r="AU164" s="1">
        <v>19.8</v>
      </c>
      <c r="AV164" s="1">
        <v>44.4</v>
      </c>
      <c r="AW164" s="1">
        <v>0.7</v>
      </c>
      <c r="AX164" s="1">
        <v>0.8816</v>
      </c>
      <c r="AY164" s="1">
        <v>17.3</v>
      </c>
      <c r="AZ164" s="1">
        <v>19.9</v>
      </c>
      <c r="BA164" s="1">
        <v>28.2</v>
      </c>
      <c r="BB164" s="1">
        <v>2.77</v>
      </c>
      <c r="BC164" s="1" t="s">
        <v>286</v>
      </c>
      <c r="BD164" s="1">
        <v>14.0</v>
      </c>
      <c r="BE164" s="1">
        <v>41.6</v>
      </c>
      <c r="BF164" s="1">
        <v>30.0</v>
      </c>
      <c r="BG164" s="1">
        <v>14.5</v>
      </c>
      <c r="BH164" s="1" t="s">
        <v>374</v>
      </c>
    </row>
    <row r="165">
      <c r="A165" s="2">
        <v>5105.0</v>
      </c>
      <c r="B165" s="2" t="str">
        <f>IFERROR(__xludf.DUMMYFUNCTION("TO_TEXT(A165)"),"05105")</f>
        <v>05105</v>
      </c>
      <c r="C165" s="1">
        <v>10246.0</v>
      </c>
      <c r="D165" s="1">
        <v>551.562132161002</v>
      </c>
      <c r="E165" s="1" t="s">
        <v>164</v>
      </c>
      <c r="F165" s="1" t="s">
        <v>375</v>
      </c>
      <c r="G165" s="1">
        <v>18.5763296690738</v>
      </c>
      <c r="H165" s="1">
        <v>20.414403409</v>
      </c>
      <c r="I165" s="1">
        <v>4.6364992289</v>
      </c>
      <c r="J165" s="1">
        <v>8.3989501312</v>
      </c>
      <c r="K165" s="1">
        <v>18.916973608</v>
      </c>
      <c r="L165" s="1">
        <v>33.3</v>
      </c>
      <c r="M165" s="1">
        <v>7.4</v>
      </c>
      <c r="N165" s="1">
        <v>28.1</v>
      </c>
      <c r="O165" s="1">
        <v>46.108185735</v>
      </c>
      <c r="P165" s="1">
        <v>8.8549247938</v>
      </c>
      <c r="Q165" s="1">
        <v>9.6637</v>
      </c>
      <c r="R165" s="1">
        <v>90.9774436089999</v>
      </c>
      <c r="S165" s="1">
        <v>23.7</v>
      </c>
      <c r="T165" s="1">
        <v>2309.0</v>
      </c>
      <c r="U165" s="1">
        <v>30.402771763</v>
      </c>
      <c r="V165" s="1">
        <v>518.59099804</v>
      </c>
      <c r="W165" s="1">
        <v>8.4450402145</v>
      </c>
      <c r="X165" s="1">
        <v>4.4383561644</v>
      </c>
      <c r="Y165" s="1">
        <v>76.1633867039999</v>
      </c>
      <c r="Z165" s="1">
        <v>14.9</v>
      </c>
      <c r="AA165" s="1">
        <v>6.27363064799999</v>
      </c>
      <c r="AB165" s="1">
        <v>45342.0</v>
      </c>
      <c r="AC165" s="1">
        <v>32.971938776</v>
      </c>
      <c r="AD165" s="1">
        <v>80.097087379</v>
      </c>
      <c r="AE165" s="1">
        <v>6.8136272545</v>
      </c>
      <c r="AF165" s="1">
        <v>2.0285935085</v>
      </c>
      <c r="AG165" s="1">
        <v>0.9659969088</v>
      </c>
      <c r="AH165" s="1">
        <v>0.328438949</v>
      </c>
      <c r="AI165" s="1">
        <v>0.0289799073</v>
      </c>
      <c r="AJ165" s="1">
        <v>3.1394899536</v>
      </c>
      <c r="AK165" s="1">
        <v>91.769706337</v>
      </c>
      <c r="AL165" s="1">
        <v>0.0</v>
      </c>
      <c r="AM165" s="1">
        <v>50.608578053</v>
      </c>
      <c r="AN165" s="1">
        <v>100.0</v>
      </c>
      <c r="AO165" s="1">
        <v>22474.0</v>
      </c>
      <c r="AP165" s="1">
        <v>17.8</v>
      </c>
      <c r="AQ165" s="1">
        <v>7.4</v>
      </c>
      <c r="AR165" s="1">
        <v>17.8</v>
      </c>
      <c r="AS165" s="1">
        <v>18.5</v>
      </c>
      <c r="AT165" s="1">
        <v>22.0</v>
      </c>
      <c r="AU165" s="1">
        <v>22.2</v>
      </c>
      <c r="AV165" s="1">
        <v>7.7</v>
      </c>
      <c r="AW165" s="1">
        <v>0.0</v>
      </c>
      <c r="AX165" s="1">
        <v>0.4779</v>
      </c>
      <c r="AY165" s="1">
        <v>16.5</v>
      </c>
      <c r="AZ165" s="1">
        <v>17.6</v>
      </c>
      <c r="BA165" s="1">
        <v>25.6</v>
      </c>
      <c r="BB165" s="1">
        <v>3.09</v>
      </c>
      <c r="BC165" s="1" t="s">
        <v>286</v>
      </c>
      <c r="BD165" s="1">
        <v>15.2</v>
      </c>
      <c r="BE165" s="1">
        <v>41.7</v>
      </c>
      <c r="BF165" s="1">
        <v>30.5</v>
      </c>
      <c r="BG165" s="1">
        <v>12.7</v>
      </c>
      <c r="BH165" s="1" t="s">
        <v>375</v>
      </c>
    </row>
    <row r="166">
      <c r="A166" s="2">
        <v>5107.0</v>
      </c>
      <c r="B166" s="2" t="str">
        <f>IFERROR(__xludf.DUMMYFUNCTION("TO_TEXT(A166)"),"05107")</f>
        <v>05107</v>
      </c>
      <c r="C166" s="1">
        <v>19929.0</v>
      </c>
      <c r="D166" s="1">
        <v>695.624412717196</v>
      </c>
      <c r="E166" s="1" t="s">
        <v>376</v>
      </c>
      <c r="F166" s="1" t="s">
        <v>377</v>
      </c>
      <c r="G166" s="1">
        <v>28.6490807908176</v>
      </c>
      <c r="H166" s="1">
        <v>32.867584003</v>
      </c>
      <c r="I166" s="1">
        <v>5.3055737573</v>
      </c>
      <c r="J166" s="1">
        <v>12.505966587</v>
      </c>
      <c r="K166" s="1">
        <v>24.354407224</v>
      </c>
      <c r="L166" s="1">
        <v>42.8</v>
      </c>
      <c r="M166" s="1">
        <v>2.4</v>
      </c>
      <c r="N166" s="1">
        <v>40.3</v>
      </c>
      <c r="O166" s="1">
        <v>12.708553569</v>
      </c>
      <c r="P166" s="1">
        <v>7.3102602534</v>
      </c>
      <c r="Q166" s="1">
        <v>53.8445</v>
      </c>
      <c r="R166" s="1">
        <v>86.071428571</v>
      </c>
      <c r="S166" s="1">
        <v>47.9</v>
      </c>
      <c r="T166" s="1">
        <v>4949.0</v>
      </c>
      <c r="U166" s="1">
        <v>61.062840978</v>
      </c>
      <c r="V166" s="1">
        <v>1191.9390514</v>
      </c>
      <c r="W166" s="1">
        <v>18.856065368</v>
      </c>
      <c r="X166" s="1">
        <v>16.73126615</v>
      </c>
      <c r="Y166" s="1">
        <v>71.764671134</v>
      </c>
      <c r="Z166" s="1">
        <v>18.7</v>
      </c>
      <c r="AA166" s="1">
        <v>31.032885695</v>
      </c>
      <c r="AB166" s="1">
        <v>29945.0</v>
      </c>
      <c r="AC166" s="1">
        <v>39.366647298</v>
      </c>
      <c r="AD166" s="1">
        <v>48.1995198719999</v>
      </c>
      <c r="AE166" s="1">
        <v>16.029389714</v>
      </c>
      <c r="AF166" s="1">
        <v>61.4399023789999</v>
      </c>
      <c r="AG166" s="1">
        <v>0.3605302568</v>
      </c>
      <c r="AH166" s="1">
        <v>0.4991957402</v>
      </c>
      <c r="AI166" s="1">
        <v>0.0110932387</v>
      </c>
      <c r="AJ166" s="1">
        <v>2.0688890121</v>
      </c>
      <c r="AK166" s="1">
        <v>34.610904654</v>
      </c>
      <c r="AL166" s="1">
        <v>0.2381222361</v>
      </c>
      <c r="AM166" s="1">
        <v>52.986854512</v>
      </c>
      <c r="AN166" s="1">
        <v>47.9661718069999</v>
      </c>
      <c r="AO166" s="1">
        <v>16684.0</v>
      </c>
      <c r="AP166" s="1">
        <v>33.5</v>
      </c>
      <c r="AQ166" s="1">
        <v>17.6</v>
      </c>
      <c r="AR166" s="1">
        <v>23.6</v>
      </c>
      <c r="AS166" s="1">
        <v>16.3</v>
      </c>
      <c r="AT166" s="1">
        <v>27.0</v>
      </c>
      <c r="AU166" s="1">
        <v>22.8</v>
      </c>
      <c r="AV166" s="1">
        <v>65.3</v>
      </c>
      <c r="AW166" s="1">
        <v>0.3</v>
      </c>
      <c r="AX166" s="1">
        <v>0.9787</v>
      </c>
      <c r="AY166" s="1">
        <v>33.3</v>
      </c>
      <c r="AZ166" s="1">
        <v>25.6</v>
      </c>
      <c r="BA166" s="1">
        <v>35.7</v>
      </c>
      <c r="BB166" s="1">
        <v>2.99</v>
      </c>
      <c r="BC166" s="1" t="s">
        <v>286</v>
      </c>
      <c r="BD166" s="1">
        <v>19.7</v>
      </c>
      <c r="BE166" s="1">
        <v>31.9</v>
      </c>
      <c r="BF166" s="1">
        <v>34.6</v>
      </c>
      <c r="BG166" s="1">
        <v>13.8</v>
      </c>
      <c r="BH166" s="1" t="s">
        <v>377</v>
      </c>
    </row>
    <row r="167">
      <c r="A167" s="2">
        <v>5109.0</v>
      </c>
      <c r="B167" s="2" t="str">
        <f>IFERROR(__xludf.DUMMYFUNCTION("TO_TEXT(A167)"),"05109")</f>
        <v>05109</v>
      </c>
      <c r="C167" s="1">
        <v>11017.0</v>
      </c>
      <c r="D167" s="1">
        <v>600.618826792418</v>
      </c>
      <c r="E167" s="1" t="s">
        <v>168</v>
      </c>
      <c r="F167" s="1" t="s">
        <v>378</v>
      </c>
      <c r="G167" s="1">
        <v>18.3427483597806</v>
      </c>
      <c r="H167" s="1">
        <v>22.1600246019999</v>
      </c>
      <c r="I167" s="1">
        <v>4.6531514004</v>
      </c>
      <c r="J167" s="1">
        <v>7.4838709677</v>
      </c>
      <c r="K167" s="1">
        <v>20.061536848</v>
      </c>
      <c r="L167" s="1">
        <v>33.6</v>
      </c>
      <c r="M167" s="1">
        <v>7.0</v>
      </c>
      <c r="N167" s="1">
        <v>37.4</v>
      </c>
      <c r="O167" s="1">
        <v>50.712957223</v>
      </c>
      <c r="P167" s="1">
        <v>11.9971520109999</v>
      </c>
      <c r="Q167" s="1">
        <v>27.96942</v>
      </c>
      <c r="R167" s="1">
        <v>87.209302326</v>
      </c>
      <c r="S167" s="1">
        <v>27.9</v>
      </c>
      <c r="T167" s="1">
        <v>2340.0</v>
      </c>
      <c r="U167" s="1">
        <v>29.615384615</v>
      </c>
      <c r="V167" s="1">
        <v>141.74668496</v>
      </c>
      <c r="W167" s="1">
        <v>13.023255814</v>
      </c>
      <c r="X167" s="1">
        <v>10.79558789</v>
      </c>
      <c r="Y167" s="1">
        <v>76.459767021</v>
      </c>
      <c r="Z167" s="1">
        <v>14.3</v>
      </c>
      <c r="AA167" s="1">
        <v>10.985767753</v>
      </c>
      <c r="AB167" s="1">
        <v>41534.0</v>
      </c>
      <c r="AC167" s="1">
        <v>43.846899225</v>
      </c>
      <c r="AD167" s="1">
        <v>77.180739707</v>
      </c>
      <c r="AE167" s="1">
        <v>6.8103021298</v>
      </c>
      <c r="AF167" s="1">
        <v>3.2793029139</v>
      </c>
      <c r="AG167" s="1">
        <v>1.1524407383</v>
      </c>
      <c r="AH167" s="1">
        <v>0.768293825499999</v>
      </c>
      <c r="AI167" s="1">
        <v>0.0374777476</v>
      </c>
      <c r="AJ167" s="1">
        <v>6.4086948374</v>
      </c>
      <c r="AK167" s="1">
        <v>87.351260189</v>
      </c>
      <c r="AL167" s="1">
        <v>1.7276921567</v>
      </c>
      <c r="AM167" s="1">
        <v>50.004684718</v>
      </c>
      <c r="AN167" s="1">
        <v>100.0</v>
      </c>
      <c r="AO167" s="1">
        <v>19686.0</v>
      </c>
      <c r="AP167" s="1">
        <v>18.5</v>
      </c>
      <c r="AQ167" s="1">
        <v>5.6</v>
      </c>
      <c r="AR167" s="1">
        <v>18.6</v>
      </c>
      <c r="AS167" s="1">
        <v>18.8</v>
      </c>
      <c r="AT167" s="1">
        <v>23.1</v>
      </c>
      <c r="AU167" s="1">
        <v>27.1</v>
      </c>
      <c r="AV167" s="1">
        <v>12.5</v>
      </c>
      <c r="AW167" s="1">
        <v>2.0</v>
      </c>
      <c r="AX167" s="1">
        <v>0.7011</v>
      </c>
      <c r="AY167" s="1">
        <v>16.9</v>
      </c>
      <c r="AZ167" s="1">
        <v>18.2</v>
      </c>
      <c r="BA167" s="1">
        <v>25.1</v>
      </c>
      <c r="BB167" s="1">
        <v>2.93</v>
      </c>
      <c r="BC167" s="1" t="s">
        <v>286</v>
      </c>
      <c r="BD167" s="1">
        <v>12.6</v>
      </c>
      <c r="BE167" s="1">
        <v>38.1</v>
      </c>
      <c r="BF167" s="1">
        <v>32.0</v>
      </c>
      <c r="BG167" s="1">
        <v>17.3</v>
      </c>
      <c r="BH167" s="1" t="s">
        <v>378</v>
      </c>
    </row>
    <row r="168">
      <c r="A168" s="2">
        <v>5111.0</v>
      </c>
      <c r="B168" s="2" t="str">
        <f>IFERROR(__xludf.DUMMYFUNCTION("TO_TEXT(A168)"),"05111")</f>
        <v>05111</v>
      </c>
      <c r="C168" s="1">
        <v>24131.0</v>
      </c>
      <c r="D168" s="1">
        <v>758.360669548248</v>
      </c>
      <c r="E168" s="1" t="s">
        <v>379</v>
      </c>
      <c r="F168" s="1" t="s">
        <v>380</v>
      </c>
      <c r="G168" s="1">
        <v>31.8199518632403</v>
      </c>
      <c r="H168" s="1">
        <v>23.623821198</v>
      </c>
      <c r="I168" s="1">
        <v>4.9342993649</v>
      </c>
      <c r="J168" s="1">
        <v>9.2188919164</v>
      </c>
      <c r="K168" s="1">
        <v>21.81181141</v>
      </c>
      <c r="L168" s="1">
        <v>41.7</v>
      </c>
      <c r="M168" s="1">
        <v>5.7</v>
      </c>
      <c r="N168" s="1">
        <v>40.2</v>
      </c>
      <c r="O168" s="1">
        <v>33.836391002</v>
      </c>
      <c r="P168" s="1">
        <v>9.5064828576</v>
      </c>
      <c r="Q168" s="1">
        <v>16.5604</v>
      </c>
      <c r="R168" s="1">
        <v>82.119205298</v>
      </c>
      <c r="S168" s="1">
        <v>35.2</v>
      </c>
      <c r="T168" s="1">
        <v>5625.0</v>
      </c>
      <c r="U168" s="1">
        <v>51.36</v>
      </c>
      <c r="V168" s="1">
        <v>347.70361568</v>
      </c>
      <c r="W168" s="1">
        <v>13.305174234</v>
      </c>
      <c r="X168" s="1">
        <v>8.54838709679999</v>
      </c>
      <c r="Y168" s="1">
        <v>71.826964379</v>
      </c>
      <c r="Z168" s="1">
        <v>20.9</v>
      </c>
      <c r="AA168" s="1">
        <v>19.07090327</v>
      </c>
      <c r="AB168" s="1">
        <v>37370.0</v>
      </c>
      <c r="AC168" s="1">
        <v>43.72605364</v>
      </c>
      <c r="AD168" s="1">
        <v>63.473561513</v>
      </c>
      <c r="AE168" s="1">
        <v>10.431735986</v>
      </c>
      <c r="AF168" s="1">
        <v>8.2130641528</v>
      </c>
      <c r="AG168" s="1">
        <v>0.4087761742</v>
      </c>
      <c r="AH168" s="1">
        <v>0.296154167</v>
      </c>
      <c r="AI168" s="1">
        <v>0.0375406691</v>
      </c>
      <c r="AJ168" s="1">
        <v>3.2076416117</v>
      </c>
      <c r="AK168" s="1">
        <v>86.343538834</v>
      </c>
      <c r="AL168" s="1">
        <v>0.2798134577</v>
      </c>
      <c r="AM168" s="1">
        <v>51.4223742389999</v>
      </c>
      <c r="AN168" s="1">
        <v>71.13859171</v>
      </c>
      <c r="AO168" s="1">
        <v>17710.0</v>
      </c>
      <c r="AP168" s="1">
        <v>22.1</v>
      </c>
      <c r="AQ168" s="1">
        <v>6.8</v>
      </c>
      <c r="AR168" s="1">
        <v>21.3</v>
      </c>
      <c r="AS168" s="1">
        <v>17.3</v>
      </c>
      <c r="AT168" s="1">
        <v>23.8</v>
      </c>
      <c r="AU168" s="1">
        <v>23.2</v>
      </c>
      <c r="AV168" s="1">
        <v>12.2</v>
      </c>
      <c r="AW168" s="1">
        <v>0.2</v>
      </c>
      <c r="AX168" s="1">
        <v>0.8163</v>
      </c>
      <c r="AY168" s="1">
        <v>23.1</v>
      </c>
      <c r="AZ168" s="1">
        <v>19.3</v>
      </c>
      <c r="BA168" s="1">
        <v>28.1</v>
      </c>
      <c r="BB168" s="1">
        <v>2.64</v>
      </c>
      <c r="BC168" s="1" t="s">
        <v>286</v>
      </c>
      <c r="BD168" s="1">
        <v>19.7</v>
      </c>
      <c r="BE168" s="1">
        <v>43.1</v>
      </c>
      <c r="BF168" s="1">
        <v>26.2</v>
      </c>
      <c r="BG168" s="1">
        <v>11.1</v>
      </c>
      <c r="BH168" s="1" t="s">
        <v>380</v>
      </c>
    </row>
    <row r="169">
      <c r="A169" s="2">
        <v>5113.0</v>
      </c>
      <c r="B169" s="2" t="str">
        <f>IFERROR(__xludf.DUMMYFUNCTION("TO_TEXT(A169)"),"05113")</f>
        <v>05113</v>
      </c>
      <c r="C169" s="1">
        <v>20290.0</v>
      </c>
      <c r="D169" s="1">
        <v>857.68404070276</v>
      </c>
      <c r="E169" s="1" t="s">
        <v>381</v>
      </c>
      <c r="F169" s="1" t="s">
        <v>382</v>
      </c>
      <c r="G169" s="1">
        <v>23.6567302609187</v>
      </c>
      <c r="H169" s="1">
        <v>23.878847287</v>
      </c>
      <c r="I169" s="1">
        <v>5.1653703874</v>
      </c>
      <c r="J169" s="1">
        <v>7.5076923077</v>
      </c>
      <c r="K169" s="1">
        <v>20.4839633279999</v>
      </c>
      <c r="L169" s="1">
        <v>33.6</v>
      </c>
      <c r="M169" s="1">
        <v>5.7</v>
      </c>
      <c r="N169" s="1">
        <v>31.4</v>
      </c>
      <c r="O169" s="1">
        <v>60.487852096</v>
      </c>
      <c r="P169" s="1">
        <v>12.98405467</v>
      </c>
      <c r="Q169" s="1">
        <v>69.5894199999999</v>
      </c>
      <c r="R169" s="1">
        <v>90.43062201</v>
      </c>
      <c r="S169" s="1">
        <v>29.7</v>
      </c>
      <c r="T169" s="1">
        <v>4690.0</v>
      </c>
      <c r="U169" s="1">
        <v>32.174840085</v>
      </c>
      <c r="V169" s="1">
        <v>296.81664152</v>
      </c>
      <c r="W169" s="1">
        <v>16.782334385</v>
      </c>
      <c r="X169" s="1">
        <v>11.033608117</v>
      </c>
      <c r="Y169" s="1">
        <v>76.230887607</v>
      </c>
      <c r="Z169" s="1">
        <v>13.1</v>
      </c>
      <c r="AA169" s="1">
        <v>20.467971117</v>
      </c>
      <c r="AB169" s="1">
        <v>39048.0</v>
      </c>
      <c r="AC169" s="1">
        <v>44.96875</v>
      </c>
      <c r="AD169" s="1">
        <v>75.780107265</v>
      </c>
      <c r="AE169" s="1">
        <v>11.886404523</v>
      </c>
      <c r="AF169" s="1">
        <v>0.5187291137</v>
      </c>
      <c r="AG169" s="1">
        <v>2.1198064741</v>
      </c>
      <c r="AH169" s="1">
        <v>1.0324704474</v>
      </c>
      <c r="AI169" s="1">
        <v>0.0498777994</v>
      </c>
      <c r="AJ169" s="1">
        <v>6.5838695197</v>
      </c>
      <c r="AK169" s="1">
        <v>87.645269091</v>
      </c>
      <c r="AL169" s="1">
        <v>1.09275194</v>
      </c>
      <c r="AM169" s="1">
        <v>51.2843533339999</v>
      </c>
      <c r="AN169" s="1">
        <v>73.3859258539999</v>
      </c>
      <c r="AO169" s="1">
        <v>18097.0</v>
      </c>
      <c r="AP169" s="1">
        <v>25.2</v>
      </c>
      <c r="AQ169" s="1">
        <v>8.7</v>
      </c>
      <c r="AR169" s="1">
        <v>15.7</v>
      </c>
      <c r="AS169" s="1">
        <v>21.4</v>
      </c>
      <c r="AT169" s="1">
        <v>23.4</v>
      </c>
      <c r="AU169" s="1">
        <v>24.4</v>
      </c>
      <c r="AV169" s="1">
        <v>11.5</v>
      </c>
      <c r="AW169" s="1">
        <v>1.3</v>
      </c>
      <c r="AX169" s="1">
        <v>0.8653</v>
      </c>
      <c r="AY169" s="1">
        <v>20.2</v>
      </c>
      <c r="AZ169" s="1">
        <v>19.6</v>
      </c>
      <c r="BA169" s="1">
        <v>26.3</v>
      </c>
      <c r="BB169" s="1">
        <v>2.93</v>
      </c>
      <c r="BC169" s="1" t="s">
        <v>286</v>
      </c>
      <c r="BD169" s="1">
        <v>15.1</v>
      </c>
      <c r="BE169" s="1">
        <v>36.5</v>
      </c>
      <c r="BF169" s="1">
        <v>34.3</v>
      </c>
      <c r="BG169" s="1">
        <v>14.1</v>
      </c>
      <c r="BH169" s="1" t="s">
        <v>382</v>
      </c>
    </row>
    <row r="170">
      <c r="A170" s="2">
        <v>5115.0</v>
      </c>
      <c r="B170" s="2" t="str">
        <f>IFERROR(__xludf.DUMMYFUNCTION("TO_TEXT(A170)"),"05115")</f>
        <v>05115</v>
      </c>
      <c r="C170" s="1">
        <v>63107.0</v>
      </c>
      <c r="D170" s="1">
        <v>812.554455922888</v>
      </c>
      <c r="E170" s="1" t="s">
        <v>383</v>
      </c>
      <c r="F170" s="1" t="s">
        <v>384</v>
      </c>
      <c r="G170" s="1">
        <v>77.6649485336019</v>
      </c>
      <c r="H170" s="1">
        <v>22.0762616219999</v>
      </c>
      <c r="I170" s="1">
        <v>4.6333229151</v>
      </c>
      <c r="J170" s="1">
        <v>8.0374842314</v>
      </c>
      <c r="K170" s="1">
        <v>19.385628677</v>
      </c>
      <c r="L170" s="1">
        <v>34.4</v>
      </c>
      <c r="M170" s="1">
        <v>7.2</v>
      </c>
      <c r="N170" s="1">
        <v>31.8</v>
      </c>
      <c r="O170" s="1">
        <v>68.084658484</v>
      </c>
      <c r="P170" s="1">
        <v>10.510778253</v>
      </c>
      <c r="Q170" s="1">
        <v>64.22809</v>
      </c>
      <c r="R170" s="1">
        <v>91.363022942</v>
      </c>
      <c r="S170" s="1">
        <v>20.4</v>
      </c>
      <c r="T170" s="1">
        <v>14349.0</v>
      </c>
      <c r="U170" s="1">
        <v>29.730294794</v>
      </c>
      <c r="V170" s="1">
        <v>372.43062489</v>
      </c>
      <c r="W170" s="1">
        <v>14.179755672</v>
      </c>
      <c r="X170" s="1">
        <v>11.005943209</v>
      </c>
      <c r="Y170" s="1">
        <v>76.930184344</v>
      </c>
      <c r="Z170" s="1">
        <v>11.1</v>
      </c>
      <c r="AA170" s="1">
        <v>6.1580369665</v>
      </c>
      <c r="AB170" s="1">
        <v>45788.0</v>
      </c>
      <c r="AC170" s="1">
        <v>35.922613261</v>
      </c>
      <c r="AD170" s="1">
        <v>68.397560544</v>
      </c>
      <c r="AE170" s="1">
        <v>11.1791801009999</v>
      </c>
      <c r="AF170" s="1">
        <v>3.1703125</v>
      </c>
      <c r="AG170" s="1">
        <v>0.95</v>
      </c>
      <c r="AH170" s="1">
        <v>1.259375</v>
      </c>
      <c r="AI170" s="1">
        <v>0.090625</v>
      </c>
      <c r="AJ170" s="1">
        <v>9.3671875</v>
      </c>
      <c r="AK170" s="1">
        <v>83.634375</v>
      </c>
      <c r="AL170" s="1">
        <v>2.1543774939</v>
      </c>
      <c r="AM170" s="1">
        <v>50.4359375</v>
      </c>
      <c r="AN170" s="1">
        <v>54.49363604</v>
      </c>
      <c r="AO170" s="1">
        <v>20912.0</v>
      </c>
      <c r="AP170" s="1">
        <v>19.6</v>
      </c>
      <c r="AQ170" s="1">
        <v>7.1</v>
      </c>
      <c r="AR170" s="1">
        <v>16.5</v>
      </c>
      <c r="AS170" s="1">
        <v>14.3</v>
      </c>
      <c r="AT170" s="1">
        <v>22.8</v>
      </c>
      <c r="AU170" s="1">
        <v>15.5</v>
      </c>
      <c r="AV170" s="1">
        <v>14.8</v>
      </c>
      <c r="AW170" s="1">
        <v>2.5</v>
      </c>
      <c r="AX170" s="1">
        <v>0.7412</v>
      </c>
      <c r="AY170" s="1">
        <v>16.9</v>
      </c>
      <c r="AZ170" s="1">
        <v>16.8</v>
      </c>
      <c r="BA170" s="1">
        <v>22.3</v>
      </c>
      <c r="BB170" s="1">
        <v>2.85</v>
      </c>
      <c r="BC170" s="1" t="s">
        <v>286</v>
      </c>
      <c r="BD170" s="1">
        <v>15.5</v>
      </c>
      <c r="BE170" s="1">
        <v>35.2</v>
      </c>
      <c r="BF170" s="1">
        <v>26.5</v>
      </c>
      <c r="BG170" s="1">
        <v>22.8</v>
      </c>
      <c r="BH170" s="1" t="s">
        <v>384</v>
      </c>
    </row>
    <row r="171">
      <c r="A171" s="2">
        <v>5117.0</v>
      </c>
      <c r="B171" s="2" t="str">
        <f>IFERROR(__xludf.DUMMYFUNCTION("TO_TEXT(A171)"),"05117")</f>
        <v>05117</v>
      </c>
      <c r="C171" s="1">
        <v>8334.0</v>
      </c>
      <c r="D171" s="1">
        <v>647.914797847824</v>
      </c>
      <c r="E171" s="1" t="s">
        <v>385</v>
      </c>
      <c r="F171" s="1" t="s">
        <v>386</v>
      </c>
      <c r="G171" s="1">
        <v>12.862802374144</v>
      </c>
      <c r="H171" s="1">
        <v>21.5166305669999</v>
      </c>
      <c r="I171" s="1">
        <v>4.6762131836</v>
      </c>
      <c r="J171" s="1">
        <v>7.6672104405</v>
      </c>
      <c r="K171" s="1">
        <v>18.546803799</v>
      </c>
      <c r="L171" s="1">
        <v>44.4</v>
      </c>
      <c r="M171" s="1">
        <v>5.8</v>
      </c>
      <c r="N171" s="1">
        <v>47.1</v>
      </c>
      <c r="O171" s="1">
        <v>40.676993689</v>
      </c>
      <c r="P171" s="1">
        <v>9.1533546326</v>
      </c>
      <c r="Q171" s="1">
        <v>12.12415</v>
      </c>
      <c r="R171" s="1">
        <v>88.421052632</v>
      </c>
      <c r="S171" s="1">
        <v>24.1</v>
      </c>
      <c r="T171" s="1">
        <v>1658.0</v>
      </c>
      <c r="U171" s="1">
        <v>30.579010856</v>
      </c>
      <c r="V171" s="1">
        <v>169.81017648</v>
      </c>
      <c r="W171" s="1">
        <v>11.833550065</v>
      </c>
      <c r="X171" s="1">
        <v>9.0425531915</v>
      </c>
      <c r="Y171" s="1">
        <v>76.41403279</v>
      </c>
      <c r="Z171" s="1">
        <v>14.8</v>
      </c>
      <c r="AA171" s="1">
        <v>19.659734953</v>
      </c>
      <c r="AB171" s="1">
        <v>43245.0</v>
      </c>
      <c r="AC171" s="1">
        <v>40.638119228</v>
      </c>
      <c r="AD171" s="1">
        <v>72.007318348</v>
      </c>
      <c r="AE171" s="1">
        <v>7.3819742489</v>
      </c>
      <c r="AF171" s="1">
        <v>11.716621253</v>
      </c>
      <c r="AG171" s="1">
        <v>0.4211047808</v>
      </c>
      <c r="AH171" s="1">
        <v>0.136239782</v>
      </c>
      <c r="AI171" s="1">
        <v>0.0743126084</v>
      </c>
      <c r="AJ171" s="1">
        <v>1.8206589051</v>
      </c>
      <c r="AK171" s="1">
        <v>84.840227892</v>
      </c>
      <c r="AL171" s="1">
        <v>0.0</v>
      </c>
      <c r="AM171" s="1">
        <v>49.677978697</v>
      </c>
      <c r="AN171" s="1">
        <v>100.0</v>
      </c>
      <c r="AO171" s="1">
        <v>21035.0</v>
      </c>
      <c r="AP171" s="1">
        <v>19.8</v>
      </c>
      <c r="AQ171" s="1">
        <v>6.7</v>
      </c>
      <c r="AR171" s="1">
        <v>17.6</v>
      </c>
      <c r="AS171" s="1">
        <v>22.0</v>
      </c>
      <c r="AT171" s="1">
        <v>20.7</v>
      </c>
      <c r="AU171" s="1">
        <v>22.6</v>
      </c>
      <c r="AV171" s="1">
        <v>14.8</v>
      </c>
      <c r="AW171" s="1">
        <v>0.0</v>
      </c>
      <c r="AX171" s="1">
        <v>0.6963</v>
      </c>
      <c r="AY171" s="1">
        <v>15.0</v>
      </c>
      <c r="AZ171" s="1">
        <v>17.2</v>
      </c>
      <c r="BA171" s="1">
        <v>23.8</v>
      </c>
      <c r="BB171" s="1">
        <v>2.93</v>
      </c>
      <c r="BC171" s="1" t="s">
        <v>286</v>
      </c>
      <c r="BD171" s="1">
        <v>16.8</v>
      </c>
      <c r="BE171" s="1">
        <v>39.9</v>
      </c>
      <c r="BF171" s="1">
        <v>27.8</v>
      </c>
      <c r="BG171" s="1">
        <v>15.4</v>
      </c>
      <c r="BH171" s="1" t="s">
        <v>386</v>
      </c>
    </row>
    <row r="172">
      <c r="A172" s="2">
        <v>5119.0</v>
      </c>
      <c r="B172" s="2" t="str">
        <f>IFERROR(__xludf.DUMMYFUNCTION("TO_TEXT(A172)"),"05119")</f>
        <v>05119</v>
      </c>
      <c r="C172" s="1">
        <v>391806.0</v>
      </c>
      <c r="D172" s="1">
        <v>758.572268888327</v>
      </c>
      <c r="E172" s="1" t="s">
        <v>387</v>
      </c>
      <c r="F172" s="1" t="s">
        <v>388</v>
      </c>
      <c r="G172" s="1">
        <v>516.504512581489</v>
      </c>
      <c r="H172" s="1">
        <v>19.188777642</v>
      </c>
      <c r="I172" s="1">
        <v>3.9889449908</v>
      </c>
      <c r="J172" s="1">
        <v>10.812089356</v>
      </c>
      <c r="K172" s="1">
        <v>18.180889407</v>
      </c>
      <c r="L172" s="1">
        <v>33.2</v>
      </c>
      <c r="M172" s="1">
        <v>6.2</v>
      </c>
      <c r="N172" s="1">
        <v>29.5</v>
      </c>
      <c r="O172" s="1">
        <v>83.641455997</v>
      </c>
      <c r="P172" s="1">
        <v>7.6573374299</v>
      </c>
      <c r="Q172" s="1">
        <v>116.76431</v>
      </c>
      <c r="R172" s="1">
        <v>80.418653948</v>
      </c>
      <c r="S172" s="1">
        <v>25.9</v>
      </c>
      <c r="T172" s="1">
        <v>91392.0</v>
      </c>
      <c r="U172" s="1">
        <v>46.145176821</v>
      </c>
      <c r="V172" s="1">
        <v>1059.6289012</v>
      </c>
      <c r="W172" s="1">
        <v>16.334276891</v>
      </c>
      <c r="X172" s="1">
        <v>14.3816763879999</v>
      </c>
      <c r="Y172" s="1">
        <v>76.328412229</v>
      </c>
      <c r="Z172" s="1">
        <v>11.9</v>
      </c>
      <c r="AA172" s="1">
        <v>10.427356771</v>
      </c>
      <c r="AB172" s="1">
        <v>49957.0</v>
      </c>
      <c r="AC172" s="1">
        <v>32.28060965</v>
      </c>
      <c r="AD172" s="1">
        <v>58.445535163</v>
      </c>
      <c r="AE172" s="1">
        <v>15.061142017</v>
      </c>
      <c r="AF172" s="1">
        <v>37.205612713</v>
      </c>
      <c r="AG172" s="1">
        <v>0.4502393807</v>
      </c>
      <c r="AH172" s="1">
        <v>2.3298869308</v>
      </c>
      <c r="AI172" s="1">
        <v>0.0532239992</v>
      </c>
      <c r="AJ172" s="1">
        <v>6.2445248039</v>
      </c>
      <c r="AK172" s="1">
        <v>51.930579607</v>
      </c>
      <c r="AL172" s="1">
        <v>1.7366933032</v>
      </c>
      <c r="AM172" s="1">
        <v>52.192370378</v>
      </c>
      <c r="AN172" s="1">
        <v>12.276746057</v>
      </c>
      <c r="AO172" s="1">
        <v>28421.0</v>
      </c>
      <c r="AP172" s="1">
        <v>18.0</v>
      </c>
      <c r="AQ172" s="1">
        <v>6.4</v>
      </c>
      <c r="AR172" s="1">
        <v>9.9</v>
      </c>
      <c r="AS172" s="1">
        <v>13.5</v>
      </c>
      <c r="AT172" s="1">
        <v>23.8</v>
      </c>
      <c r="AU172" s="1">
        <v>13.9</v>
      </c>
      <c r="AV172" s="1">
        <v>46.4</v>
      </c>
      <c r="AW172" s="1">
        <v>1.6</v>
      </c>
      <c r="AX172" s="1">
        <v>0.5721</v>
      </c>
      <c r="AY172" s="1">
        <v>14.6</v>
      </c>
      <c r="AZ172" s="1">
        <v>16.7</v>
      </c>
      <c r="BA172" s="1">
        <v>21.8</v>
      </c>
      <c r="BB172" s="1">
        <v>3.1</v>
      </c>
      <c r="BC172" s="1" t="s">
        <v>286</v>
      </c>
      <c r="BD172" s="1">
        <v>9.6</v>
      </c>
      <c r="BE172" s="1">
        <v>26.0</v>
      </c>
      <c r="BF172" s="1">
        <v>30.1</v>
      </c>
      <c r="BG172" s="1">
        <v>34.3</v>
      </c>
      <c r="BH172" s="1" t="s">
        <v>388</v>
      </c>
    </row>
    <row r="173">
      <c r="A173" s="2">
        <v>5121.0</v>
      </c>
      <c r="B173" s="2" t="str">
        <f>IFERROR(__xludf.DUMMYFUNCTION("TO_TEXT(A173)"),"05121")</f>
        <v>05121</v>
      </c>
      <c r="C173" s="1">
        <v>17584.0</v>
      </c>
      <c r="D173" s="1">
        <v>652.237683484978</v>
      </c>
      <c r="E173" s="1" t="s">
        <v>170</v>
      </c>
      <c r="F173" s="1" t="s">
        <v>389</v>
      </c>
      <c r="G173" s="1">
        <v>26.9594971974737</v>
      </c>
      <c r="H173" s="1">
        <v>22.104917161</v>
      </c>
      <c r="I173" s="1">
        <v>4.8623548296</v>
      </c>
      <c r="J173" s="1">
        <v>7.1798188875</v>
      </c>
      <c r="K173" s="1">
        <v>20.486118772</v>
      </c>
      <c r="L173" s="1">
        <v>35.0</v>
      </c>
      <c r="M173" s="1">
        <v>6.3</v>
      </c>
      <c r="N173" s="1">
        <v>33.2</v>
      </c>
      <c r="O173" s="1">
        <v>41.465857866</v>
      </c>
      <c r="P173" s="1">
        <v>8.9218250509</v>
      </c>
      <c r="Q173" s="1">
        <v>56.95734</v>
      </c>
      <c r="R173" s="1">
        <v>93.103448276</v>
      </c>
      <c r="S173" s="1">
        <v>26.5</v>
      </c>
      <c r="T173" s="1">
        <v>3887.0</v>
      </c>
      <c r="U173" s="1">
        <v>39.850784667</v>
      </c>
      <c r="V173" s="1">
        <v>294.55502173</v>
      </c>
      <c r="W173" s="1">
        <v>12.841530055</v>
      </c>
      <c r="X173" s="1">
        <v>8.8811674774</v>
      </c>
      <c r="Y173" s="1">
        <v>73.509252678</v>
      </c>
      <c r="Z173" s="1">
        <v>18.8</v>
      </c>
      <c r="AA173" s="1">
        <v>14.59191011</v>
      </c>
      <c r="AB173" s="1">
        <v>37799.0</v>
      </c>
      <c r="AC173" s="1">
        <v>43.0934974989999</v>
      </c>
      <c r="AD173" s="1">
        <v>72.045606975</v>
      </c>
      <c r="AE173" s="1">
        <v>11.869988545</v>
      </c>
      <c r="AF173" s="1">
        <v>0.9917539559</v>
      </c>
      <c r="AG173" s="1">
        <v>0.6128816581</v>
      </c>
      <c r="AH173" s="1">
        <v>0.4067305549</v>
      </c>
      <c r="AI173" s="1">
        <v>1.2981947849</v>
      </c>
      <c r="AJ173" s="1">
        <v>2.1116558948</v>
      </c>
      <c r="AK173" s="1">
        <v>93.130153778</v>
      </c>
      <c r="AL173" s="1">
        <v>0.603427468</v>
      </c>
      <c r="AM173" s="1">
        <v>50.5571651439999</v>
      </c>
      <c r="AN173" s="1">
        <v>67.421670655</v>
      </c>
      <c r="AO173" s="1">
        <v>20059.0</v>
      </c>
      <c r="AP173" s="1">
        <v>19.6</v>
      </c>
      <c r="AQ173" s="1">
        <v>4.1</v>
      </c>
      <c r="AR173" s="1">
        <v>16.7</v>
      </c>
      <c r="AS173" s="1">
        <v>20.1</v>
      </c>
      <c r="AT173" s="1">
        <v>22.6</v>
      </c>
      <c r="AU173" s="1">
        <v>20.7</v>
      </c>
      <c r="AV173" s="1">
        <v>4.7</v>
      </c>
      <c r="AW173" s="1">
        <v>0.0</v>
      </c>
      <c r="AX173" s="1">
        <v>0.6113</v>
      </c>
      <c r="AY173" s="1">
        <v>17.3</v>
      </c>
      <c r="AZ173" s="1">
        <v>17.8</v>
      </c>
      <c r="BA173" s="1">
        <v>23.6</v>
      </c>
      <c r="BB173" s="1">
        <v>2.76</v>
      </c>
      <c r="BC173" s="1" t="s">
        <v>286</v>
      </c>
      <c r="BD173" s="1">
        <v>17.1</v>
      </c>
      <c r="BE173" s="1">
        <v>36.1</v>
      </c>
      <c r="BF173" s="1">
        <v>32.9</v>
      </c>
      <c r="BG173" s="1">
        <v>13.8</v>
      </c>
      <c r="BH173" s="1" t="s">
        <v>389</v>
      </c>
    </row>
    <row r="174">
      <c r="A174" s="2">
        <v>5123.0</v>
      </c>
      <c r="B174" s="2" t="str">
        <f>IFERROR(__xludf.DUMMYFUNCTION("TO_TEXT(A174)"),"05123")</f>
        <v>05123</v>
      </c>
      <c r="C174" s="1">
        <v>27023.0</v>
      </c>
      <c r="D174" s="1">
        <v>634.794686249229</v>
      </c>
      <c r="E174" s="1" t="s">
        <v>390</v>
      </c>
      <c r="F174" s="1" t="s">
        <v>391</v>
      </c>
      <c r="G174" s="1">
        <v>42.5696695094741</v>
      </c>
      <c r="H174" s="1">
        <v>27.936662613</v>
      </c>
      <c r="I174" s="1">
        <v>4.8623160002</v>
      </c>
      <c r="J174" s="1">
        <v>12.547689699</v>
      </c>
      <c r="K174" s="1">
        <v>24.12771764</v>
      </c>
      <c r="L174" s="1">
        <v>42.9</v>
      </c>
      <c r="M174" s="1">
        <v>4.5</v>
      </c>
      <c r="N174" s="1">
        <v>40.1</v>
      </c>
      <c r="O174" s="1">
        <v>62.124000283</v>
      </c>
      <c r="P174" s="1">
        <v>8.4730351765</v>
      </c>
      <c r="Q174" s="1">
        <v>46.27844</v>
      </c>
      <c r="R174" s="1">
        <v>81.060606061</v>
      </c>
      <c r="S174" s="1">
        <v>46.0</v>
      </c>
      <c r="T174" s="1">
        <v>5596.0</v>
      </c>
      <c r="U174" s="1">
        <v>59.363831308</v>
      </c>
      <c r="V174" s="1">
        <v>776.78775417</v>
      </c>
      <c r="W174" s="1">
        <v>13.694951665</v>
      </c>
      <c r="X174" s="1">
        <v>11.460055096</v>
      </c>
      <c r="Y174" s="1">
        <v>74.49542361</v>
      </c>
      <c r="Z174" s="1">
        <v>18.3</v>
      </c>
      <c r="AA174" s="1">
        <v>15.119946911</v>
      </c>
      <c r="AB174" s="1">
        <v>33257.0</v>
      </c>
      <c r="AC174" s="1">
        <v>40.970274818</v>
      </c>
      <c r="AD174" s="1">
        <v>57.098401116</v>
      </c>
      <c r="AE174" s="1">
        <v>15.2017884459999</v>
      </c>
      <c r="AF174" s="1">
        <v>52.285860293</v>
      </c>
      <c r="AG174" s="1">
        <v>0.7861944259</v>
      </c>
      <c r="AH174" s="1">
        <v>0.636817485</v>
      </c>
      <c r="AI174" s="1">
        <v>0.0668265262</v>
      </c>
      <c r="AJ174" s="1">
        <v>5.4443963992</v>
      </c>
      <c r="AK174" s="1">
        <v>39.824678643</v>
      </c>
      <c r="AL174" s="1">
        <v>0.3690785204</v>
      </c>
      <c r="AM174" s="1">
        <v>44.8759778289999</v>
      </c>
      <c r="AN174" s="1">
        <v>51.55354236</v>
      </c>
      <c r="AO174" s="1">
        <v>16540.0</v>
      </c>
      <c r="AP174" s="1">
        <v>24.6</v>
      </c>
      <c r="AQ174" s="1">
        <v>11.0</v>
      </c>
      <c r="AR174" s="1">
        <v>22.0</v>
      </c>
      <c r="AS174" s="1">
        <v>14.0</v>
      </c>
      <c r="AT174" s="1">
        <v>22.8</v>
      </c>
      <c r="AU174" s="1">
        <v>20.1</v>
      </c>
      <c r="AV174" s="1">
        <v>59.3</v>
      </c>
      <c r="AW174" s="1">
        <v>1.3</v>
      </c>
      <c r="AX174" s="1">
        <v>0.9771</v>
      </c>
      <c r="AY174" s="1">
        <v>32.0</v>
      </c>
      <c r="AZ174" s="1">
        <v>21.6</v>
      </c>
      <c r="BA174" s="1">
        <v>29.7</v>
      </c>
      <c r="BB174" s="1">
        <v>2.78</v>
      </c>
      <c r="BC174" s="1" t="s">
        <v>286</v>
      </c>
      <c r="BD174" s="1">
        <v>18.1</v>
      </c>
      <c r="BE174" s="1">
        <v>37.6</v>
      </c>
      <c r="BF174" s="1">
        <v>33.9</v>
      </c>
      <c r="BG174" s="1">
        <v>10.4</v>
      </c>
      <c r="BH174" s="1" t="s">
        <v>391</v>
      </c>
    </row>
    <row r="175">
      <c r="A175" s="2">
        <v>5125.0</v>
      </c>
      <c r="B175" s="2" t="str">
        <f>IFERROR(__xludf.DUMMYFUNCTION("TO_TEXT(A175)"),"05125")</f>
        <v>05125</v>
      </c>
      <c r="C175" s="1">
        <v>115577.0</v>
      </c>
      <c r="D175" s="1">
        <v>723.566740326448</v>
      </c>
      <c r="E175" s="1" t="s">
        <v>392</v>
      </c>
      <c r="F175" s="1" t="s">
        <v>393</v>
      </c>
      <c r="G175" s="1">
        <v>159.732328144126</v>
      </c>
      <c r="H175" s="1">
        <v>15.445541423</v>
      </c>
      <c r="I175" s="1">
        <v>4.0153082533</v>
      </c>
      <c r="J175" s="1">
        <v>7.939387472</v>
      </c>
      <c r="K175" s="1">
        <v>16.490518717</v>
      </c>
      <c r="L175" s="1">
        <v>30.2</v>
      </c>
      <c r="M175" s="1">
        <v>7.9</v>
      </c>
      <c r="N175" s="1">
        <v>27.2</v>
      </c>
      <c r="O175" s="1">
        <v>58.641871581</v>
      </c>
      <c r="P175" s="1">
        <v>7.5056325079</v>
      </c>
      <c r="Q175" s="1">
        <v>43.57919</v>
      </c>
      <c r="R175" s="1">
        <v>93.089430894</v>
      </c>
      <c r="S175" s="1">
        <v>13.0</v>
      </c>
      <c r="T175" s="1">
        <v>27699.0</v>
      </c>
      <c r="U175" s="1">
        <v>28.2248456619999</v>
      </c>
      <c r="V175" s="1">
        <v>352.4580766</v>
      </c>
      <c r="W175" s="1">
        <v>9.48751026149999</v>
      </c>
      <c r="X175" s="1">
        <v>6.7917359297</v>
      </c>
      <c r="Y175" s="1">
        <v>77.453908317</v>
      </c>
      <c r="Z175" s="1">
        <v>12.7</v>
      </c>
      <c r="AA175" s="1">
        <v>6.12488525</v>
      </c>
      <c r="AB175" s="1">
        <v>63677.0</v>
      </c>
      <c r="AC175" s="1">
        <v>24.1271887419999</v>
      </c>
      <c r="AD175" s="1">
        <v>78.3574901389999</v>
      </c>
      <c r="AE175" s="1">
        <v>7.40043310419999</v>
      </c>
      <c r="AF175" s="1">
        <v>7.8890801426</v>
      </c>
      <c r="AG175" s="1">
        <v>0.6275685425</v>
      </c>
      <c r="AH175" s="1">
        <v>1.339142323</v>
      </c>
      <c r="AI175" s="1">
        <v>0.0691807842</v>
      </c>
      <c r="AJ175" s="1">
        <v>4.96619200959999</v>
      </c>
      <c r="AK175" s="1">
        <v>83.943469416</v>
      </c>
      <c r="AL175" s="1">
        <v>1.055446989</v>
      </c>
      <c r="AM175" s="1">
        <v>51.0060039039999</v>
      </c>
      <c r="AN175" s="1">
        <v>36.160122482</v>
      </c>
      <c r="AO175" s="1">
        <v>26963.0</v>
      </c>
      <c r="AP175" s="1">
        <v>8.5</v>
      </c>
      <c r="AQ175" s="1">
        <v>4.7</v>
      </c>
      <c r="AR175" s="1">
        <v>10.7</v>
      </c>
      <c r="AS175" s="1">
        <v>17.0</v>
      </c>
      <c r="AT175" s="1">
        <v>23.8</v>
      </c>
      <c r="AU175" s="1">
        <v>16.7</v>
      </c>
      <c r="AV175" s="1">
        <v>13.3</v>
      </c>
      <c r="AW175" s="1">
        <v>1.0</v>
      </c>
      <c r="AX175" s="1">
        <v>0.3206</v>
      </c>
      <c r="AY175" s="1">
        <v>9.6</v>
      </c>
      <c r="AZ175" s="1">
        <v>12.9</v>
      </c>
      <c r="BA175" s="1">
        <v>17.1</v>
      </c>
      <c r="BB175" s="1">
        <v>3.17</v>
      </c>
      <c r="BC175" s="1" t="s">
        <v>286</v>
      </c>
      <c r="BD175" s="1">
        <v>9.4</v>
      </c>
      <c r="BE175" s="1">
        <v>31.4</v>
      </c>
      <c r="BF175" s="1">
        <v>32.6</v>
      </c>
      <c r="BG175" s="1">
        <v>26.7</v>
      </c>
      <c r="BH175" s="1" t="s">
        <v>393</v>
      </c>
    </row>
    <row r="176">
      <c r="A176" s="2">
        <v>5127.0</v>
      </c>
      <c r="B176" s="2" t="str">
        <f>IFERROR(__xludf.DUMMYFUNCTION("TO_TEXT(A176)"),"05127")</f>
        <v>05127</v>
      </c>
      <c r="C176" s="1">
        <v>10661.0</v>
      </c>
      <c r="D176" s="1">
        <v>892.300022848698</v>
      </c>
      <c r="E176" s="1" t="s">
        <v>394</v>
      </c>
      <c r="F176" s="1" t="s">
        <v>395</v>
      </c>
      <c r="G176" s="1">
        <v>11.947775105916</v>
      </c>
      <c r="H176" s="1">
        <v>23.072638152</v>
      </c>
      <c r="I176" s="1">
        <v>4.8822597714</v>
      </c>
      <c r="J176" s="1">
        <v>8.5234093637</v>
      </c>
      <c r="K176" s="1">
        <v>20.044696997</v>
      </c>
      <c r="L176" s="1">
        <v>38.4</v>
      </c>
      <c r="M176" s="1">
        <v>7.2</v>
      </c>
      <c r="N176" s="1">
        <v>37.4</v>
      </c>
      <c r="O176" s="1">
        <v>88.489272679</v>
      </c>
      <c r="P176" s="1">
        <v>11.652025378</v>
      </c>
      <c r="Q176" s="1">
        <v>19.14792</v>
      </c>
      <c r="R176" s="1">
        <v>86.486486486</v>
      </c>
      <c r="S176" s="1">
        <v>30.1</v>
      </c>
      <c r="T176" s="1">
        <v>2677.0</v>
      </c>
      <c r="U176" s="1">
        <v>26.3354501309999</v>
      </c>
      <c r="V176" s="1">
        <v>318.08172253</v>
      </c>
      <c r="W176" s="1">
        <v>12.610340479</v>
      </c>
      <c r="X176" s="1">
        <v>8.4724005135</v>
      </c>
      <c r="Y176" s="1">
        <v>73.680965525</v>
      </c>
      <c r="Z176" s="1">
        <v>18.2</v>
      </c>
      <c r="AA176" s="1">
        <v>7.83303915909999</v>
      </c>
      <c r="AB176" s="1">
        <v>35826.0</v>
      </c>
      <c r="AC176" s="1">
        <v>40.07569386</v>
      </c>
      <c r="AD176" s="1">
        <v>74.319066148</v>
      </c>
      <c r="AE176" s="1">
        <v>9.1673675357</v>
      </c>
      <c r="AF176" s="1">
        <v>0.591142552599999</v>
      </c>
      <c r="AG176" s="1">
        <v>2.7037503634</v>
      </c>
      <c r="AH176" s="1">
        <v>3.2755111929</v>
      </c>
      <c r="AI176" s="1">
        <v>0.0484543076</v>
      </c>
      <c r="AJ176" s="1">
        <v>7.6557805989</v>
      </c>
      <c r="AK176" s="1">
        <v>84.3492586489999</v>
      </c>
      <c r="AL176" s="1">
        <v>0.7151000104</v>
      </c>
      <c r="AM176" s="1">
        <v>49.258649094</v>
      </c>
      <c r="AN176" s="1">
        <v>70.355203418</v>
      </c>
      <c r="AO176" s="1">
        <v>17934.0</v>
      </c>
      <c r="AP176" s="1">
        <v>20.9</v>
      </c>
      <c r="AQ176" s="1">
        <v>11.9</v>
      </c>
      <c r="AR176" s="1">
        <v>23.6</v>
      </c>
      <c r="AS176" s="1">
        <v>18.4</v>
      </c>
      <c r="AT176" s="1">
        <v>24.2</v>
      </c>
      <c r="AU176" s="1">
        <v>18.4</v>
      </c>
      <c r="AV176" s="1">
        <v>15.4</v>
      </c>
      <c r="AW176" s="1">
        <v>1.6</v>
      </c>
      <c r="AX176" s="1">
        <v>0.9239</v>
      </c>
      <c r="AY176" s="1">
        <v>19.6</v>
      </c>
      <c r="AZ176" s="1">
        <v>18.6</v>
      </c>
      <c r="BA176" s="1">
        <v>25.4</v>
      </c>
      <c r="BB176" s="1">
        <v>2.87</v>
      </c>
      <c r="BC176" s="1" t="s">
        <v>286</v>
      </c>
      <c r="BD176" s="1">
        <v>20.9</v>
      </c>
      <c r="BE176" s="1">
        <v>40.8</v>
      </c>
      <c r="BF176" s="1">
        <v>29.1</v>
      </c>
      <c r="BG176" s="1">
        <v>9.3</v>
      </c>
      <c r="BH176" s="1" t="s">
        <v>395</v>
      </c>
    </row>
    <row r="177">
      <c r="A177" s="2">
        <v>5129.0</v>
      </c>
      <c r="B177" s="2" t="str">
        <f>IFERROR(__xludf.DUMMYFUNCTION("TO_TEXT(A177)"),"05129")</f>
        <v>05129</v>
      </c>
      <c r="C177" s="1">
        <v>7938.0</v>
      </c>
      <c r="D177" s="1">
        <v>666.094285034674</v>
      </c>
      <c r="E177" s="1" t="s">
        <v>396</v>
      </c>
      <c r="F177" s="1" t="s">
        <v>397</v>
      </c>
      <c r="G177" s="1">
        <v>11.9172318068857</v>
      </c>
      <c r="H177" s="1">
        <v>21.888274943</v>
      </c>
      <c r="I177" s="1">
        <v>4.7022421961</v>
      </c>
      <c r="J177" s="1">
        <v>6.4220183486</v>
      </c>
      <c r="K177" s="1">
        <v>19.924647373</v>
      </c>
      <c r="L177" s="1">
        <v>32.3</v>
      </c>
      <c r="M177" s="1">
        <v>6.4</v>
      </c>
      <c r="N177" s="1">
        <v>31.3</v>
      </c>
      <c r="O177" s="1">
        <v>23.331299573</v>
      </c>
      <c r="P177" s="1">
        <v>10.020484807</v>
      </c>
      <c r="Q177" s="1">
        <v>25.19526</v>
      </c>
      <c r="R177" s="1">
        <v>97.297297297</v>
      </c>
      <c r="S177" s="1">
        <v>34.9</v>
      </c>
      <c r="T177" s="1">
        <v>1586.0</v>
      </c>
      <c r="U177" s="1">
        <v>20.491803279</v>
      </c>
      <c r="V177" s="1">
        <v>126.76681245</v>
      </c>
      <c r="W177" s="1">
        <v>11.580594679</v>
      </c>
      <c r="X177" s="1">
        <v>6.7721518987</v>
      </c>
      <c r="Y177" s="1">
        <v>75.292949316</v>
      </c>
      <c r="Z177" s="1">
        <v>16.3</v>
      </c>
      <c r="AA177" s="1">
        <v>16.529577709</v>
      </c>
      <c r="AB177" s="1">
        <v>31659.0</v>
      </c>
      <c r="AC177" s="1">
        <v>46.25</v>
      </c>
      <c r="AD177" s="1">
        <v>77.62152247</v>
      </c>
      <c r="AE177" s="1">
        <v>9.7400460678</v>
      </c>
      <c r="AF177" s="1">
        <v>0.3769791405</v>
      </c>
      <c r="AG177" s="1">
        <v>1.5707464187</v>
      </c>
      <c r="AH177" s="1">
        <v>0.4021110832</v>
      </c>
      <c r="AI177" s="1">
        <v>0.0251319427</v>
      </c>
      <c r="AJ177" s="1">
        <v>2.6765518975</v>
      </c>
      <c r="AK177" s="1">
        <v>92.837396331</v>
      </c>
      <c r="AL177" s="1">
        <v>0.3047164812</v>
      </c>
      <c r="AM177" s="1">
        <v>49.886906258</v>
      </c>
      <c r="AN177" s="1">
        <v>100.0</v>
      </c>
      <c r="AO177" s="1">
        <v>20618.0</v>
      </c>
      <c r="AP177" s="1">
        <v>20.7</v>
      </c>
      <c r="AQ177" s="1">
        <v>4.2</v>
      </c>
      <c r="AR177" s="1">
        <v>15.4</v>
      </c>
      <c r="AS177" s="1">
        <v>24.2</v>
      </c>
      <c r="AT177" s="1">
        <v>19.9</v>
      </c>
      <c r="AU177" s="1">
        <v>22.5</v>
      </c>
      <c r="AV177" s="1">
        <v>6.3</v>
      </c>
      <c r="AW177" s="1">
        <v>0.2</v>
      </c>
      <c r="AX177" s="1">
        <v>0.4253</v>
      </c>
      <c r="AY177" s="1">
        <v>22.4</v>
      </c>
      <c r="AZ177" s="1">
        <v>18.9</v>
      </c>
      <c r="BA177" s="1">
        <v>25.9</v>
      </c>
      <c r="BB177" s="1">
        <v>2.88</v>
      </c>
      <c r="BC177" s="1" t="s">
        <v>286</v>
      </c>
      <c r="BD177" s="1">
        <v>18.2</v>
      </c>
      <c r="BE177" s="1">
        <v>40.2</v>
      </c>
      <c r="BF177" s="1">
        <v>29.7</v>
      </c>
      <c r="BG177" s="1">
        <v>11.9</v>
      </c>
      <c r="BH177" s="1" t="s">
        <v>397</v>
      </c>
    </row>
    <row r="178">
      <c r="A178" s="2">
        <v>5131.0</v>
      </c>
      <c r="B178" s="2" t="str">
        <f>IFERROR(__xludf.DUMMYFUNCTION("TO_TEXT(A178)"),"05131")</f>
        <v>05131</v>
      </c>
      <c r="C178" s="1">
        <v>127351.0</v>
      </c>
      <c r="D178" s="1">
        <v>531.895091265856</v>
      </c>
      <c r="E178" s="1" t="s">
        <v>398</v>
      </c>
      <c r="F178" s="1" t="s">
        <v>399</v>
      </c>
      <c r="G178" s="1">
        <v>239.428793555732</v>
      </c>
      <c r="H178" s="1">
        <v>21.429853361</v>
      </c>
      <c r="I178" s="1">
        <v>4.8453362905</v>
      </c>
      <c r="J178" s="1">
        <v>7.8702163062</v>
      </c>
      <c r="K178" s="1">
        <v>21.649019947</v>
      </c>
      <c r="L178" s="1">
        <v>31.1</v>
      </c>
      <c r="M178" s="1">
        <v>7.3</v>
      </c>
      <c r="N178" s="1">
        <v>30.0</v>
      </c>
      <c r="O178" s="1">
        <v>78.226396488</v>
      </c>
      <c r="P178" s="1">
        <v>12.859227185</v>
      </c>
      <c r="Q178" s="1">
        <v>128.79858</v>
      </c>
      <c r="R178" s="1">
        <v>87.829614604</v>
      </c>
      <c r="S178" s="1">
        <v>23.0</v>
      </c>
      <c r="T178" s="1">
        <v>30535.0</v>
      </c>
      <c r="U178" s="1">
        <v>35.025380711</v>
      </c>
      <c r="V178" s="1">
        <v>635.56239012</v>
      </c>
      <c r="W178" s="1">
        <v>16.228809359</v>
      </c>
      <c r="X178" s="1">
        <v>13.145682002</v>
      </c>
      <c r="Y178" s="1">
        <v>76.052896597</v>
      </c>
      <c r="Z178" s="1">
        <v>12.4</v>
      </c>
      <c r="AA178" s="1">
        <v>3.7199051731</v>
      </c>
      <c r="AB178" s="1">
        <v>46843.0</v>
      </c>
      <c r="AC178" s="1">
        <v>35.815740831</v>
      </c>
      <c r="AD178" s="1">
        <v>59.7355437139999</v>
      </c>
      <c r="AE178" s="1">
        <v>11.747815994</v>
      </c>
      <c r="AF178" s="1">
        <v>6.5947570703</v>
      </c>
      <c r="AG178" s="1">
        <v>2.4077712461</v>
      </c>
      <c r="AH178" s="1">
        <v>4.7364836834</v>
      </c>
      <c r="AI178" s="1">
        <v>0.21056257</v>
      </c>
      <c r="AJ178" s="1">
        <v>14.605527855</v>
      </c>
      <c r="AK178" s="1">
        <v>68.999553827</v>
      </c>
      <c r="AL178" s="1">
        <v>3.3757683652</v>
      </c>
      <c r="AM178" s="1">
        <v>51.141656165</v>
      </c>
      <c r="AN178" s="1">
        <v>20.812126225</v>
      </c>
      <c r="AO178" s="1">
        <v>23383.0</v>
      </c>
      <c r="AP178" s="1">
        <v>22.2</v>
      </c>
      <c r="AQ178" s="1">
        <v>5.4</v>
      </c>
      <c r="AR178" s="1">
        <v>17.5</v>
      </c>
      <c r="AS178" s="1">
        <v>14.3</v>
      </c>
      <c r="AT178" s="1">
        <v>24.5</v>
      </c>
      <c r="AU178" s="1">
        <v>18.3</v>
      </c>
      <c r="AV178" s="1">
        <v>29.0</v>
      </c>
      <c r="AW178" s="1">
        <v>3.4</v>
      </c>
      <c r="AX178" s="1">
        <v>0.7943</v>
      </c>
      <c r="AY178" s="1">
        <v>15.9</v>
      </c>
      <c r="AZ178" s="1">
        <v>17.8</v>
      </c>
      <c r="BA178" s="1">
        <v>23.6</v>
      </c>
      <c r="BB178" s="1">
        <v>2.82</v>
      </c>
      <c r="BC178" s="1" t="s">
        <v>286</v>
      </c>
      <c r="BD178" s="1">
        <v>15.9</v>
      </c>
      <c r="BE178" s="1">
        <v>31.0</v>
      </c>
      <c r="BF178" s="1">
        <v>31.7</v>
      </c>
      <c r="BG178" s="1">
        <v>21.3</v>
      </c>
      <c r="BH178" s="1" t="s">
        <v>399</v>
      </c>
    </row>
    <row r="179">
      <c r="A179" s="2">
        <v>5133.0</v>
      </c>
      <c r="B179" s="2" t="str">
        <f>IFERROR(__xludf.DUMMYFUNCTION("TO_TEXT(A179)"),"05133")</f>
        <v>05133</v>
      </c>
      <c r="C179" s="1">
        <v>17193.0</v>
      </c>
      <c r="D179" s="1">
        <v>565.126705462998</v>
      </c>
      <c r="E179" s="1" t="s">
        <v>400</v>
      </c>
      <c r="F179" s="1" t="s">
        <v>401</v>
      </c>
      <c r="G179" s="1">
        <v>30.4232658513528</v>
      </c>
      <c r="H179" s="1">
        <v>28.762924065</v>
      </c>
      <c r="I179" s="1">
        <v>4.6845514248</v>
      </c>
      <c r="J179" s="1">
        <v>6.3596491228</v>
      </c>
      <c r="K179" s="1">
        <v>19.561479789</v>
      </c>
      <c r="L179" s="1">
        <v>33.3</v>
      </c>
      <c r="M179" s="1">
        <v>7.4</v>
      </c>
      <c r="N179" s="1">
        <v>37.0</v>
      </c>
      <c r="O179" s="1">
        <v>56.325477782</v>
      </c>
      <c r="P179" s="1">
        <v>17.743724865</v>
      </c>
      <c r="Q179" s="1">
        <v>46.74262</v>
      </c>
      <c r="R179" s="1">
        <v>92.237442922</v>
      </c>
      <c r="S179" s="1">
        <v>29.5</v>
      </c>
      <c r="T179" s="1">
        <v>4907.0</v>
      </c>
      <c r="U179" s="1">
        <v>26.350112085</v>
      </c>
      <c r="V179" s="1">
        <v>216.05738484</v>
      </c>
      <c r="W179" s="1">
        <v>16.985845129</v>
      </c>
      <c r="X179" s="1">
        <v>8.8513513514</v>
      </c>
      <c r="Y179" s="1">
        <v>76.443529406</v>
      </c>
      <c r="Z179" s="1">
        <v>14.4</v>
      </c>
      <c r="AA179" s="1">
        <v>11.16325892</v>
      </c>
      <c r="AB179" s="1">
        <v>44100.0</v>
      </c>
      <c r="AC179" s="1">
        <v>41.03030303</v>
      </c>
      <c r="AD179" s="1">
        <v>74.88896481</v>
      </c>
      <c r="AE179" s="1">
        <v>7.9723334547</v>
      </c>
      <c r="AF179" s="1">
        <v>3.6758270611</v>
      </c>
      <c r="AG179" s="1">
        <v>3.3257482934</v>
      </c>
      <c r="AH179" s="1">
        <v>0.6418110742</v>
      </c>
      <c r="AI179" s="1">
        <v>1.0969134722</v>
      </c>
      <c r="AJ179" s="1">
        <v>34.021821577</v>
      </c>
      <c r="AK179" s="1">
        <v>56.561059572</v>
      </c>
      <c r="AL179" s="1">
        <v>9.1127249763</v>
      </c>
      <c r="AM179" s="1">
        <v>49.693681078</v>
      </c>
      <c r="AN179" s="1">
        <v>63.600656583</v>
      </c>
      <c r="AO179" s="1">
        <v>17458.0</v>
      </c>
      <c r="AP179" s="1">
        <v>22.4</v>
      </c>
      <c r="AQ179" s="1">
        <v>6.8</v>
      </c>
      <c r="AR179" s="1">
        <v>30.4</v>
      </c>
      <c r="AS179" s="1">
        <v>13.7</v>
      </c>
      <c r="AT179" s="1">
        <v>29.0</v>
      </c>
      <c r="AU179" s="1">
        <v>12.8</v>
      </c>
      <c r="AV179" s="1">
        <v>41.0</v>
      </c>
      <c r="AW179" s="1">
        <v>8.9</v>
      </c>
      <c r="AX179" s="1">
        <v>0.8249</v>
      </c>
      <c r="AY179" s="1">
        <v>17.7</v>
      </c>
      <c r="AZ179" s="1">
        <v>15.7</v>
      </c>
      <c r="BA179" s="1">
        <v>21.6</v>
      </c>
      <c r="BB179" s="1">
        <v>2.93</v>
      </c>
      <c r="BC179" s="1" t="s">
        <v>286</v>
      </c>
      <c r="BD179" s="1">
        <v>23.5</v>
      </c>
      <c r="BE179" s="1">
        <v>37.5</v>
      </c>
      <c r="BF179" s="1">
        <v>26.3</v>
      </c>
      <c r="BG179" s="1">
        <v>12.8</v>
      </c>
      <c r="BH179" s="1" t="s">
        <v>401</v>
      </c>
    </row>
    <row r="180">
      <c r="A180" s="2">
        <v>5135.0</v>
      </c>
      <c r="B180" s="2" t="str">
        <f>IFERROR(__xludf.DUMMYFUNCTION("TO_TEXT(A180)"),"05135")</f>
        <v>05135</v>
      </c>
      <c r="C180" s="1">
        <v>17027.0</v>
      </c>
      <c r="D180" s="1">
        <v>604.438674033443</v>
      </c>
      <c r="E180" s="1" t="s">
        <v>402</v>
      </c>
      <c r="F180" s="1" t="s">
        <v>403</v>
      </c>
      <c r="G180" s="1">
        <v>28.1699380457873</v>
      </c>
      <c r="H180" s="1">
        <v>26.318175821</v>
      </c>
      <c r="I180" s="1">
        <v>5.36035522649999</v>
      </c>
      <c r="J180" s="1">
        <v>9.2634776006</v>
      </c>
      <c r="K180" s="1">
        <v>21.0888798079999</v>
      </c>
      <c r="L180" s="1">
        <v>37.8</v>
      </c>
      <c r="M180" s="1">
        <v>6.5</v>
      </c>
      <c r="N180" s="1">
        <v>34.9</v>
      </c>
      <c r="O180" s="1">
        <v>45.093836886</v>
      </c>
      <c r="P180" s="1">
        <v>10.479041916</v>
      </c>
      <c r="Q180" s="1">
        <v>28.7472</v>
      </c>
      <c r="R180" s="1">
        <v>97.727272727</v>
      </c>
      <c r="S180" s="1">
        <v>34.4</v>
      </c>
      <c r="T180" s="1">
        <v>3460.0</v>
      </c>
      <c r="U180" s="1">
        <v>36.705202312</v>
      </c>
      <c r="V180" s="1">
        <v>204.509002055</v>
      </c>
      <c r="W180" s="1">
        <v>14.2076502729999</v>
      </c>
      <c r="X180" s="1">
        <v>9.61272475799999</v>
      </c>
      <c r="Y180" s="1">
        <v>73.817829529</v>
      </c>
      <c r="Z180" s="1">
        <v>19.5</v>
      </c>
      <c r="AA180" s="1">
        <v>10.183020032</v>
      </c>
      <c r="AB180" s="1">
        <v>36032.0</v>
      </c>
      <c r="AC180" s="1">
        <v>37.104072398</v>
      </c>
      <c r="AD180" s="1">
        <v>75.781887408</v>
      </c>
      <c r="AE180" s="1">
        <v>11.7818606009999</v>
      </c>
      <c r="AF180" s="1">
        <v>0.829206495499999</v>
      </c>
      <c r="AG180" s="1">
        <v>1.0019578487</v>
      </c>
      <c r="AH180" s="1">
        <v>0.5528043303</v>
      </c>
      <c r="AI180" s="1">
        <v>0.0691005413</v>
      </c>
      <c r="AJ180" s="1">
        <v>2.3436600253</v>
      </c>
      <c r="AK180" s="1">
        <v>93.418173442</v>
      </c>
      <c r="AL180" s="1">
        <v>0.1418264784</v>
      </c>
      <c r="AM180" s="1">
        <v>50.6506967639999</v>
      </c>
      <c r="AN180" s="1">
        <v>80.056765524</v>
      </c>
      <c r="AO180" s="1">
        <v>19404.0</v>
      </c>
      <c r="AP180" s="1">
        <v>22.2</v>
      </c>
      <c r="AQ180" s="1">
        <v>7.9</v>
      </c>
      <c r="AR180" s="1">
        <v>16.8</v>
      </c>
      <c r="AS180" s="1">
        <v>25.5</v>
      </c>
      <c r="AT180" s="1">
        <v>21.1</v>
      </c>
      <c r="AU180" s="1">
        <v>22.2</v>
      </c>
      <c r="AV180" s="1">
        <v>6.0</v>
      </c>
      <c r="AW180" s="1">
        <v>0.5</v>
      </c>
      <c r="AX180" s="1">
        <v>0.6584</v>
      </c>
      <c r="AY180" s="1">
        <v>23.3</v>
      </c>
      <c r="AZ180" s="1">
        <v>20.0</v>
      </c>
      <c r="BA180" s="1">
        <v>29.5</v>
      </c>
      <c r="BB180" s="1">
        <v>2.85</v>
      </c>
      <c r="BC180" s="1" t="s">
        <v>286</v>
      </c>
      <c r="BD180" s="1">
        <v>16.5</v>
      </c>
      <c r="BE180" s="1">
        <v>40.9</v>
      </c>
      <c r="BF180" s="1">
        <v>32.4</v>
      </c>
      <c r="BG180" s="1">
        <v>10.2</v>
      </c>
      <c r="BH180" s="1" t="s">
        <v>403</v>
      </c>
    </row>
    <row r="181">
      <c r="A181" s="2">
        <v>5137.0</v>
      </c>
      <c r="B181" s="2" t="str">
        <f>IFERROR(__xludf.DUMMYFUNCTION("TO_TEXT(A181)"),"05137")</f>
        <v>05137</v>
      </c>
      <c r="C181" s="1">
        <v>12503.0</v>
      </c>
      <c r="D181" s="1">
        <v>606.403855993044</v>
      </c>
      <c r="E181" s="1" t="s">
        <v>404</v>
      </c>
      <c r="F181" s="1" t="s">
        <v>405</v>
      </c>
      <c r="G181" s="1">
        <v>20.618272585891</v>
      </c>
      <c r="H181" s="1">
        <v>22.626568804</v>
      </c>
      <c r="I181" s="1">
        <v>4.835812316</v>
      </c>
      <c r="J181" s="1">
        <v>7.8612716763</v>
      </c>
      <c r="K181" s="1">
        <v>20.459451544</v>
      </c>
      <c r="L181" s="1">
        <v>38.9</v>
      </c>
      <c r="M181" s="1">
        <v>6.3</v>
      </c>
      <c r="N181" s="1">
        <v>32.5</v>
      </c>
      <c r="O181" s="1">
        <v>57.503630789</v>
      </c>
      <c r="P181" s="1">
        <v>11.866666667</v>
      </c>
      <c r="Q181" s="1">
        <v>47.85834</v>
      </c>
      <c r="R181" s="1">
        <v>94.915254237</v>
      </c>
      <c r="S181" s="1">
        <v>33.0</v>
      </c>
      <c r="T181" s="1">
        <v>2471.0</v>
      </c>
      <c r="U181" s="1">
        <v>33.023067584</v>
      </c>
      <c r="V181" s="1">
        <v>239.33942319</v>
      </c>
      <c r="W181" s="1">
        <v>11.782477341</v>
      </c>
      <c r="X181" s="1">
        <v>10.122699387</v>
      </c>
      <c r="Y181" s="1">
        <v>76.049812199</v>
      </c>
      <c r="Z181" s="1">
        <v>21.2</v>
      </c>
      <c r="AA181" s="1">
        <v>13.569732161</v>
      </c>
      <c r="AB181" s="1">
        <v>34009.0</v>
      </c>
      <c r="AC181" s="1">
        <v>30.05334914</v>
      </c>
      <c r="AD181" s="1">
        <v>72.729107792</v>
      </c>
      <c r="AE181" s="1">
        <v>12.151953378</v>
      </c>
      <c r="AF181" s="1">
        <v>0.3692702898</v>
      </c>
      <c r="AG181" s="1">
        <v>0.9312033395</v>
      </c>
      <c r="AH181" s="1">
        <v>0.4656016697</v>
      </c>
      <c r="AI181" s="1">
        <v>0.040138075</v>
      </c>
      <c r="AJ181" s="1">
        <v>2.0390142089</v>
      </c>
      <c r="AK181" s="1">
        <v>94.4368628079999</v>
      </c>
      <c r="AL181" s="1">
        <v>0.0758150113999999</v>
      </c>
      <c r="AM181" s="1">
        <v>50.750582002</v>
      </c>
      <c r="AN181" s="1">
        <v>100.0</v>
      </c>
      <c r="AO181" s="1">
        <v>19616.0</v>
      </c>
      <c r="AP181" s="1">
        <v>23.6</v>
      </c>
      <c r="AQ181" s="1">
        <v>8.1</v>
      </c>
      <c r="AR181" s="1">
        <v>23.5</v>
      </c>
      <c r="AS181" s="1">
        <v>25.3</v>
      </c>
      <c r="AT181" s="1">
        <v>20.1</v>
      </c>
      <c r="AU181" s="1">
        <v>23.6</v>
      </c>
      <c r="AV181" s="1">
        <v>4.8</v>
      </c>
      <c r="AW181" s="1">
        <v>0.2</v>
      </c>
      <c r="AX181" s="1">
        <v>0.5479</v>
      </c>
      <c r="AY181" s="1">
        <v>19.3</v>
      </c>
      <c r="AZ181" s="1">
        <v>19.7</v>
      </c>
      <c r="BA181" s="1">
        <v>28.1</v>
      </c>
      <c r="BB181" s="1">
        <v>2.95</v>
      </c>
      <c r="BC181" s="1" t="s">
        <v>286</v>
      </c>
      <c r="BD181" s="1">
        <v>18.8</v>
      </c>
      <c r="BE181" s="1">
        <v>34.9</v>
      </c>
      <c r="BF181" s="1">
        <v>32.4</v>
      </c>
      <c r="BG181" s="1">
        <v>13.9</v>
      </c>
      <c r="BH181" s="1" t="s">
        <v>405</v>
      </c>
    </row>
    <row r="182">
      <c r="A182" s="2">
        <v>5139.0</v>
      </c>
      <c r="B182" s="2" t="str">
        <f>IFERROR(__xludf.DUMMYFUNCTION("TO_TEXT(A182)"),"05139")</f>
        <v>05139</v>
      </c>
      <c r="C182" s="1">
        <v>40334.0</v>
      </c>
      <c r="D182" s="1">
        <v>1039.21481378393</v>
      </c>
      <c r="E182" s="1" t="s">
        <v>406</v>
      </c>
      <c r="F182" s="1" t="s">
        <v>407</v>
      </c>
      <c r="G182" s="1">
        <v>38.811994849398</v>
      </c>
      <c r="H182" s="1">
        <v>23.422520938</v>
      </c>
      <c r="I182" s="1">
        <v>4.7587497678</v>
      </c>
      <c r="J182" s="1">
        <v>9.8830734967</v>
      </c>
      <c r="K182" s="1">
        <v>19.92321164</v>
      </c>
      <c r="L182" s="1">
        <v>34.6</v>
      </c>
      <c r="M182" s="1">
        <v>5.8</v>
      </c>
      <c r="N182" s="1">
        <v>32.6</v>
      </c>
      <c r="O182" s="1">
        <v>48.135161747</v>
      </c>
      <c r="P182" s="1">
        <v>8.89518061039999</v>
      </c>
      <c r="Q182" s="1">
        <v>55.76821</v>
      </c>
      <c r="R182" s="1">
        <v>88.3161512029999</v>
      </c>
      <c r="S182" s="1">
        <v>25.1</v>
      </c>
      <c r="T182" s="1">
        <v>9544.0</v>
      </c>
      <c r="U182" s="1">
        <v>42.487426655</v>
      </c>
      <c r="V182" s="1">
        <v>583.01047675</v>
      </c>
      <c r="W182" s="1">
        <v>17.24137931</v>
      </c>
      <c r="X182" s="1">
        <v>12.585034014</v>
      </c>
      <c r="Y182" s="1">
        <v>73.150766838</v>
      </c>
      <c r="Z182" s="1">
        <v>13.6</v>
      </c>
      <c r="AA182" s="1">
        <v>13.486798201</v>
      </c>
      <c r="AB182" s="1">
        <v>45335.0</v>
      </c>
      <c r="AC182" s="1">
        <v>31.0539440869999</v>
      </c>
      <c r="AD182" s="1">
        <v>74.748490946</v>
      </c>
      <c r="AE182" s="1">
        <v>13.2330528129999</v>
      </c>
      <c r="AF182" s="1">
        <v>32.633031744</v>
      </c>
      <c r="AG182" s="1">
        <v>0.5443950314</v>
      </c>
      <c r="AH182" s="1">
        <v>0.715636660999999</v>
      </c>
      <c r="AI182" s="1">
        <v>0.0562285948</v>
      </c>
      <c r="AJ182" s="1">
        <v>4.1276900271</v>
      </c>
      <c r="AK182" s="1">
        <v>60.747329142</v>
      </c>
      <c r="AL182" s="1">
        <v>0.770577933499999</v>
      </c>
      <c r="AM182" s="1">
        <v>51.341818739</v>
      </c>
      <c r="AN182" s="1">
        <v>54.504190783</v>
      </c>
      <c r="AO182" s="1">
        <v>22240.0</v>
      </c>
      <c r="AP182" s="1">
        <v>20.7</v>
      </c>
      <c r="AQ182" s="1">
        <v>9.0</v>
      </c>
      <c r="AR182" s="1">
        <v>16.3</v>
      </c>
      <c r="AS182" s="1">
        <v>16.6</v>
      </c>
      <c r="AT182" s="1">
        <v>24.0</v>
      </c>
      <c r="AU182" s="1">
        <v>18.8</v>
      </c>
      <c r="AV182" s="1">
        <v>38.7</v>
      </c>
      <c r="AW182" s="1">
        <v>0.8</v>
      </c>
      <c r="AX182" s="1">
        <v>0.8532</v>
      </c>
      <c r="AY182" s="1">
        <v>18.9</v>
      </c>
      <c r="AZ182" s="1">
        <v>18.0</v>
      </c>
      <c r="BA182" s="1">
        <v>25.7</v>
      </c>
      <c r="BB182" s="1">
        <v>2.91</v>
      </c>
      <c r="BC182" s="1" t="s">
        <v>286</v>
      </c>
      <c r="BD182" s="1">
        <v>15.1</v>
      </c>
      <c r="BE182" s="1">
        <v>35.5</v>
      </c>
      <c r="BF182" s="1">
        <v>28.3</v>
      </c>
      <c r="BG182" s="1">
        <v>21.1</v>
      </c>
      <c r="BH182" s="1" t="s">
        <v>407</v>
      </c>
    </row>
    <row r="183">
      <c r="A183" s="2">
        <v>5141.0</v>
      </c>
      <c r="B183" s="2" t="str">
        <f>IFERROR(__xludf.DUMMYFUNCTION("TO_TEXT(A183)"),"05141")</f>
        <v>05141</v>
      </c>
      <c r="C183" s="1">
        <v>16892.0</v>
      </c>
      <c r="D183" s="1">
        <v>709.758813111484</v>
      </c>
      <c r="E183" s="1" t="s">
        <v>408</v>
      </c>
      <c r="F183" s="1" t="s">
        <v>409</v>
      </c>
      <c r="G183" s="1">
        <v>23.7996340277169</v>
      </c>
      <c r="H183" s="1">
        <v>20.980773497</v>
      </c>
      <c r="I183" s="1">
        <v>4.90449712079999</v>
      </c>
      <c r="J183" s="1">
        <v>7.3800738007</v>
      </c>
      <c r="K183" s="1">
        <v>18.9956321429999</v>
      </c>
      <c r="L183" s="1">
        <v>37.2</v>
      </c>
      <c r="M183" s="1">
        <v>7.1</v>
      </c>
      <c r="N183" s="1">
        <v>30.7</v>
      </c>
      <c r="O183" s="1">
        <v>57.427002024</v>
      </c>
      <c r="P183" s="1">
        <v>9.804898298</v>
      </c>
      <c r="Q183" s="1">
        <v>24.23361</v>
      </c>
      <c r="R183" s="1">
        <v>93.442622951</v>
      </c>
      <c r="S183" s="1">
        <v>26.9</v>
      </c>
      <c r="T183" s="1">
        <v>3344.0</v>
      </c>
      <c r="U183" s="1">
        <v>31.100478469</v>
      </c>
      <c r="V183" s="1">
        <v>277.78607485</v>
      </c>
      <c r="W183" s="1">
        <v>12.087912088</v>
      </c>
      <c r="X183" s="1">
        <v>9.02694610779999</v>
      </c>
      <c r="Y183" s="1">
        <v>76.183118041</v>
      </c>
      <c r="Z183" s="1">
        <v>15.4</v>
      </c>
      <c r="AA183" s="1">
        <v>6.0982411173</v>
      </c>
      <c r="AB183" s="1">
        <v>40486.0</v>
      </c>
      <c r="AC183" s="1">
        <v>69.544468547</v>
      </c>
      <c r="AD183" s="1">
        <v>76.751313485</v>
      </c>
      <c r="AE183" s="1">
        <v>10.73001888</v>
      </c>
      <c r="AF183" s="1">
        <v>0.602300789</v>
      </c>
      <c r="AG183" s="1">
        <v>0.9998193098</v>
      </c>
      <c r="AH183" s="1">
        <v>0.3674034813</v>
      </c>
      <c r="AI183" s="1">
        <v>0.0240920316</v>
      </c>
      <c r="AJ183" s="1">
        <v>3.0657110161</v>
      </c>
      <c r="AK183" s="1">
        <v>93.507197494</v>
      </c>
      <c r="AL183" s="1">
        <v>0.1070528967</v>
      </c>
      <c r="AM183" s="1">
        <v>50.2800698669999</v>
      </c>
      <c r="AN183" s="1">
        <v>100.0</v>
      </c>
      <c r="AO183" s="1">
        <v>19883.0</v>
      </c>
      <c r="AP183" s="1">
        <v>18.5</v>
      </c>
      <c r="AQ183" s="1">
        <v>11.9</v>
      </c>
      <c r="AR183" s="1">
        <v>15.7</v>
      </c>
      <c r="AS183" s="1">
        <v>24.7</v>
      </c>
      <c r="AT183" s="1">
        <v>20.1</v>
      </c>
      <c r="AU183" s="1">
        <v>22.2</v>
      </c>
      <c r="AV183" s="1">
        <v>6.3</v>
      </c>
      <c r="AW183" s="1">
        <v>0.2</v>
      </c>
      <c r="AX183" s="1">
        <v>0.6765</v>
      </c>
      <c r="AY183" s="1">
        <v>19.9</v>
      </c>
      <c r="AZ183" s="1">
        <v>18.8</v>
      </c>
      <c r="BA183" s="1">
        <v>28.5</v>
      </c>
      <c r="BB183" s="1">
        <v>2.96</v>
      </c>
      <c r="BC183" s="1" t="s">
        <v>286</v>
      </c>
      <c r="BD183" s="1">
        <v>14.9</v>
      </c>
      <c r="BE183" s="1">
        <v>42.6</v>
      </c>
      <c r="BF183" s="1">
        <v>28.0</v>
      </c>
      <c r="BG183" s="1">
        <v>14.5</v>
      </c>
      <c r="BH183" s="1" t="s">
        <v>409</v>
      </c>
    </row>
    <row r="184">
      <c r="A184" s="2">
        <v>5143.0</v>
      </c>
      <c r="B184" s="2" t="str">
        <f>IFERROR(__xludf.DUMMYFUNCTION("TO_TEXT(A184)"),"05143")</f>
        <v>05143</v>
      </c>
      <c r="C184" s="1">
        <v>219930.0</v>
      </c>
      <c r="D184" s="1">
        <v>942.015268495394</v>
      </c>
      <c r="E184" s="1" t="s">
        <v>188</v>
      </c>
      <c r="F184" s="1" t="s">
        <v>410</v>
      </c>
      <c r="G184" s="1">
        <v>233.467553398871</v>
      </c>
      <c r="H184" s="1">
        <v>20.1477433809999</v>
      </c>
      <c r="I184" s="1">
        <v>4.4692008784</v>
      </c>
      <c r="J184" s="1">
        <v>7.9801603118</v>
      </c>
      <c r="K184" s="1">
        <v>18.972600972</v>
      </c>
      <c r="L184" s="1">
        <v>29.8</v>
      </c>
      <c r="M184" s="1">
        <v>7.5</v>
      </c>
      <c r="N184" s="1">
        <v>25.4</v>
      </c>
      <c r="O184" s="1">
        <v>86.425036318</v>
      </c>
      <c r="P184" s="1">
        <v>12.418161979</v>
      </c>
      <c r="Q184" s="1">
        <v>80.60484</v>
      </c>
      <c r="R184" s="1">
        <v>87.382419721</v>
      </c>
      <c r="S184" s="1">
        <v>16.9</v>
      </c>
      <c r="T184" s="1">
        <v>56162.0</v>
      </c>
      <c r="U184" s="1">
        <v>29.477226594</v>
      </c>
      <c r="V184" s="1">
        <v>454.59715024</v>
      </c>
      <c r="W184" s="1">
        <v>16.306236147</v>
      </c>
      <c r="X184" s="1">
        <v>12.019849292</v>
      </c>
      <c r="Y184" s="1">
        <v>78.2483729739999</v>
      </c>
      <c r="Z184" s="1">
        <v>8.9</v>
      </c>
      <c r="AA184" s="1">
        <v>6.0605246591</v>
      </c>
      <c r="AB184" s="1">
        <v>50893.0</v>
      </c>
      <c r="AC184" s="1">
        <v>39.084957669</v>
      </c>
      <c r="AD184" s="1">
        <v>53.2873060039999</v>
      </c>
      <c r="AE184" s="1">
        <v>12.25914549</v>
      </c>
      <c r="AF184" s="1">
        <v>3.3756609737</v>
      </c>
      <c r="AG184" s="1">
        <v>1.55721827639999</v>
      </c>
      <c r="AH184" s="1">
        <v>2.6818759205</v>
      </c>
      <c r="AI184" s="1">
        <v>2.5877676073</v>
      </c>
      <c r="AJ184" s="1">
        <v>17.136153207</v>
      </c>
      <c r="AK184" s="1">
        <v>70.726828465</v>
      </c>
      <c r="AL184" s="1">
        <v>3.7455986744</v>
      </c>
      <c r="AM184" s="1">
        <v>50.061402509</v>
      </c>
      <c r="AN184" s="1">
        <v>25.494792308</v>
      </c>
      <c r="AO184" s="1">
        <v>25249.0</v>
      </c>
      <c r="AP184" s="1">
        <v>19.0</v>
      </c>
      <c r="AQ184" s="1">
        <v>5.2</v>
      </c>
      <c r="AR184" s="1">
        <v>15.8</v>
      </c>
      <c r="AS184" s="1">
        <v>10.7</v>
      </c>
      <c r="AT184" s="1">
        <v>25.1</v>
      </c>
      <c r="AU184" s="1">
        <v>10.4</v>
      </c>
      <c r="AV184" s="1">
        <v>27.6</v>
      </c>
      <c r="AW184" s="1">
        <v>4.2</v>
      </c>
      <c r="AX184" s="1">
        <v>0.6466</v>
      </c>
      <c r="AY184" s="1">
        <v>15.1</v>
      </c>
      <c r="AZ184" s="1">
        <v>13.8</v>
      </c>
      <c r="BA184" s="1">
        <v>16.0</v>
      </c>
      <c r="BB184" s="1">
        <v>3.0</v>
      </c>
      <c r="BC184" s="1" t="s">
        <v>286</v>
      </c>
      <c r="BD184" s="1">
        <v>15.0</v>
      </c>
      <c r="BE184" s="1">
        <v>25.7</v>
      </c>
      <c r="BF184" s="1">
        <v>26.0</v>
      </c>
      <c r="BG184" s="1">
        <v>33.3</v>
      </c>
      <c r="BH184" s="1" t="s">
        <v>410</v>
      </c>
    </row>
    <row r="185">
      <c r="A185" s="2">
        <v>5145.0</v>
      </c>
      <c r="B185" s="2" t="str">
        <f>IFERROR(__xludf.DUMMYFUNCTION("TO_TEXT(A185)"),"05145")</f>
        <v>05145</v>
      </c>
      <c r="C185" s="1">
        <v>78823.0</v>
      </c>
      <c r="D185" s="1">
        <v>1035.09705371463</v>
      </c>
      <c r="E185" s="1" t="s">
        <v>411</v>
      </c>
      <c r="F185" s="1" t="s">
        <v>412</v>
      </c>
      <c r="G185" s="1">
        <v>76.1503471748177</v>
      </c>
      <c r="H185" s="1">
        <v>20.225538187</v>
      </c>
      <c r="I185" s="1">
        <v>4.7171680961</v>
      </c>
      <c r="J185" s="1">
        <v>8.0604534005</v>
      </c>
      <c r="K185" s="1">
        <v>19.345567322</v>
      </c>
      <c r="L185" s="1">
        <v>31.4</v>
      </c>
      <c r="M185" s="1">
        <v>7.3</v>
      </c>
      <c r="N185" s="1">
        <v>30.6</v>
      </c>
      <c r="O185" s="1">
        <v>56.982718356</v>
      </c>
      <c r="P185" s="1">
        <v>8.5383799864</v>
      </c>
      <c r="Q185" s="1">
        <v>50.62266</v>
      </c>
      <c r="R185" s="1">
        <v>86.272439282</v>
      </c>
      <c r="S185" s="1">
        <v>22.4</v>
      </c>
      <c r="T185" s="1">
        <v>18236.0</v>
      </c>
      <c r="U185" s="1">
        <v>29.184031586</v>
      </c>
      <c r="V185" s="1">
        <v>344.45365823</v>
      </c>
      <c r="W185" s="1">
        <v>14.01580213</v>
      </c>
      <c r="X185" s="1">
        <v>11.8794635079999</v>
      </c>
      <c r="Y185" s="1">
        <v>75.327167865</v>
      </c>
      <c r="Z185" s="1">
        <v>13.4</v>
      </c>
      <c r="AA185" s="1">
        <v>5.21082706709999</v>
      </c>
      <c r="AB185" s="1">
        <v>44811.0</v>
      </c>
      <c r="AC185" s="1">
        <v>30.848990411</v>
      </c>
      <c r="AD185" s="1">
        <v>66.5482007999999</v>
      </c>
      <c r="AE185" s="1">
        <v>11.863792791</v>
      </c>
      <c r="AF185" s="1">
        <v>4.4559045817</v>
      </c>
      <c r="AG185" s="1">
        <v>0.6554295223</v>
      </c>
      <c r="AH185" s="1">
        <v>0.849771996899999</v>
      </c>
      <c r="AI185" s="1">
        <v>0.0724020984</v>
      </c>
      <c r="AJ185" s="1">
        <v>4.4012854548</v>
      </c>
      <c r="AK185" s="1">
        <v>87.8885261729999</v>
      </c>
      <c r="AL185" s="1">
        <v>1.0372459425</v>
      </c>
      <c r="AM185" s="1">
        <v>51.324196273</v>
      </c>
      <c r="AN185" s="1">
        <v>54.317816181</v>
      </c>
      <c r="AO185" s="1">
        <v>22510.0</v>
      </c>
      <c r="AP185" s="1">
        <v>17.7</v>
      </c>
      <c r="AQ185" s="1">
        <v>6.3</v>
      </c>
      <c r="AR185" s="1">
        <v>16.0</v>
      </c>
      <c r="AS185" s="1">
        <v>15.2</v>
      </c>
      <c r="AT185" s="1">
        <v>23.6</v>
      </c>
      <c r="AU185" s="1">
        <v>16.1</v>
      </c>
      <c r="AV185" s="1">
        <v>11.3</v>
      </c>
      <c r="AW185" s="1">
        <v>0.9</v>
      </c>
      <c r="AX185" s="1">
        <v>0.7205</v>
      </c>
      <c r="AY185" s="1">
        <v>15.4</v>
      </c>
      <c r="AZ185" s="1">
        <v>16.7</v>
      </c>
      <c r="BA185" s="1">
        <v>21.9</v>
      </c>
      <c r="BB185" s="1">
        <v>2.84</v>
      </c>
      <c r="BC185" s="1" t="s">
        <v>286</v>
      </c>
      <c r="BD185" s="1">
        <v>15.6</v>
      </c>
      <c r="BE185" s="1">
        <v>39.3</v>
      </c>
      <c r="BF185" s="1">
        <v>24.2</v>
      </c>
      <c r="BG185" s="1">
        <v>20.9</v>
      </c>
      <c r="BH185" s="1" t="s">
        <v>412</v>
      </c>
    </row>
    <row r="186">
      <c r="A186" s="2">
        <v>5147.0</v>
      </c>
      <c r="B186" s="2" t="str">
        <f>IFERROR(__xludf.DUMMYFUNCTION("TO_TEXT(A186)"),"05147")</f>
        <v>05147</v>
      </c>
      <c r="C186" s="1">
        <v>6873.0</v>
      </c>
      <c r="D186" s="1">
        <v>586.76817468844</v>
      </c>
      <c r="E186" s="1" t="s">
        <v>413</v>
      </c>
      <c r="F186" s="1" t="s">
        <v>414</v>
      </c>
      <c r="G186" s="1">
        <v>11.7133142124646</v>
      </c>
      <c r="H186" s="1">
        <v>25.887393789</v>
      </c>
      <c r="I186" s="1">
        <v>4.9791804871</v>
      </c>
      <c r="J186" s="1">
        <v>7.3664825046</v>
      </c>
      <c r="K186" s="1">
        <v>21.44540376</v>
      </c>
      <c r="L186" s="1">
        <v>42.1</v>
      </c>
      <c r="M186" s="1">
        <v>6.4</v>
      </c>
      <c r="N186" s="1">
        <v>40.6</v>
      </c>
      <c r="O186" s="1">
        <v>49.848484848</v>
      </c>
      <c r="P186" s="1">
        <v>9.6650524617</v>
      </c>
      <c r="Q186" s="1">
        <v>45.65515</v>
      </c>
      <c r="R186" s="1">
        <v>89.855072464</v>
      </c>
      <c r="S186" s="1">
        <v>36.4</v>
      </c>
      <c r="T186" s="1">
        <v>1416.0</v>
      </c>
      <c r="U186" s="1">
        <v>41.384180791</v>
      </c>
      <c r="V186" s="1">
        <v>161.01880992</v>
      </c>
      <c r="W186" s="1">
        <v>13.869863014</v>
      </c>
      <c r="X186" s="1">
        <v>12.042628774</v>
      </c>
      <c r="Y186" s="1">
        <v>73.38874978</v>
      </c>
      <c r="Z186" s="1">
        <v>26.8</v>
      </c>
      <c r="AA186" s="1">
        <v>2.6331842732</v>
      </c>
      <c r="AB186" s="1">
        <v>34306.0</v>
      </c>
      <c r="AC186" s="1">
        <v>35.186873291</v>
      </c>
      <c r="AD186" s="1">
        <v>66.505190311</v>
      </c>
      <c r="AE186" s="1">
        <v>8.9191232048</v>
      </c>
      <c r="AF186" s="1">
        <v>25.93220339</v>
      </c>
      <c r="AG186" s="1">
        <v>0.5701078582</v>
      </c>
      <c r="AH186" s="1">
        <v>0.2773497689</v>
      </c>
      <c r="AI186" s="1">
        <v>0.0770416025</v>
      </c>
      <c r="AJ186" s="1">
        <v>2.1417565485</v>
      </c>
      <c r="AK186" s="1">
        <v>69.337442219</v>
      </c>
      <c r="AL186" s="1">
        <v>0.0</v>
      </c>
      <c r="AM186" s="1">
        <v>51.910631741</v>
      </c>
      <c r="AN186" s="1">
        <v>100.0</v>
      </c>
      <c r="AO186" s="1">
        <v>18382.0</v>
      </c>
      <c r="AP186" s="1">
        <v>24.1</v>
      </c>
      <c r="AQ186" s="1">
        <v>12.3</v>
      </c>
      <c r="AR186" s="1">
        <v>24.5</v>
      </c>
      <c r="AS186" s="1">
        <v>20.9</v>
      </c>
      <c r="AT186" s="1">
        <v>21.8</v>
      </c>
      <c r="AU186" s="1">
        <v>24.6</v>
      </c>
      <c r="AV186" s="1">
        <v>30.7</v>
      </c>
      <c r="AW186" s="1">
        <v>0.0</v>
      </c>
      <c r="AX186" s="1">
        <v>0.9293</v>
      </c>
      <c r="AY186" s="1">
        <v>27.1</v>
      </c>
      <c r="AZ186" s="1">
        <v>21.5</v>
      </c>
      <c r="BA186" s="1">
        <v>30.4</v>
      </c>
      <c r="BB186" s="1">
        <v>2.89</v>
      </c>
      <c r="BC186" s="1" t="s">
        <v>286</v>
      </c>
      <c r="BD186" s="1">
        <v>18.3</v>
      </c>
      <c r="BE186" s="1">
        <v>43.8</v>
      </c>
      <c r="BF186" s="1">
        <v>23.9</v>
      </c>
      <c r="BG186" s="1">
        <v>14.0</v>
      </c>
      <c r="BH186" s="1" t="s">
        <v>414</v>
      </c>
    </row>
    <row r="187">
      <c r="A187" s="2">
        <v>5149.0</v>
      </c>
      <c r="B187" s="2" t="str">
        <f>IFERROR(__xludf.DUMMYFUNCTION("TO_TEXT(A187)"),"05149")</f>
        <v>05149</v>
      </c>
      <c r="C187" s="1">
        <v>21716.0</v>
      </c>
      <c r="D187" s="1">
        <v>930.216279407486</v>
      </c>
      <c r="E187" s="1" t="s">
        <v>415</v>
      </c>
      <c r="F187" s="1" t="s">
        <v>416</v>
      </c>
      <c r="G187" s="1">
        <v>23.3451085309239</v>
      </c>
      <c r="H187" s="1">
        <v>25.062724311</v>
      </c>
      <c r="I187" s="1">
        <v>4.732045765</v>
      </c>
      <c r="J187" s="1">
        <v>7.5669994745</v>
      </c>
      <c r="K187" s="1">
        <v>20.807526357</v>
      </c>
      <c r="L187" s="1">
        <v>37.7</v>
      </c>
      <c r="M187" s="1">
        <v>7.7</v>
      </c>
      <c r="N187" s="1">
        <v>35.3</v>
      </c>
      <c r="O187" s="1">
        <v>53.820148749</v>
      </c>
      <c r="P187" s="1">
        <v>12.00959397</v>
      </c>
      <c r="Q187" s="1">
        <v>55.75431</v>
      </c>
      <c r="R187" s="1">
        <v>87.3287671229999</v>
      </c>
      <c r="S187" s="1">
        <v>24.8</v>
      </c>
      <c r="T187" s="1">
        <v>5335.0</v>
      </c>
      <c r="U187" s="1">
        <v>44.948453608</v>
      </c>
      <c r="V187" s="1">
        <v>333.9936426</v>
      </c>
      <c r="W187" s="1">
        <v>14.0854472629999</v>
      </c>
      <c r="X187" s="1">
        <v>8.4124830393</v>
      </c>
      <c r="Y187" s="1">
        <v>74.074640522</v>
      </c>
      <c r="Z187" s="1">
        <v>14.1</v>
      </c>
      <c r="AA187" s="1">
        <v>5.4867047021</v>
      </c>
      <c r="AB187" s="1">
        <v>41729.0</v>
      </c>
      <c r="AC187" s="1">
        <v>50.093589144</v>
      </c>
      <c r="AD187" s="1">
        <v>70.257642504</v>
      </c>
      <c r="AE187" s="1">
        <v>8.3084789092</v>
      </c>
      <c r="AF187" s="1">
        <v>1.5602507546</v>
      </c>
      <c r="AG187" s="1">
        <v>1.0866032041</v>
      </c>
      <c r="AH187" s="1">
        <v>1.309496169</v>
      </c>
      <c r="AI187" s="1">
        <v>0.074297655</v>
      </c>
      <c r="AJ187" s="1">
        <v>20.534014395</v>
      </c>
      <c r="AK187" s="1">
        <v>74.8502437889999</v>
      </c>
      <c r="AL187" s="1">
        <v>5.2916625261</v>
      </c>
      <c r="AM187" s="1">
        <v>49.798003251</v>
      </c>
      <c r="AN187" s="1">
        <v>79.125535272</v>
      </c>
      <c r="AO187" s="1">
        <v>18981.0</v>
      </c>
      <c r="AP187" s="1">
        <v>17.5</v>
      </c>
      <c r="AQ187" s="1">
        <v>6.8</v>
      </c>
      <c r="AR187" s="1">
        <v>22.1</v>
      </c>
      <c r="AS187" s="1">
        <v>16.9</v>
      </c>
      <c r="AT187" s="1">
        <v>24.9</v>
      </c>
      <c r="AU187" s="1">
        <v>20.3</v>
      </c>
      <c r="AV187" s="1">
        <v>24.0</v>
      </c>
      <c r="AW187" s="1">
        <v>6.0</v>
      </c>
      <c r="AX187" s="1">
        <v>0.8835</v>
      </c>
      <c r="AY187" s="1">
        <v>15.6</v>
      </c>
      <c r="AZ187" s="1">
        <v>16.4</v>
      </c>
      <c r="BA187" s="1">
        <v>22.0</v>
      </c>
      <c r="BB187" s="1">
        <v>2.77</v>
      </c>
      <c r="BC187" s="1" t="s">
        <v>286</v>
      </c>
      <c r="BD187" s="1">
        <v>21.8</v>
      </c>
      <c r="BE187" s="1">
        <v>40.0</v>
      </c>
      <c r="BF187" s="1">
        <v>25.3</v>
      </c>
      <c r="BG187" s="1">
        <v>12.8</v>
      </c>
      <c r="BH187" s="1" t="s">
        <v>416</v>
      </c>
    </row>
    <row r="188">
      <c r="A188" s="2">
        <v>6001.0</v>
      </c>
      <c r="B188" s="2" t="str">
        <f>IFERROR(__xludf.DUMMYFUNCTION("TO_TEXT(A188)"),"06001")</f>
        <v>06001</v>
      </c>
      <c r="C188" s="1">
        <v>1605217.0</v>
      </c>
      <c r="D188" s="1">
        <v>739.092969318477</v>
      </c>
      <c r="E188" s="1" t="s">
        <v>417</v>
      </c>
      <c r="F188" s="1" t="s">
        <v>418</v>
      </c>
      <c r="G188" s="1">
        <v>2171.87426566942</v>
      </c>
      <c r="H188" s="1">
        <v>12.412219044</v>
      </c>
      <c r="I188" s="1">
        <v>3.1839105458</v>
      </c>
      <c r="J188" s="1">
        <v>7.2587957251</v>
      </c>
      <c r="K188" s="1">
        <v>9.7327103382</v>
      </c>
      <c r="L188" s="1">
        <v>19.4</v>
      </c>
      <c r="M188" s="1">
        <v>8.3</v>
      </c>
      <c r="N188" s="1">
        <v>14.5</v>
      </c>
      <c r="O188" s="1">
        <v>99.70223887</v>
      </c>
      <c r="P188" s="1">
        <v>5.7827935577</v>
      </c>
      <c r="Q188" s="1">
        <v>110.14977</v>
      </c>
      <c r="R188" s="1">
        <v>86.8141289439999</v>
      </c>
      <c r="S188" s="1">
        <v>9.8</v>
      </c>
      <c r="T188" s="1">
        <v>341805.0</v>
      </c>
      <c r="U188" s="1">
        <v>25.675750794</v>
      </c>
      <c r="V188" s="1">
        <v>628.78196249</v>
      </c>
      <c r="W188" s="1">
        <v>23.6604967259999</v>
      </c>
      <c r="X188" s="1">
        <v>17.716355421</v>
      </c>
      <c r="Y188" s="1">
        <v>82.87623703</v>
      </c>
      <c r="Z188" s="1">
        <v>6.9</v>
      </c>
      <c r="AA188" s="1">
        <v>1.0025394993</v>
      </c>
      <c r="AB188" s="1">
        <v>101744.0</v>
      </c>
      <c r="AC188" s="1">
        <v>43.9685606389999</v>
      </c>
      <c r="AD188" s="1">
        <v>53.26409133</v>
      </c>
      <c r="AE188" s="1">
        <v>17.4250570709999</v>
      </c>
      <c r="AF188" s="1">
        <v>10.29054695</v>
      </c>
      <c r="AG188" s="1">
        <v>1.0783241428</v>
      </c>
      <c r="AH188" s="1">
        <v>31.7509553009999</v>
      </c>
      <c r="AI188" s="1">
        <v>0.9521506786</v>
      </c>
      <c r="AJ188" s="1">
        <v>22.381240652</v>
      </c>
      <c r="AK188" s="1">
        <v>31.076590233</v>
      </c>
      <c r="AL188" s="1">
        <v>8.4416315158</v>
      </c>
      <c r="AM188" s="1">
        <v>50.799848568</v>
      </c>
      <c r="AN188" s="1">
        <v>0.3886057535</v>
      </c>
      <c r="AO188" s="1">
        <v>39042.0</v>
      </c>
      <c r="AP188" s="1">
        <v>12.0</v>
      </c>
      <c r="AQ188" s="1">
        <v>7.1</v>
      </c>
      <c r="AR188" s="1">
        <v>12.7</v>
      </c>
      <c r="AS188" s="1">
        <v>12.4</v>
      </c>
      <c r="AT188" s="1">
        <v>21.4</v>
      </c>
      <c r="AU188" s="1">
        <v>9.6</v>
      </c>
      <c r="AV188" s="1">
        <v>67.4</v>
      </c>
      <c r="AW188" s="1">
        <v>9.0</v>
      </c>
      <c r="AX188" s="1">
        <v>0.5164</v>
      </c>
      <c r="AY188" s="1">
        <v>8.9</v>
      </c>
      <c r="AZ188" s="1">
        <v>9.1</v>
      </c>
      <c r="BA188" s="1">
        <v>11.1</v>
      </c>
      <c r="BB188" s="1">
        <v>3.97</v>
      </c>
      <c r="BC188" s="1" t="s">
        <v>419</v>
      </c>
      <c r="BD188" s="1">
        <v>11.6</v>
      </c>
      <c r="BE188" s="1">
        <v>17.6</v>
      </c>
      <c r="BF188" s="1">
        <v>23.5</v>
      </c>
      <c r="BG188" s="1">
        <v>47.4</v>
      </c>
      <c r="BH188" s="1" t="s">
        <v>418</v>
      </c>
    </row>
    <row r="189">
      <c r="A189" s="2">
        <v>6003.0</v>
      </c>
      <c r="B189" s="2" t="str">
        <f>IFERROR(__xludf.DUMMYFUNCTION("TO_TEXT(A189)"),"06003")</f>
        <v>06003</v>
      </c>
      <c r="C189" s="1">
        <v>1184.0</v>
      </c>
      <c r="D189" s="1">
        <v>738.340010186566</v>
      </c>
      <c r="E189" s="1" t="s">
        <v>420</v>
      </c>
      <c r="F189" s="1" t="s">
        <v>421</v>
      </c>
      <c r="G189" s="1">
        <v>1.60359723659134</v>
      </c>
      <c r="H189" s="1">
        <v>16.46323334</v>
      </c>
      <c r="I189" s="1">
        <v>4.4183369542</v>
      </c>
      <c r="J189" s="1">
        <v>7.80443539465</v>
      </c>
      <c r="K189" s="1">
        <v>14.455123742</v>
      </c>
      <c r="L189" s="1">
        <v>23.0</v>
      </c>
      <c r="M189" s="1">
        <v>6.9</v>
      </c>
      <c r="N189" s="1">
        <v>20.6</v>
      </c>
      <c r="O189" s="1">
        <v>100.0</v>
      </c>
      <c r="P189" s="1">
        <v>7.56693830029999</v>
      </c>
      <c r="Q189" s="1">
        <v>0.0</v>
      </c>
      <c r="R189" s="1">
        <v>89.912280702</v>
      </c>
      <c r="S189" s="1">
        <v>34.7</v>
      </c>
      <c r="T189" s="1">
        <v>239.0</v>
      </c>
      <c r="U189" s="1">
        <v>43.09623431</v>
      </c>
      <c r="V189" s="1">
        <v>442.47787611</v>
      </c>
      <c r="W189" s="1">
        <v>23.1884057969999</v>
      </c>
      <c r="X189" s="1">
        <v>20.84592145</v>
      </c>
      <c r="Y189" s="1">
        <v>77.482572377</v>
      </c>
      <c r="Z189" s="1">
        <v>6.7</v>
      </c>
      <c r="AA189" s="1">
        <v>12.47481688</v>
      </c>
      <c r="AB189" s="1">
        <v>55384.0</v>
      </c>
      <c r="AC189" s="1">
        <v>72.5</v>
      </c>
      <c r="AD189" s="1">
        <v>83.9464882939999</v>
      </c>
      <c r="AE189" s="1">
        <v>19.031141869</v>
      </c>
      <c r="AF189" s="1">
        <v>0.0908265213</v>
      </c>
      <c r="AG189" s="1">
        <v>23.887375114</v>
      </c>
      <c r="AH189" s="1">
        <v>1.9981834696</v>
      </c>
      <c r="AI189" s="1">
        <v>0.0</v>
      </c>
      <c r="AJ189" s="1">
        <v>11.353315168</v>
      </c>
      <c r="AK189" s="1">
        <v>64.123524069</v>
      </c>
      <c r="AL189" s="1">
        <v>0.5420054201</v>
      </c>
      <c r="AM189" s="1">
        <v>46.59400545</v>
      </c>
      <c r="AN189" s="1">
        <v>100.0</v>
      </c>
      <c r="AO189" s="1">
        <v>26783.0</v>
      </c>
      <c r="AP189" s="1">
        <v>18.9</v>
      </c>
      <c r="AQ189" s="1">
        <v>11.8</v>
      </c>
      <c r="AR189" s="1">
        <v>8.9</v>
      </c>
      <c r="AS189" s="1">
        <v>20.8</v>
      </c>
      <c r="AT189" s="1">
        <v>23.1</v>
      </c>
      <c r="AU189" s="1">
        <v>23.4</v>
      </c>
      <c r="AV189" s="1">
        <v>32.1</v>
      </c>
      <c r="AW189" s="1">
        <v>1.0</v>
      </c>
      <c r="AX189" s="1">
        <v>0.6227</v>
      </c>
      <c r="AY189" s="1">
        <v>17.2</v>
      </c>
      <c r="AZ189" s="1">
        <v>14.5</v>
      </c>
      <c r="BA189" s="1">
        <v>20.3</v>
      </c>
      <c r="BB189" s="1">
        <v>3.69</v>
      </c>
      <c r="BC189" s="1" t="s">
        <v>419</v>
      </c>
      <c r="BD189" s="1">
        <v>8.8</v>
      </c>
      <c r="BE189" s="1">
        <v>28.1</v>
      </c>
      <c r="BF189" s="1">
        <v>28.6</v>
      </c>
      <c r="BG189" s="1">
        <v>34.5</v>
      </c>
      <c r="BH189" s="1" t="s">
        <v>421</v>
      </c>
    </row>
    <row r="190">
      <c r="A190" s="2">
        <v>6005.0</v>
      </c>
      <c r="B190" s="2" t="str">
        <f>IFERROR(__xludf.DUMMYFUNCTION("TO_TEXT(A190)"),"06005")</f>
        <v>06005</v>
      </c>
      <c r="C190" s="1">
        <v>36963.0</v>
      </c>
      <c r="D190" s="1">
        <v>594.571433560752</v>
      </c>
      <c r="E190" s="1" t="s">
        <v>422</v>
      </c>
      <c r="F190" s="1" t="s">
        <v>423</v>
      </c>
      <c r="G190" s="1">
        <v>62.1674670419954</v>
      </c>
      <c r="H190" s="1">
        <v>13.102499807</v>
      </c>
      <c r="I190" s="1">
        <v>3.7410673537</v>
      </c>
      <c r="J190" s="1">
        <v>6.81265206809999</v>
      </c>
      <c r="K190" s="1">
        <v>10.832189668</v>
      </c>
      <c r="L190" s="1">
        <v>29.7</v>
      </c>
      <c r="M190" s="1">
        <v>8.2</v>
      </c>
      <c r="N190" s="1">
        <v>24.8</v>
      </c>
      <c r="O190" s="1">
        <v>75.905069439</v>
      </c>
      <c r="P190" s="1">
        <v>6.1959071423</v>
      </c>
      <c r="Q190" s="1">
        <v>67.31217</v>
      </c>
      <c r="R190" s="1">
        <v>88.483146067</v>
      </c>
      <c r="S190" s="1">
        <v>13.8</v>
      </c>
      <c r="T190" s="1">
        <v>5674.0</v>
      </c>
      <c r="U190" s="1">
        <v>27.599577018</v>
      </c>
      <c r="V190" s="1">
        <v>237.07073752</v>
      </c>
      <c r="W190" s="1">
        <v>19.368421053</v>
      </c>
      <c r="X190" s="1">
        <v>17.196327684</v>
      </c>
      <c r="Y190" s="1">
        <v>80.3810285719999</v>
      </c>
      <c r="Z190" s="1">
        <v>13.8</v>
      </c>
      <c r="AA190" s="1">
        <v>3.5713585722</v>
      </c>
      <c r="AB190" s="1">
        <v>58515.0</v>
      </c>
      <c r="AC190" s="1">
        <v>46.600771456</v>
      </c>
      <c r="AD190" s="1">
        <v>76.635911994</v>
      </c>
      <c r="AE190" s="1">
        <v>17.000364033</v>
      </c>
      <c r="AF190" s="1">
        <v>2.5112358124</v>
      </c>
      <c r="AG190" s="1">
        <v>2.3182591473</v>
      </c>
      <c r="AH190" s="1">
        <v>1.7393291522</v>
      </c>
      <c r="AI190" s="1">
        <v>0.2640733311</v>
      </c>
      <c r="AJ190" s="1">
        <v>14.37422238</v>
      </c>
      <c r="AK190" s="1">
        <v>77.406495188</v>
      </c>
      <c r="AL190" s="1">
        <v>1.0993249759</v>
      </c>
      <c r="AM190" s="1">
        <v>45.59835462</v>
      </c>
      <c r="AN190" s="1">
        <v>60.423722139</v>
      </c>
      <c r="AO190" s="1">
        <v>27496.0</v>
      </c>
      <c r="AP190" s="1">
        <v>11.2</v>
      </c>
      <c r="AQ190" s="1">
        <v>11.6</v>
      </c>
      <c r="AR190" s="1">
        <v>11.7</v>
      </c>
      <c r="AS190" s="1">
        <v>24.7</v>
      </c>
      <c r="AT190" s="1">
        <v>15.5</v>
      </c>
      <c r="AU190" s="1">
        <v>19.1</v>
      </c>
      <c r="AV190" s="1">
        <v>20.4</v>
      </c>
      <c r="AW190" s="1">
        <v>1.6</v>
      </c>
      <c r="AX190" s="1">
        <v>0.5046</v>
      </c>
      <c r="AY190" s="1">
        <v>9.8</v>
      </c>
      <c r="AZ190" s="1">
        <v>10.9</v>
      </c>
      <c r="BA190" s="1">
        <v>17.5</v>
      </c>
      <c r="BB190" s="1">
        <v>4.2</v>
      </c>
      <c r="BC190" s="1" t="s">
        <v>419</v>
      </c>
      <c r="BD190" s="1">
        <v>10.0</v>
      </c>
      <c r="BE190" s="1">
        <v>27.5</v>
      </c>
      <c r="BF190" s="1">
        <v>43.3</v>
      </c>
      <c r="BG190" s="1">
        <v>19.3</v>
      </c>
      <c r="BH190" s="1" t="s">
        <v>423</v>
      </c>
    </row>
    <row r="191">
      <c r="A191" s="2">
        <v>6007.0</v>
      </c>
      <c r="B191" s="2" t="str">
        <f>IFERROR(__xludf.DUMMYFUNCTION("TO_TEXT(A191)"),"06007")</f>
        <v>06007</v>
      </c>
      <c r="C191" s="1">
        <v>223877.0</v>
      </c>
      <c r="D191" s="1">
        <v>1636.46372957899</v>
      </c>
      <c r="E191" s="1" t="s">
        <v>424</v>
      </c>
      <c r="F191" s="1" t="s">
        <v>425</v>
      </c>
      <c r="G191" s="1">
        <v>136.805354101919</v>
      </c>
      <c r="H191" s="1">
        <v>17.448755904</v>
      </c>
      <c r="I191" s="1">
        <v>4.3533626566</v>
      </c>
      <c r="J191" s="1">
        <v>6.0342803475</v>
      </c>
      <c r="K191" s="1">
        <v>13.768327267</v>
      </c>
      <c r="L191" s="1">
        <v>27.2</v>
      </c>
      <c r="M191" s="1">
        <v>7.0</v>
      </c>
      <c r="N191" s="1">
        <v>22.4</v>
      </c>
      <c r="O191" s="1">
        <v>84.231818182</v>
      </c>
      <c r="P191" s="1">
        <v>7.16365278809999</v>
      </c>
      <c r="Q191" s="1">
        <v>61.4931</v>
      </c>
      <c r="R191" s="1">
        <v>84.51454322</v>
      </c>
      <c r="S191" s="1">
        <v>20.1</v>
      </c>
      <c r="T191" s="1">
        <v>45148.0</v>
      </c>
      <c r="U191" s="1">
        <v>32.411181005</v>
      </c>
      <c r="V191" s="1">
        <v>327.05730855</v>
      </c>
      <c r="W191" s="1">
        <v>22.694579264</v>
      </c>
      <c r="X191" s="1">
        <v>19.851632047</v>
      </c>
      <c r="Y191" s="1">
        <v>77.646220562</v>
      </c>
      <c r="Z191" s="1">
        <v>9.8</v>
      </c>
      <c r="AA191" s="1">
        <v>7.4378920032</v>
      </c>
      <c r="AB191" s="1">
        <v>50945.0</v>
      </c>
      <c r="AC191" s="1">
        <v>59.028018532</v>
      </c>
      <c r="AD191" s="1">
        <v>59.17024782</v>
      </c>
      <c r="AE191" s="1">
        <v>20.170041258</v>
      </c>
      <c r="AF191" s="1">
        <v>1.5333656208</v>
      </c>
      <c r="AG191" s="1">
        <v>2.4769087072</v>
      </c>
      <c r="AH191" s="1">
        <v>4.944736569</v>
      </c>
      <c r="AI191" s="1">
        <v>0.2862628429</v>
      </c>
      <c r="AJ191" s="1">
        <v>16.660324489</v>
      </c>
      <c r="AK191" s="1">
        <v>71.634033279</v>
      </c>
      <c r="AL191" s="1">
        <v>2.49962713</v>
      </c>
      <c r="AM191" s="1">
        <v>50.55609368</v>
      </c>
      <c r="AN191" s="1">
        <v>18.901818182</v>
      </c>
      <c r="AO191" s="1">
        <v>25077.0</v>
      </c>
      <c r="AP191" s="1">
        <v>21.3</v>
      </c>
      <c r="AQ191" s="1">
        <v>10.7</v>
      </c>
      <c r="AR191" s="1">
        <v>11.7</v>
      </c>
      <c r="AS191" s="1">
        <v>17.0</v>
      </c>
      <c r="AT191" s="1">
        <v>20.3</v>
      </c>
      <c r="AU191" s="1">
        <v>17.2</v>
      </c>
      <c r="AV191" s="1">
        <v>26.6</v>
      </c>
      <c r="AW191" s="1">
        <v>2.5</v>
      </c>
      <c r="AX191" s="1">
        <v>0.7915</v>
      </c>
      <c r="AY191" s="1">
        <v>16.1</v>
      </c>
      <c r="AZ191" s="1">
        <v>14.2</v>
      </c>
      <c r="BA191" s="1">
        <v>20.3</v>
      </c>
      <c r="BB191" s="1">
        <v>3.37</v>
      </c>
      <c r="BC191" s="1" t="s">
        <v>419</v>
      </c>
      <c r="BD191" s="1">
        <v>10.8</v>
      </c>
      <c r="BE191" s="1">
        <v>22.5</v>
      </c>
      <c r="BF191" s="1">
        <v>39.5</v>
      </c>
      <c r="BG191" s="1">
        <v>27.2</v>
      </c>
      <c r="BH191" s="1" t="s">
        <v>425</v>
      </c>
    </row>
    <row r="192">
      <c r="A192" s="2">
        <v>6009.0</v>
      </c>
      <c r="B192" s="2" t="str">
        <f>IFERROR(__xludf.DUMMYFUNCTION("TO_TEXT(A192)"),"06009")</f>
        <v>06009</v>
      </c>
      <c r="C192" s="1">
        <v>44787.0</v>
      </c>
      <c r="D192" s="1">
        <v>1020.01230764907</v>
      </c>
      <c r="E192" s="1" t="s">
        <v>426</v>
      </c>
      <c r="F192" s="1" t="s">
        <v>427</v>
      </c>
      <c r="G192" s="1">
        <v>43.9082937177742</v>
      </c>
      <c r="H192" s="1">
        <v>12.329144758</v>
      </c>
      <c r="I192" s="1">
        <v>3.9241935989</v>
      </c>
      <c r="J192" s="1">
        <v>5.7408844065</v>
      </c>
      <c r="K192" s="1">
        <v>10.9519356409999</v>
      </c>
      <c r="L192" s="1">
        <v>30.5</v>
      </c>
      <c r="M192" s="1">
        <v>8.2</v>
      </c>
      <c r="N192" s="1">
        <v>31.2</v>
      </c>
      <c r="O192" s="1">
        <v>60.445829128</v>
      </c>
      <c r="P192" s="1">
        <v>7.3307759688</v>
      </c>
      <c r="Q192" s="1">
        <v>43.79242</v>
      </c>
      <c r="R192" s="1">
        <v>89.748953975</v>
      </c>
      <c r="S192" s="1">
        <v>17.5</v>
      </c>
      <c r="T192" s="1">
        <v>7655.0</v>
      </c>
      <c r="U192" s="1">
        <v>38.301763553</v>
      </c>
      <c r="V192" s="1">
        <v>327.24573793</v>
      </c>
      <c r="W192" s="1">
        <v>20.321761219</v>
      </c>
      <c r="X192" s="1">
        <v>18.306636156</v>
      </c>
      <c r="Y192" s="1">
        <v>79.52590973</v>
      </c>
      <c r="Z192" s="1">
        <v>11.7</v>
      </c>
      <c r="AA192" s="1">
        <v>2.7477156635</v>
      </c>
      <c r="AB192" s="1">
        <v>62984.0</v>
      </c>
      <c r="AC192" s="1">
        <v>54.256880734</v>
      </c>
      <c r="AD192" s="1">
        <v>77.659757708</v>
      </c>
      <c r="AE192" s="1">
        <v>19.165827359</v>
      </c>
      <c r="AF192" s="1">
        <v>0.8245252401</v>
      </c>
      <c r="AG192" s="1">
        <v>1.9385114688</v>
      </c>
      <c r="AH192" s="1">
        <v>1.734573045</v>
      </c>
      <c r="AI192" s="1">
        <v>0.2521819218</v>
      </c>
      <c r="AJ192" s="1">
        <v>12.374457261</v>
      </c>
      <c r="AK192" s="1">
        <v>80.698214991</v>
      </c>
      <c r="AL192" s="1">
        <v>0.725189958199999</v>
      </c>
      <c r="AM192" s="1">
        <v>50.228060173</v>
      </c>
      <c r="AN192" s="1">
        <v>75.409188644</v>
      </c>
      <c r="AO192" s="1">
        <v>30577.0</v>
      </c>
      <c r="AP192" s="1">
        <v>12.7</v>
      </c>
      <c r="AQ192" s="1">
        <v>9.6</v>
      </c>
      <c r="AR192" s="1">
        <v>9.6</v>
      </c>
      <c r="AS192" s="1">
        <v>25.1</v>
      </c>
      <c r="AT192" s="1">
        <v>18.0</v>
      </c>
      <c r="AU192" s="1">
        <v>20.2</v>
      </c>
      <c r="AV192" s="1">
        <v>17.7</v>
      </c>
      <c r="AW192" s="1">
        <v>0.6</v>
      </c>
      <c r="AX192" s="1">
        <v>0.2642</v>
      </c>
      <c r="AY192" s="1">
        <v>12.1</v>
      </c>
      <c r="AZ192" s="1">
        <v>12.2</v>
      </c>
      <c r="BA192" s="1">
        <v>20.3</v>
      </c>
      <c r="BB192" s="1">
        <v>4.44</v>
      </c>
      <c r="BC192" s="1" t="s">
        <v>419</v>
      </c>
      <c r="BD192" s="1">
        <v>9.8</v>
      </c>
      <c r="BE192" s="1">
        <v>28.0</v>
      </c>
      <c r="BF192" s="1">
        <v>43.9</v>
      </c>
      <c r="BG192" s="1">
        <v>18.3</v>
      </c>
      <c r="BH192" s="1" t="s">
        <v>427</v>
      </c>
    </row>
    <row r="193">
      <c r="A193" s="2">
        <v>6011.0</v>
      </c>
      <c r="B193" s="2" t="str">
        <f>IFERROR(__xludf.DUMMYFUNCTION("TO_TEXT(A193)"),"06011")</f>
        <v>06011</v>
      </c>
      <c r="C193" s="1">
        <v>21361.0</v>
      </c>
      <c r="D193" s="1">
        <v>1150.72788222321</v>
      </c>
      <c r="E193" s="1" t="s">
        <v>428</v>
      </c>
      <c r="F193" s="1" t="s">
        <v>429</v>
      </c>
      <c r="G193" s="1">
        <v>18.5630333026523</v>
      </c>
      <c r="H193" s="1">
        <v>19.415265469</v>
      </c>
      <c r="I193" s="1">
        <v>4.0168093669</v>
      </c>
      <c r="J193" s="1">
        <v>6.3248682319</v>
      </c>
      <c r="K193" s="1">
        <v>12.217255923</v>
      </c>
      <c r="L193" s="1">
        <v>40.5</v>
      </c>
      <c r="M193" s="1">
        <v>8.2</v>
      </c>
      <c r="N193" s="1">
        <v>27.9</v>
      </c>
      <c r="O193" s="1">
        <v>74.882114011</v>
      </c>
      <c r="P193" s="1">
        <v>10.7280945379999</v>
      </c>
      <c r="Q193" s="1">
        <v>32.10273</v>
      </c>
      <c r="R193" s="1">
        <v>89.344262295</v>
      </c>
      <c r="S193" s="1">
        <v>14.1</v>
      </c>
      <c r="T193" s="1">
        <v>5882.0</v>
      </c>
      <c r="U193" s="1">
        <v>29.717783067</v>
      </c>
      <c r="V193" s="1">
        <v>200.95805585</v>
      </c>
      <c r="W193" s="1">
        <v>18.462643678</v>
      </c>
      <c r="X193" s="1">
        <v>10.30110935</v>
      </c>
      <c r="Y193" s="1">
        <v>79.852589192</v>
      </c>
      <c r="Z193" s="1">
        <v>21.0</v>
      </c>
      <c r="AA193" s="1">
        <v>2.9514419336</v>
      </c>
      <c r="AB193" s="1">
        <v>57249.0</v>
      </c>
      <c r="AC193" s="1">
        <v>76.252086811</v>
      </c>
      <c r="AD193" s="1">
        <v>61.450864614</v>
      </c>
      <c r="AE193" s="1">
        <v>12.622352082</v>
      </c>
      <c r="AF193" s="1">
        <v>0.9571369122</v>
      </c>
      <c r="AG193" s="1">
        <v>2.7743098904</v>
      </c>
      <c r="AH193" s="1">
        <v>1.6507143848</v>
      </c>
      <c r="AI193" s="1">
        <v>0.5918527766</v>
      </c>
      <c r="AJ193" s="1">
        <v>60.3319924169999</v>
      </c>
      <c r="AK193" s="1">
        <v>34.332084894</v>
      </c>
      <c r="AL193" s="1">
        <v>16.0201257859999</v>
      </c>
      <c r="AM193" s="1">
        <v>48.924954917</v>
      </c>
      <c r="AN193" s="1">
        <v>31.724170129</v>
      </c>
      <c r="AO193" s="1">
        <v>25745.0</v>
      </c>
      <c r="AP193" s="1">
        <v>13.5</v>
      </c>
      <c r="AQ193" s="1">
        <v>8.7</v>
      </c>
      <c r="AR193" s="1">
        <v>31.9</v>
      </c>
      <c r="AS193" s="1">
        <v>13.0</v>
      </c>
      <c r="AT193" s="1">
        <v>27.8</v>
      </c>
      <c r="AU193" s="1">
        <v>12.6</v>
      </c>
      <c r="AV193" s="1">
        <v>63.1</v>
      </c>
      <c r="AW193" s="1">
        <v>14.6</v>
      </c>
      <c r="AX193" s="1">
        <v>0.7428</v>
      </c>
      <c r="AY193" s="1">
        <v>12.0</v>
      </c>
      <c r="AZ193" s="1">
        <v>13.8</v>
      </c>
      <c r="BA193" s="1">
        <v>23.1</v>
      </c>
      <c r="BB193" s="1">
        <v>3.36</v>
      </c>
      <c r="BC193" s="1" t="s">
        <v>419</v>
      </c>
      <c r="BD193" s="1">
        <v>28.7</v>
      </c>
      <c r="BE193" s="1">
        <v>26.2</v>
      </c>
      <c r="BF193" s="1">
        <v>30.0</v>
      </c>
      <c r="BG193" s="1">
        <v>15.0</v>
      </c>
      <c r="BH193" s="1" t="s">
        <v>429</v>
      </c>
    </row>
    <row r="194">
      <c r="A194" s="2">
        <v>6013.0</v>
      </c>
      <c r="B194" s="2" t="str">
        <f>IFERROR(__xludf.DUMMYFUNCTION("TO_TEXT(A194)"),"06013")</f>
        <v>06013</v>
      </c>
      <c r="C194" s="1">
        <v>1107925.0</v>
      </c>
      <c r="D194" s="1">
        <v>722.756231919232</v>
      </c>
      <c r="E194" s="1" t="s">
        <v>430</v>
      </c>
      <c r="F194" s="1" t="s">
        <v>431</v>
      </c>
      <c r="G194" s="1">
        <v>1532.91656449364</v>
      </c>
      <c r="H194" s="1">
        <v>12.3004844009999</v>
      </c>
      <c r="I194" s="1">
        <v>3.6280809208</v>
      </c>
      <c r="J194" s="1">
        <v>6.8385624112</v>
      </c>
      <c r="K194" s="1">
        <v>9.9405871282</v>
      </c>
      <c r="L194" s="1">
        <v>24.0</v>
      </c>
      <c r="M194" s="1">
        <v>8.5</v>
      </c>
      <c r="N194" s="1">
        <v>16.2</v>
      </c>
      <c r="O194" s="1">
        <v>96.884916947</v>
      </c>
      <c r="P194" s="1">
        <v>5.8956173288</v>
      </c>
      <c r="Q194" s="1">
        <v>103.09916</v>
      </c>
      <c r="R194" s="1">
        <v>87.897242055</v>
      </c>
      <c r="S194" s="1">
        <v>9.2</v>
      </c>
      <c r="T194" s="1">
        <v>259000.0</v>
      </c>
      <c r="U194" s="1">
        <v>25.838223938</v>
      </c>
      <c r="V194" s="1">
        <v>336.02779077</v>
      </c>
      <c r="W194" s="1">
        <v>21.11007896</v>
      </c>
      <c r="X194" s="1">
        <v>16.900511033</v>
      </c>
      <c r="Y194" s="1">
        <v>82.392027357</v>
      </c>
      <c r="Z194" s="1">
        <v>8.8</v>
      </c>
      <c r="AA194" s="1">
        <v>2.9685104702</v>
      </c>
      <c r="AB194" s="1">
        <v>101463.0</v>
      </c>
      <c r="AC194" s="1">
        <v>40.651405573</v>
      </c>
      <c r="AD194" s="1">
        <v>65.649528267</v>
      </c>
      <c r="AE194" s="1">
        <v>16.873427199</v>
      </c>
      <c r="AF194" s="1">
        <v>8.73010698</v>
      </c>
      <c r="AG194" s="1">
        <v>1.0177227736</v>
      </c>
      <c r="AH194" s="1">
        <v>18.018022717</v>
      </c>
      <c r="AI194" s="1">
        <v>0.5844994197</v>
      </c>
      <c r="AJ194" s="1">
        <v>25.8434292719999</v>
      </c>
      <c r="AK194" s="1">
        <v>43.249305565</v>
      </c>
      <c r="AL194" s="1">
        <v>6.4764709078</v>
      </c>
      <c r="AM194" s="1">
        <v>51.0975774089999</v>
      </c>
      <c r="AN194" s="1">
        <v>0.7927361121</v>
      </c>
      <c r="AO194" s="1">
        <v>40792.0</v>
      </c>
      <c r="AP194" s="1">
        <v>10.2</v>
      </c>
      <c r="AQ194" s="1">
        <v>7.7</v>
      </c>
      <c r="AR194" s="1">
        <v>10.9</v>
      </c>
      <c r="AS194" s="1">
        <v>14.2</v>
      </c>
      <c r="AT194" s="1">
        <v>23.5</v>
      </c>
      <c r="AU194" s="1">
        <v>11.0</v>
      </c>
      <c r="AV194" s="1">
        <v>54.4</v>
      </c>
      <c r="AW194" s="1">
        <v>6.6</v>
      </c>
      <c r="AX194" s="1">
        <v>0.4078</v>
      </c>
      <c r="AY194" s="1">
        <v>7.9</v>
      </c>
      <c r="AZ194" s="1">
        <v>8.5</v>
      </c>
      <c r="BA194" s="1">
        <v>11.6</v>
      </c>
      <c r="BB194" s="1">
        <v>3.77</v>
      </c>
      <c r="BC194" s="1" t="s">
        <v>419</v>
      </c>
      <c r="BD194" s="1">
        <v>10.5</v>
      </c>
      <c r="BE194" s="1">
        <v>17.3</v>
      </c>
      <c r="BF194" s="1">
        <v>29.9</v>
      </c>
      <c r="BG194" s="1">
        <v>42.4</v>
      </c>
      <c r="BH194" s="1" t="s">
        <v>431</v>
      </c>
    </row>
    <row r="195">
      <c r="A195" s="2">
        <v>6015.0</v>
      </c>
      <c r="B195" s="2" t="str">
        <f>IFERROR(__xludf.DUMMYFUNCTION("TO_TEXT(A195)"),"06015")</f>
        <v>06015</v>
      </c>
      <c r="C195" s="1">
        <v>27628.0</v>
      </c>
      <c r="D195" s="1">
        <v>1006.22050598413</v>
      </c>
      <c r="E195" s="1" t="s">
        <v>432</v>
      </c>
      <c r="F195" s="1" t="s">
        <v>433</v>
      </c>
      <c r="G195" s="1">
        <v>27.4572023087311</v>
      </c>
      <c r="H195" s="1">
        <v>17.683363319</v>
      </c>
      <c r="I195" s="1">
        <v>4.3955793889</v>
      </c>
      <c r="J195" s="1">
        <v>5.5133079848</v>
      </c>
      <c r="K195" s="1">
        <v>15.132244804</v>
      </c>
      <c r="L195" s="1">
        <v>34.4</v>
      </c>
      <c r="M195" s="1">
        <v>6.4</v>
      </c>
      <c r="N195" s="1">
        <v>24.9</v>
      </c>
      <c r="O195" s="1">
        <v>89.070255156</v>
      </c>
      <c r="P195" s="1">
        <v>6.2334416396</v>
      </c>
      <c r="Q195" s="1">
        <v>61.88569</v>
      </c>
      <c r="R195" s="1">
        <v>80.97826087</v>
      </c>
      <c r="S195" s="1">
        <v>26.6</v>
      </c>
      <c r="T195" s="1">
        <v>5904.0</v>
      </c>
      <c r="U195" s="1">
        <v>34.214092141</v>
      </c>
      <c r="V195" s="1">
        <v>609.10920066</v>
      </c>
      <c r="W195" s="1">
        <v>22.233986236</v>
      </c>
      <c r="X195" s="1">
        <v>18.348623853</v>
      </c>
      <c r="Y195" s="1">
        <v>76.502126341</v>
      </c>
      <c r="Z195" s="1">
        <v>10.2</v>
      </c>
      <c r="AA195" s="1">
        <v>14.001309659</v>
      </c>
      <c r="AB195" s="1">
        <v>48518.0</v>
      </c>
      <c r="AC195" s="1">
        <v>65.109559355</v>
      </c>
      <c r="AD195" s="1">
        <v>62.404326972</v>
      </c>
      <c r="AE195" s="1">
        <v>16.648625244</v>
      </c>
      <c r="AF195" s="1">
        <v>3.2916486992</v>
      </c>
      <c r="AG195" s="1">
        <v>9.3215466437</v>
      </c>
      <c r="AH195" s="1">
        <v>3.1443150783</v>
      </c>
      <c r="AI195" s="1">
        <v>0.1976426621</v>
      </c>
      <c r="AJ195" s="1">
        <v>20.0373724309999</v>
      </c>
      <c r="AK195" s="1">
        <v>62.368837142</v>
      </c>
      <c r="AL195" s="1">
        <v>1.6795665635</v>
      </c>
      <c r="AM195" s="1">
        <v>45.421877246</v>
      </c>
      <c r="AN195" s="1">
        <v>33.67354072</v>
      </c>
      <c r="AO195" s="1">
        <v>20282.0</v>
      </c>
      <c r="AP195" s="1">
        <v>21.7</v>
      </c>
      <c r="AQ195" s="1">
        <v>10.4</v>
      </c>
      <c r="AR195" s="1">
        <v>17.8</v>
      </c>
      <c r="AS195" s="1">
        <v>15.3</v>
      </c>
      <c r="AT195" s="1">
        <v>21.2</v>
      </c>
      <c r="AU195" s="1">
        <v>22.5</v>
      </c>
      <c r="AV195" s="1">
        <v>36.9</v>
      </c>
      <c r="AW195" s="1">
        <v>2.1</v>
      </c>
      <c r="AX195" s="1">
        <v>0.9733</v>
      </c>
      <c r="AY195" s="1">
        <v>17.9</v>
      </c>
      <c r="AZ195" s="1">
        <v>16.7</v>
      </c>
      <c r="BA195" s="1">
        <v>25.1</v>
      </c>
      <c r="BB195" s="1">
        <v>3.49</v>
      </c>
      <c r="BC195" s="1" t="s">
        <v>419</v>
      </c>
      <c r="BD195" s="1">
        <v>19.9</v>
      </c>
      <c r="BE195" s="1">
        <v>31.0</v>
      </c>
      <c r="BF195" s="1">
        <v>34.2</v>
      </c>
      <c r="BG195" s="1">
        <v>14.8</v>
      </c>
      <c r="BH195" s="1" t="s">
        <v>433</v>
      </c>
    </row>
    <row r="196">
      <c r="A196" s="2">
        <v>6017.0</v>
      </c>
      <c r="B196" s="2" t="str">
        <f>IFERROR(__xludf.DUMMYFUNCTION("TO_TEXT(A196)"),"06017")</f>
        <v>06017</v>
      </c>
      <c r="C196" s="1">
        <v>183000.0</v>
      </c>
      <c r="D196" s="1">
        <v>1707.86407436323</v>
      </c>
      <c r="E196" s="1" t="s">
        <v>434</v>
      </c>
      <c r="F196" s="1" t="s">
        <v>435</v>
      </c>
      <c r="G196" s="1">
        <v>107.151384438033</v>
      </c>
      <c r="H196" s="1">
        <v>12.034088656</v>
      </c>
      <c r="I196" s="1">
        <v>3.8309239082</v>
      </c>
      <c r="J196" s="1">
        <v>6.5867723914</v>
      </c>
      <c r="K196" s="1">
        <v>11.220360679</v>
      </c>
      <c r="L196" s="1">
        <v>22.5</v>
      </c>
      <c r="M196" s="1">
        <v>8.2</v>
      </c>
      <c r="N196" s="1">
        <v>18.2</v>
      </c>
      <c r="O196" s="1">
        <v>89.581239161</v>
      </c>
      <c r="P196" s="1">
        <v>5.4030715273</v>
      </c>
      <c r="Q196" s="1">
        <v>81.48709</v>
      </c>
      <c r="R196" s="1">
        <v>89.364640884</v>
      </c>
      <c r="S196" s="1">
        <v>9.0</v>
      </c>
      <c r="T196" s="1">
        <v>37506.0</v>
      </c>
      <c r="U196" s="1">
        <v>20.924652056</v>
      </c>
      <c r="V196" s="1">
        <v>217.58394569</v>
      </c>
      <c r="W196" s="1">
        <v>18.910114023</v>
      </c>
      <c r="X196" s="1">
        <v>16.900987137</v>
      </c>
      <c r="Y196" s="1">
        <v>81.942203041</v>
      </c>
      <c r="Z196" s="1">
        <v>8.2</v>
      </c>
      <c r="AA196" s="1">
        <v>6.0570052179</v>
      </c>
      <c r="AB196" s="1">
        <v>81869.0</v>
      </c>
      <c r="AC196" s="1">
        <v>32.860785314</v>
      </c>
      <c r="AD196" s="1">
        <v>76.606141213</v>
      </c>
      <c r="AE196" s="1">
        <v>16.152237433</v>
      </c>
      <c r="AF196" s="1">
        <v>0.889982064</v>
      </c>
      <c r="AG196" s="1">
        <v>1.3331375408</v>
      </c>
      <c r="AH196" s="1">
        <v>4.6995458312</v>
      </c>
      <c r="AI196" s="1">
        <v>0.2270844041</v>
      </c>
      <c r="AJ196" s="1">
        <v>12.922308814</v>
      </c>
      <c r="AK196" s="1">
        <v>77.606226203</v>
      </c>
      <c r="AL196" s="1">
        <v>1.7298821837</v>
      </c>
      <c r="AM196" s="1">
        <v>50.1300621989999</v>
      </c>
      <c r="AN196" s="1">
        <v>34.699930409</v>
      </c>
      <c r="AO196" s="1">
        <v>37089.0</v>
      </c>
      <c r="AP196" s="1">
        <v>9.8</v>
      </c>
      <c r="AQ196" s="1">
        <v>9.6</v>
      </c>
      <c r="AR196" s="1">
        <v>7.4</v>
      </c>
      <c r="AS196" s="1">
        <v>17.9</v>
      </c>
      <c r="AT196" s="1">
        <v>21.0</v>
      </c>
      <c r="AU196" s="1">
        <v>13.2</v>
      </c>
      <c r="AV196" s="1">
        <v>21.3</v>
      </c>
      <c r="AW196" s="1">
        <v>2.0</v>
      </c>
      <c r="AX196" s="1">
        <v>0.2108</v>
      </c>
      <c r="AY196" s="1">
        <v>8.7</v>
      </c>
      <c r="AZ196" s="1">
        <v>9.1</v>
      </c>
      <c r="BA196" s="1">
        <v>13.4</v>
      </c>
      <c r="BB196" s="1">
        <v>4.47</v>
      </c>
      <c r="BC196" s="1" t="s">
        <v>419</v>
      </c>
      <c r="BD196" s="1">
        <v>6.6</v>
      </c>
      <c r="BE196" s="1">
        <v>21.3</v>
      </c>
      <c r="BF196" s="1">
        <v>37.9</v>
      </c>
      <c r="BG196" s="1">
        <v>34.3</v>
      </c>
      <c r="BH196" s="1" t="s">
        <v>435</v>
      </c>
    </row>
    <row r="197">
      <c r="A197" s="2">
        <v>6019.0</v>
      </c>
      <c r="B197" s="2" t="str">
        <f>IFERROR(__xludf.DUMMYFUNCTION("TO_TEXT(A197)"),"06019")</f>
        <v>06019</v>
      </c>
      <c r="C197" s="1">
        <v>963160.0</v>
      </c>
      <c r="D197" s="1">
        <v>5958.78060837103</v>
      </c>
      <c r="E197" s="1" t="s">
        <v>436</v>
      </c>
      <c r="F197" s="1" t="s">
        <v>437</v>
      </c>
      <c r="G197" s="1">
        <v>161.637097134761</v>
      </c>
      <c r="H197" s="1">
        <v>23.79711945</v>
      </c>
      <c r="I197" s="1">
        <v>3.9173260969</v>
      </c>
      <c r="J197" s="1">
        <v>7.5623649578</v>
      </c>
      <c r="K197" s="1">
        <v>13.3589078159999</v>
      </c>
      <c r="L197" s="1">
        <v>31.4</v>
      </c>
      <c r="M197" s="1">
        <v>7.7</v>
      </c>
      <c r="N197" s="1">
        <v>20.0</v>
      </c>
      <c r="O197" s="1">
        <v>78.491160191</v>
      </c>
      <c r="P197" s="1">
        <v>8.7343786523</v>
      </c>
      <c r="Q197" s="1">
        <v>67.12122</v>
      </c>
      <c r="R197" s="1">
        <v>81.496114843</v>
      </c>
      <c r="S197" s="1">
        <v>30.2</v>
      </c>
      <c r="T197" s="1">
        <v>277937.0</v>
      </c>
      <c r="U197" s="1">
        <v>40.725056398</v>
      </c>
      <c r="V197" s="1">
        <v>541.77921571</v>
      </c>
      <c r="W197" s="1">
        <v>27.633534254</v>
      </c>
      <c r="X197" s="1">
        <v>20.262511644</v>
      </c>
      <c r="Y197" s="1">
        <v>78.924969785</v>
      </c>
      <c r="Z197" s="1">
        <v>10.8</v>
      </c>
      <c r="AA197" s="1">
        <v>4.1619960533</v>
      </c>
      <c r="AB197" s="1">
        <v>52318.0</v>
      </c>
      <c r="AC197" s="1">
        <v>74.203452443</v>
      </c>
      <c r="AD197" s="1">
        <v>52.83365723</v>
      </c>
      <c r="AE197" s="1">
        <v>20.100598022</v>
      </c>
      <c r="AF197" s="1">
        <v>4.6390788415</v>
      </c>
      <c r="AG197" s="1">
        <v>2.9702333065</v>
      </c>
      <c r="AH197" s="1">
        <v>11.046962993</v>
      </c>
      <c r="AI197" s="1">
        <v>0.2754424779</v>
      </c>
      <c r="AJ197" s="1">
        <v>53.4671158489999</v>
      </c>
      <c r="AK197" s="1">
        <v>29.0383145619999</v>
      </c>
      <c r="AL197" s="1">
        <v>12.022314768</v>
      </c>
      <c r="AM197" s="1">
        <v>50.119066774</v>
      </c>
      <c r="AN197" s="1">
        <v>10.805201784</v>
      </c>
      <c r="AO197" s="1">
        <v>21057.0</v>
      </c>
      <c r="AP197" s="1">
        <v>26.9</v>
      </c>
      <c r="AQ197" s="1">
        <v>11.9</v>
      </c>
      <c r="AR197" s="1">
        <v>26.2</v>
      </c>
      <c r="AS197" s="1">
        <v>11.2</v>
      </c>
      <c r="AT197" s="1">
        <v>28.9</v>
      </c>
      <c r="AU197" s="1">
        <v>12.5</v>
      </c>
      <c r="AV197" s="1">
        <v>69.2</v>
      </c>
      <c r="AW197" s="1">
        <v>12.4</v>
      </c>
      <c r="AX197" s="1">
        <v>0.9666</v>
      </c>
      <c r="AY197" s="1">
        <v>20.5</v>
      </c>
      <c r="AZ197" s="1">
        <v>15.2</v>
      </c>
      <c r="BA197" s="1">
        <v>22.9</v>
      </c>
      <c r="BB197" s="1">
        <v>3.07</v>
      </c>
      <c r="BC197" s="1" t="s">
        <v>419</v>
      </c>
      <c r="BD197" s="1">
        <v>24.0</v>
      </c>
      <c r="BE197" s="1">
        <v>22.7</v>
      </c>
      <c r="BF197" s="1">
        <v>32.1</v>
      </c>
      <c r="BG197" s="1">
        <v>21.2</v>
      </c>
      <c r="BH197" s="1" t="s">
        <v>437</v>
      </c>
    </row>
    <row r="198">
      <c r="A198" s="2">
        <v>6021.0</v>
      </c>
      <c r="B198" s="2" t="str">
        <f>IFERROR(__xludf.DUMMYFUNCTION("TO_TEXT(A198)"),"06021")</f>
        <v>06021</v>
      </c>
      <c r="C198" s="1">
        <v>27976.0</v>
      </c>
      <c r="D198" s="1">
        <v>1313.94540578235</v>
      </c>
      <c r="E198" s="1" t="s">
        <v>438</v>
      </c>
      <c r="F198" s="1" t="s">
        <v>439</v>
      </c>
      <c r="G198" s="1">
        <v>21.291599998664</v>
      </c>
      <c r="H198" s="1">
        <v>18.473347161</v>
      </c>
      <c r="I198" s="1">
        <v>4.1044470774</v>
      </c>
      <c r="J198" s="1">
        <v>6.3083240015</v>
      </c>
      <c r="K198" s="1">
        <v>13.18078902</v>
      </c>
      <c r="L198" s="1">
        <v>32.3</v>
      </c>
      <c r="M198" s="1">
        <v>8.0</v>
      </c>
      <c r="N198" s="1">
        <v>19.3</v>
      </c>
      <c r="O198" s="1">
        <v>66.101273025</v>
      </c>
      <c r="P198" s="1">
        <v>10.980544077</v>
      </c>
      <c r="Q198" s="1">
        <v>17.79739</v>
      </c>
      <c r="R198" s="1">
        <v>81.696428571</v>
      </c>
      <c r="S198" s="1">
        <v>18.6</v>
      </c>
      <c r="T198" s="1">
        <v>7419.0</v>
      </c>
      <c r="U198" s="1">
        <v>27.699150829</v>
      </c>
      <c r="V198" s="1">
        <v>408.14134579</v>
      </c>
      <c r="W198" s="1">
        <v>23.0102040819999</v>
      </c>
      <c r="X198" s="1">
        <v>18.143899896</v>
      </c>
      <c r="Y198" s="1">
        <v>77.882197792</v>
      </c>
      <c r="Z198" s="1">
        <v>9.7</v>
      </c>
      <c r="AA198" s="1">
        <v>3.5679583203</v>
      </c>
      <c r="AB198" s="1">
        <v>47365.0</v>
      </c>
      <c r="AC198" s="1">
        <v>70.324374421</v>
      </c>
      <c r="AD198" s="1">
        <v>59.708495558</v>
      </c>
      <c r="AE198" s="1">
        <v>18.191333473</v>
      </c>
      <c r="AF198" s="1">
        <v>0.8414447178</v>
      </c>
      <c r="AG198" s="1">
        <v>3.1589831355</v>
      </c>
      <c r="AH198" s="1">
        <v>3.1019360359</v>
      </c>
      <c r="AI198" s="1">
        <v>0.1818376297</v>
      </c>
      <c r="AJ198" s="1">
        <v>42.2932934</v>
      </c>
      <c r="AK198" s="1">
        <v>50.754091347</v>
      </c>
      <c r="AL198" s="1">
        <v>9.9783332044</v>
      </c>
      <c r="AM198" s="1">
        <v>49.245908653</v>
      </c>
      <c r="AN198" s="1">
        <v>40.8719152269999</v>
      </c>
      <c r="AO198" s="1">
        <v>20362.0</v>
      </c>
      <c r="AP198" s="1">
        <v>20.3</v>
      </c>
      <c r="AQ198" s="1">
        <v>9.9</v>
      </c>
      <c r="AR198" s="1">
        <v>27.5</v>
      </c>
      <c r="AS198" s="1">
        <v>14.6</v>
      </c>
      <c r="AT198" s="1">
        <v>27.1</v>
      </c>
      <c r="AU198" s="1">
        <v>17.7</v>
      </c>
      <c r="AV198" s="1">
        <v>46.9</v>
      </c>
      <c r="AW198" s="1">
        <v>10.6</v>
      </c>
      <c r="AX198" s="1">
        <v>0.9548</v>
      </c>
      <c r="AY198" s="1">
        <v>12.1</v>
      </c>
      <c r="AZ198" s="1">
        <v>14.2</v>
      </c>
      <c r="BA198" s="1">
        <v>20.2</v>
      </c>
      <c r="BB198" s="1">
        <v>3.33</v>
      </c>
      <c r="BC198" s="1" t="s">
        <v>419</v>
      </c>
      <c r="BD198" s="1">
        <v>25.2</v>
      </c>
      <c r="BE198" s="1">
        <v>27.2</v>
      </c>
      <c r="BF198" s="1">
        <v>33.4</v>
      </c>
      <c r="BG198" s="1">
        <v>14.2</v>
      </c>
      <c r="BH198" s="1" t="s">
        <v>439</v>
      </c>
    </row>
    <row r="199">
      <c r="A199" s="2">
        <v>6023.0</v>
      </c>
      <c r="B199" s="2" t="str">
        <f>IFERROR(__xludf.DUMMYFUNCTION("TO_TEXT(A199)"),"06023")</f>
        <v>06023</v>
      </c>
      <c r="C199" s="1">
        <v>135182.0</v>
      </c>
      <c r="D199" s="1">
        <v>3567.96571403434</v>
      </c>
      <c r="E199" s="1" t="s">
        <v>440</v>
      </c>
      <c r="F199" s="1" t="s">
        <v>441</v>
      </c>
      <c r="G199" s="1">
        <v>37.8876959126236</v>
      </c>
      <c r="H199" s="1">
        <v>15.683096182</v>
      </c>
      <c r="I199" s="1">
        <v>4.5655944713</v>
      </c>
      <c r="J199" s="1">
        <v>5.80708661419999</v>
      </c>
      <c r="K199" s="1">
        <v>14.468508365</v>
      </c>
      <c r="L199" s="1">
        <v>29.0</v>
      </c>
      <c r="M199" s="1">
        <v>7.1</v>
      </c>
      <c r="N199" s="1">
        <v>16.9</v>
      </c>
      <c r="O199" s="1">
        <v>85.064216367</v>
      </c>
      <c r="P199" s="1">
        <v>8.8795523313</v>
      </c>
      <c r="Q199" s="1">
        <v>69.4678</v>
      </c>
      <c r="R199" s="1">
        <v>83.822422874</v>
      </c>
      <c r="S199" s="1">
        <v>23.2</v>
      </c>
      <c r="T199" s="1">
        <v>25969.0</v>
      </c>
      <c r="U199" s="1">
        <v>39.343062883</v>
      </c>
      <c r="V199" s="1">
        <v>432.13579506</v>
      </c>
      <c r="W199" s="1">
        <v>24.715962004</v>
      </c>
      <c r="X199" s="1">
        <v>20.942557017</v>
      </c>
      <c r="Y199" s="1">
        <v>76.955787424</v>
      </c>
      <c r="Z199" s="1">
        <v>8.9</v>
      </c>
      <c r="AA199" s="1">
        <v>6.1924808289</v>
      </c>
      <c r="AB199" s="1">
        <v>49471.0</v>
      </c>
      <c r="AC199" s="1">
        <v>60.587149989</v>
      </c>
      <c r="AD199" s="1">
        <v>56.854073378</v>
      </c>
      <c r="AE199" s="1">
        <v>21.359018188</v>
      </c>
      <c r="AF199" s="1">
        <v>1.209916919</v>
      </c>
      <c r="AG199" s="1">
        <v>6.31649960039999</v>
      </c>
      <c r="AH199" s="1">
        <v>2.8590703438</v>
      </c>
      <c r="AI199" s="1">
        <v>0.3343770394</v>
      </c>
      <c r="AJ199" s="1">
        <v>11.846919845</v>
      </c>
      <c r="AK199" s="1">
        <v>74.13417612</v>
      </c>
      <c r="AL199" s="1">
        <v>1.9469798449</v>
      </c>
      <c r="AM199" s="1">
        <v>50.200552895</v>
      </c>
      <c r="AN199" s="1">
        <v>29.7586593669999</v>
      </c>
      <c r="AO199" s="1">
        <v>24038.0</v>
      </c>
      <c r="AP199" s="1">
        <v>21.0</v>
      </c>
      <c r="AQ199" s="1">
        <v>9.5</v>
      </c>
      <c r="AR199" s="1">
        <v>9.7</v>
      </c>
      <c r="AS199" s="1">
        <v>15.4</v>
      </c>
      <c r="AT199" s="1">
        <v>19.5</v>
      </c>
      <c r="AU199" s="1">
        <v>16.9</v>
      </c>
      <c r="AV199" s="1">
        <v>24.6</v>
      </c>
      <c r="AW199" s="1">
        <v>1.7</v>
      </c>
      <c r="AX199" s="1">
        <v>0.7345</v>
      </c>
      <c r="AY199" s="1">
        <v>19.1</v>
      </c>
      <c r="AZ199" s="1">
        <v>14.1</v>
      </c>
      <c r="BA199" s="1">
        <v>19.6</v>
      </c>
      <c r="BB199" s="1">
        <v>3.32</v>
      </c>
      <c r="BC199" s="1" t="s">
        <v>419</v>
      </c>
      <c r="BD199" s="1">
        <v>9.5</v>
      </c>
      <c r="BE199" s="1">
        <v>22.2</v>
      </c>
      <c r="BF199" s="1">
        <v>37.9</v>
      </c>
      <c r="BG199" s="1">
        <v>30.4</v>
      </c>
      <c r="BH199" s="1" t="s">
        <v>441</v>
      </c>
    </row>
    <row r="200">
      <c r="A200" s="2">
        <v>6025.0</v>
      </c>
      <c r="B200" s="2" t="str">
        <f>IFERROR(__xludf.DUMMYFUNCTION("TO_TEXT(A200)"),"06025")</f>
        <v>06025</v>
      </c>
      <c r="C200" s="1">
        <v>178807.0</v>
      </c>
      <c r="D200" s="1">
        <v>4176.57793678727</v>
      </c>
      <c r="E200" s="1" t="s">
        <v>442</v>
      </c>
      <c r="F200" s="1" t="s">
        <v>443</v>
      </c>
      <c r="G200" s="1">
        <v>42.8118432616973</v>
      </c>
      <c r="H200" s="1">
        <v>24.6129590019999</v>
      </c>
      <c r="I200" s="1">
        <v>4.0994936806</v>
      </c>
      <c r="J200" s="1">
        <v>5.5251250298</v>
      </c>
      <c r="K200" s="1">
        <v>12.840010729</v>
      </c>
      <c r="L200" s="1">
        <v>34.6</v>
      </c>
      <c r="M200" s="1">
        <v>7.2</v>
      </c>
      <c r="N200" s="1">
        <v>31.4</v>
      </c>
      <c r="O200" s="1">
        <v>69.086908691</v>
      </c>
      <c r="P200" s="1">
        <v>7.90440187269999</v>
      </c>
      <c r="Q200" s="1">
        <v>23.51912</v>
      </c>
      <c r="R200" s="1">
        <v>85.245901639</v>
      </c>
      <c r="S200" s="1">
        <v>30.2</v>
      </c>
      <c r="T200" s="1">
        <v>51412.0</v>
      </c>
      <c r="U200" s="1">
        <v>36.907725823</v>
      </c>
      <c r="V200" s="1">
        <v>366.25347999</v>
      </c>
      <c r="W200" s="1">
        <v>27.368995633</v>
      </c>
      <c r="X200" s="1">
        <v>18.638269698</v>
      </c>
      <c r="Y200" s="1">
        <v>81.662205635</v>
      </c>
      <c r="Z200" s="1">
        <v>9.2</v>
      </c>
      <c r="AA200" s="1">
        <v>9.2047670666</v>
      </c>
      <c r="AB200" s="1">
        <v>46633.0</v>
      </c>
      <c r="AC200" s="1">
        <v>76.1311458489999</v>
      </c>
      <c r="AD200" s="1">
        <v>58.3721088589999</v>
      </c>
      <c r="AE200" s="1">
        <v>18.922942414</v>
      </c>
      <c r="AF200" s="1">
        <v>2.4803797016</v>
      </c>
      <c r="AG200" s="1">
        <v>2.501278688</v>
      </c>
      <c r="AH200" s="1">
        <v>2.1377463193</v>
      </c>
      <c r="AI200" s="1">
        <v>0.2007402641</v>
      </c>
      <c r="AJ200" s="1">
        <v>84.561698758</v>
      </c>
      <c r="AK200" s="1">
        <v>10.354897787</v>
      </c>
      <c r="AL200" s="1">
        <v>20.749860711</v>
      </c>
      <c r="AM200" s="1">
        <v>48.723236923</v>
      </c>
      <c r="AN200" s="1">
        <v>17.417835534</v>
      </c>
      <c r="AO200" s="1">
        <v>16311.0</v>
      </c>
      <c r="AP200" s="1">
        <v>24.1</v>
      </c>
      <c r="AQ200" s="1">
        <v>17.1</v>
      </c>
      <c r="AR200" s="1">
        <v>33.0</v>
      </c>
      <c r="AS200" s="1">
        <v>11.9</v>
      </c>
      <c r="AT200" s="1">
        <v>28.7</v>
      </c>
      <c r="AU200" s="1">
        <v>14.3</v>
      </c>
      <c r="AV200" s="1">
        <v>88.1</v>
      </c>
      <c r="AW200" s="1">
        <v>20.8</v>
      </c>
      <c r="AX200" s="1">
        <v>0.9965</v>
      </c>
      <c r="AY200" s="1">
        <v>22.0</v>
      </c>
      <c r="AZ200" s="1">
        <v>19.2</v>
      </c>
      <c r="BA200" s="1">
        <v>31.4</v>
      </c>
      <c r="BB200" s="1">
        <v>2.71</v>
      </c>
      <c r="BC200" s="1" t="s">
        <v>419</v>
      </c>
      <c r="BD200" s="1">
        <v>30.3</v>
      </c>
      <c r="BE200" s="1">
        <v>24.3</v>
      </c>
      <c r="BF200" s="1">
        <v>30.2</v>
      </c>
      <c r="BG200" s="1">
        <v>15.2</v>
      </c>
      <c r="BH200" s="1" t="s">
        <v>443</v>
      </c>
    </row>
    <row r="201">
      <c r="A201" s="2">
        <v>6027.0</v>
      </c>
      <c r="B201" s="2" t="str">
        <f>IFERROR(__xludf.DUMMYFUNCTION("TO_TEXT(A201)"),"06027")</f>
        <v>06027</v>
      </c>
      <c r="C201" s="1">
        <v>18326.0</v>
      </c>
      <c r="D201" s="1">
        <v>10180.9338321873</v>
      </c>
      <c r="E201" s="1" t="s">
        <v>444</v>
      </c>
      <c r="F201" s="1" t="s">
        <v>445</v>
      </c>
      <c r="G201" s="1">
        <v>1.8000313431035</v>
      </c>
      <c r="H201" s="1">
        <v>14.576148574</v>
      </c>
      <c r="I201" s="1">
        <v>3.8840787694</v>
      </c>
      <c r="J201" s="1">
        <v>8.0388080388</v>
      </c>
      <c r="K201" s="1">
        <v>11.833847367</v>
      </c>
      <c r="L201" s="1">
        <v>27.7</v>
      </c>
      <c r="M201" s="1">
        <v>7.5</v>
      </c>
      <c r="N201" s="1">
        <v>26.5</v>
      </c>
      <c r="O201" s="1">
        <v>41.674754664</v>
      </c>
      <c r="P201" s="1">
        <v>8.9622985488</v>
      </c>
      <c r="Q201" s="1">
        <v>110.95085</v>
      </c>
      <c r="R201" s="1">
        <v>39.862542955</v>
      </c>
      <c r="S201" s="1">
        <v>15.1</v>
      </c>
      <c r="T201" s="1">
        <v>3618.0</v>
      </c>
      <c r="U201" s="1">
        <v>27.418463239</v>
      </c>
      <c r="V201" s="1">
        <v>600.45306913</v>
      </c>
      <c r="W201" s="1">
        <v>16.614420063</v>
      </c>
      <c r="X201" s="1">
        <v>12.901593726</v>
      </c>
      <c r="Y201" s="1">
        <v>78.079912175</v>
      </c>
      <c r="Z201" s="1">
        <v>9.2</v>
      </c>
      <c r="AA201" s="1">
        <v>12.191861939</v>
      </c>
      <c r="AB201" s="1">
        <v>53793.0</v>
      </c>
      <c r="AC201" s="1">
        <v>56.759818731</v>
      </c>
      <c r="AD201" s="1">
        <v>63.2191018189999</v>
      </c>
      <c r="AE201" s="1">
        <v>15.593574507</v>
      </c>
      <c r="AF201" s="1">
        <v>0.9618057486</v>
      </c>
      <c r="AG201" s="1">
        <v>13.487518764</v>
      </c>
      <c r="AH201" s="1">
        <v>1.6456329571</v>
      </c>
      <c r="AI201" s="1">
        <v>0.166787124</v>
      </c>
      <c r="AJ201" s="1">
        <v>22.655251015</v>
      </c>
      <c r="AK201" s="1">
        <v>61.766831601</v>
      </c>
      <c r="AL201" s="1">
        <v>2.6941548553</v>
      </c>
      <c r="AM201" s="1">
        <v>49.719241675</v>
      </c>
      <c r="AN201" s="1">
        <v>46.430497142</v>
      </c>
      <c r="AO201" s="1">
        <v>28678.0</v>
      </c>
      <c r="AP201" s="1">
        <v>10.8</v>
      </c>
      <c r="AQ201" s="1">
        <v>6.3</v>
      </c>
      <c r="AR201" s="1">
        <v>11.5</v>
      </c>
      <c r="AS201" s="1">
        <v>21.6</v>
      </c>
      <c r="AT201" s="1">
        <v>20.6</v>
      </c>
      <c r="AU201" s="1">
        <v>13.6</v>
      </c>
      <c r="AV201" s="1">
        <v>36.0</v>
      </c>
      <c r="AW201" s="1">
        <v>2.6</v>
      </c>
      <c r="AX201" s="1">
        <v>0.6498</v>
      </c>
      <c r="AY201" s="1">
        <v>11.7</v>
      </c>
      <c r="AZ201" s="1">
        <v>10.5</v>
      </c>
      <c r="BA201" s="1">
        <v>14.4</v>
      </c>
      <c r="BB201" s="1">
        <v>3.27</v>
      </c>
      <c r="BC201" s="1" t="s">
        <v>419</v>
      </c>
      <c r="BD201" s="1">
        <v>11.4</v>
      </c>
      <c r="BE201" s="1">
        <v>28.6</v>
      </c>
      <c r="BF201" s="1">
        <v>32.8</v>
      </c>
      <c r="BG201" s="1">
        <v>27.2</v>
      </c>
      <c r="BH201" s="1" t="s">
        <v>445</v>
      </c>
    </row>
    <row r="202">
      <c r="A202" s="2">
        <v>6029.0</v>
      </c>
      <c r="B202" s="2" t="str">
        <f>IFERROR(__xludf.DUMMYFUNCTION("TO_TEXT(A202)"),"06029")</f>
        <v>06029</v>
      </c>
      <c r="C202" s="1">
        <v>871337.0</v>
      </c>
      <c r="D202" s="1">
        <v>8131.92187546124</v>
      </c>
      <c r="E202" s="1" t="s">
        <v>446</v>
      </c>
      <c r="F202" s="1" t="s">
        <v>447</v>
      </c>
      <c r="G202" s="1">
        <v>107.150193194715</v>
      </c>
      <c r="H202" s="1">
        <v>22.5203190509999</v>
      </c>
      <c r="I202" s="1">
        <v>4.0890409968</v>
      </c>
      <c r="J202" s="1">
        <v>7.2506989748</v>
      </c>
      <c r="K202" s="1">
        <v>15.31417715</v>
      </c>
      <c r="L202" s="1">
        <v>32.3</v>
      </c>
      <c r="M202" s="1">
        <v>7.7</v>
      </c>
      <c r="N202" s="1">
        <v>22.4</v>
      </c>
      <c r="O202" s="1">
        <v>75.938239536</v>
      </c>
      <c r="P202" s="1">
        <v>8.5992791008</v>
      </c>
      <c r="Q202" s="1">
        <v>49.48949</v>
      </c>
      <c r="R202" s="1">
        <v>85.78053653</v>
      </c>
      <c r="S202" s="1">
        <v>27.4</v>
      </c>
      <c r="T202" s="1">
        <v>255639.0</v>
      </c>
      <c r="U202" s="1">
        <v>35.937396094</v>
      </c>
      <c r="V202" s="1">
        <v>545.33785309</v>
      </c>
      <c r="W202" s="1">
        <v>24.735548059</v>
      </c>
      <c r="X202" s="1">
        <v>17.290170643</v>
      </c>
      <c r="Y202" s="1">
        <v>77.487421193</v>
      </c>
      <c r="Z202" s="1">
        <v>9.3</v>
      </c>
      <c r="AA202" s="1">
        <v>5.3756534862</v>
      </c>
      <c r="AB202" s="1">
        <v>51586.0</v>
      </c>
      <c r="AC202" s="1">
        <v>73.681557725</v>
      </c>
      <c r="AD202" s="1">
        <v>58.002037975</v>
      </c>
      <c r="AE202" s="1">
        <v>17.648581507</v>
      </c>
      <c r="AF202" s="1">
        <v>5.2060519825</v>
      </c>
      <c r="AG202" s="1">
        <v>2.6371486813</v>
      </c>
      <c r="AH202" s="1">
        <v>5.3638415458</v>
      </c>
      <c r="AI202" s="1">
        <v>0.2822370211</v>
      </c>
      <c r="AJ202" s="1">
        <v>53.954663657</v>
      </c>
      <c r="AK202" s="1">
        <v>33.5022369319999</v>
      </c>
      <c r="AL202" s="1">
        <v>10.436887225</v>
      </c>
      <c r="AM202" s="1">
        <v>48.739021638</v>
      </c>
      <c r="AN202" s="1">
        <v>10.206030983</v>
      </c>
      <c r="AO202" s="1">
        <v>21094.0</v>
      </c>
      <c r="AP202" s="1">
        <v>23.1</v>
      </c>
      <c r="AQ202" s="1">
        <v>11.9</v>
      </c>
      <c r="AR202" s="1">
        <v>26.4</v>
      </c>
      <c r="AS202" s="1">
        <v>9.9</v>
      </c>
      <c r="AT202" s="1">
        <v>29.5</v>
      </c>
      <c r="AU202" s="1">
        <v>11.0</v>
      </c>
      <c r="AV202" s="1">
        <v>64.0</v>
      </c>
      <c r="AW202" s="1">
        <v>10.6</v>
      </c>
      <c r="AX202" s="1">
        <v>0.9596</v>
      </c>
      <c r="AY202" s="1">
        <v>19.0</v>
      </c>
      <c r="AZ202" s="1">
        <v>14.3</v>
      </c>
      <c r="BA202" s="1">
        <v>21.6</v>
      </c>
      <c r="BB202" s="1">
        <v>3.04</v>
      </c>
      <c r="BC202" s="1" t="s">
        <v>419</v>
      </c>
      <c r="BD202" s="1">
        <v>25.9</v>
      </c>
      <c r="BE202" s="1">
        <v>27.8</v>
      </c>
      <c r="BF202" s="1">
        <v>29.9</v>
      </c>
      <c r="BG202" s="1">
        <v>16.4</v>
      </c>
      <c r="BH202" s="1" t="s">
        <v>447</v>
      </c>
    </row>
    <row r="203">
      <c r="A203" s="2">
        <v>6031.0</v>
      </c>
      <c r="B203" s="2" t="str">
        <f>IFERROR(__xludf.DUMMYFUNCTION("TO_TEXT(A203)"),"06031")</f>
        <v>06031</v>
      </c>
      <c r="C203" s="1">
        <v>150261.0</v>
      </c>
      <c r="D203" s="1">
        <v>1389.4202672119</v>
      </c>
      <c r="E203" s="1" t="s">
        <v>448</v>
      </c>
      <c r="F203" s="1" t="s">
        <v>449</v>
      </c>
      <c r="G203" s="1">
        <v>108.146543955</v>
      </c>
      <c r="H203" s="1">
        <v>21.445589321</v>
      </c>
      <c r="I203" s="1">
        <v>4.0915879666</v>
      </c>
      <c r="J203" s="1">
        <v>6.3611196555</v>
      </c>
      <c r="K203" s="1">
        <v>14.270521128</v>
      </c>
      <c r="L203" s="1">
        <v>29.4</v>
      </c>
      <c r="M203" s="1">
        <v>7.8</v>
      </c>
      <c r="N203" s="1">
        <v>23.7</v>
      </c>
      <c r="O203" s="1">
        <v>43.752206142</v>
      </c>
      <c r="P203" s="1">
        <v>9.0041260157</v>
      </c>
      <c r="Q203" s="1">
        <v>39.97308</v>
      </c>
      <c r="R203" s="1">
        <v>80.448430493</v>
      </c>
      <c r="S203" s="1">
        <v>23.2</v>
      </c>
      <c r="T203" s="1">
        <v>40699.0</v>
      </c>
      <c r="U203" s="1">
        <v>36.440698789</v>
      </c>
      <c r="V203" s="1">
        <v>443.3772393</v>
      </c>
      <c r="W203" s="1">
        <v>24.363723264</v>
      </c>
      <c r="X203" s="1">
        <v>16.402755953</v>
      </c>
      <c r="Y203" s="1">
        <v>79.66041685</v>
      </c>
      <c r="Z203" s="1">
        <v>10.4</v>
      </c>
      <c r="AA203" s="1">
        <v>4.8646786614</v>
      </c>
      <c r="AB203" s="1">
        <v>58255.0</v>
      </c>
      <c r="AC203" s="1">
        <v>71.152511796</v>
      </c>
      <c r="AD203" s="1">
        <v>51.7468117469999</v>
      </c>
      <c r="AE203" s="1">
        <v>15.801513713</v>
      </c>
      <c r="AF203" s="1">
        <v>6.1347990962</v>
      </c>
      <c r="AG203" s="1">
        <v>3.1731036032</v>
      </c>
      <c r="AH203" s="1">
        <v>4.5162057529</v>
      </c>
      <c r="AI203" s="1">
        <v>0.3468414307</v>
      </c>
      <c r="AJ203" s="1">
        <v>54.966108637</v>
      </c>
      <c r="AK203" s="1">
        <v>31.7700144019999</v>
      </c>
      <c r="AL203" s="1">
        <v>9.9894536103</v>
      </c>
      <c r="AM203" s="1">
        <v>45.0365339639999</v>
      </c>
      <c r="AN203" s="1">
        <v>10.851603457</v>
      </c>
      <c r="AO203" s="1">
        <v>19123.0</v>
      </c>
      <c r="AP203" s="1">
        <v>21.6</v>
      </c>
      <c r="AQ203" s="1">
        <v>11.7</v>
      </c>
      <c r="AR203" s="1">
        <v>27.1</v>
      </c>
      <c r="AS203" s="1">
        <v>9.1</v>
      </c>
      <c r="AT203" s="1">
        <v>27.5</v>
      </c>
      <c r="AU203" s="1">
        <v>11.6</v>
      </c>
      <c r="AV203" s="1">
        <v>66.4</v>
      </c>
      <c r="AW203" s="1">
        <v>9.8</v>
      </c>
      <c r="AX203" s="1">
        <v>0.9742</v>
      </c>
      <c r="AY203" s="1">
        <v>16.0</v>
      </c>
      <c r="AZ203" s="1">
        <v>14.4</v>
      </c>
      <c r="BA203" s="1">
        <v>21.1</v>
      </c>
      <c r="BB203" s="1">
        <v>3.07</v>
      </c>
      <c r="BC203" s="1" t="s">
        <v>419</v>
      </c>
      <c r="BD203" s="1">
        <v>26.6</v>
      </c>
      <c r="BE203" s="1">
        <v>25.3</v>
      </c>
      <c r="BF203" s="1">
        <v>33.4</v>
      </c>
      <c r="BG203" s="1">
        <v>14.7</v>
      </c>
      <c r="BH203" s="1" t="s">
        <v>449</v>
      </c>
    </row>
    <row r="204">
      <c r="A204" s="2">
        <v>6033.0</v>
      </c>
      <c r="B204" s="2" t="str">
        <f>IFERROR(__xludf.DUMMYFUNCTION("TO_TEXT(A204)"),"06033")</f>
        <v>06033</v>
      </c>
      <c r="C204" s="1">
        <v>64076.0</v>
      </c>
      <c r="D204" s="1">
        <v>1256.48721580117</v>
      </c>
      <c r="E204" s="1" t="s">
        <v>450</v>
      </c>
      <c r="F204" s="1" t="s">
        <v>451</v>
      </c>
      <c r="G204" s="1">
        <v>50.9961416194302</v>
      </c>
      <c r="H204" s="1">
        <v>18.04353192</v>
      </c>
      <c r="I204" s="1">
        <v>4.4987096206</v>
      </c>
      <c r="J204" s="1">
        <v>6.59064553539999</v>
      </c>
      <c r="K204" s="1">
        <v>14.401200944</v>
      </c>
      <c r="L204" s="1">
        <v>25.1</v>
      </c>
      <c r="M204" s="1">
        <v>7.0</v>
      </c>
      <c r="N204" s="1">
        <v>23.1</v>
      </c>
      <c r="O204" s="1">
        <v>65.548596613</v>
      </c>
      <c r="P204" s="1">
        <v>9.244419004</v>
      </c>
      <c r="Q204" s="1">
        <v>45.139</v>
      </c>
      <c r="R204" s="1">
        <v>78.061911171</v>
      </c>
      <c r="S204" s="1">
        <v>26.3</v>
      </c>
      <c r="T204" s="1">
        <v>13228.0</v>
      </c>
      <c r="U204" s="1">
        <v>38.607499244</v>
      </c>
      <c r="V204" s="1">
        <v>535.47314438</v>
      </c>
      <c r="W204" s="1">
        <v>23.668639053</v>
      </c>
      <c r="X204" s="1">
        <v>21.761252446</v>
      </c>
      <c r="Y204" s="1">
        <v>74.7602163689999</v>
      </c>
      <c r="Z204" s="1">
        <v>12.7</v>
      </c>
      <c r="AA204" s="1">
        <v>8.8417960189</v>
      </c>
      <c r="AB204" s="1">
        <v>45086.0</v>
      </c>
      <c r="AC204" s="1">
        <v>76.656515804</v>
      </c>
      <c r="AD204" s="1">
        <v>66.074867134</v>
      </c>
      <c r="AE204" s="1">
        <v>18.936809617</v>
      </c>
      <c r="AF204" s="1">
        <v>1.7598086422</v>
      </c>
      <c r="AG204" s="1">
        <v>4.3956385325</v>
      </c>
      <c r="AH204" s="1">
        <v>1.377714268</v>
      </c>
      <c r="AI204" s="1">
        <v>0.3090926035</v>
      </c>
      <c r="AJ204" s="1">
        <v>21.305644435</v>
      </c>
      <c r="AK204" s="1">
        <v>69.6825199589999</v>
      </c>
      <c r="AL204" s="1">
        <v>3.4515835607</v>
      </c>
      <c r="AM204" s="1">
        <v>50.079214687</v>
      </c>
      <c r="AN204" s="1">
        <v>33.106007887</v>
      </c>
      <c r="AO204" s="1">
        <v>21799.0</v>
      </c>
      <c r="AP204" s="1">
        <v>24.6</v>
      </c>
      <c r="AQ204" s="1">
        <v>13.7</v>
      </c>
      <c r="AR204" s="1">
        <v>16.3</v>
      </c>
      <c r="AS204" s="1">
        <v>20.5</v>
      </c>
      <c r="AT204" s="1">
        <v>20.3</v>
      </c>
      <c r="AU204" s="1">
        <v>21.5</v>
      </c>
      <c r="AV204" s="1">
        <v>27.7</v>
      </c>
      <c r="AW204" s="1">
        <v>3.9</v>
      </c>
      <c r="AX204" s="1">
        <v>0.9427</v>
      </c>
      <c r="AY204" s="1">
        <v>18.3</v>
      </c>
      <c r="AZ204" s="1">
        <v>15.7</v>
      </c>
      <c r="BA204" s="1">
        <v>23.1</v>
      </c>
      <c r="BB204" s="1">
        <v>3.92</v>
      </c>
      <c r="BC204" s="1" t="s">
        <v>419</v>
      </c>
      <c r="BD204" s="1">
        <v>14.2</v>
      </c>
      <c r="BE204" s="1">
        <v>30.5</v>
      </c>
      <c r="BF204" s="1">
        <v>39.7</v>
      </c>
      <c r="BG204" s="1">
        <v>15.5</v>
      </c>
      <c r="BH204" s="1" t="s">
        <v>451</v>
      </c>
    </row>
    <row r="205">
      <c r="A205" s="2">
        <v>6035.0</v>
      </c>
      <c r="B205" s="2" t="str">
        <f>IFERROR(__xludf.DUMMYFUNCTION("TO_TEXT(A205)"),"06035")</f>
        <v>06035</v>
      </c>
      <c r="C205" s="1">
        <v>31945.0</v>
      </c>
      <c r="D205" s="1">
        <v>4541.17844536702</v>
      </c>
      <c r="E205" s="1" t="s">
        <v>452</v>
      </c>
      <c r="F205" s="1" t="s">
        <v>453</v>
      </c>
      <c r="G205" s="1">
        <v>7.03451766635394</v>
      </c>
      <c r="H205" s="1">
        <v>15.204460729</v>
      </c>
      <c r="I205" s="1">
        <v>3.9335458748</v>
      </c>
      <c r="J205" s="1">
        <v>7.6061595894</v>
      </c>
      <c r="K205" s="1">
        <v>13.7187870609999</v>
      </c>
      <c r="L205" s="1">
        <v>40.9</v>
      </c>
      <c r="M205" s="1">
        <v>7.5</v>
      </c>
      <c r="N205" s="1">
        <v>36.9</v>
      </c>
      <c r="O205" s="1">
        <v>54.182547643</v>
      </c>
      <c r="P205" s="1">
        <v>4.7716428085</v>
      </c>
      <c r="Q205" s="1">
        <v>32.08934</v>
      </c>
      <c r="R205" s="1">
        <v>86.3057324839999</v>
      </c>
      <c r="S205" s="1">
        <v>15.8</v>
      </c>
      <c r="T205" s="1">
        <v>4824.0</v>
      </c>
      <c r="U205" s="1">
        <v>28.130182421</v>
      </c>
      <c r="V205" s="1">
        <v>586.92995433</v>
      </c>
      <c r="W205" s="1">
        <v>15.789473684</v>
      </c>
      <c r="X205" s="1">
        <v>14.248021108</v>
      </c>
      <c r="Y205" s="1">
        <v>78.730422689</v>
      </c>
      <c r="Z205" s="1">
        <v>19.6</v>
      </c>
      <c r="AA205" s="1">
        <v>7.298171514</v>
      </c>
      <c r="AB205" s="1">
        <v>57705.0</v>
      </c>
      <c r="AC205" s="1">
        <v>49.93373973</v>
      </c>
      <c r="AD205" s="1">
        <v>67.892131044</v>
      </c>
      <c r="AE205" s="1">
        <v>13.450482699</v>
      </c>
      <c r="AF205" s="1">
        <v>7.8533861438</v>
      </c>
      <c r="AG205" s="1">
        <v>4.2692032985</v>
      </c>
      <c r="AH205" s="1">
        <v>1.55184728259999</v>
      </c>
      <c r="AI205" s="1">
        <v>0.9025387962</v>
      </c>
      <c r="AJ205" s="1">
        <v>19.219531199</v>
      </c>
      <c r="AK205" s="1">
        <v>65.106161938</v>
      </c>
      <c r="AL205" s="1">
        <v>1.744907889</v>
      </c>
      <c r="AM205" s="1">
        <v>37.812479709</v>
      </c>
      <c r="AN205" s="1">
        <v>70.525863304</v>
      </c>
      <c r="AO205" s="1">
        <v>20072.0</v>
      </c>
      <c r="AP205" s="1">
        <v>16.2</v>
      </c>
      <c r="AQ205" s="1">
        <v>9.4</v>
      </c>
      <c r="AR205" s="1">
        <v>18.6</v>
      </c>
      <c r="AS205" s="1">
        <v>12.3</v>
      </c>
      <c r="AT205" s="1">
        <v>16.5</v>
      </c>
      <c r="AU205" s="1">
        <v>18.6</v>
      </c>
      <c r="AV205" s="1">
        <v>33.9</v>
      </c>
      <c r="AW205" s="1">
        <v>2.1</v>
      </c>
      <c r="AX205" s="1">
        <v>0.745</v>
      </c>
      <c r="AY205" s="1">
        <v>16.5</v>
      </c>
      <c r="AZ205" s="1">
        <v>12.5</v>
      </c>
      <c r="BA205" s="1">
        <v>19.9</v>
      </c>
      <c r="BB205" s="1">
        <v>3.88</v>
      </c>
      <c r="BC205" s="1" t="s">
        <v>419</v>
      </c>
      <c r="BD205" s="1">
        <v>16.8</v>
      </c>
      <c r="BE205" s="1">
        <v>34.5</v>
      </c>
      <c r="BF205" s="1">
        <v>35.7</v>
      </c>
      <c r="BG205" s="1">
        <v>12.9</v>
      </c>
      <c r="BH205" s="1" t="s">
        <v>453</v>
      </c>
    </row>
    <row r="206">
      <c r="A206" s="2">
        <v>6037.0</v>
      </c>
      <c r="B206" s="2" t="str">
        <f>IFERROR(__xludf.DUMMYFUNCTION("TO_TEXT(A206)"),"06037")</f>
        <v>06037</v>
      </c>
      <c r="C206" s="1">
        <v>1.0057155E7</v>
      </c>
      <c r="D206" s="1">
        <v>4058.18338166845</v>
      </c>
      <c r="E206" s="1" t="s">
        <v>454</v>
      </c>
      <c r="F206" s="1" t="s">
        <v>455</v>
      </c>
      <c r="G206" s="1">
        <v>2478.24064467614</v>
      </c>
      <c r="H206" s="1">
        <v>16.418669345</v>
      </c>
      <c r="I206" s="1">
        <v>3.6164943274</v>
      </c>
      <c r="J206" s="1">
        <v>7.1338268569</v>
      </c>
      <c r="K206" s="1">
        <v>10.847678109</v>
      </c>
      <c r="L206" s="1">
        <v>21.7</v>
      </c>
      <c r="M206" s="1">
        <v>8.5</v>
      </c>
      <c r="N206" s="1">
        <v>16.4</v>
      </c>
      <c r="O206" s="1">
        <v>97.645296862</v>
      </c>
      <c r="P206" s="1">
        <v>10.059485018</v>
      </c>
      <c r="Q206" s="1">
        <v>72.78</v>
      </c>
      <c r="R206" s="1">
        <v>81.568783693</v>
      </c>
      <c r="S206" s="1">
        <v>19.9</v>
      </c>
      <c r="T206" s="1">
        <v>2230247.0</v>
      </c>
      <c r="U206" s="1">
        <v>34.919271274</v>
      </c>
      <c r="V206" s="1">
        <v>488.34611236</v>
      </c>
      <c r="W206" s="1">
        <v>33.391126028</v>
      </c>
      <c r="X206" s="1">
        <v>24.265811211</v>
      </c>
      <c r="Y206" s="1">
        <v>82.291130635</v>
      </c>
      <c r="Z206" s="1">
        <v>8.4</v>
      </c>
      <c r="AA206" s="1">
        <v>1.6477953981</v>
      </c>
      <c r="AB206" s="1">
        <v>67986.0</v>
      </c>
      <c r="AC206" s="1">
        <v>69.501656466</v>
      </c>
      <c r="AD206" s="1">
        <v>45.813038832</v>
      </c>
      <c r="AE206" s="1">
        <v>24.2383410409999</v>
      </c>
      <c r="AF206" s="1">
        <v>7.9644902913</v>
      </c>
      <c r="AG206" s="1">
        <v>1.4373731262</v>
      </c>
      <c r="AH206" s="1">
        <v>15.3568970929999</v>
      </c>
      <c r="AI206" s="1">
        <v>0.3681157166</v>
      </c>
      <c r="AJ206" s="1">
        <v>48.639634307</v>
      </c>
      <c r="AK206" s="1">
        <v>26.1179882119999</v>
      </c>
      <c r="AL206" s="1">
        <v>13.691354033</v>
      </c>
      <c r="AM206" s="1">
        <v>50.701240649</v>
      </c>
      <c r="AN206" s="1">
        <v>0.6052183584</v>
      </c>
      <c r="AO206" s="1">
        <v>29301.0</v>
      </c>
      <c r="AP206" s="1">
        <v>17.8</v>
      </c>
      <c r="AQ206" s="1">
        <v>8.9</v>
      </c>
      <c r="AR206" s="1">
        <v>22.3</v>
      </c>
      <c r="AS206" s="1">
        <v>12.2</v>
      </c>
      <c r="AT206" s="1">
        <v>22.8</v>
      </c>
      <c r="AU206" s="1">
        <v>9.9</v>
      </c>
      <c r="AV206" s="1">
        <v>73.3</v>
      </c>
      <c r="AW206" s="1">
        <v>14.4</v>
      </c>
      <c r="AX206" s="1">
        <v>0.7883</v>
      </c>
      <c r="AY206" s="1">
        <v>13.4</v>
      </c>
      <c r="AZ206" s="1">
        <v>11.4</v>
      </c>
      <c r="BA206" s="1">
        <v>15.2</v>
      </c>
      <c r="BB206" s="1">
        <v>3.46</v>
      </c>
      <c r="BC206" s="1" t="s">
        <v>419</v>
      </c>
      <c r="BD206" s="1">
        <v>20.9</v>
      </c>
      <c r="BE206" s="1">
        <v>20.6</v>
      </c>
      <c r="BF206" s="1">
        <v>26.0</v>
      </c>
      <c r="BG206" s="1">
        <v>32.5</v>
      </c>
      <c r="BH206" s="1" t="s">
        <v>455</v>
      </c>
    </row>
    <row r="207">
      <c r="A207" s="2">
        <v>6039.0</v>
      </c>
      <c r="B207" s="2" t="str">
        <f>IFERROR(__xludf.DUMMYFUNCTION("TO_TEXT(A207)"),"06039")</f>
        <v>06039</v>
      </c>
      <c r="C207" s="1">
        <v>153366.0</v>
      </c>
      <c r="D207" s="1">
        <v>2137.11250838252</v>
      </c>
      <c r="E207" s="1" t="s">
        <v>456</v>
      </c>
      <c r="F207" s="1" t="s">
        <v>457</v>
      </c>
      <c r="G207" s="1">
        <v>71.7631848573455</v>
      </c>
      <c r="H207" s="1">
        <v>22.5482829869999</v>
      </c>
      <c r="I207" s="1">
        <v>4.295986281</v>
      </c>
      <c r="J207" s="1">
        <v>6.2958942596</v>
      </c>
      <c r="K207" s="1">
        <v>13.444284132</v>
      </c>
      <c r="L207" s="1">
        <v>35.8</v>
      </c>
      <c r="M207" s="1">
        <v>7.7</v>
      </c>
      <c r="N207" s="1">
        <v>28.0</v>
      </c>
      <c r="O207" s="1">
        <v>70.287342989</v>
      </c>
      <c r="P207" s="1">
        <v>10.38586454</v>
      </c>
      <c r="Q207" s="1">
        <v>43.97986</v>
      </c>
      <c r="R207" s="1">
        <v>83.205417607</v>
      </c>
      <c r="S207" s="1">
        <v>28.5</v>
      </c>
      <c r="T207" s="1">
        <v>42434.0</v>
      </c>
      <c r="U207" s="1">
        <v>31.755196305</v>
      </c>
      <c r="V207" s="1">
        <v>620.23550783</v>
      </c>
      <c r="W207" s="1">
        <v>24.830751578</v>
      </c>
      <c r="X207" s="1">
        <v>16.5664426359999</v>
      </c>
      <c r="Y207" s="1">
        <v>79.606449587</v>
      </c>
      <c r="Z207" s="1">
        <v>12.3</v>
      </c>
      <c r="AA207" s="1">
        <v>9.3803740661</v>
      </c>
      <c r="AB207" s="1">
        <v>53632.0</v>
      </c>
      <c r="AC207" s="1">
        <v>79.272566539</v>
      </c>
      <c r="AD207" s="1">
        <v>63.958086642</v>
      </c>
      <c r="AE207" s="1">
        <v>16.5314685309999</v>
      </c>
      <c r="AF207" s="1">
        <v>3.2833984474</v>
      </c>
      <c r="AG207" s="1">
        <v>4.4256431072</v>
      </c>
      <c r="AH207" s="1">
        <v>2.4906134253</v>
      </c>
      <c r="AI207" s="1">
        <v>0.2923791161</v>
      </c>
      <c r="AJ207" s="1">
        <v>58.310289715</v>
      </c>
      <c r="AK207" s="1">
        <v>33.663554721</v>
      </c>
      <c r="AL207" s="1">
        <v>13.2026591059999</v>
      </c>
      <c r="AM207" s="1">
        <v>51.793596834</v>
      </c>
      <c r="AN207" s="1">
        <v>32.924800318</v>
      </c>
      <c r="AO207" s="1">
        <v>19021.0</v>
      </c>
      <c r="AP207" s="1">
        <v>22.1</v>
      </c>
      <c r="AQ207" s="1">
        <v>8.2</v>
      </c>
      <c r="AR207" s="1">
        <v>28.3</v>
      </c>
      <c r="AS207" s="1">
        <v>12.9</v>
      </c>
      <c r="AT207" s="1">
        <v>27.8</v>
      </c>
      <c r="AU207" s="1">
        <v>12.7</v>
      </c>
      <c r="AV207" s="1">
        <v>64.2</v>
      </c>
      <c r="AW207" s="1">
        <v>14.0</v>
      </c>
      <c r="AX207" s="1">
        <v>0.9459</v>
      </c>
      <c r="AY207" s="1">
        <v>17.6</v>
      </c>
      <c r="AZ207" s="1">
        <v>13.2</v>
      </c>
      <c r="BA207" s="1">
        <v>20.4</v>
      </c>
      <c r="BB207" s="1">
        <v>3.97</v>
      </c>
      <c r="BC207" s="1" t="s">
        <v>419</v>
      </c>
      <c r="BD207" s="1">
        <v>28.1</v>
      </c>
      <c r="BE207" s="1">
        <v>24.9</v>
      </c>
      <c r="BF207" s="1">
        <v>32.5</v>
      </c>
      <c r="BG207" s="1">
        <v>14.6</v>
      </c>
      <c r="BH207" s="1" t="s">
        <v>457</v>
      </c>
    </row>
    <row r="208">
      <c r="A208" s="2">
        <v>6041.0</v>
      </c>
      <c r="B208" s="2" t="str">
        <f>IFERROR(__xludf.DUMMYFUNCTION("TO_TEXT(A208)"),"06041")</f>
        <v>06041</v>
      </c>
      <c r="C208" s="1">
        <v>259358.0</v>
      </c>
      <c r="D208" s="1">
        <v>520.489162894293</v>
      </c>
      <c r="E208" s="1" t="s">
        <v>458</v>
      </c>
      <c r="F208" s="1" t="s">
        <v>459</v>
      </c>
      <c r="G208" s="1">
        <v>498.296638027548</v>
      </c>
      <c r="H208" s="1">
        <v>10.57673869</v>
      </c>
      <c r="I208" s="1">
        <v>3.4480038058</v>
      </c>
      <c r="J208" s="1">
        <v>5.78854846809999</v>
      </c>
      <c r="K208" s="1">
        <v>9.7252337607</v>
      </c>
      <c r="L208" s="1">
        <v>16.6</v>
      </c>
      <c r="M208" s="1">
        <v>8.8</v>
      </c>
      <c r="N208" s="1">
        <v>12.6</v>
      </c>
      <c r="O208" s="1">
        <v>97.244551502</v>
      </c>
      <c r="P208" s="1">
        <v>5.4131949119</v>
      </c>
      <c r="Q208" s="1">
        <v>148.30143</v>
      </c>
      <c r="R208" s="1">
        <v>87.120913746</v>
      </c>
      <c r="S208" s="1">
        <v>6.4</v>
      </c>
      <c r="T208" s="1">
        <v>52424.0</v>
      </c>
      <c r="U208" s="1">
        <v>23.5903403019999</v>
      </c>
      <c r="V208" s="1">
        <v>177.85725089</v>
      </c>
      <c r="W208" s="1">
        <v>22.42816092</v>
      </c>
      <c r="X208" s="1">
        <v>19.051990723</v>
      </c>
      <c r="Y208" s="1">
        <v>85.356240881</v>
      </c>
      <c r="Z208" s="1">
        <v>5.3</v>
      </c>
      <c r="AA208" s="1">
        <v>1.7059318675</v>
      </c>
      <c r="AB208" s="1">
        <v>122933.0</v>
      </c>
      <c r="AC208" s="1">
        <v>28.459545576</v>
      </c>
      <c r="AD208" s="1">
        <v>63.843128313</v>
      </c>
      <c r="AE208" s="1">
        <v>19.457770944</v>
      </c>
      <c r="AF208" s="1">
        <v>2.5143838623</v>
      </c>
      <c r="AG208" s="1">
        <v>0.9851116434</v>
      </c>
      <c r="AH208" s="1">
        <v>6.4879499049</v>
      </c>
      <c r="AI208" s="1">
        <v>0.2649557508</v>
      </c>
      <c r="AJ208" s="1">
        <v>16.115317369</v>
      </c>
      <c r="AK208" s="1">
        <v>71.454868947</v>
      </c>
      <c r="AL208" s="1">
        <v>4.0156772297</v>
      </c>
      <c r="AM208" s="1">
        <v>51.095253133</v>
      </c>
      <c r="AN208" s="1">
        <v>6.519973535</v>
      </c>
      <c r="AO208" s="1">
        <v>63608.0</v>
      </c>
      <c r="AP208" s="1">
        <v>8.1</v>
      </c>
      <c r="AQ208" s="1">
        <v>5.1</v>
      </c>
      <c r="AR208" s="1">
        <v>6.9</v>
      </c>
      <c r="AS208" s="1">
        <v>19.5</v>
      </c>
      <c r="AT208" s="1">
        <v>20.5</v>
      </c>
      <c r="AU208" s="1">
        <v>9.0</v>
      </c>
      <c r="AV208" s="1">
        <v>28.1</v>
      </c>
      <c r="AW208" s="1">
        <v>4.3</v>
      </c>
      <c r="AX208" s="1">
        <v>0.2623</v>
      </c>
      <c r="AY208" s="1">
        <v>6.9</v>
      </c>
      <c r="AZ208" s="1">
        <v>7.4</v>
      </c>
      <c r="BA208" s="1">
        <v>8.4</v>
      </c>
      <c r="BB208" s="1">
        <v>4.61</v>
      </c>
      <c r="BC208" s="1" t="s">
        <v>419</v>
      </c>
      <c r="BD208" s="1">
        <v>6.7</v>
      </c>
      <c r="BE208" s="1">
        <v>10.5</v>
      </c>
      <c r="BF208" s="1">
        <v>23.3</v>
      </c>
      <c r="BG208" s="1">
        <v>59.5</v>
      </c>
      <c r="BH208" s="1" t="s">
        <v>459</v>
      </c>
    </row>
    <row r="209">
      <c r="A209" s="2">
        <v>6043.0</v>
      </c>
      <c r="B209" s="2" t="str">
        <f>IFERROR(__xludf.DUMMYFUNCTION("TO_TEXT(A209)"),"06043")</f>
        <v>06043</v>
      </c>
      <c r="C209" s="1">
        <v>17645.0</v>
      </c>
      <c r="D209" s="1">
        <v>1448.81704560523</v>
      </c>
      <c r="E209" s="1" t="s">
        <v>460</v>
      </c>
      <c r="F209" s="1" t="s">
        <v>461</v>
      </c>
      <c r="G209" s="1">
        <v>12.1789014379169</v>
      </c>
      <c r="H209" s="1">
        <v>13.7159567559999</v>
      </c>
      <c r="I209" s="1">
        <v>4.0962698899</v>
      </c>
      <c r="J209" s="1">
        <v>7.183908046</v>
      </c>
      <c r="K209" s="1">
        <v>11.745263222</v>
      </c>
      <c r="L209" s="1">
        <v>23.8</v>
      </c>
      <c r="M209" s="1">
        <v>7.5</v>
      </c>
      <c r="N209" s="1">
        <v>20.7</v>
      </c>
      <c r="O209" s="1">
        <v>48.742534656</v>
      </c>
      <c r="P209" s="1">
        <v>7.99526440409999</v>
      </c>
      <c r="Q209" s="1">
        <v>34.15106</v>
      </c>
      <c r="R209" s="1">
        <v>85.840707965</v>
      </c>
      <c r="S209" s="1">
        <v>23.2</v>
      </c>
      <c r="T209" s="1">
        <v>2808.0</v>
      </c>
      <c r="U209" s="1">
        <v>31.160968661</v>
      </c>
      <c r="V209" s="1">
        <v>431.42857143</v>
      </c>
      <c r="W209" s="1">
        <v>19.986216402</v>
      </c>
      <c r="X209" s="1">
        <v>16.81786462</v>
      </c>
      <c r="Y209" s="1">
        <v>79.196297264</v>
      </c>
      <c r="Z209" s="1">
        <v>7.1</v>
      </c>
      <c r="AA209" s="1">
        <v>6.1266594144</v>
      </c>
      <c r="AB209" s="1">
        <v>51402.0</v>
      </c>
      <c r="AC209" s="1">
        <v>58.408488064</v>
      </c>
      <c r="AD209" s="1">
        <v>68.961038961</v>
      </c>
      <c r="AE209" s="1">
        <v>18.589482267</v>
      </c>
      <c r="AF209" s="1">
        <v>1.1562017057</v>
      </c>
      <c r="AG209" s="1">
        <v>3.3999198672</v>
      </c>
      <c r="AH209" s="1">
        <v>1.7228550169</v>
      </c>
      <c r="AI209" s="1">
        <v>0.1946082079</v>
      </c>
      <c r="AJ209" s="1">
        <v>11.647873619</v>
      </c>
      <c r="AK209" s="1">
        <v>79.674889817</v>
      </c>
      <c r="AL209" s="1">
        <v>1.1860770056</v>
      </c>
      <c r="AM209" s="1">
        <v>49.035544617</v>
      </c>
      <c r="AN209" s="1">
        <v>100.0</v>
      </c>
      <c r="AO209" s="1">
        <v>27832.0</v>
      </c>
      <c r="AP209" s="1">
        <v>16.3</v>
      </c>
      <c r="AQ209" s="1">
        <v>9.8</v>
      </c>
      <c r="AR209" s="1">
        <v>10.5</v>
      </c>
      <c r="AS209" s="1">
        <v>24.8</v>
      </c>
      <c r="AT209" s="1">
        <v>16.5</v>
      </c>
      <c r="AU209" s="1">
        <v>17.8</v>
      </c>
      <c r="AV209" s="1">
        <v>18.5</v>
      </c>
      <c r="AW209" s="1">
        <v>1.1</v>
      </c>
      <c r="AX209" s="1">
        <v>0.532</v>
      </c>
      <c r="AY209" s="1">
        <v>15.1</v>
      </c>
      <c r="AZ209" s="1">
        <v>13.4</v>
      </c>
      <c r="BA209" s="1">
        <v>21.0</v>
      </c>
      <c r="BB209" s="1">
        <v>3.22</v>
      </c>
      <c r="BC209" s="1" t="s">
        <v>419</v>
      </c>
      <c r="BD209" s="1">
        <v>9.4</v>
      </c>
      <c r="BE209" s="1">
        <v>24.4</v>
      </c>
      <c r="BF209" s="1">
        <v>41.7</v>
      </c>
      <c r="BG209" s="1">
        <v>24.6</v>
      </c>
      <c r="BH209" s="1" t="s">
        <v>461</v>
      </c>
    </row>
    <row r="210">
      <c r="A210" s="2">
        <v>6045.0</v>
      </c>
      <c r="B210" s="2" t="str">
        <f>IFERROR(__xludf.DUMMYFUNCTION("TO_TEXT(A210)"),"06045")</f>
        <v>06045</v>
      </c>
      <c r="C210" s="1">
        <v>87409.0</v>
      </c>
      <c r="D210" s="1">
        <v>3506.35509241036</v>
      </c>
      <c r="E210" s="1" t="s">
        <v>462</v>
      </c>
      <c r="F210" s="1" t="s">
        <v>463</v>
      </c>
      <c r="G210" s="1">
        <v>24.9287358799456</v>
      </c>
      <c r="H210" s="1">
        <v>16.507229143</v>
      </c>
      <c r="I210" s="1">
        <v>4.2479301328</v>
      </c>
      <c r="J210" s="1">
        <v>6.3770147162</v>
      </c>
      <c r="K210" s="1">
        <v>12.905413824</v>
      </c>
      <c r="L210" s="1">
        <v>32.1</v>
      </c>
      <c r="M210" s="1">
        <v>7.6</v>
      </c>
      <c r="N210" s="1">
        <v>18.6</v>
      </c>
      <c r="O210" s="1">
        <v>72.2566910669999</v>
      </c>
      <c r="P210" s="1">
        <v>10.72739553</v>
      </c>
      <c r="Q210" s="1">
        <v>89.75437</v>
      </c>
      <c r="R210" s="1">
        <v>83.540669856</v>
      </c>
      <c r="S210" s="1">
        <v>25.5</v>
      </c>
      <c r="T210" s="1">
        <v>18545.0</v>
      </c>
      <c r="U210" s="1">
        <v>41.8980857369999</v>
      </c>
      <c r="V210" s="1">
        <v>640.48580677</v>
      </c>
      <c r="W210" s="1">
        <v>27.77858072</v>
      </c>
      <c r="X210" s="1">
        <v>22.603342128</v>
      </c>
      <c r="Y210" s="1">
        <v>79.338623024</v>
      </c>
      <c r="Z210" s="1">
        <v>7.6</v>
      </c>
      <c r="AA210" s="1">
        <v>6.7593618027</v>
      </c>
      <c r="AB210" s="1">
        <v>51386.0</v>
      </c>
      <c r="AC210" s="1">
        <v>72.188495978</v>
      </c>
      <c r="AD210" s="1">
        <v>59.175711352</v>
      </c>
      <c r="AE210" s="1">
        <v>22.7314843409999</v>
      </c>
      <c r="AF210" s="1">
        <v>0.7682122229</v>
      </c>
      <c r="AG210" s="1">
        <v>6.3203433555</v>
      </c>
      <c r="AH210" s="1">
        <v>2.2201675684</v>
      </c>
      <c r="AI210" s="1">
        <v>0.2511243522</v>
      </c>
      <c r="AJ210" s="1">
        <v>25.6203912969999</v>
      </c>
      <c r="AK210" s="1">
        <v>64.670228067</v>
      </c>
      <c r="AL210" s="1">
        <v>5.35008933019999</v>
      </c>
      <c r="AM210" s="1">
        <v>50.456589731</v>
      </c>
      <c r="AN210" s="1">
        <v>45.230587083</v>
      </c>
      <c r="AO210" s="1">
        <v>25278.0</v>
      </c>
      <c r="AP210" s="1">
        <v>20.2</v>
      </c>
      <c r="AQ210" s="1">
        <v>11.0</v>
      </c>
      <c r="AR210" s="1">
        <v>13.5</v>
      </c>
      <c r="AS210" s="1">
        <v>18.9</v>
      </c>
      <c r="AT210" s="1">
        <v>21.8</v>
      </c>
      <c r="AU210" s="1">
        <v>16.9</v>
      </c>
      <c r="AV210" s="1">
        <v>33.6</v>
      </c>
      <c r="AW210" s="1">
        <v>5.3</v>
      </c>
      <c r="AX210" s="1">
        <v>0.8825</v>
      </c>
      <c r="AY210" s="1">
        <v>14.0</v>
      </c>
      <c r="AZ210" s="1">
        <v>13.5</v>
      </c>
      <c r="BA210" s="1">
        <v>19.4</v>
      </c>
      <c r="BB210" s="1">
        <v>3.53</v>
      </c>
      <c r="BC210" s="1" t="s">
        <v>419</v>
      </c>
      <c r="BD210" s="1">
        <v>13.5</v>
      </c>
      <c r="BE210" s="1">
        <v>25.0</v>
      </c>
      <c r="BF210" s="1">
        <v>37.1</v>
      </c>
      <c r="BG210" s="1">
        <v>24.4</v>
      </c>
      <c r="BH210" s="1" t="s">
        <v>463</v>
      </c>
    </row>
    <row r="211">
      <c r="A211" s="2">
        <v>6047.0</v>
      </c>
      <c r="B211" s="2" t="str">
        <f>IFERROR(__xludf.DUMMYFUNCTION("TO_TEXT(A211)"),"06047")</f>
        <v>06047</v>
      </c>
      <c r="C211" s="1">
        <v>265001.0</v>
      </c>
      <c r="D211" s="1">
        <v>1935.21090999721</v>
      </c>
      <c r="E211" s="1" t="s">
        <v>464</v>
      </c>
      <c r="F211" s="1" t="s">
        <v>465</v>
      </c>
      <c r="G211" s="1">
        <v>136.936495464662</v>
      </c>
      <c r="H211" s="1">
        <v>22.709474944</v>
      </c>
      <c r="I211" s="1">
        <v>4.201624551</v>
      </c>
      <c r="J211" s="1">
        <v>6.2765700066</v>
      </c>
      <c r="K211" s="1">
        <v>14.129606461</v>
      </c>
      <c r="L211" s="1">
        <v>28.4</v>
      </c>
      <c r="M211" s="1">
        <v>7.6</v>
      </c>
      <c r="N211" s="1">
        <v>21.8</v>
      </c>
      <c r="O211" s="1">
        <v>69.550769568</v>
      </c>
      <c r="P211" s="1">
        <v>8.7471237822</v>
      </c>
      <c r="Q211" s="1">
        <v>44.3755</v>
      </c>
      <c r="R211" s="1">
        <v>88.482023968</v>
      </c>
      <c r="S211" s="1">
        <v>28.5</v>
      </c>
      <c r="T211" s="1">
        <v>79223.0</v>
      </c>
      <c r="U211" s="1">
        <v>37.48785075</v>
      </c>
      <c r="V211" s="1">
        <v>555.33866693</v>
      </c>
      <c r="W211" s="1">
        <v>24.8945956309999</v>
      </c>
      <c r="X211" s="1">
        <v>17.670895909</v>
      </c>
      <c r="Y211" s="1">
        <v>78.761019538</v>
      </c>
      <c r="Z211" s="1">
        <v>14.3</v>
      </c>
      <c r="AA211" s="1">
        <v>7.3323667342</v>
      </c>
      <c r="AB211" s="1">
        <v>56169.0</v>
      </c>
      <c r="AC211" s="1">
        <v>77.713138736</v>
      </c>
      <c r="AD211" s="1">
        <v>51.978494083</v>
      </c>
      <c r="AE211" s="1">
        <v>17.646437855</v>
      </c>
      <c r="AF211" s="1">
        <v>2.9763616181</v>
      </c>
      <c r="AG211" s="1">
        <v>2.515968191</v>
      </c>
      <c r="AH211" s="1">
        <v>7.9133077357</v>
      </c>
      <c r="AI211" s="1">
        <v>0.383236584</v>
      </c>
      <c r="AJ211" s="1">
        <v>60.210361582</v>
      </c>
      <c r="AK211" s="1">
        <v>27.139191673</v>
      </c>
      <c r="AL211" s="1">
        <v>13.746211984</v>
      </c>
      <c r="AM211" s="1">
        <v>49.545247757</v>
      </c>
      <c r="AN211" s="1">
        <v>14.273260019</v>
      </c>
      <c r="AO211" s="1">
        <v>19130.0</v>
      </c>
      <c r="AP211" s="1">
        <v>24.2</v>
      </c>
      <c r="AQ211" s="1">
        <v>15.7</v>
      </c>
      <c r="AR211" s="1">
        <v>31.4</v>
      </c>
      <c r="AS211" s="1">
        <v>10.5</v>
      </c>
      <c r="AT211" s="1">
        <v>30.1</v>
      </c>
      <c r="AU211" s="1">
        <v>15.3</v>
      </c>
      <c r="AV211" s="1">
        <v>70.5</v>
      </c>
      <c r="AW211" s="1">
        <v>13.7</v>
      </c>
      <c r="AX211" s="1">
        <v>0.9806</v>
      </c>
      <c r="AY211" s="1">
        <v>17.0</v>
      </c>
      <c r="AZ211" s="1">
        <v>15.0</v>
      </c>
      <c r="BA211" s="1">
        <v>22.8</v>
      </c>
      <c r="BB211" s="1">
        <v>3.25</v>
      </c>
      <c r="BC211" s="1" t="s">
        <v>419</v>
      </c>
      <c r="BD211" s="1">
        <v>30.9</v>
      </c>
      <c r="BE211" s="1">
        <v>25.3</v>
      </c>
      <c r="BF211" s="1">
        <v>30.1</v>
      </c>
      <c r="BG211" s="1">
        <v>13.8</v>
      </c>
      <c r="BH211" s="1" t="s">
        <v>465</v>
      </c>
    </row>
    <row r="212">
      <c r="A212" s="2">
        <v>6049.0</v>
      </c>
      <c r="B212" s="2" t="str">
        <f>IFERROR(__xludf.DUMMYFUNCTION("TO_TEXT(A212)"),"06049")</f>
        <v>06049</v>
      </c>
      <c r="C212" s="1">
        <v>9033.0</v>
      </c>
      <c r="D212" s="1">
        <v>3915.44325065426</v>
      </c>
      <c r="E212" s="1" t="s">
        <v>466</v>
      </c>
      <c r="F212" s="1" t="s">
        <v>467</v>
      </c>
      <c r="G212" s="1">
        <v>2.30701849617936</v>
      </c>
      <c r="H212" s="1">
        <v>16.446233854</v>
      </c>
      <c r="I212" s="1">
        <v>4.3181042521</v>
      </c>
      <c r="J212" s="1">
        <v>6.9692058347</v>
      </c>
      <c r="K212" s="1">
        <v>13.8244583929999</v>
      </c>
      <c r="L212" s="1">
        <v>28.3</v>
      </c>
      <c r="M212" s="1">
        <v>6.8</v>
      </c>
      <c r="N212" s="1">
        <v>25.3</v>
      </c>
      <c r="O212" s="1">
        <v>46.293619657</v>
      </c>
      <c r="P212" s="1">
        <v>10.530470477</v>
      </c>
      <c r="Q212" s="1">
        <v>67.72773</v>
      </c>
      <c r="R212" s="1">
        <v>85.849056604</v>
      </c>
      <c r="S212" s="1">
        <v>27.2</v>
      </c>
      <c r="T212" s="1">
        <v>1673.0</v>
      </c>
      <c r="U212" s="1">
        <v>22.534369396</v>
      </c>
      <c r="V212" s="1">
        <v>504.7955578</v>
      </c>
      <c r="W212" s="1">
        <v>16.485013624</v>
      </c>
      <c r="X212" s="1">
        <v>14.522821577</v>
      </c>
      <c r="Y212" s="1">
        <v>77.038892558</v>
      </c>
      <c r="Z212" s="1">
        <v>18.6</v>
      </c>
      <c r="AA212" s="1">
        <v>11.697977278</v>
      </c>
      <c r="AB212" s="1">
        <v>45227.0</v>
      </c>
      <c r="AC212" s="1">
        <v>62.788365095</v>
      </c>
      <c r="AD212" s="1">
        <v>76.584699454</v>
      </c>
      <c r="AE212" s="1">
        <v>12.463935372</v>
      </c>
      <c r="AF212" s="1">
        <v>1.0254073146</v>
      </c>
      <c r="AG212" s="1">
        <v>5.0017090122</v>
      </c>
      <c r="AH212" s="1">
        <v>1.2874558505</v>
      </c>
      <c r="AI212" s="1">
        <v>0.3304090236</v>
      </c>
      <c r="AJ212" s="1">
        <v>14.218981429</v>
      </c>
      <c r="AK212" s="1">
        <v>77.6689073719999</v>
      </c>
      <c r="AL212" s="1">
        <v>3.3270852858</v>
      </c>
      <c r="AM212" s="1">
        <v>50.028483537</v>
      </c>
      <c r="AN212" s="1">
        <v>69.956638447</v>
      </c>
      <c r="AO212" s="1">
        <v>21899.0</v>
      </c>
      <c r="AP212" s="1">
        <v>16.9</v>
      </c>
      <c r="AQ212" s="1">
        <v>6.8</v>
      </c>
      <c r="AR212" s="1">
        <v>13.6</v>
      </c>
      <c r="AS212" s="1">
        <v>23.1</v>
      </c>
      <c r="AT212" s="1">
        <v>20.1</v>
      </c>
      <c r="AU212" s="1">
        <v>19.9</v>
      </c>
      <c r="AV212" s="1">
        <v>22.4</v>
      </c>
      <c r="AW212" s="1">
        <v>3.0</v>
      </c>
      <c r="AX212" s="1">
        <v>0.5727</v>
      </c>
      <c r="AY212" s="1">
        <v>20.5</v>
      </c>
      <c r="AZ212" s="1">
        <v>14.7</v>
      </c>
      <c r="BA212" s="1">
        <v>24.2</v>
      </c>
      <c r="BB212" s="1">
        <v>3.36</v>
      </c>
      <c r="BC212" s="1" t="s">
        <v>419</v>
      </c>
      <c r="BD212" s="1">
        <v>15.2</v>
      </c>
      <c r="BE212" s="1">
        <v>33.0</v>
      </c>
      <c r="BF212" s="1">
        <v>36.6</v>
      </c>
      <c r="BG212" s="1">
        <v>15.2</v>
      </c>
      <c r="BH212" s="1" t="s">
        <v>467</v>
      </c>
    </row>
    <row r="213">
      <c r="A213" s="2">
        <v>6051.0</v>
      </c>
      <c r="B213" s="2" t="str">
        <f>IFERROR(__xludf.DUMMYFUNCTION("TO_TEXT(A213)"),"06051")</f>
        <v>06051</v>
      </c>
      <c r="C213" s="1">
        <v>14051.0</v>
      </c>
      <c r="D213" s="1">
        <v>3048.98552849002</v>
      </c>
      <c r="E213" s="1" t="s">
        <v>468</v>
      </c>
      <c r="F213" s="1" t="s">
        <v>469</v>
      </c>
      <c r="G213" s="1">
        <v>4.608418068471</v>
      </c>
      <c r="H213" s="1">
        <v>13.811942517</v>
      </c>
      <c r="I213" s="1">
        <v>3.7676376128</v>
      </c>
      <c r="J213" s="1">
        <v>8.1735620585</v>
      </c>
      <c r="K213" s="1">
        <v>11.936718182</v>
      </c>
      <c r="L213" s="1">
        <v>25.4</v>
      </c>
      <c r="M213" s="1">
        <v>7.4</v>
      </c>
      <c r="N213" s="1">
        <v>17.5</v>
      </c>
      <c r="O213" s="1">
        <v>92.486973666</v>
      </c>
      <c r="P213" s="1">
        <v>9.9790180445</v>
      </c>
      <c r="Q213" s="1">
        <v>63.52343</v>
      </c>
      <c r="R213" s="1">
        <v>36.301369863</v>
      </c>
      <c r="S213" s="1">
        <v>11.6</v>
      </c>
      <c r="T213" s="1">
        <v>2677.0</v>
      </c>
      <c r="U213" s="1">
        <v>22.11430706</v>
      </c>
      <c r="V213" s="1">
        <v>262.06203331</v>
      </c>
      <c r="W213" s="1">
        <v>13.6363636359999</v>
      </c>
      <c r="X213" s="1">
        <v>11.129097531</v>
      </c>
      <c r="Y213" s="1">
        <v>96.522968286</v>
      </c>
      <c r="Z213" s="1">
        <v>5.6</v>
      </c>
      <c r="AA213" s="1">
        <v>15.0602956659999</v>
      </c>
      <c r="AB213" s="1">
        <v>66499.0</v>
      </c>
      <c r="AC213" s="1">
        <v>55.110837438</v>
      </c>
      <c r="AD213" s="1">
        <v>62.182793481</v>
      </c>
      <c r="AE213" s="1">
        <v>10.22433132</v>
      </c>
      <c r="AF213" s="1">
        <v>0.7157894737</v>
      </c>
      <c r="AG213" s="1">
        <v>2.9894736842</v>
      </c>
      <c r="AH213" s="1">
        <v>2.2035087719</v>
      </c>
      <c r="AI213" s="1">
        <v>0.3368421053</v>
      </c>
      <c r="AJ213" s="1">
        <v>27.550877193</v>
      </c>
      <c r="AK213" s="1">
        <v>65.305263158</v>
      </c>
      <c r="AL213" s="1">
        <v>4.3034281546</v>
      </c>
      <c r="AM213" s="1">
        <v>46.8701754389999</v>
      </c>
      <c r="AN213" s="1">
        <v>45.831573018</v>
      </c>
      <c r="AO213" s="1">
        <v>31059.0</v>
      </c>
      <c r="AP213" s="1">
        <v>8.8</v>
      </c>
      <c r="AQ213" s="1">
        <v>8.0</v>
      </c>
      <c r="AR213" s="1">
        <v>16.0</v>
      </c>
      <c r="AS213" s="1">
        <v>13.2</v>
      </c>
      <c r="AT213" s="1">
        <v>19.8</v>
      </c>
      <c r="AU213" s="1">
        <v>7.0</v>
      </c>
      <c r="AV213" s="1">
        <v>34.1</v>
      </c>
      <c r="AW213" s="1">
        <v>7.5</v>
      </c>
      <c r="AX213" s="1">
        <v>0.2853</v>
      </c>
      <c r="AY213" s="1">
        <v>10.1</v>
      </c>
      <c r="AZ213" s="1">
        <v>8.5</v>
      </c>
      <c r="BA213" s="1">
        <v>12.0</v>
      </c>
      <c r="BB213" s="1">
        <v>3.25</v>
      </c>
      <c r="BC213" s="1" t="s">
        <v>419</v>
      </c>
      <c r="BD213" s="1">
        <v>11.4</v>
      </c>
      <c r="BE213" s="1">
        <v>24.2</v>
      </c>
      <c r="BF213" s="1">
        <v>35.5</v>
      </c>
      <c r="BG213" s="1">
        <v>28.8</v>
      </c>
      <c r="BH213" s="1" t="s">
        <v>469</v>
      </c>
    </row>
    <row r="214">
      <c r="A214" s="2">
        <v>6053.0</v>
      </c>
      <c r="B214" s="2" t="str">
        <f>IFERROR(__xludf.DUMMYFUNCTION("TO_TEXT(A214)"),"06053")</f>
        <v>06053</v>
      </c>
      <c r="C214" s="1">
        <v>430201.0</v>
      </c>
      <c r="D214" s="1">
        <v>3280.58105871745</v>
      </c>
      <c r="E214" s="1" t="s">
        <v>470</v>
      </c>
      <c r="F214" s="1" t="s">
        <v>471</v>
      </c>
      <c r="G214" s="1">
        <v>131.135610521445</v>
      </c>
      <c r="H214" s="1">
        <v>21.68177363</v>
      </c>
      <c r="I214" s="1">
        <v>4.0516011737</v>
      </c>
      <c r="J214" s="1">
        <v>6.1062107848</v>
      </c>
      <c r="K214" s="1">
        <v>12.249990899</v>
      </c>
      <c r="L214" s="1">
        <v>27.7</v>
      </c>
      <c r="M214" s="1">
        <v>8.6</v>
      </c>
      <c r="N214" s="1">
        <v>19.8</v>
      </c>
      <c r="O214" s="1">
        <v>90.285430676</v>
      </c>
      <c r="P214" s="1">
        <v>11.469413147</v>
      </c>
      <c r="Q214" s="1">
        <v>60.28677</v>
      </c>
      <c r="R214" s="1">
        <v>84.706099134</v>
      </c>
      <c r="S214" s="1">
        <v>19.2</v>
      </c>
      <c r="T214" s="1">
        <v>113360.0</v>
      </c>
      <c r="U214" s="1">
        <v>33.122794637</v>
      </c>
      <c r="V214" s="1">
        <v>420.63614456</v>
      </c>
      <c r="W214" s="1">
        <v>29.750228329</v>
      </c>
      <c r="X214" s="1">
        <v>18.969329099</v>
      </c>
      <c r="Y214" s="1">
        <v>82.502977487</v>
      </c>
      <c r="Z214" s="1">
        <v>8.4</v>
      </c>
      <c r="AA214" s="1">
        <v>3.4736811245</v>
      </c>
      <c r="AB214" s="1">
        <v>69665.0</v>
      </c>
      <c r="AC214" s="1">
        <v>71.822387143</v>
      </c>
      <c r="AD214" s="1">
        <v>51.05988005</v>
      </c>
      <c r="AE214" s="1">
        <v>18.931615929</v>
      </c>
      <c r="AF214" s="1">
        <v>2.5544428987</v>
      </c>
      <c r="AG214" s="1">
        <v>2.6058669311</v>
      </c>
      <c r="AH214" s="1">
        <v>6.7709839897</v>
      </c>
      <c r="AI214" s="1">
        <v>0.6157109602</v>
      </c>
      <c r="AJ214" s="1">
        <v>59.131209337</v>
      </c>
      <c r="AK214" s="1">
        <v>29.564456811</v>
      </c>
      <c r="AL214" s="1">
        <v>18.81594636</v>
      </c>
      <c r="AM214" s="1">
        <v>49.084009422</v>
      </c>
      <c r="AN214" s="1">
        <v>9.8160011757</v>
      </c>
      <c r="AO214" s="1">
        <v>25947.0</v>
      </c>
      <c r="AP214" s="1">
        <v>16.1</v>
      </c>
      <c r="AQ214" s="1">
        <v>6.9</v>
      </c>
      <c r="AR214" s="1">
        <v>29.1</v>
      </c>
      <c r="AS214" s="1">
        <v>12.0</v>
      </c>
      <c r="AT214" s="1">
        <v>26.5</v>
      </c>
      <c r="AU214" s="1">
        <v>9.2</v>
      </c>
      <c r="AV214" s="1">
        <v>68.9</v>
      </c>
      <c r="AW214" s="1">
        <v>19.0</v>
      </c>
      <c r="AX214" s="1">
        <v>0.8157</v>
      </c>
      <c r="AY214" s="1">
        <v>12.6</v>
      </c>
      <c r="AZ214" s="1">
        <v>10.5</v>
      </c>
      <c r="BA214" s="1">
        <v>15.2</v>
      </c>
      <c r="BB214" s="1">
        <v>3.44</v>
      </c>
      <c r="BC214" s="1" t="s">
        <v>419</v>
      </c>
      <c r="BD214" s="1">
        <v>28.5</v>
      </c>
      <c r="BE214" s="1">
        <v>20.3</v>
      </c>
      <c r="BF214" s="1">
        <v>26.5</v>
      </c>
      <c r="BG214" s="1">
        <v>24.7</v>
      </c>
      <c r="BH214" s="1" t="s">
        <v>471</v>
      </c>
    </row>
    <row r="215">
      <c r="A215" s="2">
        <v>6055.0</v>
      </c>
      <c r="B215" s="2" t="str">
        <f>IFERROR(__xludf.DUMMYFUNCTION("TO_TEXT(A215)"),"06055")</f>
        <v>06055</v>
      </c>
      <c r="C215" s="1">
        <v>140823.0</v>
      </c>
      <c r="D215" s="1">
        <v>748.329752715715</v>
      </c>
      <c r="E215" s="1" t="s">
        <v>472</v>
      </c>
      <c r="F215" s="1" t="s">
        <v>473</v>
      </c>
      <c r="G215" s="1">
        <v>188.183083044538</v>
      </c>
      <c r="H215" s="1">
        <v>14.1216719609999</v>
      </c>
      <c r="I215" s="1">
        <v>3.7810301889</v>
      </c>
      <c r="J215" s="1">
        <v>6.0858819895</v>
      </c>
      <c r="K215" s="1">
        <v>9.9328479729</v>
      </c>
      <c r="L215" s="1">
        <v>23.8</v>
      </c>
      <c r="M215" s="1">
        <v>9.0</v>
      </c>
      <c r="N215" s="1">
        <v>18.5</v>
      </c>
      <c r="O215" s="1">
        <v>89.78488321</v>
      </c>
      <c r="P215" s="1">
        <v>8.5375290173</v>
      </c>
      <c r="Q215" s="1">
        <v>96.47237</v>
      </c>
      <c r="R215" s="1">
        <v>86.951364176</v>
      </c>
      <c r="S215" s="1">
        <v>8.9</v>
      </c>
      <c r="T215" s="1">
        <v>29524.0</v>
      </c>
      <c r="U215" s="1">
        <v>27.652079664</v>
      </c>
      <c r="V215" s="1">
        <v>397.68136308</v>
      </c>
      <c r="W215" s="1">
        <v>22.055696203</v>
      </c>
      <c r="X215" s="1">
        <v>16.457760114</v>
      </c>
      <c r="Y215" s="1">
        <v>81.768570942</v>
      </c>
      <c r="Z215" s="1">
        <v>8.6</v>
      </c>
      <c r="AA215" s="1">
        <v>2.319240102</v>
      </c>
      <c r="AB215" s="1">
        <v>85624.0</v>
      </c>
      <c r="AC215" s="1">
        <v>50.67478039</v>
      </c>
      <c r="AD215" s="1">
        <v>63.74612498</v>
      </c>
      <c r="AE215" s="1">
        <v>17.024427895</v>
      </c>
      <c r="AF215" s="1">
        <v>2.0635933925</v>
      </c>
      <c r="AG215" s="1">
        <v>1.2516407612</v>
      </c>
      <c r="AH215" s="1">
        <v>8.7794171443</v>
      </c>
      <c r="AI215" s="1">
        <v>0.4066935883</v>
      </c>
      <c r="AJ215" s="1">
        <v>34.501531377</v>
      </c>
      <c r="AK215" s="1">
        <v>52.0395647589999</v>
      </c>
      <c r="AL215" s="1">
        <v>8.3941386662</v>
      </c>
      <c r="AM215" s="1">
        <v>50.227016791</v>
      </c>
      <c r="AN215" s="1">
        <v>13.400838193</v>
      </c>
      <c r="AO215" s="1">
        <v>38057.0</v>
      </c>
      <c r="AP215" s="1">
        <v>8.8</v>
      </c>
      <c r="AQ215" s="1">
        <v>6.6</v>
      </c>
      <c r="AR215" s="1">
        <v>16.1</v>
      </c>
      <c r="AS215" s="1">
        <v>17.0</v>
      </c>
      <c r="AT215" s="1">
        <v>21.9</v>
      </c>
      <c r="AU215" s="1">
        <v>11.1</v>
      </c>
      <c r="AV215" s="1">
        <v>46.3</v>
      </c>
      <c r="AW215" s="1">
        <v>8.8</v>
      </c>
      <c r="AX215" s="1">
        <v>0.5049</v>
      </c>
      <c r="AY215" s="1">
        <v>7.4</v>
      </c>
      <c r="AZ215" s="1">
        <v>7.9</v>
      </c>
      <c r="BA215" s="1">
        <v>10.0</v>
      </c>
      <c r="BB215" s="1">
        <v>4.38</v>
      </c>
      <c r="BC215" s="1" t="s">
        <v>419</v>
      </c>
      <c r="BD215" s="1">
        <v>14.5</v>
      </c>
      <c r="BE215" s="1">
        <v>17.8</v>
      </c>
      <c r="BF215" s="1">
        <v>32.0</v>
      </c>
      <c r="BG215" s="1">
        <v>35.7</v>
      </c>
      <c r="BH215" s="1" t="s">
        <v>473</v>
      </c>
    </row>
    <row r="216">
      <c r="A216" s="2">
        <v>6057.0</v>
      </c>
      <c r="B216" s="2" t="str">
        <f>IFERROR(__xludf.DUMMYFUNCTION("TO_TEXT(A216)"),"06057")</f>
        <v>06057</v>
      </c>
      <c r="C216" s="1">
        <v>98639.0</v>
      </c>
      <c r="D216" s="1">
        <v>957.76699958832</v>
      </c>
      <c r="E216" s="1" t="s">
        <v>369</v>
      </c>
      <c r="F216" s="1" t="s">
        <v>474</v>
      </c>
      <c r="G216" s="1">
        <v>102.988513952139</v>
      </c>
      <c r="H216" s="1">
        <v>11.943551373</v>
      </c>
      <c r="I216" s="1">
        <v>3.8945528337</v>
      </c>
      <c r="J216" s="1">
        <v>5.7529908515</v>
      </c>
      <c r="K216" s="1">
        <v>11.508296567</v>
      </c>
      <c r="L216" s="1">
        <v>22.0</v>
      </c>
      <c r="M216" s="1">
        <v>7.8</v>
      </c>
      <c r="N216" s="1">
        <v>14.4</v>
      </c>
      <c r="O216" s="1">
        <v>81.079138148</v>
      </c>
      <c r="P216" s="1">
        <v>7.0499404982</v>
      </c>
      <c r="Q216" s="1">
        <v>70.13044</v>
      </c>
      <c r="R216" s="1">
        <v>49.969933854</v>
      </c>
      <c r="S216" s="1">
        <v>13.7</v>
      </c>
      <c r="T216" s="1">
        <v>16950.0</v>
      </c>
      <c r="U216" s="1">
        <v>29.439528024</v>
      </c>
      <c r="V216" s="1">
        <v>264.19005426</v>
      </c>
      <c r="W216" s="1">
        <v>20.524824443</v>
      </c>
      <c r="X216" s="1">
        <v>18.2496270509999</v>
      </c>
      <c r="Y216" s="1">
        <v>81.320987637</v>
      </c>
      <c r="Z216" s="1">
        <v>6.2</v>
      </c>
      <c r="AA216" s="1">
        <v>6.7728049527</v>
      </c>
      <c r="AB216" s="1">
        <v>66681.0</v>
      </c>
      <c r="AC216" s="1">
        <v>47.7817701839999</v>
      </c>
      <c r="AD216" s="1">
        <v>74.3350283589999</v>
      </c>
      <c r="AE216" s="1">
        <v>19.057191678</v>
      </c>
      <c r="AF216" s="1">
        <v>0.4935002407</v>
      </c>
      <c r="AG216" s="1">
        <v>1.2638420799</v>
      </c>
      <c r="AH216" s="1">
        <v>1.4213208153</v>
      </c>
      <c r="AI216" s="1">
        <v>0.1996068047</v>
      </c>
      <c r="AJ216" s="1">
        <v>9.6734071578</v>
      </c>
      <c r="AK216" s="1">
        <v>84.924169475</v>
      </c>
      <c r="AL216" s="1">
        <v>1.0603872627</v>
      </c>
      <c r="AM216" s="1">
        <v>50.930829722</v>
      </c>
      <c r="AN216" s="1">
        <v>42.134785954</v>
      </c>
      <c r="AO216" s="1">
        <v>33385.0</v>
      </c>
      <c r="AP216" s="1">
        <v>12.1</v>
      </c>
      <c r="AQ216" s="1">
        <v>8.8</v>
      </c>
      <c r="AR216" s="1">
        <v>6.7</v>
      </c>
      <c r="AS216" s="1">
        <v>23.4</v>
      </c>
      <c r="AT216" s="1">
        <v>17.8</v>
      </c>
      <c r="AU216" s="1">
        <v>14.8</v>
      </c>
      <c r="AV216" s="1">
        <v>14.4</v>
      </c>
      <c r="AW216" s="1">
        <v>1.4</v>
      </c>
      <c r="AX216" s="1">
        <v>0.2197</v>
      </c>
      <c r="AY216" s="1">
        <v>9.4</v>
      </c>
      <c r="AZ216" s="1">
        <v>10.7</v>
      </c>
      <c r="BA216" s="1">
        <v>15.9</v>
      </c>
      <c r="BB216" s="1">
        <v>4.8</v>
      </c>
      <c r="BC216" s="1" t="s">
        <v>419</v>
      </c>
      <c r="BD216" s="1">
        <v>5.6</v>
      </c>
      <c r="BE216" s="1">
        <v>18.4</v>
      </c>
      <c r="BF216" s="1">
        <v>38.8</v>
      </c>
      <c r="BG216" s="1">
        <v>37.2</v>
      </c>
      <c r="BH216" s="1" t="s">
        <v>474</v>
      </c>
    </row>
    <row r="217">
      <c r="A217" s="2">
        <v>6059.0</v>
      </c>
      <c r="B217" s="2" t="str">
        <f>IFERROR(__xludf.DUMMYFUNCTION("TO_TEXT(A217)"),"06059")</f>
        <v>06059</v>
      </c>
      <c r="C217" s="1">
        <v>3132211.0</v>
      </c>
      <c r="D217" s="1">
        <v>790.621952662396</v>
      </c>
      <c r="E217" s="1" t="s">
        <v>475</v>
      </c>
      <c r="F217" s="1" t="s">
        <v>476</v>
      </c>
      <c r="G217" s="1">
        <v>3961.70507213007</v>
      </c>
      <c r="H217" s="1">
        <v>13.902377773</v>
      </c>
      <c r="I217" s="1">
        <v>3.2749558627</v>
      </c>
      <c r="J217" s="1">
        <v>6.2071432377</v>
      </c>
      <c r="K217" s="1">
        <v>9.311197445</v>
      </c>
      <c r="L217" s="1">
        <v>19.4</v>
      </c>
      <c r="M217" s="1">
        <v>8.9</v>
      </c>
      <c r="N217" s="1">
        <v>15.2</v>
      </c>
      <c r="O217" s="1">
        <v>99.704707145</v>
      </c>
      <c r="P217" s="1">
        <v>8.3365759293</v>
      </c>
      <c r="Q217" s="1">
        <v>97.41725</v>
      </c>
      <c r="R217" s="1">
        <v>89.183238806</v>
      </c>
      <c r="S217" s="1">
        <v>13.3</v>
      </c>
      <c r="T217" s="1">
        <v>706436.0</v>
      </c>
      <c r="U217" s="1">
        <v>25.323313081</v>
      </c>
      <c r="V217" s="1">
        <v>213.58280579</v>
      </c>
      <c r="W217" s="1">
        <v>27.0326742119999</v>
      </c>
      <c r="X217" s="1">
        <v>19.97259728</v>
      </c>
      <c r="Y217" s="1">
        <v>83.105149802</v>
      </c>
      <c r="Z217" s="1">
        <v>8.5</v>
      </c>
      <c r="AA217" s="1">
        <v>0.891139213499999</v>
      </c>
      <c r="AB217" s="1">
        <v>89373.0</v>
      </c>
      <c r="AC217" s="1">
        <v>49.247201397</v>
      </c>
      <c r="AD217" s="1">
        <v>57.369671621</v>
      </c>
      <c r="AE217" s="1">
        <v>20.168744381</v>
      </c>
      <c r="AF217" s="1">
        <v>1.6403805688</v>
      </c>
      <c r="AG217" s="1">
        <v>1.0328101224</v>
      </c>
      <c r="AH217" s="1">
        <v>21.382575092</v>
      </c>
      <c r="AI217" s="1">
        <v>0.3893008342</v>
      </c>
      <c r="AJ217" s="1">
        <v>34.157624935</v>
      </c>
      <c r="AK217" s="1">
        <v>40.128431924</v>
      </c>
      <c r="AL217" s="1">
        <v>10.249305431</v>
      </c>
      <c r="AM217" s="1">
        <v>50.633496633</v>
      </c>
      <c r="AN217" s="1">
        <v>0.1433444333</v>
      </c>
      <c r="AO217" s="1">
        <v>35939.0</v>
      </c>
      <c r="AP217" s="1">
        <v>12.5</v>
      </c>
      <c r="AQ217" s="1">
        <v>6.8</v>
      </c>
      <c r="AR217" s="1">
        <v>15.5</v>
      </c>
      <c r="AS217" s="1">
        <v>13.2</v>
      </c>
      <c r="AT217" s="1">
        <v>23.0</v>
      </c>
      <c r="AU217" s="1">
        <v>8.5</v>
      </c>
      <c r="AV217" s="1">
        <v>58.0</v>
      </c>
      <c r="AW217" s="1">
        <v>10.8</v>
      </c>
      <c r="AX217" s="1">
        <v>0.4425</v>
      </c>
      <c r="AY217" s="1">
        <v>9.5</v>
      </c>
      <c r="AZ217" s="1">
        <v>8.5</v>
      </c>
      <c r="BA217" s="1">
        <v>11.2</v>
      </c>
      <c r="BB217" s="1">
        <v>3.52</v>
      </c>
      <c r="BC217" s="1" t="s">
        <v>419</v>
      </c>
      <c r="BD217" s="1">
        <v>14.5</v>
      </c>
      <c r="BE217" s="1">
        <v>17.2</v>
      </c>
      <c r="BF217" s="1">
        <v>27.7</v>
      </c>
      <c r="BG217" s="1">
        <v>40.6</v>
      </c>
      <c r="BH217" s="1" t="s">
        <v>476</v>
      </c>
    </row>
    <row r="218">
      <c r="A218" s="2">
        <v>6061.0</v>
      </c>
      <c r="B218" s="2" t="str">
        <f>IFERROR(__xludf.DUMMYFUNCTION("TO_TEXT(A218)"),"06061")</f>
        <v>06061</v>
      </c>
      <c r="C218" s="1">
        <v>370571.0</v>
      </c>
      <c r="D218" s="1">
        <v>1407.084278885</v>
      </c>
      <c r="E218" s="1" t="s">
        <v>477</v>
      </c>
      <c r="F218" s="1" t="s">
        <v>478</v>
      </c>
      <c r="G218" s="1">
        <v>263.360912747634</v>
      </c>
      <c r="H218" s="1">
        <v>10.64040164</v>
      </c>
      <c r="I218" s="1">
        <v>3.5038457879</v>
      </c>
      <c r="J218" s="1">
        <v>5.6916873449</v>
      </c>
      <c r="K218" s="1">
        <v>9.7846207167</v>
      </c>
      <c r="L218" s="1">
        <v>20.8</v>
      </c>
      <c r="M218" s="1">
        <v>8.5</v>
      </c>
      <c r="N218" s="1">
        <v>15.2</v>
      </c>
      <c r="O218" s="1">
        <v>93.943725031</v>
      </c>
      <c r="P218" s="1">
        <v>4.27167781459999</v>
      </c>
      <c r="Q218" s="1">
        <v>123.52201</v>
      </c>
      <c r="R218" s="1">
        <v>90.475376197</v>
      </c>
      <c r="S218" s="1">
        <v>7.2</v>
      </c>
      <c r="T218" s="1">
        <v>85099.0</v>
      </c>
      <c r="U218" s="1">
        <v>20.364516622</v>
      </c>
      <c r="V218" s="1">
        <v>161.99867528</v>
      </c>
      <c r="W218" s="1">
        <v>18.1269655529999</v>
      </c>
      <c r="X218" s="1">
        <v>16.09169902</v>
      </c>
      <c r="Y218" s="1">
        <v>82.198294917</v>
      </c>
      <c r="Z218" s="1">
        <v>6.7</v>
      </c>
      <c r="AA218" s="1">
        <v>3.0248215663</v>
      </c>
      <c r="AB218" s="1">
        <v>89175.0</v>
      </c>
      <c r="AC218" s="1">
        <v>26.800172972</v>
      </c>
      <c r="AD218" s="1">
        <v>71.590561705</v>
      </c>
      <c r="AE218" s="1">
        <v>15.7145980609999</v>
      </c>
      <c r="AF218" s="1">
        <v>1.6383101572</v>
      </c>
      <c r="AG218" s="1">
        <v>1.0708408263</v>
      </c>
      <c r="AH218" s="1">
        <v>8.0424978825</v>
      </c>
      <c r="AI218" s="1">
        <v>0.2655481764</v>
      </c>
      <c r="AJ218" s="1">
        <v>14.2505767529999</v>
      </c>
      <c r="AK218" s="1">
        <v>72.059193843</v>
      </c>
      <c r="AL218" s="1">
        <v>1.7937356846</v>
      </c>
      <c r="AM218" s="1">
        <v>51.126163363</v>
      </c>
      <c r="AN218" s="1">
        <v>13.787195206</v>
      </c>
      <c r="AO218" s="1">
        <v>37914.0</v>
      </c>
      <c r="AP218" s="1">
        <v>8.7</v>
      </c>
      <c r="AQ218" s="1">
        <v>7.0</v>
      </c>
      <c r="AR218" s="1">
        <v>5.8</v>
      </c>
      <c r="AS218" s="1">
        <v>17.9</v>
      </c>
      <c r="AT218" s="1">
        <v>23.0</v>
      </c>
      <c r="AU218" s="1">
        <v>11.0</v>
      </c>
      <c r="AV218" s="1">
        <v>25.7</v>
      </c>
      <c r="AW218" s="1">
        <v>2.0</v>
      </c>
      <c r="AX218" s="1">
        <v>0.1834</v>
      </c>
      <c r="AY218" s="1">
        <v>6.6</v>
      </c>
      <c r="AZ218" s="1">
        <v>8.3</v>
      </c>
      <c r="BA218" s="1">
        <v>11.6</v>
      </c>
      <c r="BB218" s="1">
        <v>3.8</v>
      </c>
      <c r="BC218" s="1" t="s">
        <v>419</v>
      </c>
      <c r="BD218" s="1">
        <v>5.5</v>
      </c>
      <c r="BE218" s="1">
        <v>18.0</v>
      </c>
      <c r="BF218" s="1">
        <v>36.8</v>
      </c>
      <c r="BG218" s="1">
        <v>39.7</v>
      </c>
      <c r="BH218" s="1" t="s">
        <v>478</v>
      </c>
    </row>
    <row r="219">
      <c r="A219" s="2">
        <v>6063.0</v>
      </c>
      <c r="B219" s="2" t="str">
        <f>IFERROR(__xludf.DUMMYFUNCTION("TO_TEXT(A219)"),"06063")</f>
        <v>06063</v>
      </c>
      <c r="C219" s="1">
        <v>18754.0</v>
      </c>
      <c r="D219" s="1">
        <v>2553.06124819929</v>
      </c>
      <c r="E219" s="1" t="s">
        <v>479</v>
      </c>
      <c r="F219" s="1" t="s">
        <v>480</v>
      </c>
      <c r="G219" s="1">
        <v>7.34569137862535</v>
      </c>
      <c r="H219" s="1">
        <v>13.761088815</v>
      </c>
      <c r="I219" s="1">
        <v>4.0742319898</v>
      </c>
      <c r="J219" s="1">
        <v>9.3357271095</v>
      </c>
      <c r="K219" s="1">
        <v>11.489555607</v>
      </c>
      <c r="L219" s="1">
        <v>26.9</v>
      </c>
      <c r="M219" s="1">
        <v>7.6</v>
      </c>
      <c r="N219" s="1">
        <v>23.5</v>
      </c>
      <c r="O219" s="1">
        <v>97.950717249</v>
      </c>
      <c r="P219" s="1">
        <v>6.904315197</v>
      </c>
      <c r="Q219" s="1">
        <v>85.36976</v>
      </c>
      <c r="R219" s="1">
        <v>80.722891566</v>
      </c>
      <c r="S219" s="1">
        <v>19.6</v>
      </c>
      <c r="T219" s="1">
        <v>3054.0</v>
      </c>
      <c r="U219" s="1">
        <v>35.003274394</v>
      </c>
      <c r="V219" s="1">
        <v>574.82224099</v>
      </c>
      <c r="W219" s="1">
        <v>18.268656716</v>
      </c>
      <c r="X219" s="1">
        <v>16.395418927</v>
      </c>
      <c r="Y219" s="1">
        <v>78.494120467</v>
      </c>
      <c r="Z219" s="1">
        <v>11.0</v>
      </c>
      <c r="AA219" s="1">
        <v>2.3366251543</v>
      </c>
      <c r="AB219" s="1">
        <v>55079.0</v>
      </c>
      <c r="AC219" s="1">
        <v>54.937413074</v>
      </c>
      <c r="AD219" s="1">
        <v>72.921585684</v>
      </c>
      <c r="AE219" s="1">
        <v>15.713371721</v>
      </c>
      <c r="AF219" s="1">
        <v>0.9519251223</v>
      </c>
      <c r="AG219" s="1">
        <v>3.1429483089</v>
      </c>
      <c r="AH219" s="1">
        <v>1.16464582</v>
      </c>
      <c r="AI219" s="1">
        <v>0.1489044884</v>
      </c>
      <c r="AJ219" s="1">
        <v>9.1788981068</v>
      </c>
      <c r="AK219" s="1">
        <v>83.391831525</v>
      </c>
      <c r="AL219" s="1">
        <v>0.9417040359</v>
      </c>
      <c r="AM219" s="1">
        <v>50.223356733</v>
      </c>
      <c r="AN219" s="1">
        <v>74.024091568</v>
      </c>
      <c r="AO219" s="1">
        <v>31292.0</v>
      </c>
      <c r="AP219" s="1">
        <v>12.8</v>
      </c>
      <c r="AQ219" s="1">
        <v>11.8</v>
      </c>
      <c r="AR219" s="1">
        <v>8.1</v>
      </c>
      <c r="AS219" s="1">
        <v>24.9</v>
      </c>
      <c r="AT219" s="1">
        <v>16.6</v>
      </c>
      <c r="AU219" s="1">
        <v>20.5</v>
      </c>
      <c r="AV219" s="1">
        <v>16.3</v>
      </c>
      <c r="AW219" s="1">
        <v>1.0</v>
      </c>
      <c r="AX219" s="1">
        <v>0.3906</v>
      </c>
      <c r="AY219" s="1">
        <v>13.2</v>
      </c>
      <c r="AZ219" s="1">
        <v>13.6</v>
      </c>
      <c r="BA219" s="1">
        <v>20.3</v>
      </c>
      <c r="BB219" s="1">
        <v>3.48</v>
      </c>
      <c r="BC219" s="1" t="s">
        <v>419</v>
      </c>
      <c r="BD219" s="1">
        <v>4.9</v>
      </c>
      <c r="BE219" s="1">
        <v>26.1</v>
      </c>
      <c r="BF219" s="1">
        <v>45.3</v>
      </c>
      <c r="BG219" s="1">
        <v>23.7</v>
      </c>
      <c r="BH219" s="1" t="s">
        <v>480</v>
      </c>
    </row>
    <row r="220">
      <c r="A220" s="2">
        <v>6065.0</v>
      </c>
      <c r="B220" s="2" t="str">
        <f>IFERROR(__xludf.DUMMYFUNCTION("TO_TEXT(A220)"),"06065")</f>
        <v>06065</v>
      </c>
      <c r="C220" s="1">
        <v>2323892.0</v>
      </c>
      <c r="D220" s="1">
        <v>7206.2875542024</v>
      </c>
      <c r="E220" s="1" t="s">
        <v>481</v>
      </c>
      <c r="F220" s="1" t="s">
        <v>482</v>
      </c>
      <c r="G220" s="1">
        <v>322.481164194566</v>
      </c>
      <c r="H220" s="1">
        <v>17.059475739</v>
      </c>
      <c r="I220" s="1">
        <v>4.1359703838</v>
      </c>
      <c r="J220" s="1">
        <v>6.7514905239</v>
      </c>
      <c r="K220" s="1">
        <v>12.499944322</v>
      </c>
      <c r="L220" s="1">
        <v>27.1</v>
      </c>
      <c r="M220" s="1">
        <v>8.3</v>
      </c>
      <c r="N220" s="1">
        <v>20.7</v>
      </c>
      <c r="O220" s="1">
        <v>88.920466871</v>
      </c>
      <c r="P220" s="1">
        <v>8.9320239584</v>
      </c>
      <c r="Q220" s="1">
        <v>42.50462</v>
      </c>
      <c r="R220" s="1">
        <v>88.8753564639999</v>
      </c>
      <c r="S220" s="1">
        <v>17.1</v>
      </c>
      <c r="T220" s="1">
        <v>609312.0</v>
      </c>
      <c r="U220" s="1">
        <v>29.909964025</v>
      </c>
      <c r="V220" s="1">
        <v>291.24456001</v>
      </c>
      <c r="W220" s="1">
        <v>25.805743112</v>
      </c>
      <c r="X220" s="1">
        <v>19.865646442</v>
      </c>
      <c r="Y220" s="1">
        <v>80.902895316</v>
      </c>
      <c r="Z220" s="1">
        <v>9.4</v>
      </c>
      <c r="AA220" s="1">
        <v>6.8481932673</v>
      </c>
      <c r="AB220" s="1">
        <v>66793.0</v>
      </c>
      <c r="AC220" s="1">
        <v>65.231463319</v>
      </c>
      <c r="AD220" s="1">
        <v>65.762046025</v>
      </c>
      <c r="AE220" s="1">
        <v>20.227802367</v>
      </c>
      <c r="AF220" s="1">
        <v>6.1750691011</v>
      </c>
      <c r="AG220" s="1">
        <v>1.9125103335</v>
      </c>
      <c r="AH220" s="1">
        <v>7.0873990822</v>
      </c>
      <c r="AI220" s="1">
        <v>0.4490447445</v>
      </c>
      <c r="AJ220" s="1">
        <v>49.553852318</v>
      </c>
      <c r="AK220" s="1">
        <v>34.709138968</v>
      </c>
      <c r="AL220" s="1">
        <v>8.1371406179</v>
      </c>
      <c r="AM220" s="1">
        <v>50.163378024</v>
      </c>
      <c r="AN220" s="1">
        <v>4.6223102326</v>
      </c>
      <c r="AO220" s="1">
        <v>24443.0</v>
      </c>
      <c r="AP220" s="1">
        <v>16.5</v>
      </c>
      <c r="AQ220" s="1">
        <v>11.3</v>
      </c>
      <c r="AR220" s="1">
        <v>19.5</v>
      </c>
      <c r="AS220" s="1">
        <v>13.2</v>
      </c>
      <c r="AT220" s="1">
        <v>26.4</v>
      </c>
      <c r="AU220" s="1">
        <v>11.3</v>
      </c>
      <c r="AV220" s="1">
        <v>62.8</v>
      </c>
      <c r="AW220" s="1">
        <v>8.3</v>
      </c>
      <c r="AX220" s="1">
        <v>0.8214</v>
      </c>
      <c r="AY220" s="1">
        <v>11.3</v>
      </c>
      <c r="AZ220" s="1">
        <v>10.0</v>
      </c>
      <c r="BA220" s="1">
        <v>14.6</v>
      </c>
      <c r="BB220" s="1">
        <v>3.15</v>
      </c>
      <c r="BC220" s="1" t="s">
        <v>419</v>
      </c>
      <c r="BD220" s="1">
        <v>18.0</v>
      </c>
      <c r="BE220" s="1">
        <v>26.9</v>
      </c>
      <c r="BF220" s="1">
        <v>32.9</v>
      </c>
      <c r="BG220" s="1">
        <v>22.3</v>
      </c>
      <c r="BH220" s="1" t="s">
        <v>482</v>
      </c>
    </row>
    <row r="221">
      <c r="A221" s="2">
        <v>6067.0</v>
      </c>
      <c r="B221" s="2" t="str">
        <f>IFERROR(__xludf.DUMMYFUNCTION("TO_TEXT(A221)"),"06067")</f>
        <v>06067</v>
      </c>
      <c r="C221" s="1">
        <v>1479300.0</v>
      </c>
      <c r="D221" s="1">
        <v>964.939792890934</v>
      </c>
      <c r="E221" s="1" t="s">
        <v>483</v>
      </c>
      <c r="F221" s="1" t="s">
        <v>484</v>
      </c>
      <c r="G221" s="1">
        <v>1533.04901600965</v>
      </c>
      <c r="H221" s="1">
        <v>15.80089097</v>
      </c>
      <c r="I221" s="1">
        <v>3.9607701234</v>
      </c>
      <c r="J221" s="1">
        <v>6.88890194809999</v>
      </c>
      <c r="K221" s="1">
        <v>11.550028552</v>
      </c>
      <c r="L221" s="1">
        <v>28.9</v>
      </c>
      <c r="M221" s="1">
        <v>7.6</v>
      </c>
      <c r="N221" s="1">
        <v>18.7</v>
      </c>
      <c r="O221" s="1">
        <v>97.365850289</v>
      </c>
      <c r="P221" s="1">
        <v>6.41593717909999</v>
      </c>
      <c r="Q221" s="1">
        <v>85.32518</v>
      </c>
      <c r="R221" s="1">
        <v>81.033849383</v>
      </c>
      <c r="S221" s="1">
        <v>20.5</v>
      </c>
      <c r="T221" s="1">
        <v>358977.0</v>
      </c>
      <c r="U221" s="1">
        <v>33.393782889</v>
      </c>
      <c r="V221" s="1">
        <v>508.24109624</v>
      </c>
      <c r="W221" s="1">
        <v>22.533114624</v>
      </c>
      <c r="X221" s="1">
        <v>18.63432269</v>
      </c>
      <c r="Y221" s="1">
        <v>79.62220315</v>
      </c>
      <c r="Z221" s="1">
        <v>9.5</v>
      </c>
      <c r="AA221" s="1">
        <v>4.4226307989</v>
      </c>
      <c r="AB221" s="1">
        <v>69475.0</v>
      </c>
      <c r="AC221" s="1">
        <v>60.262044073</v>
      </c>
      <c r="AD221" s="1">
        <v>55.9824188619999</v>
      </c>
      <c r="AE221" s="1">
        <v>18.379261714</v>
      </c>
      <c r="AF221" s="1">
        <v>9.7640779377</v>
      </c>
      <c r="AG221" s="1">
        <v>1.5401937085</v>
      </c>
      <c r="AH221" s="1">
        <v>16.921883872</v>
      </c>
      <c r="AI221" s="1">
        <v>1.2800986388</v>
      </c>
      <c r="AJ221" s="1">
        <v>23.447362871</v>
      </c>
      <c r="AK221" s="1">
        <v>44.221223576</v>
      </c>
      <c r="AL221" s="1">
        <v>6.5813547776</v>
      </c>
      <c r="AM221" s="1">
        <v>51.136650497</v>
      </c>
      <c r="AN221" s="1">
        <v>2.062112169</v>
      </c>
      <c r="AO221" s="1">
        <v>28292.0</v>
      </c>
      <c r="AP221" s="1">
        <v>17.9</v>
      </c>
      <c r="AQ221" s="1">
        <v>10.2</v>
      </c>
      <c r="AR221" s="1">
        <v>13.2</v>
      </c>
      <c r="AS221" s="1">
        <v>12.8</v>
      </c>
      <c r="AT221" s="1">
        <v>24.4</v>
      </c>
      <c r="AU221" s="1">
        <v>12.7</v>
      </c>
      <c r="AV221" s="1">
        <v>53.6</v>
      </c>
      <c r="AW221" s="1">
        <v>6.9</v>
      </c>
      <c r="AX221" s="1">
        <v>0.7797</v>
      </c>
      <c r="AY221" s="1">
        <v>12.6</v>
      </c>
      <c r="AZ221" s="1">
        <v>11.9</v>
      </c>
      <c r="BA221" s="1">
        <v>16.9</v>
      </c>
      <c r="BB221" s="1">
        <v>3.33</v>
      </c>
      <c r="BC221" s="1" t="s">
        <v>419</v>
      </c>
      <c r="BD221" s="1">
        <v>12.3</v>
      </c>
      <c r="BE221" s="1">
        <v>22.4</v>
      </c>
      <c r="BF221" s="1">
        <v>34.5</v>
      </c>
      <c r="BG221" s="1">
        <v>30.9</v>
      </c>
      <c r="BH221" s="1" t="s">
        <v>484</v>
      </c>
    </row>
    <row r="222">
      <c r="A222" s="2">
        <v>6069.0</v>
      </c>
      <c r="B222" s="2" t="str">
        <f>IFERROR(__xludf.DUMMYFUNCTION("TO_TEXT(A222)"),"06069")</f>
        <v>06069</v>
      </c>
      <c r="C222" s="1">
        <v>58051.0</v>
      </c>
      <c r="D222" s="1">
        <v>1388.71441175178</v>
      </c>
      <c r="E222" s="1" t="s">
        <v>485</v>
      </c>
      <c r="F222" s="1" t="s">
        <v>486</v>
      </c>
      <c r="G222" s="1">
        <v>41.8019713115616</v>
      </c>
      <c r="H222" s="1">
        <v>17.459972888</v>
      </c>
      <c r="I222" s="1">
        <v>3.7660100579</v>
      </c>
      <c r="J222" s="1">
        <v>6.3615205586</v>
      </c>
      <c r="K222" s="1">
        <v>10.7831852659999</v>
      </c>
      <c r="L222" s="1">
        <v>32.3</v>
      </c>
      <c r="M222" s="1">
        <v>9.4</v>
      </c>
      <c r="N222" s="1">
        <v>28.2</v>
      </c>
      <c r="O222" s="1">
        <v>66.398885451</v>
      </c>
      <c r="P222" s="1">
        <v>8.10517703909999</v>
      </c>
      <c r="Q222" s="1">
        <v>31.5039</v>
      </c>
      <c r="R222" s="1">
        <v>90.2467685079999</v>
      </c>
      <c r="S222" s="1">
        <v>11.9</v>
      </c>
      <c r="T222" s="1">
        <v>15416.0</v>
      </c>
      <c r="U222" s="1">
        <v>30.539699014</v>
      </c>
      <c r="V222" s="1">
        <v>298.70306703</v>
      </c>
      <c r="W222" s="1">
        <v>23.9792984469999</v>
      </c>
      <c r="X222" s="1">
        <v>16.267666571</v>
      </c>
      <c r="Y222" s="1">
        <v>82.023633312</v>
      </c>
      <c r="Z222" s="1">
        <v>9.0</v>
      </c>
      <c r="AA222" s="1">
        <v>3.1299286389</v>
      </c>
      <c r="AB222" s="1">
        <v>80063.0</v>
      </c>
      <c r="AC222" s="1">
        <v>57.7398523989999</v>
      </c>
      <c r="AD222" s="1">
        <v>63.494926719</v>
      </c>
      <c r="AE222" s="1">
        <v>15.748936659</v>
      </c>
      <c r="AF222" s="1">
        <v>0.8758958025</v>
      </c>
      <c r="AG222" s="1">
        <v>3.0810731755</v>
      </c>
      <c r="AH222" s="1">
        <v>3.6108357573</v>
      </c>
      <c r="AI222" s="1">
        <v>0.437135382</v>
      </c>
      <c r="AJ222" s="1">
        <v>60.574938655</v>
      </c>
      <c r="AK222" s="1">
        <v>33.490420397</v>
      </c>
      <c r="AL222" s="1">
        <v>9.32737687789999</v>
      </c>
      <c r="AM222" s="1">
        <v>49.878934625</v>
      </c>
      <c r="AN222" s="1">
        <v>24.004414771</v>
      </c>
      <c r="AO222" s="1">
        <v>27848.0</v>
      </c>
      <c r="AP222" s="1">
        <v>10.8</v>
      </c>
      <c r="AQ222" s="1">
        <v>10.8</v>
      </c>
      <c r="AR222" s="1">
        <v>21.7</v>
      </c>
      <c r="AS222" s="1">
        <v>11.2</v>
      </c>
      <c r="AT222" s="1">
        <v>27.1</v>
      </c>
      <c r="AU222" s="1">
        <v>9.4</v>
      </c>
      <c r="AV222" s="1">
        <v>63.9</v>
      </c>
      <c r="AW222" s="1">
        <v>9.7</v>
      </c>
      <c r="AX222" s="1">
        <v>0.5677</v>
      </c>
      <c r="AY222" s="1">
        <v>10.4</v>
      </c>
      <c r="AZ222" s="1">
        <v>7.5</v>
      </c>
      <c r="BA222" s="1">
        <v>11.7</v>
      </c>
      <c r="BB222" s="1">
        <v>4.4</v>
      </c>
      <c r="BC222" s="1" t="s">
        <v>419</v>
      </c>
      <c r="BD222" s="1">
        <v>19.5</v>
      </c>
      <c r="BE222" s="1">
        <v>24.8</v>
      </c>
      <c r="BF222" s="1">
        <v>36.0</v>
      </c>
      <c r="BG222" s="1">
        <v>19.7</v>
      </c>
      <c r="BH222" s="1" t="s">
        <v>486</v>
      </c>
    </row>
    <row r="223">
      <c r="A223" s="2">
        <v>6071.0</v>
      </c>
      <c r="B223" s="2" t="str">
        <f>IFERROR(__xludf.DUMMYFUNCTION("TO_TEXT(A223)"),"06071")</f>
        <v>06071</v>
      </c>
      <c r="C223" s="1">
        <v>2106754.0</v>
      </c>
      <c r="D223" s="1">
        <v>20057.2732502486</v>
      </c>
      <c r="E223" s="1" t="s">
        <v>487</v>
      </c>
      <c r="F223" s="1" t="s">
        <v>488</v>
      </c>
      <c r="G223" s="1">
        <v>105.036909739158</v>
      </c>
      <c r="H223" s="1">
        <v>19.8375605809999</v>
      </c>
      <c r="I223" s="1">
        <v>3.8702234471</v>
      </c>
      <c r="J223" s="1">
        <v>7.3486325825</v>
      </c>
      <c r="K223" s="1">
        <v>12.628276552</v>
      </c>
      <c r="L223" s="1">
        <v>28.8</v>
      </c>
      <c r="M223" s="1">
        <v>8.1</v>
      </c>
      <c r="N223" s="1">
        <v>22.9</v>
      </c>
      <c r="O223" s="1">
        <v>84.34790513</v>
      </c>
      <c r="P223" s="1">
        <v>8.3338412857</v>
      </c>
      <c r="Q223" s="1">
        <v>58.49623</v>
      </c>
      <c r="R223" s="1">
        <v>83.376744186</v>
      </c>
      <c r="S223" s="1">
        <v>21.4</v>
      </c>
      <c r="T223" s="1">
        <v>567503.0</v>
      </c>
      <c r="U223" s="1">
        <v>35.895140642</v>
      </c>
      <c r="V223" s="1">
        <v>441.88442142</v>
      </c>
      <c r="W223" s="1">
        <v>27.033380728</v>
      </c>
      <c r="X223" s="1">
        <v>20.095009534</v>
      </c>
      <c r="Y223" s="1">
        <v>78.781471068</v>
      </c>
      <c r="Z223" s="1">
        <v>9.4</v>
      </c>
      <c r="AA223" s="1">
        <v>8.004312443</v>
      </c>
      <c r="AB223" s="1">
        <v>63310.0</v>
      </c>
      <c r="AC223" s="1">
        <v>71.677868</v>
      </c>
      <c r="AD223" s="1">
        <v>59.26426305</v>
      </c>
      <c r="AE223" s="1">
        <v>19.722297291</v>
      </c>
      <c r="AF223" s="1">
        <v>8.1435695198</v>
      </c>
      <c r="AG223" s="1">
        <v>2.0692087826</v>
      </c>
      <c r="AH223" s="1">
        <v>7.7551007251</v>
      </c>
      <c r="AI223" s="1">
        <v>0.4760999133</v>
      </c>
      <c r="AJ223" s="1">
        <v>53.96589524</v>
      </c>
      <c r="AK223" s="1">
        <v>27.940650294</v>
      </c>
      <c r="AL223" s="1">
        <v>8.0526676888</v>
      </c>
      <c r="AM223" s="1">
        <v>50.223406396</v>
      </c>
      <c r="AN223" s="1">
        <v>4.7344991426</v>
      </c>
      <c r="AO223" s="1">
        <v>21857.0</v>
      </c>
      <c r="AP223" s="1">
        <v>19.1</v>
      </c>
      <c r="AQ223" s="1">
        <v>11.0</v>
      </c>
      <c r="AR223" s="1">
        <v>21.2</v>
      </c>
      <c r="AS223" s="1">
        <v>10.4</v>
      </c>
      <c r="AT223" s="1">
        <v>27.4</v>
      </c>
      <c r="AU223" s="1">
        <v>10.9</v>
      </c>
      <c r="AV223" s="1">
        <v>69.5</v>
      </c>
      <c r="AW223" s="1">
        <v>8.4</v>
      </c>
      <c r="AX223" s="1">
        <v>0.9105</v>
      </c>
      <c r="AY223" s="1">
        <v>13.3</v>
      </c>
      <c r="AZ223" s="1">
        <v>10.7</v>
      </c>
      <c r="BA223" s="1">
        <v>15.5</v>
      </c>
      <c r="BB223" s="1">
        <v>3.1</v>
      </c>
      <c r="BC223" s="1" t="s">
        <v>419</v>
      </c>
      <c r="BD223" s="1">
        <v>20.0</v>
      </c>
      <c r="BE223" s="1">
        <v>26.3</v>
      </c>
      <c r="BF223" s="1">
        <v>32.7</v>
      </c>
      <c r="BG223" s="1">
        <v>21.0</v>
      </c>
      <c r="BH223" s="1" t="s">
        <v>488</v>
      </c>
    </row>
    <row r="224">
      <c r="A224" s="2">
        <v>6073.0</v>
      </c>
      <c r="B224" s="2" t="str">
        <f>IFERROR(__xludf.DUMMYFUNCTION("TO_TEXT(A224)"),"06073")</f>
        <v>06073</v>
      </c>
      <c r="C224" s="1">
        <v>3253356.0</v>
      </c>
      <c r="D224" s="1">
        <v>4206.63913232672</v>
      </c>
      <c r="E224" s="1" t="s">
        <v>489</v>
      </c>
      <c r="F224" s="1" t="s">
        <v>490</v>
      </c>
      <c r="G224" s="1">
        <v>773.386044692773</v>
      </c>
      <c r="H224" s="1">
        <v>14.458895214</v>
      </c>
      <c r="I224" s="1">
        <v>3.455539305</v>
      </c>
      <c r="J224" s="1">
        <v>6.55368961149999</v>
      </c>
      <c r="K224" s="1">
        <v>10.753175291</v>
      </c>
      <c r="L224" s="1">
        <v>20.3</v>
      </c>
      <c r="M224" s="1">
        <v>8.4</v>
      </c>
      <c r="N224" s="1">
        <v>14.4</v>
      </c>
      <c r="O224" s="1">
        <v>96.970257935</v>
      </c>
      <c r="P224" s="1">
        <v>8.4051288606</v>
      </c>
      <c r="Q224" s="1">
        <v>79.8158</v>
      </c>
      <c r="R224" s="1">
        <v>81.071011105</v>
      </c>
      <c r="S224" s="1">
        <v>14.9</v>
      </c>
      <c r="T224" s="1">
        <v>719779.0</v>
      </c>
      <c r="U224" s="1">
        <v>28.773415173</v>
      </c>
      <c r="V224" s="1">
        <v>327.71883112</v>
      </c>
      <c r="W224" s="1">
        <v>25.157959624</v>
      </c>
      <c r="X224" s="1">
        <v>20.176875659</v>
      </c>
      <c r="Y224" s="1">
        <v>82.20620368</v>
      </c>
      <c r="Z224" s="1">
        <v>7.1</v>
      </c>
      <c r="AA224" s="1">
        <v>3.0744401635</v>
      </c>
      <c r="AB224" s="1">
        <v>78777.0</v>
      </c>
      <c r="AC224" s="1">
        <v>51.547358239</v>
      </c>
      <c r="AD224" s="1">
        <v>53.074228315</v>
      </c>
      <c r="AE224" s="1">
        <v>20.512418473</v>
      </c>
      <c r="AF224" s="1">
        <v>4.7029279492</v>
      </c>
      <c r="AG224" s="1">
        <v>1.3170866229</v>
      </c>
      <c r="AH224" s="1">
        <v>12.58938602</v>
      </c>
      <c r="AI224" s="1">
        <v>0.5885688785</v>
      </c>
      <c r="AJ224" s="1">
        <v>33.958252826</v>
      </c>
      <c r="AK224" s="1">
        <v>45.2042314269999</v>
      </c>
      <c r="AL224" s="1">
        <v>7.0195582853</v>
      </c>
      <c r="AM224" s="1">
        <v>49.677959086</v>
      </c>
      <c r="AN224" s="1">
        <v>3.2970494422</v>
      </c>
      <c r="AO224" s="1">
        <v>32482.0</v>
      </c>
      <c r="AP224" s="1">
        <v>14.0</v>
      </c>
      <c r="AQ224" s="1">
        <v>7.8</v>
      </c>
      <c r="AR224" s="1">
        <v>13.6</v>
      </c>
      <c r="AS224" s="1">
        <v>12.7</v>
      </c>
      <c r="AT224" s="1">
        <v>22.4</v>
      </c>
      <c r="AU224" s="1">
        <v>9.9</v>
      </c>
      <c r="AV224" s="1">
        <v>53.3</v>
      </c>
      <c r="AW224" s="1">
        <v>7.5</v>
      </c>
      <c r="AX224" s="1">
        <v>0.5724</v>
      </c>
      <c r="AY224" s="1">
        <v>10.3</v>
      </c>
      <c r="AZ224" s="1">
        <v>9.6</v>
      </c>
      <c r="BA224" s="1">
        <v>12.6</v>
      </c>
      <c r="BB224" s="1">
        <v>3.52</v>
      </c>
      <c r="BC224" s="1" t="s">
        <v>419</v>
      </c>
      <c r="BD224" s="1">
        <v>12.6</v>
      </c>
      <c r="BE224" s="1">
        <v>18.2</v>
      </c>
      <c r="BF224" s="1">
        <v>30.4</v>
      </c>
      <c r="BG224" s="1">
        <v>38.8</v>
      </c>
      <c r="BH224" s="1" t="s">
        <v>490</v>
      </c>
    </row>
    <row r="225">
      <c r="A225" s="2">
        <v>6075.0</v>
      </c>
      <c r="B225" s="2" t="str">
        <f>IFERROR(__xludf.DUMMYFUNCTION("TO_TEXT(A225)"),"06075")</f>
        <v>06075</v>
      </c>
      <c r="C225" s="1">
        <v>850282.0</v>
      </c>
      <c r="D225" s="1">
        <v>46.894283662074</v>
      </c>
      <c r="E225" s="1" t="s">
        <v>491</v>
      </c>
      <c r="F225" s="1" t="s">
        <v>492</v>
      </c>
      <c r="G225" s="1">
        <v>18131.8901494953</v>
      </c>
      <c r="H225" s="1">
        <v>11.4775590959999</v>
      </c>
      <c r="I225" s="1">
        <v>3.3662375967</v>
      </c>
      <c r="J225" s="1">
        <v>6.9829415801</v>
      </c>
      <c r="K225" s="1">
        <v>10.326062381</v>
      </c>
      <c r="L225" s="1">
        <v>18.4</v>
      </c>
      <c r="M225" s="1">
        <v>8.2</v>
      </c>
      <c r="N225" s="1">
        <v>13.8</v>
      </c>
      <c r="O225" s="1">
        <v>100.0</v>
      </c>
      <c r="P225" s="1">
        <v>5.0078621127</v>
      </c>
      <c r="Q225" s="1">
        <v>154.46146</v>
      </c>
      <c r="R225" s="1">
        <v>71.394669587</v>
      </c>
      <c r="S225" s="1">
        <v>10.9</v>
      </c>
      <c r="T225" s="1">
        <v>115798.0</v>
      </c>
      <c r="U225" s="1">
        <v>24.97970604</v>
      </c>
      <c r="V225" s="1">
        <v>760.46400445</v>
      </c>
      <c r="W225" s="1">
        <v>24.854608389</v>
      </c>
      <c r="X225" s="1">
        <v>17.777081315</v>
      </c>
      <c r="Y225" s="1">
        <v>83.792757512</v>
      </c>
      <c r="Z225" s="1">
        <v>6.8</v>
      </c>
      <c r="AA225" s="1">
        <v>0.3219526811</v>
      </c>
      <c r="AB225" s="1">
        <v>110601.0</v>
      </c>
      <c r="AC225" s="1">
        <v>52.41871135</v>
      </c>
      <c r="AD225" s="1">
        <v>37.610551807</v>
      </c>
      <c r="AE225" s="1">
        <v>16.963322623</v>
      </c>
      <c r="AF225" s="1">
        <v>5.0342746843</v>
      </c>
      <c r="AG225" s="1">
        <v>0.7437974426</v>
      </c>
      <c r="AH225" s="1">
        <v>35.911038656</v>
      </c>
      <c r="AI225" s="1">
        <v>0.4545428816</v>
      </c>
      <c r="AJ225" s="1">
        <v>15.245470138</v>
      </c>
      <c r="AK225" s="1">
        <v>40.322878281</v>
      </c>
      <c r="AL225" s="1">
        <v>11.638060263</v>
      </c>
      <c r="AM225" s="1">
        <v>49.01387403</v>
      </c>
      <c r="AN225" s="1">
        <v>0.0</v>
      </c>
      <c r="AO225" s="1">
        <v>55567.0</v>
      </c>
      <c r="AP225" s="1">
        <v>12.5</v>
      </c>
      <c r="AQ225" s="1">
        <v>6.2</v>
      </c>
      <c r="AR225" s="1">
        <v>12.6</v>
      </c>
      <c r="AS225" s="1">
        <v>14.4</v>
      </c>
      <c r="AT225" s="1">
        <v>13.5</v>
      </c>
      <c r="AU225" s="1">
        <v>10.6</v>
      </c>
      <c r="AV225" s="1">
        <v>58.8</v>
      </c>
      <c r="AW225" s="1">
        <v>12.4</v>
      </c>
      <c r="AX225" s="1">
        <v>0.4088</v>
      </c>
      <c r="AY225" s="1">
        <v>9.5</v>
      </c>
      <c r="AZ225" s="1">
        <v>10.2</v>
      </c>
      <c r="BA225" s="1">
        <v>10.4</v>
      </c>
      <c r="BB225" s="1">
        <v>4.79</v>
      </c>
      <c r="BC225" s="1" t="s">
        <v>419</v>
      </c>
      <c r="BD225" s="1">
        <v>11.5</v>
      </c>
      <c r="BE225" s="1">
        <v>12.1</v>
      </c>
      <c r="BF225" s="1">
        <v>18.4</v>
      </c>
      <c r="BG225" s="1">
        <v>58.1</v>
      </c>
      <c r="BH225" s="1" t="s">
        <v>492</v>
      </c>
    </row>
    <row r="226">
      <c r="A226" s="2">
        <v>6077.0</v>
      </c>
      <c r="B226" s="2" t="str">
        <f>IFERROR(__xludf.DUMMYFUNCTION("TO_TEXT(A226)"),"06077")</f>
        <v>06077</v>
      </c>
      <c r="C226" s="1">
        <v>714860.0</v>
      </c>
      <c r="D226" s="1">
        <v>1392.390607041</v>
      </c>
      <c r="E226" s="1" t="s">
        <v>493</v>
      </c>
      <c r="F226" s="1" t="s">
        <v>494</v>
      </c>
      <c r="G226" s="1">
        <v>513.404784824831</v>
      </c>
      <c r="H226" s="1">
        <v>17.342112673</v>
      </c>
      <c r="I226" s="1">
        <v>3.7004825948</v>
      </c>
      <c r="J226" s="1">
        <v>7.2566599092</v>
      </c>
      <c r="K226" s="1">
        <v>11.706166224</v>
      </c>
      <c r="L226" s="1">
        <v>32.7</v>
      </c>
      <c r="M226" s="1">
        <v>7.9</v>
      </c>
      <c r="N226" s="1">
        <v>24.9</v>
      </c>
      <c r="O226" s="1">
        <v>85.658523346</v>
      </c>
      <c r="P226" s="1">
        <v>7.5756058325</v>
      </c>
      <c r="Q226" s="1">
        <v>58.08775</v>
      </c>
      <c r="R226" s="1">
        <v>81.727127346</v>
      </c>
      <c r="S226" s="1">
        <v>20.5</v>
      </c>
      <c r="T226" s="1">
        <v>199637.0</v>
      </c>
      <c r="U226" s="1">
        <v>32.863146611</v>
      </c>
      <c r="V226" s="1">
        <v>787.32183644</v>
      </c>
      <c r="W226" s="1">
        <v>25.058072664</v>
      </c>
      <c r="X226" s="1">
        <v>18.802600068</v>
      </c>
      <c r="Y226" s="1">
        <v>78.497259718</v>
      </c>
      <c r="Z226" s="1">
        <v>10.4</v>
      </c>
      <c r="AA226" s="1">
        <v>4.7694055595</v>
      </c>
      <c r="AB226" s="1">
        <v>63567.0</v>
      </c>
      <c r="AC226" s="1">
        <v>64.570199309</v>
      </c>
      <c r="AD226" s="1">
        <v>55.616225681</v>
      </c>
      <c r="AE226" s="1">
        <v>18.485011047</v>
      </c>
      <c r="AF226" s="1">
        <v>7.1065288444</v>
      </c>
      <c r="AG226" s="1">
        <v>1.9771211437</v>
      </c>
      <c r="AH226" s="1">
        <v>17.035580475</v>
      </c>
      <c r="AI226" s="1">
        <v>0.7987670396</v>
      </c>
      <c r="AJ226" s="1">
        <v>41.9274307119999</v>
      </c>
      <c r="AK226" s="1">
        <v>31.041771849</v>
      </c>
      <c r="AL226" s="1">
        <v>9.1300962929</v>
      </c>
      <c r="AM226" s="1">
        <v>50.158637366</v>
      </c>
      <c r="AN226" s="1">
        <v>8.47285738049999</v>
      </c>
      <c r="AO226" s="1">
        <v>23477.0</v>
      </c>
      <c r="AP226" s="1">
        <v>17.8</v>
      </c>
      <c r="AQ226" s="1">
        <v>11.9</v>
      </c>
      <c r="AR226" s="1">
        <v>22.0</v>
      </c>
      <c r="AS226" s="1">
        <v>11.7</v>
      </c>
      <c r="AT226" s="1">
        <v>27.9</v>
      </c>
      <c r="AU226" s="1">
        <v>12.2</v>
      </c>
      <c r="AV226" s="1">
        <v>66.1</v>
      </c>
      <c r="AW226" s="1">
        <v>9.5</v>
      </c>
      <c r="AX226" s="1">
        <v>0.9045</v>
      </c>
      <c r="AY226" s="1">
        <v>13.6</v>
      </c>
      <c r="AZ226" s="1">
        <v>12.4</v>
      </c>
      <c r="BA226" s="1">
        <v>17.9</v>
      </c>
      <c r="BB226" s="1">
        <v>3.26</v>
      </c>
      <c r="BC226" s="1" t="s">
        <v>419</v>
      </c>
      <c r="BD226" s="1">
        <v>20.7</v>
      </c>
      <c r="BE226" s="1">
        <v>28.3</v>
      </c>
      <c r="BF226" s="1">
        <v>32.2</v>
      </c>
      <c r="BG226" s="1">
        <v>18.8</v>
      </c>
      <c r="BH226" s="1" t="s">
        <v>494</v>
      </c>
    </row>
    <row r="227">
      <c r="A227" s="2">
        <v>6079.0</v>
      </c>
      <c r="B227" s="2" t="str">
        <f>IFERROR(__xludf.DUMMYFUNCTION("TO_TEXT(A227)"),"06079")</f>
        <v>06079</v>
      </c>
      <c r="C227" s="1">
        <v>278680.0</v>
      </c>
      <c r="D227" s="1">
        <v>3300.64713139637</v>
      </c>
      <c r="E227" s="1" t="s">
        <v>495</v>
      </c>
      <c r="F227" s="1" t="s">
        <v>496</v>
      </c>
      <c r="G227" s="1">
        <v>84.4319277117338</v>
      </c>
      <c r="H227" s="1">
        <v>13.155328644</v>
      </c>
      <c r="I227" s="1">
        <v>3.9509801624</v>
      </c>
      <c r="J227" s="1">
        <v>5.8966834616</v>
      </c>
      <c r="K227" s="1">
        <v>10.783296935</v>
      </c>
      <c r="L227" s="1">
        <v>25.5</v>
      </c>
      <c r="M227" s="1">
        <v>8.1</v>
      </c>
      <c r="N227" s="1">
        <v>15.0</v>
      </c>
      <c r="O227" s="1">
        <v>87.575518197</v>
      </c>
      <c r="P227" s="1">
        <v>7.2576262211</v>
      </c>
      <c r="Q227" s="1">
        <v>82.9202</v>
      </c>
      <c r="R227" s="1">
        <v>91.513917176</v>
      </c>
      <c r="S227" s="1">
        <v>10.8</v>
      </c>
      <c r="T227" s="1">
        <v>50015.0</v>
      </c>
      <c r="U227" s="1">
        <v>26.288113566</v>
      </c>
      <c r="V227" s="1">
        <v>408.22505811</v>
      </c>
      <c r="W227" s="1">
        <v>22.369618313</v>
      </c>
      <c r="X227" s="1">
        <v>18.957828405</v>
      </c>
      <c r="Y227" s="1">
        <v>81.495360687</v>
      </c>
      <c r="Z227" s="1">
        <v>8.0</v>
      </c>
      <c r="AA227" s="1">
        <v>4.4539683506</v>
      </c>
      <c r="AB227" s="1">
        <v>70626.0</v>
      </c>
      <c r="AC227" s="1">
        <v>44.739191797</v>
      </c>
      <c r="AD227" s="1">
        <v>60.7556234989999</v>
      </c>
      <c r="AE227" s="1">
        <v>19.075291539</v>
      </c>
      <c r="AF227" s="1">
        <v>1.7474736805</v>
      </c>
      <c r="AG227" s="1">
        <v>1.4013591071</v>
      </c>
      <c r="AH227" s="1">
        <v>3.9892961515</v>
      </c>
      <c r="AI227" s="1">
        <v>0.1866131474</v>
      </c>
      <c r="AJ227" s="1">
        <v>22.806943417</v>
      </c>
      <c r="AK227" s="1">
        <v>68.611316503</v>
      </c>
      <c r="AL227" s="1">
        <v>3.3750251868</v>
      </c>
      <c r="AM227" s="1">
        <v>49.2651667189999</v>
      </c>
      <c r="AN227" s="1">
        <v>16.596386994</v>
      </c>
      <c r="AO227" s="1">
        <v>32335.0</v>
      </c>
      <c r="AP227" s="1">
        <v>14.2</v>
      </c>
      <c r="AQ227" s="1">
        <v>5.5</v>
      </c>
      <c r="AR227" s="1">
        <v>9.9</v>
      </c>
      <c r="AS227" s="1">
        <v>17.6</v>
      </c>
      <c r="AT227" s="1">
        <v>18.2</v>
      </c>
      <c r="AU227" s="1">
        <v>11.0</v>
      </c>
      <c r="AV227" s="1">
        <v>30.3</v>
      </c>
      <c r="AW227" s="1">
        <v>3.9</v>
      </c>
      <c r="AX227" s="1">
        <v>0.377</v>
      </c>
      <c r="AY227" s="1">
        <v>11.6</v>
      </c>
      <c r="AZ227" s="1">
        <v>9.2</v>
      </c>
      <c r="BA227" s="1">
        <v>12.1</v>
      </c>
      <c r="BB227" s="1">
        <v>3.75</v>
      </c>
      <c r="BC227" s="1" t="s">
        <v>419</v>
      </c>
      <c r="BD227" s="1">
        <v>8.7</v>
      </c>
      <c r="BE227" s="1">
        <v>19.9</v>
      </c>
      <c r="BF227" s="1">
        <v>36.0</v>
      </c>
      <c r="BG227" s="1">
        <v>35.4</v>
      </c>
      <c r="BH227" s="1" t="s">
        <v>496</v>
      </c>
    </row>
    <row r="228">
      <c r="A228" s="2">
        <v>6081.0</v>
      </c>
      <c r="B228" s="2" t="str">
        <f>IFERROR(__xludf.DUMMYFUNCTION("TO_TEXT(A228)"),"06081")</f>
        <v>06081</v>
      </c>
      <c r="C228" s="1">
        <v>754748.0</v>
      </c>
      <c r="D228" s="1">
        <v>448.518848160021</v>
      </c>
      <c r="E228" s="1" t="s">
        <v>497</v>
      </c>
      <c r="F228" s="1" t="s">
        <v>498</v>
      </c>
      <c r="G228" s="1">
        <v>1682.75648413936</v>
      </c>
      <c r="H228" s="1">
        <v>12.261845994</v>
      </c>
      <c r="I228" s="1">
        <v>3.0787713515</v>
      </c>
      <c r="J228" s="1">
        <v>6.7309708534</v>
      </c>
      <c r="K228" s="1">
        <v>8.6133573373</v>
      </c>
      <c r="L228" s="1">
        <v>21.2</v>
      </c>
      <c r="M228" s="1">
        <v>9.1</v>
      </c>
      <c r="N228" s="1">
        <v>15.6</v>
      </c>
      <c r="O228" s="1">
        <v>99.742779953</v>
      </c>
      <c r="P228" s="1">
        <v>5.41008174179999</v>
      </c>
      <c r="Q228" s="1">
        <v>105.90996</v>
      </c>
      <c r="R228" s="1">
        <v>87.743243243</v>
      </c>
      <c r="S228" s="1">
        <v>7.0</v>
      </c>
      <c r="T228" s="1">
        <v>159676.0</v>
      </c>
      <c r="U228" s="1">
        <v>20.718830632</v>
      </c>
      <c r="V228" s="1">
        <v>209.11245996</v>
      </c>
      <c r="W228" s="1">
        <v>23.799854412</v>
      </c>
      <c r="X228" s="1">
        <v>17.576436072</v>
      </c>
      <c r="Y228" s="1">
        <v>84.742822397</v>
      </c>
      <c r="Z228" s="1">
        <v>7.6</v>
      </c>
      <c r="AA228" s="1">
        <v>1.0998050694</v>
      </c>
      <c r="AB228" s="1">
        <v>122930.0</v>
      </c>
      <c r="AC228" s="1">
        <v>34.205486844</v>
      </c>
      <c r="AD228" s="1">
        <v>59.878840626</v>
      </c>
      <c r="AE228" s="1">
        <v>17.69026173</v>
      </c>
      <c r="AF228" s="1">
        <v>2.2602966688</v>
      </c>
      <c r="AG228" s="1">
        <v>0.8792208383</v>
      </c>
      <c r="AH228" s="1">
        <v>30.142096953</v>
      </c>
      <c r="AI228" s="1">
        <v>1.50738423349999</v>
      </c>
      <c r="AJ228" s="1">
        <v>24.314367581</v>
      </c>
      <c r="AK228" s="1">
        <v>38.918321866</v>
      </c>
      <c r="AL228" s="1">
        <v>7.49112540909999</v>
      </c>
      <c r="AM228" s="1">
        <v>50.58014801</v>
      </c>
      <c r="AN228" s="1">
        <v>1.8910127483</v>
      </c>
      <c r="AO228" s="1">
        <v>50262.0</v>
      </c>
      <c r="AP228" s="1">
        <v>7.7</v>
      </c>
      <c r="AQ228" s="1">
        <v>5.6</v>
      </c>
      <c r="AR228" s="1">
        <v>11.4</v>
      </c>
      <c r="AS228" s="1">
        <v>14.6</v>
      </c>
      <c r="AT228" s="1">
        <v>21.5</v>
      </c>
      <c r="AU228" s="1">
        <v>8.3</v>
      </c>
      <c r="AV228" s="1">
        <v>59.6</v>
      </c>
      <c r="AW228" s="1">
        <v>8.0</v>
      </c>
      <c r="AX228" s="1">
        <v>0.2735</v>
      </c>
      <c r="AY228" s="1">
        <v>6.1</v>
      </c>
      <c r="AZ228" s="1">
        <v>6.8</v>
      </c>
      <c r="BA228" s="1">
        <v>7.7</v>
      </c>
      <c r="BB228" s="1">
        <v>3.98</v>
      </c>
      <c r="BC228" s="1" t="s">
        <v>419</v>
      </c>
      <c r="BD228" s="1">
        <v>10.4</v>
      </c>
      <c r="BE228" s="1">
        <v>14.9</v>
      </c>
      <c r="BF228" s="1">
        <v>23.8</v>
      </c>
      <c r="BG228" s="1">
        <v>51.0</v>
      </c>
      <c r="BH228" s="1" t="s">
        <v>498</v>
      </c>
    </row>
    <row r="229">
      <c r="A229" s="2">
        <v>6083.0</v>
      </c>
      <c r="B229" s="2" t="str">
        <f>IFERROR(__xludf.DUMMYFUNCTION("TO_TEXT(A229)"),"06083")</f>
        <v>06083</v>
      </c>
      <c r="C229" s="1">
        <v>439395.0</v>
      </c>
      <c r="D229" s="1">
        <v>2735.146798889</v>
      </c>
      <c r="E229" s="1" t="s">
        <v>499</v>
      </c>
      <c r="F229" s="1" t="s">
        <v>500</v>
      </c>
      <c r="G229" s="1">
        <v>160.647684496671</v>
      </c>
      <c r="H229" s="1">
        <v>17.130036044</v>
      </c>
      <c r="I229" s="1">
        <v>3.7143804397</v>
      </c>
      <c r="J229" s="1">
        <v>6.4721363416</v>
      </c>
      <c r="K229" s="1">
        <v>11.377310554</v>
      </c>
      <c r="L229" s="1">
        <v>24.6</v>
      </c>
      <c r="M229" s="1">
        <v>8.6</v>
      </c>
      <c r="N229" s="1">
        <v>16.4</v>
      </c>
      <c r="O229" s="1">
        <v>92.189811156</v>
      </c>
      <c r="P229" s="1">
        <v>10.508552834</v>
      </c>
      <c r="Q229" s="1">
        <v>76.31373</v>
      </c>
      <c r="R229" s="1">
        <v>87.432808156</v>
      </c>
      <c r="S229" s="1">
        <v>14.7</v>
      </c>
      <c r="T229" s="1">
        <v>98042.0</v>
      </c>
      <c r="U229" s="1">
        <v>32.39224006</v>
      </c>
      <c r="V229" s="1">
        <v>318.05052279</v>
      </c>
      <c r="W229" s="1">
        <v>29.325410696</v>
      </c>
      <c r="X229" s="1">
        <v>20.8141918159999</v>
      </c>
      <c r="Y229" s="1">
        <v>82.09976816</v>
      </c>
      <c r="Z229" s="1">
        <v>8.7</v>
      </c>
      <c r="AA229" s="1">
        <v>3.1294548622</v>
      </c>
      <c r="AB229" s="1">
        <v>75646.0</v>
      </c>
      <c r="AC229" s="1">
        <v>63.434175198</v>
      </c>
      <c r="AD229" s="1">
        <v>52.179191788</v>
      </c>
      <c r="AE229" s="1">
        <v>20.931400994</v>
      </c>
      <c r="AF229" s="1">
        <v>1.78555832009999</v>
      </c>
      <c r="AG229" s="1">
        <v>2.1539570955</v>
      </c>
      <c r="AH229" s="1">
        <v>6.0300944848</v>
      </c>
      <c r="AI229" s="1">
        <v>0.25507976</v>
      </c>
      <c r="AJ229" s="1">
        <v>45.8395572939999</v>
      </c>
      <c r="AK229" s="1">
        <v>44.065868357</v>
      </c>
      <c r="AL229" s="1">
        <v>10.966291269</v>
      </c>
      <c r="AM229" s="1">
        <v>49.9745816039999</v>
      </c>
      <c r="AN229" s="1">
        <v>5.0175161302</v>
      </c>
      <c r="AO229" s="1">
        <v>31098.0</v>
      </c>
      <c r="AP229" s="1">
        <v>15.9</v>
      </c>
      <c r="AQ229" s="1">
        <v>7.2</v>
      </c>
      <c r="AR229" s="1">
        <v>19.9</v>
      </c>
      <c r="AS229" s="1">
        <v>14.0</v>
      </c>
      <c r="AT229" s="1">
        <v>22.5</v>
      </c>
      <c r="AU229" s="1">
        <v>9.7</v>
      </c>
      <c r="AV229" s="1">
        <v>54.1</v>
      </c>
      <c r="AW229" s="1">
        <v>11.2</v>
      </c>
      <c r="AX229" s="1">
        <v>0.716</v>
      </c>
      <c r="AY229" s="1">
        <v>12.0</v>
      </c>
      <c r="AZ229" s="1">
        <v>9.5</v>
      </c>
      <c r="BA229" s="1">
        <v>12.7</v>
      </c>
      <c r="BB229" s="1">
        <v>3.44</v>
      </c>
      <c r="BC229" s="1" t="s">
        <v>419</v>
      </c>
      <c r="BD229" s="1">
        <v>19.1</v>
      </c>
      <c r="BE229" s="1">
        <v>17.8</v>
      </c>
      <c r="BF229" s="1">
        <v>29.0</v>
      </c>
      <c r="BG229" s="1">
        <v>34.2</v>
      </c>
      <c r="BH229" s="1" t="s">
        <v>500</v>
      </c>
    </row>
    <row r="230">
      <c r="A230" s="2">
        <v>6085.0</v>
      </c>
      <c r="B230" s="2" t="str">
        <f>IFERROR(__xludf.DUMMYFUNCTION("TO_TEXT(A230)"),"06085")</f>
        <v>06085</v>
      </c>
      <c r="C230" s="1">
        <v>1885056.0</v>
      </c>
      <c r="D230" s="1">
        <v>1291.20617752814</v>
      </c>
      <c r="E230" s="1" t="s">
        <v>501</v>
      </c>
      <c r="F230" s="1" t="s">
        <v>502</v>
      </c>
      <c r="G230" s="1">
        <v>1459.91866582354</v>
      </c>
      <c r="H230" s="1">
        <v>12.166326555</v>
      </c>
      <c r="I230" s="1">
        <v>2.8790731347</v>
      </c>
      <c r="J230" s="1">
        <v>6.9365345245</v>
      </c>
      <c r="K230" s="1">
        <v>8.2690140125</v>
      </c>
      <c r="L230" s="1">
        <v>19.4</v>
      </c>
      <c r="M230" s="1">
        <v>8.9</v>
      </c>
      <c r="N230" s="1">
        <v>15.9</v>
      </c>
      <c r="O230" s="1">
        <v>99.08792002</v>
      </c>
      <c r="P230" s="1">
        <v>5.1015067133</v>
      </c>
      <c r="Q230" s="1">
        <v>103.75858</v>
      </c>
      <c r="R230" s="1">
        <v>85.2392388689999</v>
      </c>
      <c r="S230" s="1">
        <v>7.1</v>
      </c>
      <c r="T230" s="1">
        <v>430153.0</v>
      </c>
      <c r="U230" s="1">
        <v>21.58580784</v>
      </c>
      <c r="V230" s="1">
        <v>264.08835127</v>
      </c>
      <c r="W230" s="1">
        <v>23.098407227</v>
      </c>
      <c r="X230" s="1">
        <v>16.384153468</v>
      </c>
      <c r="Y230" s="1">
        <v>84.63082824</v>
      </c>
      <c r="Z230" s="1">
        <v>7.6</v>
      </c>
      <c r="AA230" s="1">
        <v>0.992586698</v>
      </c>
      <c r="AB230" s="1">
        <v>125933.0</v>
      </c>
      <c r="AC230" s="1">
        <v>37.788365095</v>
      </c>
      <c r="AD230" s="1">
        <v>56.7496164589999</v>
      </c>
      <c r="AE230" s="1">
        <v>16.341506495</v>
      </c>
      <c r="AF230" s="1">
        <v>2.3580051301</v>
      </c>
      <c r="AG230" s="1">
        <v>1.1996985915</v>
      </c>
      <c r="AH230" s="1">
        <v>38.310615875</v>
      </c>
      <c r="AI230" s="1">
        <v>0.4626929608</v>
      </c>
      <c r="AJ230" s="1">
        <v>25.315472473</v>
      </c>
      <c r="AK230" s="1">
        <v>31.0494072469999</v>
      </c>
      <c r="AL230" s="1">
        <v>9.0297708027</v>
      </c>
      <c r="AM230" s="1">
        <v>49.376383821</v>
      </c>
      <c r="AN230" s="1">
        <v>1.0836632724</v>
      </c>
      <c r="AO230" s="1">
        <v>46034.0</v>
      </c>
      <c r="AP230" s="1">
        <v>9.3</v>
      </c>
      <c r="AQ230" s="1">
        <v>6.6</v>
      </c>
      <c r="AR230" s="1">
        <v>12.9</v>
      </c>
      <c r="AS230" s="1">
        <v>12.2</v>
      </c>
      <c r="AT230" s="1">
        <v>23.1</v>
      </c>
      <c r="AU230" s="1">
        <v>7.8</v>
      </c>
      <c r="AV230" s="1">
        <v>66.8</v>
      </c>
      <c r="AW230" s="1">
        <v>9.7</v>
      </c>
      <c r="AX230" s="1">
        <v>0.3852</v>
      </c>
      <c r="AY230" s="1">
        <v>6.1</v>
      </c>
      <c r="AZ230" s="1">
        <v>7.2</v>
      </c>
      <c r="BA230" s="1">
        <v>8.0</v>
      </c>
      <c r="BB230" s="1">
        <v>3.84</v>
      </c>
      <c r="BC230" s="1" t="s">
        <v>419</v>
      </c>
      <c r="BD230" s="1">
        <v>11.6</v>
      </c>
      <c r="BE230" s="1">
        <v>14.1</v>
      </c>
      <c r="BF230" s="1">
        <v>21.9</v>
      </c>
      <c r="BG230" s="1">
        <v>52.4</v>
      </c>
      <c r="BH230" s="1" t="s">
        <v>502</v>
      </c>
    </row>
    <row r="231">
      <c r="A231" s="2">
        <v>6087.0</v>
      </c>
      <c r="B231" s="2" t="str">
        <f>IFERROR(__xludf.DUMMYFUNCTION("TO_TEXT(A231)"),"06087")</f>
        <v>06087</v>
      </c>
      <c r="C231" s="1">
        <v>270931.0</v>
      </c>
      <c r="D231" s="1">
        <v>445.16299204766</v>
      </c>
      <c r="E231" s="1" t="s">
        <v>278</v>
      </c>
      <c r="F231" s="1" t="s">
        <v>503</v>
      </c>
      <c r="G231" s="1">
        <v>608.610789395973</v>
      </c>
      <c r="H231" s="1">
        <v>15.248519697</v>
      </c>
      <c r="I231" s="1">
        <v>3.9120409632</v>
      </c>
      <c r="J231" s="1">
        <v>5.782364547</v>
      </c>
      <c r="K231" s="1">
        <v>11.440834335</v>
      </c>
      <c r="L231" s="1">
        <v>19.0</v>
      </c>
      <c r="M231" s="1">
        <v>8.3</v>
      </c>
      <c r="N231" s="1">
        <v>11.4</v>
      </c>
      <c r="O231" s="1">
        <v>94.036176262</v>
      </c>
      <c r="P231" s="1">
        <v>7.3566808744</v>
      </c>
      <c r="Q231" s="1">
        <v>100.03733</v>
      </c>
      <c r="R231" s="1">
        <v>81.681775555</v>
      </c>
      <c r="S231" s="1">
        <v>14.5</v>
      </c>
      <c r="T231" s="1">
        <v>53093.0</v>
      </c>
      <c r="U231" s="1">
        <v>29.118716215</v>
      </c>
      <c r="V231" s="1">
        <v>409.52586412</v>
      </c>
      <c r="W231" s="1">
        <v>26.8304228909999</v>
      </c>
      <c r="X231" s="1">
        <v>21.464323749</v>
      </c>
      <c r="Y231" s="1">
        <v>82.825500041</v>
      </c>
      <c r="Z231" s="1">
        <v>6.9</v>
      </c>
      <c r="AA231" s="1">
        <v>3.8017652577</v>
      </c>
      <c r="AB231" s="1">
        <v>84213.0</v>
      </c>
      <c r="AC231" s="1">
        <v>50.7313102539999</v>
      </c>
      <c r="AD231" s="1">
        <v>59.393667238</v>
      </c>
      <c r="AE231" s="1">
        <v>21.449778664</v>
      </c>
      <c r="AF231" s="1">
        <v>0.9717233961</v>
      </c>
      <c r="AG231" s="1">
        <v>1.8566662413</v>
      </c>
      <c r="AH231" s="1">
        <v>5.187143352</v>
      </c>
      <c r="AI231" s="1">
        <v>0.2001786658</v>
      </c>
      <c r="AJ231" s="1">
        <v>34.069752603</v>
      </c>
      <c r="AK231" s="1">
        <v>56.856575085</v>
      </c>
      <c r="AL231" s="1">
        <v>7.8023376924</v>
      </c>
      <c r="AM231" s="1">
        <v>50.51138539</v>
      </c>
      <c r="AN231" s="1">
        <v>12.0393167209999</v>
      </c>
      <c r="AO231" s="1">
        <v>34732.0</v>
      </c>
      <c r="AP231" s="1">
        <v>15.1</v>
      </c>
      <c r="AQ231" s="1">
        <v>7.3</v>
      </c>
      <c r="AR231" s="1">
        <v>13.7</v>
      </c>
      <c r="AS231" s="1">
        <v>13.5</v>
      </c>
      <c r="AT231" s="1">
        <v>20.1</v>
      </c>
      <c r="AU231" s="1">
        <v>10.0</v>
      </c>
      <c r="AV231" s="1">
        <v>41.8</v>
      </c>
      <c r="AW231" s="1">
        <v>8.1</v>
      </c>
      <c r="AX231" s="1">
        <v>0.5148</v>
      </c>
      <c r="AY231" s="1">
        <v>10.6</v>
      </c>
      <c r="AZ231" s="1">
        <v>10.3</v>
      </c>
      <c r="BA231" s="1">
        <v>14.0</v>
      </c>
      <c r="BB231" s="1">
        <v>4.1</v>
      </c>
      <c r="BC231" s="1" t="s">
        <v>419</v>
      </c>
      <c r="BD231" s="1">
        <v>13.7</v>
      </c>
      <c r="BE231" s="1">
        <v>15.5</v>
      </c>
      <c r="BF231" s="1">
        <v>30.0</v>
      </c>
      <c r="BG231" s="1">
        <v>40.8</v>
      </c>
      <c r="BH231" s="1" t="s">
        <v>503</v>
      </c>
    </row>
    <row r="232">
      <c r="A232" s="2">
        <v>6089.0</v>
      </c>
      <c r="B232" s="2" t="str">
        <f>IFERROR(__xludf.DUMMYFUNCTION("TO_TEXT(A232)"),"06089")</f>
        <v>06089</v>
      </c>
      <c r="C232" s="1">
        <v>179228.0</v>
      </c>
      <c r="D232" s="1">
        <v>3775.37464354831</v>
      </c>
      <c r="E232" s="1" t="s">
        <v>504</v>
      </c>
      <c r="F232" s="1" t="s">
        <v>505</v>
      </c>
      <c r="G232" s="1">
        <v>47.4729045251921</v>
      </c>
      <c r="H232" s="1">
        <v>14.385074617</v>
      </c>
      <c r="I232" s="1">
        <v>4.2996385264</v>
      </c>
      <c r="J232" s="1">
        <v>6.3136738513</v>
      </c>
      <c r="K232" s="1">
        <v>13.963535044</v>
      </c>
      <c r="L232" s="1">
        <v>23.8</v>
      </c>
      <c r="M232" s="1">
        <v>6.9</v>
      </c>
      <c r="N232" s="1">
        <v>19.5</v>
      </c>
      <c r="O232" s="1">
        <v>77.944736293</v>
      </c>
      <c r="P232" s="1">
        <v>7.0985887624</v>
      </c>
      <c r="Q232" s="1">
        <v>72.25393</v>
      </c>
      <c r="R232" s="1">
        <v>86.939759036</v>
      </c>
      <c r="S232" s="1">
        <v>18.2</v>
      </c>
      <c r="T232" s="1">
        <v>38037.0</v>
      </c>
      <c r="U232" s="1">
        <v>32.831190683</v>
      </c>
      <c r="V232" s="1">
        <v>726.13674647</v>
      </c>
      <c r="W232" s="1">
        <v>21.881947931</v>
      </c>
      <c r="X232" s="1">
        <v>18.615821265</v>
      </c>
      <c r="Y232" s="1">
        <v>76.214676453</v>
      </c>
      <c r="Z232" s="1">
        <v>11.0</v>
      </c>
      <c r="AA232" s="1">
        <v>8.7774895389</v>
      </c>
      <c r="AB232" s="1">
        <v>53908.0</v>
      </c>
      <c r="AC232" s="1">
        <v>55.246650087</v>
      </c>
      <c r="AD232" s="1">
        <v>63.4583457489999</v>
      </c>
      <c r="AE232" s="1">
        <v>19.36331392</v>
      </c>
      <c r="AF232" s="1">
        <v>1.0508775828</v>
      </c>
      <c r="AG232" s="1">
        <v>3.1670739836</v>
      </c>
      <c r="AH232" s="1">
        <v>3.0798711397</v>
      </c>
      <c r="AI232" s="1">
        <v>0.2216174184</v>
      </c>
      <c r="AJ232" s="1">
        <v>10.309375694</v>
      </c>
      <c r="AK232" s="1">
        <v>79.557320595</v>
      </c>
      <c r="AL232" s="1">
        <v>1.2108088868</v>
      </c>
      <c r="AM232" s="1">
        <v>50.918129305</v>
      </c>
      <c r="AN232" s="1">
        <v>29.286266455</v>
      </c>
      <c r="AO232" s="1">
        <v>25094.0</v>
      </c>
      <c r="AP232" s="1">
        <v>17.5</v>
      </c>
      <c r="AQ232" s="1">
        <v>8.7</v>
      </c>
      <c r="AR232" s="1">
        <v>10.0</v>
      </c>
      <c r="AS232" s="1">
        <v>19.3</v>
      </c>
      <c r="AT232" s="1">
        <v>21.7</v>
      </c>
      <c r="AU232" s="1">
        <v>18.3</v>
      </c>
      <c r="AV232" s="1">
        <v>19.0</v>
      </c>
      <c r="AW232" s="1">
        <v>1.2</v>
      </c>
      <c r="AX232" s="1">
        <v>0.6807</v>
      </c>
      <c r="AY232" s="1">
        <v>13.3</v>
      </c>
      <c r="AZ232" s="1">
        <v>14.2</v>
      </c>
      <c r="BA232" s="1">
        <v>21.9</v>
      </c>
      <c r="BB232" s="1">
        <v>3.24</v>
      </c>
      <c r="BC232" s="1" t="s">
        <v>419</v>
      </c>
      <c r="BD232" s="1">
        <v>8.9</v>
      </c>
      <c r="BE232" s="1">
        <v>25.4</v>
      </c>
      <c r="BF232" s="1">
        <v>43.5</v>
      </c>
      <c r="BG232" s="1">
        <v>22.2</v>
      </c>
      <c r="BH232" s="1" t="s">
        <v>505</v>
      </c>
    </row>
    <row r="233">
      <c r="A233" s="2">
        <v>6091.0</v>
      </c>
      <c r="B233" s="2" t="str">
        <f>IFERROR(__xludf.DUMMYFUNCTION("TO_TEXT(A233)"),"06091")</f>
        <v>06091</v>
      </c>
      <c r="C233" s="1">
        <v>2931.0</v>
      </c>
      <c r="D233" s="1">
        <v>953.167917429873</v>
      </c>
      <c r="E233" s="1" t="s">
        <v>506</v>
      </c>
      <c r="F233" s="1" t="s">
        <v>507</v>
      </c>
      <c r="G233" s="1">
        <v>3.07500907909612</v>
      </c>
      <c r="H233" s="1">
        <v>13.772263772</v>
      </c>
      <c r="I233" s="1">
        <v>3.9954187376</v>
      </c>
      <c r="J233" s="1">
        <v>8.1395348837</v>
      </c>
      <c r="K233" s="1">
        <v>11.80830717</v>
      </c>
      <c r="L233" s="1">
        <v>24.7</v>
      </c>
      <c r="M233" s="1">
        <v>5.8</v>
      </c>
      <c r="N233" s="1">
        <v>28.5</v>
      </c>
      <c r="O233" s="1">
        <v>70.185185185</v>
      </c>
      <c r="P233" s="1">
        <v>7.844080847</v>
      </c>
      <c r="Q233" s="1">
        <v>33.34445</v>
      </c>
      <c r="R233" s="1">
        <v>100.0</v>
      </c>
      <c r="S233" s="1">
        <v>18.0</v>
      </c>
      <c r="T233" s="1">
        <v>441.0</v>
      </c>
      <c r="U233" s="1">
        <v>38.775510204</v>
      </c>
      <c r="V233" s="1">
        <v>422.22597534</v>
      </c>
      <c r="W233" s="1">
        <v>10.980392157</v>
      </c>
      <c r="X233" s="1">
        <v>10.0</v>
      </c>
      <c r="Y233" s="1">
        <v>80.877625032</v>
      </c>
      <c r="Z233" s="1">
        <v>6.9</v>
      </c>
      <c r="AA233" s="1">
        <v>27.847524081</v>
      </c>
      <c r="AB233" s="1">
        <v>52308.0</v>
      </c>
      <c r="AC233" s="1">
        <v>46.534653465</v>
      </c>
      <c r="AD233" s="1">
        <v>81.385979049</v>
      </c>
      <c r="AE233" s="1">
        <v>17.412935323</v>
      </c>
      <c r="AF233" s="1">
        <v>0.5021760964</v>
      </c>
      <c r="AG233" s="1">
        <v>2.5108804821</v>
      </c>
      <c r="AH233" s="1">
        <v>0.7365249414</v>
      </c>
      <c r="AI233" s="1">
        <v>0.1339136257</v>
      </c>
      <c r="AJ233" s="1">
        <v>12.08570472</v>
      </c>
      <c r="AK233" s="1">
        <v>82.825577503</v>
      </c>
      <c r="AL233" s="1">
        <v>0.2484031228</v>
      </c>
      <c r="AM233" s="1">
        <v>49.414127888</v>
      </c>
      <c r="AN233" s="1">
        <v>99.722222222</v>
      </c>
      <c r="AO233" s="1">
        <v>31873.0</v>
      </c>
      <c r="AP233" s="1">
        <v>11.3</v>
      </c>
      <c r="AQ233" s="1">
        <v>3.9</v>
      </c>
      <c r="AR233" s="1">
        <v>11.0</v>
      </c>
      <c r="AS233" s="1">
        <v>26.1</v>
      </c>
      <c r="AT233" s="1">
        <v>14.5</v>
      </c>
      <c r="AU233" s="1">
        <v>18.5</v>
      </c>
      <c r="AV233" s="1">
        <v>14.1</v>
      </c>
      <c r="AW233" s="1">
        <v>1.2</v>
      </c>
      <c r="AX233" s="1">
        <v>0.0933</v>
      </c>
      <c r="AY233" s="1">
        <v>12.7</v>
      </c>
      <c r="AZ233" s="1">
        <v>10.5</v>
      </c>
      <c r="BA233" s="1">
        <v>17.8</v>
      </c>
      <c r="BB233" s="1">
        <v>3.61</v>
      </c>
      <c r="BC233" s="1" t="s">
        <v>419</v>
      </c>
      <c r="BD233" s="1">
        <v>7.6</v>
      </c>
      <c r="BE233" s="1">
        <v>31.7</v>
      </c>
      <c r="BF233" s="1">
        <v>42.8</v>
      </c>
      <c r="BG233" s="1">
        <v>17.9</v>
      </c>
      <c r="BH233" s="1" t="s">
        <v>507</v>
      </c>
    </row>
    <row r="234">
      <c r="A234" s="2">
        <v>6093.0</v>
      </c>
      <c r="B234" s="2" t="str">
        <f>IFERROR(__xludf.DUMMYFUNCTION("TO_TEXT(A234)"),"06093")</f>
        <v>06093</v>
      </c>
      <c r="C234" s="1">
        <v>43668.0</v>
      </c>
      <c r="D234" s="1">
        <v>6278.78101237639</v>
      </c>
      <c r="E234" s="1" t="s">
        <v>508</v>
      </c>
      <c r="F234" s="1" t="s">
        <v>509</v>
      </c>
      <c r="G234" s="1">
        <v>6.95485316559441</v>
      </c>
      <c r="H234" s="1">
        <v>15.879866179</v>
      </c>
      <c r="I234" s="1">
        <v>4.4205368709</v>
      </c>
      <c r="J234" s="1">
        <v>8.1004709576</v>
      </c>
      <c r="K234" s="1">
        <v>14.066326017</v>
      </c>
      <c r="L234" s="1">
        <v>31.8</v>
      </c>
      <c r="M234" s="1">
        <v>6.6</v>
      </c>
      <c r="N234" s="1">
        <v>23.3</v>
      </c>
      <c r="O234" s="1">
        <v>72.485523385</v>
      </c>
      <c r="P234" s="1">
        <v>8.6399950646</v>
      </c>
      <c r="Q234" s="1">
        <v>75.2514099999999</v>
      </c>
      <c r="R234" s="1">
        <v>79.676674365</v>
      </c>
      <c r="S234" s="1">
        <v>24.2</v>
      </c>
      <c r="T234" s="1">
        <v>8647.0</v>
      </c>
      <c r="U234" s="1">
        <v>35.295478201</v>
      </c>
      <c r="V234" s="1">
        <v>343.55545308</v>
      </c>
      <c r="W234" s="1">
        <v>21.134155946</v>
      </c>
      <c r="X234" s="1">
        <v>17.559285905</v>
      </c>
      <c r="Y234" s="1">
        <v>76.571909406</v>
      </c>
      <c r="Z234" s="1">
        <v>13.4</v>
      </c>
      <c r="AA234" s="1">
        <v>10.264737037</v>
      </c>
      <c r="AB234" s="1">
        <v>47560.0</v>
      </c>
      <c r="AC234" s="1">
        <v>63.711209626</v>
      </c>
      <c r="AD234" s="1">
        <v>65.60211871</v>
      </c>
      <c r="AE234" s="1">
        <v>16.051779935</v>
      </c>
      <c r="AF234" s="1">
        <v>1.3470862684</v>
      </c>
      <c r="AG234" s="1">
        <v>5.0910255237</v>
      </c>
      <c r="AH234" s="1">
        <v>1.573506541</v>
      </c>
      <c r="AI234" s="1">
        <v>0.352209313</v>
      </c>
      <c r="AJ234" s="1">
        <v>12.86707529</v>
      </c>
      <c r="AK234" s="1">
        <v>75.674686671</v>
      </c>
      <c r="AL234" s="1">
        <v>1.4848727079</v>
      </c>
      <c r="AM234" s="1">
        <v>50.299606623</v>
      </c>
      <c r="AN234" s="1">
        <v>65.8262806239999</v>
      </c>
      <c r="AO234" s="1">
        <v>23542.0</v>
      </c>
      <c r="AP234" s="1">
        <v>22.0</v>
      </c>
      <c r="AQ234" s="1">
        <v>11.7</v>
      </c>
      <c r="AR234" s="1">
        <v>11.4</v>
      </c>
      <c r="AS234" s="1">
        <v>22.8</v>
      </c>
      <c r="AT234" s="1">
        <v>20.2</v>
      </c>
      <c r="AU234" s="1">
        <v>20.3</v>
      </c>
      <c r="AV234" s="1">
        <v>22.4</v>
      </c>
      <c r="AW234" s="1">
        <v>1.8</v>
      </c>
      <c r="AX234" s="1">
        <v>0.8138</v>
      </c>
      <c r="AY234" s="1">
        <v>17.4</v>
      </c>
      <c r="AZ234" s="1">
        <v>16.1</v>
      </c>
      <c r="BA234" s="1">
        <v>24.7</v>
      </c>
      <c r="BB234" s="1">
        <v>3.48</v>
      </c>
      <c r="BC234" s="1" t="s">
        <v>419</v>
      </c>
      <c r="BD234" s="1">
        <v>9.8</v>
      </c>
      <c r="BE234" s="1">
        <v>25.5</v>
      </c>
      <c r="BF234" s="1">
        <v>41.6</v>
      </c>
      <c r="BG234" s="1">
        <v>23.2</v>
      </c>
      <c r="BH234" s="1" t="s">
        <v>509</v>
      </c>
    </row>
    <row r="235">
      <c r="A235" s="2">
        <v>6095.0</v>
      </c>
      <c r="B235" s="2" t="str">
        <f>IFERROR(__xludf.DUMMYFUNCTION("TO_TEXT(A235)"),"06095")</f>
        <v>06095</v>
      </c>
      <c r="C235" s="1">
        <v>429596.0</v>
      </c>
      <c r="D235" s="1">
        <v>821.771831903096</v>
      </c>
      <c r="E235" s="1" t="s">
        <v>510</v>
      </c>
      <c r="F235" s="1" t="s">
        <v>511</v>
      </c>
      <c r="G235" s="1">
        <v>522.767979288268</v>
      </c>
      <c r="H235" s="1">
        <v>15.021336128</v>
      </c>
      <c r="I235" s="1">
        <v>3.70098803</v>
      </c>
      <c r="J235" s="1">
        <v>6.8052825383</v>
      </c>
      <c r="K235" s="1">
        <v>11.705074337</v>
      </c>
      <c r="L235" s="1">
        <v>30.3</v>
      </c>
      <c r="M235" s="1">
        <v>8.0</v>
      </c>
      <c r="N235" s="1">
        <v>23.3</v>
      </c>
      <c r="O235" s="1">
        <v>96.685327475</v>
      </c>
      <c r="P235" s="1">
        <v>5.65407308409999</v>
      </c>
      <c r="Q235" s="1">
        <v>81.04019</v>
      </c>
      <c r="R235" s="1">
        <v>81.3748531139999</v>
      </c>
      <c r="S235" s="1">
        <v>10.2</v>
      </c>
      <c r="T235" s="1">
        <v>98089.0</v>
      </c>
      <c r="U235" s="1">
        <v>35.379094496</v>
      </c>
      <c r="V235" s="1">
        <v>476.30025821</v>
      </c>
      <c r="W235" s="1">
        <v>21.326084713</v>
      </c>
      <c r="X235" s="1">
        <v>17.529244333</v>
      </c>
      <c r="Y235" s="1">
        <v>80.0497643189999</v>
      </c>
      <c r="Z235" s="1">
        <v>10.2</v>
      </c>
      <c r="AA235" s="1">
        <v>3.3824649588</v>
      </c>
      <c r="AB235" s="1">
        <v>82808.0</v>
      </c>
      <c r="AC235" s="1">
        <v>52.318755048</v>
      </c>
      <c r="AD235" s="1">
        <v>60.657288333</v>
      </c>
      <c r="AE235" s="1">
        <v>16.988099561</v>
      </c>
      <c r="AF235" s="1">
        <v>13.74756499</v>
      </c>
      <c r="AG235" s="1">
        <v>1.2711314122</v>
      </c>
      <c r="AH235" s="1">
        <v>16.150332505</v>
      </c>
      <c r="AI235" s="1">
        <v>1.0185620564</v>
      </c>
      <c r="AJ235" s="1">
        <v>26.862363136</v>
      </c>
      <c r="AK235" s="1">
        <v>37.62969929</v>
      </c>
      <c r="AL235" s="1">
        <v>4.9105928746</v>
      </c>
      <c r="AM235" s="1">
        <v>50.292872976</v>
      </c>
      <c r="AN235" s="1">
        <v>3.718452427</v>
      </c>
      <c r="AO235" s="1">
        <v>30251.0</v>
      </c>
      <c r="AP235" s="1">
        <v>12.7</v>
      </c>
      <c r="AQ235" s="1">
        <v>10.0</v>
      </c>
      <c r="AR235" s="1">
        <v>12.5</v>
      </c>
      <c r="AS235" s="1">
        <v>13.6</v>
      </c>
      <c r="AT235" s="1">
        <v>23.0</v>
      </c>
      <c r="AU235" s="1">
        <v>12.1</v>
      </c>
      <c r="AV235" s="1">
        <v>60.6</v>
      </c>
      <c r="AW235" s="1">
        <v>5.0</v>
      </c>
      <c r="AX235" s="1">
        <v>0.6511</v>
      </c>
      <c r="AY235" s="1">
        <v>9.0</v>
      </c>
      <c r="AZ235" s="1">
        <v>10.0</v>
      </c>
      <c r="BA235" s="1">
        <v>14.3</v>
      </c>
      <c r="BB235" s="1">
        <v>3.32</v>
      </c>
      <c r="BC235" s="1" t="s">
        <v>419</v>
      </c>
      <c r="BD235" s="1">
        <v>11.6</v>
      </c>
      <c r="BE235" s="1">
        <v>23.8</v>
      </c>
      <c r="BF235" s="1">
        <v>37.7</v>
      </c>
      <c r="BG235" s="1">
        <v>26.9</v>
      </c>
      <c r="BH235" s="1" t="s">
        <v>511</v>
      </c>
    </row>
    <row r="236">
      <c r="A236" s="2">
        <v>6097.0</v>
      </c>
      <c r="B236" s="2" t="str">
        <f>IFERROR(__xludf.DUMMYFUNCTION("TO_TEXT(A236)"),"06097")</f>
        <v>06097</v>
      </c>
      <c r="C236" s="1">
        <v>497776.0</v>
      </c>
      <c r="D236" s="1">
        <v>1575.85121019655</v>
      </c>
      <c r="E236" s="1" t="s">
        <v>512</v>
      </c>
      <c r="F236" s="1" t="s">
        <v>513</v>
      </c>
      <c r="G236" s="1">
        <v>315.877537662907</v>
      </c>
      <c r="H236" s="1">
        <v>14.139892629</v>
      </c>
      <c r="I236" s="1">
        <v>3.9567461917</v>
      </c>
      <c r="J236" s="1">
        <v>5.7694547996</v>
      </c>
      <c r="K236" s="1">
        <v>10.07567654</v>
      </c>
      <c r="L236" s="1">
        <v>22.4</v>
      </c>
      <c r="M236" s="1">
        <v>8.5</v>
      </c>
      <c r="N236" s="1">
        <v>15.5</v>
      </c>
      <c r="O236" s="1">
        <v>93.724657868</v>
      </c>
      <c r="P236" s="1">
        <v>7.58244425289999</v>
      </c>
      <c r="Q236" s="1">
        <v>102.13856</v>
      </c>
      <c r="R236" s="1">
        <v>80.905687288</v>
      </c>
      <c r="S236" s="1">
        <v>11.7</v>
      </c>
      <c r="T236" s="1">
        <v>99298.0</v>
      </c>
      <c r="U236" s="1">
        <v>29.546415839</v>
      </c>
      <c r="V236" s="1">
        <v>367.91949455</v>
      </c>
      <c r="W236" s="1">
        <v>23.422994525</v>
      </c>
      <c r="X236" s="1">
        <v>19.047110637</v>
      </c>
      <c r="Y236" s="1">
        <v>81.989758942</v>
      </c>
      <c r="Z236" s="1">
        <v>7.2</v>
      </c>
      <c r="AA236" s="1">
        <v>4.0141330438</v>
      </c>
      <c r="AB236" s="1">
        <v>81002.0</v>
      </c>
      <c r="AC236" s="1">
        <v>47.653178184</v>
      </c>
      <c r="AD236" s="1">
        <v>60.786737017</v>
      </c>
      <c r="AE236" s="1">
        <v>18.671327914</v>
      </c>
      <c r="AF236" s="1">
        <v>1.60258589999999</v>
      </c>
      <c r="AG236" s="1">
        <v>2.1904540927</v>
      </c>
      <c r="AH236" s="1">
        <v>4.5593288822</v>
      </c>
      <c r="AI236" s="1">
        <v>0.4050469855</v>
      </c>
      <c r="AJ236" s="1">
        <v>27.158950438</v>
      </c>
      <c r="AK236" s="1">
        <v>63.142524533</v>
      </c>
      <c r="AL236" s="1">
        <v>5.6495108089</v>
      </c>
      <c r="AM236" s="1">
        <v>51.169535666</v>
      </c>
      <c r="AN236" s="1">
        <v>12.353527129</v>
      </c>
      <c r="AO236" s="1">
        <v>35639.0</v>
      </c>
      <c r="AP236" s="1">
        <v>11.2</v>
      </c>
      <c r="AQ236" s="1">
        <v>7.0</v>
      </c>
      <c r="AR236" s="1">
        <v>12.8</v>
      </c>
      <c r="AS236" s="1">
        <v>16.7</v>
      </c>
      <c r="AT236" s="1">
        <v>20.6</v>
      </c>
      <c r="AU236" s="1">
        <v>11.9</v>
      </c>
      <c r="AV236" s="1">
        <v>35.6</v>
      </c>
      <c r="AW236" s="1">
        <v>5.8</v>
      </c>
      <c r="AX236" s="1">
        <v>0.4285</v>
      </c>
      <c r="AY236" s="1">
        <v>7.2</v>
      </c>
      <c r="AZ236" s="1">
        <v>9.0</v>
      </c>
      <c r="BA236" s="1">
        <v>11.8</v>
      </c>
      <c r="BB236" s="1">
        <v>4.0</v>
      </c>
      <c r="BC236" s="1" t="s">
        <v>419</v>
      </c>
      <c r="BD236" s="1">
        <v>11.2</v>
      </c>
      <c r="BE236" s="1">
        <v>18.7</v>
      </c>
      <c r="BF236" s="1">
        <v>34.5</v>
      </c>
      <c r="BG236" s="1">
        <v>35.5</v>
      </c>
      <c r="BH236" s="1" t="s">
        <v>513</v>
      </c>
    </row>
    <row r="237">
      <c r="A237" s="2">
        <v>6099.0</v>
      </c>
      <c r="B237" s="2" t="str">
        <f>IFERROR(__xludf.DUMMYFUNCTION("TO_TEXT(A237)"),"06099")</f>
        <v>06099</v>
      </c>
      <c r="C237" s="1">
        <v>530561.0</v>
      </c>
      <c r="D237" s="1">
        <v>1496.0073158327</v>
      </c>
      <c r="E237" s="1" t="s">
        <v>514</v>
      </c>
      <c r="F237" s="1" t="s">
        <v>515</v>
      </c>
      <c r="G237" s="1">
        <v>354.651340528159</v>
      </c>
      <c r="H237" s="1">
        <v>18.4161612009999</v>
      </c>
      <c r="I237" s="1">
        <v>4.42379587</v>
      </c>
      <c r="J237" s="1">
        <v>6.4151655192</v>
      </c>
      <c r="K237" s="1">
        <v>12.789751068</v>
      </c>
      <c r="L237" s="1">
        <v>30.5</v>
      </c>
      <c r="M237" s="1">
        <v>8.0</v>
      </c>
      <c r="N237" s="1">
        <v>24.3</v>
      </c>
      <c r="O237" s="1">
        <v>90.954081325</v>
      </c>
      <c r="P237" s="1">
        <v>6.9565051394</v>
      </c>
      <c r="Q237" s="1">
        <v>65.88806</v>
      </c>
      <c r="R237" s="1">
        <v>83.869822485</v>
      </c>
      <c r="S237" s="1">
        <v>21.4</v>
      </c>
      <c r="T237" s="1">
        <v>145649.0</v>
      </c>
      <c r="U237" s="1">
        <v>32.37921304</v>
      </c>
      <c r="V237" s="1">
        <v>578.4520988</v>
      </c>
      <c r="W237" s="1">
        <v>24.182469324</v>
      </c>
      <c r="X237" s="1">
        <v>18.297342931</v>
      </c>
      <c r="Y237" s="1">
        <v>78.182902664</v>
      </c>
      <c r="Z237" s="1">
        <v>11.4</v>
      </c>
      <c r="AA237" s="1">
        <v>4.8560837059</v>
      </c>
      <c r="AB237" s="1">
        <v>59616.0</v>
      </c>
      <c r="AC237" s="1">
        <v>69.40707433</v>
      </c>
      <c r="AD237" s="1">
        <v>57.376565015</v>
      </c>
      <c r="AE237" s="1">
        <v>17.913612769</v>
      </c>
      <c r="AF237" s="1">
        <v>2.6534379746</v>
      </c>
      <c r="AG237" s="1">
        <v>1.9853950874</v>
      </c>
      <c r="AH237" s="1">
        <v>6.07913570929999</v>
      </c>
      <c r="AI237" s="1">
        <v>0.9226739903</v>
      </c>
      <c r="AJ237" s="1">
        <v>46.9856224369999</v>
      </c>
      <c r="AK237" s="1">
        <v>41.137473514</v>
      </c>
      <c r="AL237" s="1">
        <v>9.7081163694</v>
      </c>
      <c r="AM237" s="1">
        <v>50.47134036</v>
      </c>
      <c r="AN237" s="1">
        <v>7.9807096081</v>
      </c>
      <c r="AO237" s="1">
        <v>22915.0</v>
      </c>
      <c r="AP237" s="1">
        <v>18.2</v>
      </c>
      <c r="AQ237" s="1">
        <v>13.8</v>
      </c>
      <c r="AR237" s="1">
        <v>22.4</v>
      </c>
      <c r="AS237" s="1">
        <v>12.1</v>
      </c>
      <c r="AT237" s="1">
        <v>27.4</v>
      </c>
      <c r="AU237" s="1">
        <v>13.4</v>
      </c>
      <c r="AV237" s="1">
        <v>55.9</v>
      </c>
      <c r="AW237" s="1">
        <v>9.7</v>
      </c>
      <c r="AX237" s="1">
        <v>0.8832</v>
      </c>
      <c r="AY237" s="1">
        <v>13.0</v>
      </c>
      <c r="AZ237" s="1">
        <v>12.4</v>
      </c>
      <c r="BA237" s="1">
        <v>18.2</v>
      </c>
      <c r="BB237" s="1">
        <v>3.3</v>
      </c>
      <c r="BC237" s="1" t="s">
        <v>419</v>
      </c>
      <c r="BD237" s="1">
        <v>21.1</v>
      </c>
      <c r="BE237" s="1">
        <v>29.3</v>
      </c>
      <c r="BF237" s="1">
        <v>32.5</v>
      </c>
      <c r="BG237" s="1">
        <v>17.1</v>
      </c>
      <c r="BH237" s="1" t="s">
        <v>515</v>
      </c>
    </row>
    <row r="238">
      <c r="A238" s="2">
        <v>6101.0</v>
      </c>
      <c r="B238" s="2" t="str">
        <f>IFERROR(__xludf.DUMMYFUNCTION("TO_TEXT(A238)"),"06101")</f>
        <v>06101</v>
      </c>
      <c r="C238" s="1">
        <v>95406.0</v>
      </c>
      <c r="D238" s="1">
        <v>602.417961725898</v>
      </c>
      <c r="E238" s="1" t="s">
        <v>516</v>
      </c>
      <c r="F238" s="1" t="s">
        <v>517</v>
      </c>
      <c r="G238" s="1">
        <v>158.371771861959</v>
      </c>
      <c r="H238" s="1">
        <v>16.616730033</v>
      </c>
      <c r="I238" s="1">
        <v>3.8930773404</v>
      </c>
      <c r="J238" s="1">
        <v>6.6026278017</v>
      </c>
      <c r="K238" s="1">
        <v>11.952152448</v>
      </c>
      <c r="L238" s="1">
        <v>31.8</v>
      </c>
      <c r="M238" s="1">
        <v>7.0</v>
      </c>
      <c r="N238" s="1">
        <v>24.5</v>
      </c>
      <c r="O238" s="1">
        <v>67.147999198</v>
      </c>
      <c r="P238" s="1">
        <v>8.5915683549</v>
      </c>
      <c r="Q238" s="1">
        <v>75.53183</v>
      </c>
      <c r="R238" s="1">
        <v>83.1894070239999</v>
      </c>
      <c r="S238" s="1">
        <v>18.0</v>
      </c>
      <c r="T238" s="1">
        <v>24944.0</v>
      </c>
      <c r="U238" s="1">
        <v>30.696760744</v>
      </c>
      <c r="V238" s="1">
        <v>351.79749787</v>
      </c>
      <c r="W238" s="1">
        <v>21.323758976</v>
      </c>
      <c r="X238" s="1">
        <v>14.950323293</v>
      </c>
      <c r="Y238" s="1">
        <v>78.760026538</v>
      </c>
      <c r="Z238" s="1">
        <v>10.3</v>
      </c>
      <c r="AA238" s="1">
        <v>10.8225399229999</v>
      </c>
      <c r="AB238" s="1">
        <v>57879.0</v>
      </c>
      <c r="AC238" s="1">
        <v>62.9890109889999</v>
      </c>
      <c r="AD238" s="1">
        <v>57.354758962</v>
      </c>
      <c r="AE238" s="1">
        <v>14.137293645</v>
      </c>
      <c r="AF238" s="1">
        <v>2.1702976024</v>
      </c>
      <c r="AG238" s="1">
        <v>2.357267553</v>
      </c>
      <c r="AH238" s="1">
        <v>16.992572851</v>
      </c>
      <c r="AI238" s="1">
        <v>0.4049293956</v>
      </c>
      <c r="AJ238" s="1">
        <v>31.532843699</v>
      </c>
      <c r="AK238" s="1">
        <v>45.307674032</v>
      </c>
      <c r="AL238" s="1">
        <v>10.675793766</v>
      </c>
      <c r="AM238" s="1">
        <v>50.187486442</v>
      </c>
      <c r="AN238" s="1">
        <v>14.79780867</v>
      </c>
      <c r="AO238" s="1">
        <v>24335.0</v>
      </c>
      <c r="AP238" s="1">
        <v>17.5</v>
      </c>
      <c r="AQ238" s="1">
        <v>11.2</v>
      </c>
      <c r="AR238" s="1">
        <v>20.8</v>
      </c>
      <c r="AS238" s="1">
        <v>14.5</v>
      </c>
      <c r="AT238" s="1">
        <v>26.4</v>
      </c>
      <c r="AU238" s="1">
        <v>13.5</v>
      </c>
      <c r="AV238" s="1">
        <v>52.0</v>
      </c>
      <c r="AW238" s="1">
        <v>10.3</v>
      </c>
      <c r="AX238" s="1">
        <v>0.8634</v>
      </c>
      <c r="AY238" s="1">
        <v>12.8</v>
      </c>
      <c r="AZ238" s="1">
        <v>13.8</v>
      </c>
      <c r="BA238" s="1">
        <v>20.8</v>
      </c>
      <c r="BB238" s="1">
        <v>2.91</v>
      </c>
      <c r="BC238" s="1" t="s">
        <v>419</v>
      </c>
      <c r="BD238" s="1">
        <v>21.8</v>
      </c>
      <c r="BE238" s="1">
        <v>23.3</v>
      </c>
      <c r="BF238" s="1">
        <v>36.6</v>
      </c>
      <c r="BG238" s="1">
        <v>18.2</v>
      </c>
      <c r="BH238" s="1" t="s">
        <v>517</v>
      </c>
    </row>
    <row r="239">
      <c r="A239" s="2">
        <v>6103.0</v>
      </c>
      <c r="B239" s="2" t="str">
        <f>IFERROR(__xludf.DUMMYFUNCTION("TO_TEXT(A239)"),"06103")</f>
        <v>06103</v>
      </c>
      <c r="C239" s="1">
        <v>63015.0</v>
      </c>
      <c r="D239" s="1">
        <v>2949.71132742521</v>
      </c>
      <c r="E239" s="1" t="s">
        <v>518</v>
      </c>
      <c r="F239" s="1" t="s">
        <v>519</v>
      </c>
      <c r="G239" s="1">
        <v>21.363107438383</v>
      </c>
      <c r="H239" s="1">
        <v>18.045139355</v>
      </c>
      <c r="I239" s="1">
        <v>4.5137484163</v>
      </c>
      <c r="J239" s="1">
        <v>6.07745043539999</v>
      </c>
      <c r="K239" s="1">
        <v>14.258973789</v>
      </c>
      <c r="L239" s="1">
        <v>27.9</v>
      </c>
      <c r="M239" s="1">
        <v>7.1</v>
      </c>
      <c r="N239" s="1">
        <v>28.0</v>
      </c>
      <c r="O239" s="1">
        <v>58.999732127</v>
      </c>
      <c r="P239" s="1">
        <v>7.81764091649999</v>
      </c>
      <c r="Q239" s="1">
        <v>46.92926</v>
      </c>
      <c r="R239" s="1">
        <v>87.763157895</v>
      </c>
      <c r="S239" s="1">
        <v>24.2</v>
      </c>
      <c r="T239" s="1">
        <v>15067.0</v>
      </c>
      <c r="U239" s="1">
        <v>34.519147806</v>
      </c>
      <c r="V239" s="1">
        <v>540.13753282</v>
      </c>
      <c r="W239" s="1">
        <v>20.275715801</v>
      </c>
      <c r="X239" s="1">
        <v>16.137339056</v>
      </c>
      <c r="Y239" s="1">
        <v>76.674239767</v>
      </c>
      <c r="Z239" s="1">
        <v>9.9</v>
      </c>
      <c r="AA239" s="1">
        <v>9.8929138731</v>
      </c>
      <c r="AB239" s="1">
        <v>47572.0</v>
      </c>
      <c r="AC239" s="1">
        <v>70.778508772</v>
      </c>
      <c r="AD239" s="1">
        <v>64.82830385</v>
      </c>
      <c r="AE239" s="1">
        <v>19.322268926</v>
      </c>
      <c r="AF239" s="1">
        <v>0.730646473499999</v>
      </c>
      <c r="AG239" s="1">
        <v>3.355967207</v>
      </c>
      <c r="AH239" s="1">
        <v>1.4268727705</v>
      </c>
      <c r="AI239" s="1">
        <v>0.2252957006</v>
      </c>
      <c r="AJ239" s="1">
        <v>25.6915326369999</v>
      </c>
      <c r="AK239" s="1">
        <v>67.585581075</v>
      </c>
      <c r="AL239" s="1">
        <v>3.5794709777</v>
      </c>
      <c r="AM239" s="1">
        <v>50.336378997</v>
      </c>
      <c r="AN239" s="1">
        <v>51.488268755</v>
      </c>
      <c r="AO239" s="1">
        <v>21521.0</v>
      </c>
      <c r="AP239" s="1">
        <v>21.5</v>
      </c>
      <c r="AQ239" s="1">
        <v>12.6</v>
      </c>
      <c r="AR239" s="1">
        <v>17.1</v>
      </c>
      <c r="AS239" s="1">
        <v>17.9</v>
      </c>
      <c r="AT239" s="1">
        <v>24.1</v>
      </c>
      <c r="AU239" s="1">
        <v>19.9</v>
      </c>
      <c r="AV239" s="1">
        <v>30.2</v>
      </c>
      <c r="AW239" s="1">
        <v>4.0</v>
      </c>
      <c r="AX239" s="1">
        <v>0.9491</v>
      </c>
      <c r="AY239" s="1">
        <v>16.3</v>
      </c>
      <c r="AZ239" s="1">
        <v>15.8</v>
      </c>
      <c r="BA239" s="1">
        <v>24.3</v>
      </c>
      <c r="BB239" s="1">
        <v>3.3</v>
      </c>
      <c r="BC239" s="1" t="s">
        <v>419</v>
      </c>
      <c r="BD239" s="1">
        <v>15.5</v>
      </c>
      <c r="BE239" s="1">
        <v>30.1</v>
      </c>
      <c r="BF239" s="1">
        <v>38.7</v>
      </c>
      <c r="BG239" s="1">
        <v>15.7</v>
      </c>
      <c r="BH239" s="1" t="s">
        <v>519</v>
      </c>
    </row>
    <row r="240">
      <c r="A240" s="2">
        <v>6105.0</v>
      </c>
      <c r="B240" s="2" t="str">
        <f>IFERROR(__xludf.DUMMYFUNCTION("TO_TEXT(A240)"),"06105")</f>
        <v>06105</v>
      </c>
      <c r="C240" s="1">
        <v>13180.0</v>
      </c>
      <c r="D240" s="1">
        <v>3179.2662626365</v>
      </c>
      <c r="E240" s="1" t="s">
        <v>520</v>
      </c>
      <c r="F240" s="1" t="s">
        <v>521</v>
      </c>
      <c r="G240" s="1">
        <v>4.14561062560078</v>
      </c>
      <c r="H240" s="1">
        <v>16.384605766</v>
      </c>
      <c r="I240" s="1">
        <v>4.462222079</v>
      </c>
      <c r="J240" s="1">
        <v>6.0913705584</v>
      </c>
      <c r="K240" s="1">
        <v>14.700216999</v>
      </c>
      <c r="L240" s="1">
        <v>33.5</v>
      </c>
      <c r="M240" s="1">
        <v>7.0</v>
      </c>
      <c r="N240" s="1">
        <v>24.2</v>
      </c>
      <c r="O240" s="1">
        <v>87.704918033</v>
      </c>
      <c r="P240" s="1">
        <v>8.7089381207</v>
      </c>
      <c r="Q240" s="1">
        <v>23.60532</v>
      </c>
      <c r="R240" s="1">
        <v>74.358974359</v>
      </c>
      <c r="S240" s="1">
        <v>31.3</v>
      </c>
      <c r="T240" s="1">
        <v>2167.0</v>
      </c>
      <c r="U240" s="1">
        <v>39.455468389</v>
      </c>
      <c r="V240" s="1">
        <v>380.32936523</v>
      </c>
      <c r="W240" s="1">
        <v>23.674588665</v>
      </c>
      <c r="X240" s="1">
        <v>18.468720822</v>
      </c>
      <c r="Y240" s="1">
        <v>77.358613188</v>
      </c>
      <c r="Z240" s="1">
        <v>7.8</v>
      </c>
      <c r="AA240" s="1">
        <v>7.4108434196</v>
      </c>
      <c r="AB240" s="1">
        <v>40680.0</v>
      </c>
      <c r="AC240" s="1">
        <v>62.727886563</v>
      </c>
      <c r="AD240" s="1">
        <v>66.735679779</v>
      </c>
      <c r="AE240" s="1">
        <v>16.359992713</v>
      </c>
      <c r="AF240" s="1">
        <v>0.5105704029</v>
      </c>
      <c r="AG240" s="1">
        <v>5.2173913043</v>
      </c>
      <c r="AH240" s="1">
        <v>1.4359792581</v>
      </c>
      <c r="AI240" s="1">
        <v>0.2233745513</v>
      </c>
      <c r="AJ240" s="1">
        <v>7.5309134424</v>
      </c>
      <c r="AK240" s="1">
        <v>81.802951735</v>
      </c>
      <c r="AL240" s="1">
        <v>0.8298755187</v>
      </c>
      <c r="AM240" s="1">
        <v>48.607897886</v>
      </c>
      <c r="AN240" s="1">
        <v>100.0</v>
      </c>
      <c r="AO240" s="1">
        <v>22387.0</v>
      </c>
      <c r="AP240" s="1">
        <v>20.1</v>
      </c>
      <c r="AQ240" s="1">
        <v>9.9</v>
      </c>
      <c r="AR240" s="1">
        <v>9.3</v>
      </c>
      <c r="AS240" s="1">
        <v>24.1</v>
      </c>
      <c r="AT240" s="1">
        <v>17.3</v>
      </c>
      <c r="AU240" s="1">
        <v>23.5</v>
      </c>
      <c r="AV240" s="1">
        <v>17.0</v>
      </c>
      <c r="AW240" s="1">
        <v>0.8</v>
      </c>
      <c r="AX240" s="1">
        <v>0.731</v>
      </c>
      <c r="AY240" s="1">
        <v>16.5</v>
      </c>
      <c r="AZ240" s="1">
        <v>16.1</v>
      </c>
      <c r="BA240" s="1">
        <v>25.7</v>
      </c>
      <c r="BB240" s="1">
        <v>3.35</v>
      </c>
      <c r="BC240" s="1" t="s">
        <v>419</v>
      </c>
      <c r="BD240" s="1">
        <v>7.6</v>
      </c>
      <c r="BE240" s="1">
        <v>34.8</v>
      </c>
      <c r="BF240" s="1">
        <v>38.0</v>
      </c>
      <c r="BG240" s="1">
        <v>19.5</v>
      </c>
      <c r="BH240" s="1" t="s">
        <v>521</v>
      </c>
    </row>
    <row r="241">
      <c r="A241" s="2">
        <v>6107.0</v>
      </c>
      <c r="B241" s="2" t="str">
        <f>IFERROR(__xludf.DUMMYFUNCTION("TO_TEXT(A241)"),"06107")</f>
        <v>06107</v>
      </c>
      <c r="C241" s="1">
        <v>455769.0</v>
      </c>
      <c r="D241" s="1">
        <v>4824.35078037378</v>
      </c>
      <c r="E241" s="1" t="s">
        <v>522</v>
      </c>
      <c r="F241" s="1" t="s">
        <v>523</v>
      </c>
      <c r="G241" s="1">
        <v>94.4726079733132</v>
      </c>
      <c r="H241" s="1">
        <v>25.742945903</v>
      </c>
      <c r="I241" s="1">
        <v>4.7128243317</v>
      </c>
      <c r="J241" s="1">
        <v>6.7067645982</v>
      </c>
      <c r="K241" s="1">
        <v>13.799712245</v>
      </c>
      <c r="L241" s="1">
        <v>37.1</v>
      </c>
      <c r="M241" s="1">
        <v>7.5</v>
      </c>
      <c r="N241" s="1">
        <v>26.9</v>
      </c>
      <c r="O241" s="1">
        <v>60.321724912</v>
      </c>
      <c r="P241" s="1">
        <v>8.7607049894</v>
      </c>
      <c r="Q241" s="1">
        <v>41.76597</v>
      </c>
      <c r="R241" s="1">
        <v>86.1465596629999</v>
      </c>
      <c r="S241" s="1">
        <v>28.6</v>
      </c>
      <c r="T241" s="1">
        <v>142653.0</v>
      </c>
      <c r="U241" s="1">
        <v>36.444379018</v>
      </c>
      <c r="V241" s="1">
        <v>381.80764333</v>
      </c>
      <c r="W241" s="1">
        <v>26.91662629</v>
      </c>
      <c r="X241" s="1">
        <v>18.875775458</v>
      </c>
      <c r="Y241" s="1">
        <v>78.502115626</v>
      </c>
      <c r="Z241" s="1">
        <v>9.3</v>
      </c>
      <c r="AA241" s="1">
        <v>7.9874672973</v>
      </c>
      <c r="AB241" s="1">
        <v>48763.0</v>
      </c>
      <c r="AC241" s="1">
        <v>76.434737469</v>
      </c>
      <c r="AD241" s="1">
        <v>56.804255507</v>
      </c>
      <c r="AE241" s="1">
        <v>19.460505367</v>
      </c>
      <c r="AF241" s="1">
        <v>1.2349177115</v>
      </c>
      <c r="AG241" s="1">
        <v>2.7639145582</v>
      </c>
      <c r="AH241" s="1">
        <v>3.9911046428</v>
      </c>
      <c r="AI241" s="1">
        <v>0.2311848384</v>
      </c>
      <c r="AJ241" s="1">
        <v>65.181889018</v>
      </c>
      <c r="AK241" s="1">
        <v>28.082410848</v>
      </c>
      <c r="AL241" s="1">
        <v>14.50519346</v>
      </c>
      <c r="AM241" s="1">
        <v>49.968338195</v>
      </c>
      <c r="AN241" s="1">
        <v>15.479930074</v>
      </c>
      <c r="AO241" s="1">
        <v>18257.0</v>
      </c>
      <c r="AP241" s="1">
        <v>28.3</v>
      </c>
      <c r="AQ241" s="1">
        <v>10.6</v>
      </c>
      <c r="AR241" s="1">
        <v>31.8</v>
      </c>
      <c r="AS241" s="1">
        <v>10.4</v>
      </c>
      <c r="AT241" s="1">
        <v>31.6</v>
      </c>
      <c r="AU241" s="1">
        <v>12.2</v>
      </c>
      <c r="AV241" s="1">
        <v>69.9</v>
      </c>
      <c r="AW241" s="1">
        <v>14.9</v>
      </c>
      <c r="AX241" s="1">
        <v>0.9376</v>
      </c>
      <c r="AY241" s="1">
        <v>18.9</v>
      </c>
      <c r="AZ241" s="1">
        <v>15.9</v>
      </c>
      <c r="BA241" s="1">
        <v>23.9</v>
      </c>
      <c r="BB241" s="1">
        <v>3.1</v>
      </c>
      <c r="BC241" s="1" t="s">
        <v>419</v>
      </c>
      <c r="BD241" s="1">
        <v>29.2</v>
      </c>
      <c r="BE241" s="1">
        <v>25.5</v>
      </c>
      <c r="BF241" s="1">
        <v>30.7</v>
      </c>
      <c r="BG241" s="1">
        <v>14.6</v>
      </c>
      <c r="BH241" s="1" t="s">
        <v>523</v>
      </c>
    </row>
    <row r="242">
      <c r="A242" s="2">
        <v>6109.0</v>
      </c>
      <c r="B242" s="2" t="str">
        <f>IFERROR(__xludf.DUMMYFUNCTION("TO_TEXT(A242)"),"06109")</f>
        <v>06109</v>
      </c>
      <c r="C242" s="1">
        <v>53864.0</v>
      </c>
      <c r="D242" s="1">
        <v>2220.92977997276</v>
      </c>
      <c r="E242" s="1" t="s">
        <v>524</v>
      </c>
      <c r="F242" s="1" t="s">
        <v>525</v>
      </c>
      <c r="G242" s="1">
        <v>24.2529054658632</v>
      </c>
      <c r="H242" s="1">
        <v>13.20999481</v>
      </c>
      <c r="I242" s="1">
        <v>3.8737993841</v>
      </c>
      <c r="J242" s="1">
        <v>6.1938680706</v>
      </c>
      <c r="K242" s="1">
        <v>11.343019399</v>
      </c>
      <c r="L242" s="1">
        <v>33.2</v>
      </c>
      <c r="M242" s="1">
        <v>7.2</v>
      </c>
      <c r="N242" s="1">
        <v>20.9</v>
      </c>
      <c r="O242" s="1">
        <v>86.123001897</v>
      </c>
      <c r="P242" s="1">
        <v>6.3608399091</v>
      </c>
      <c r="Q242" s="1">
        <v>84.79575</v>
      </c>
      <c r="R242" s="1">
        <v>85.689354276</v>
      </c>
      <c r="S242" s="1">
        <v>16.5</v>
      </c>
      <c r="T242" s="1">
        <v>8896.0</v>
      </c>
      <c r="U242" s="1">
        <v>30.7441546759999</v>
      </c>
      <c r="V242" s="1">
        <v>316.15673143</v>
      </c>
      <c r="W242" s="1">
        <v>21.009735114</v>
      </c>
      <c r="X242" s="1">
        <v>17.489655172</v>
      </c>
      <c r="Y242" s="1">
        <v>78.689385673</v>
      </c>
      <c r="Z242" s="1">
        <v>9.7</v>
      </c>
      <c r="AA242" s="1">
        <v>10.2129228389999</v>
      </c>
      <c r="AB242" s="1">
        <v>56500.0</v>
      </c>
      <c r="AC242" s="1">
        <v>50.2641135689999</v>
      </c>
      <c r="AD242" s="1">
        <v>69.808712712</v>
      </c>
      <c r="AE242" s="1">
        <v>16.868813607</v>
      </c>
      <c r="AF242" s="1">
        <v>1.8683877592</v>
      </c>
      <c r="AG242" s="1">
        <v>2.3029391811</v>
      </c>
      <c r="AH242" s="1">
        <v>1.3916646803</v>
      </c>
      <c r="AI242" s="1">
        <v>0.2878673976</v>
      </c>
      <c r="AJ242" s="1">
        <v>12.666165496</v>
      </c>
      <c r="AK242" s="1">
        <v>79.783274354</v>
      </c>
      <c r="AL242" s="1">
        <v>0.7721708088</v>
      </c>
      <c r="AM242" s="1">
        <v>48.1178606139999</v>
      </c>
      <c r="AN242" s="1">
        <v>48.96595322</v>
      </c>
      <c r="AO242" s="1">
        <v>29431.0</v>
      </c>
      <c r="AP242" s="1">
        <v>14.2</v>
      </c>
      <c r="AQ242" s="1">
        <v>11.6</v>
      </c>
      <c r="AR242" s="1">
        <v>10.2</v>
      </c>
      <c r="AS242" s="1">
        <v>23.4</v>
      </c>
      <c r="AT242" s="1">
        <v>16.7</v>
      </c>
      <c r="AU242" s="1">
        <v>20.0</v>
      </c>
      <c r="AV242" s="1">
        <v>18.8</v>
      </c>
      <c r="AW242" s="1">
        <v>0.9</v>
      </c>
      <c r="AX242" s="1">
        <v>0.568</v>
      </c>
      <c r="AY242" s="1">
        <v>11.3</v>
      </c>
      <c r="AZ242" s="1">
        <v>12.8</v>
      </c>
      <c r="BA242" s="1">
        <v>18.7</v>
      </c>
      <c r="BB242" s="1">
        <v>4.06</v>
      </c>
      <c r="BC242" s="1" t="s">
        <v>419</v>
      </c>
      <c r="BD242" s="1">
        <v>9.3</v>
      </c>
      <c r="BE242" s="1">
        <v>28.3</v>
      </c>
      <c r="BF242" s="1">
        <v>41.9</v>
      </c>
      <c r="BG242" s="1">
        <v>20.5</v>
      </c>
      <c r="BH242" s="1" t="s">
        <v>525</v>
      </c>
    </row>
    <row r="243">
      <c r="A243" s="2">
        <v>6111.0</v>
      </c>
      <c r="B243" s="2" t="str">
        <f>IFERROR(__xludf.DUMMYFUNCTION("TO_TEXT(A243)"),"06111")</f>
        <v>06111</v>
      </c>
      <c r="C243" s="1">
        <v>843110.0</v>
      </c>
      <c r="D243" s="1">
        <v>1843.01561458388</v>
      </c>
      <c r="E243" s="1" t="s">
        <v>526</v>
      </c>
      <c r="F243" s="1" t="s">
        <v>527</v>
      </c>
      <c r="G243" s="1">
        <v>457.462212109559</v>
      </c>
      <c r="H243" s="1">
        <v>15.154672198</v>
      </c>
      <c r="I243" s="1">
        <v>3.7469855478</v>
      </c>
      <c r="J243" s="1">
        <v>6.0593865877</v>
      </c>
      <c r="K243" s="1">
        <v>10.561021793</v>
      </c>
      <c r="L243" s="1">
        <v>20.7</v>
      </c>
      <c r="M243" s="1">
        <v>9.0</v>
      </c>
      <c r="N243" s="1">
        <v>17.2</v>
      </c>
      <c r="O243" s="1">
        <v>97.69930938</v>
      </c>
      <c r="P243" s="1">
        <v>9.2582189133</v>
      </c>
      <c r="Q243" s="1">
        <v>76.44374</v>
      </c>
      <c r="R243" s="1">
        <v>86.089380451</v>
      </c>
      <c r="S243" s="1">
        <v>12.4</v>
      </c>
      <c r="T243" s="1">
        <v>197948.0</v>
      </c>
      <c r="U243" s="1">
        <v>26.589306282</v>
      </c>
      <c r="V243" s="1">
        <v>240.48967302</v>
      </c>
      <c r="W243" s="1">
        <v>23.743224178</v>
      </c>
      <c r="X243" s="1">
        <v>17.976455616</v>
      </c>
      <c r="Y243" s="1">
        <v>82.472556329</v>
      </c>
      <c r="Z243" s="1">
        <v>9.3</v>
      </c>
      <c r="AA243" s="1">
        <v>3.2959010053</v>
      </c>
      <c r="AB243" s="1">
        <v>84170.0</v>
      </c>
      <c r="AC243" s="1">
        <v>54.233171178</v>
      </c>
      <c r="AD243" s="1">
        <v>63.251310715</v>
      </c>
      <c r="AE243" s="1">
        <v>18.451531256</v>
      </c>
      <c r="AF243" s="1">
        <v>1.7663434657</v>
      </c>
      <c r="AG243" s="1">
        <v>1.8678750175</v>
      </c>
      <c r="AH243" s="1">
        <v>7.8704579614</v>
      </c>
      <c r="AI243" s="1">
        <v>0.2895529439</v>
      </c>
      <c r="AJ243" s="1">
        <v>43.021409761</v>
      </c>
      <c r="AK243" s="1">
        <v>44.963200688</v>
      </c>
      <c r="AL243" s="1">
        <v>9.7164375323</v>
      </c>
      <c r="AM243" s="1">
        <v>50.48938443</v>
      </c>
      <c r="AN243" s="1">
        <v>3.1245521172</v>
      </c>
      <c r="AO243" s="1">
        <v>34331.0</v>
      </c>
      <c r="AP243" s="1">
        <v>10.6</v>
      </c>
      <c r="AQ243" s="1">
        <v>7.5</v>
      </c>
      <c r="AR243" s="1">
        <v>16.6</v>
      </c>
      <c r="AS243" s="1">
        <v>13.6</v>
      </c>
      <c r="AT243" s="1">
        <v>24.2</v>
      </c>
      <c r="AU243" s="1">
        <v>10.5</v>
      </c>
      <c r="AV243" s="1">
        <v>53.4</v>
      </c>
      <c r="AW243" s="1">
        <v>10.0</v>
      </c>
      <c r="AX243" s="1">
        <v>0.5062</v>
      </c>
      <c r="AY243" s="1">
        <v>8.2</v>
      </c>
      <c r="AZ243" s="1">
        <v>8.2</v>
      </c>
      <c r="BA243" s="1">
        <v>11.4</v>
      </c>
      <c r="BB243" s="1">
        <v>3.47</v>
      </c>
      <c r="BC243" s="1" t="s">
        <v>419</v>
      </c>
      <c r="BD243" s="1">
        <v>15.0</v>
      </c>
      <c r="BE243" s="1">
        <v>19.2</v>
      </c>
      <c r="BF243" s="1">
        <v>32.1</v>
      </c>
      <c r="BG243" s="1">
        <v>33.8</v>
      </c>
      <c r="BH243" s="1" t="s">
        <v>527</v>
      </c>
    </row>
    <row r="244">
      <c r="A244" s="2">
        <v>6113.0</v>
      </c>
      <c r="B244" s="2" t="str">
        <f>IFERROR(__xludf.DUMMYFUNCTION("TO_TEXT(A244)"),"06113")</f>
        <v>06113</v>
      </c>
      <c r="C244" s="1">
        <v>209671.0</v>
      </c>
      <c r="D244" s="1">
        <v>1014.77515216712</v>
      </c>
      <c r="E244" s="1" t="s">
        <v>528</v>
      </c>
      <c r="F244" s="1" t="s">
        <v>529</v>
      </c>
      <c r="G244" s="1">
        <v>206.618184877934</v>
      </c>
      <c r="H244" s="1">
        <v>15.900906093</v>
      </c>
      <c r="I244" s="1">
        <v>4.0171729674</v>
      </c>
      <c r="J244" s="1">
        <v>5.6984184474</v>
      </c>
      <c r="K244" s="1">
        <v>10.906577644</v>
      </c>
      <c r="L244" s="1">
        <v>23.9</v>
      </c>
      <c r="M244" s="1">
        <v>8.0</v>
      </c>
      <c r="N244" s="1">
        <v>13.8</v>
      </c>
      <c r="O244" s="1">
        <v>96.03732157</v>
      </c>
      <c r="P244" s="1">
        <v>5.9785182725</v>
      </c>
      <c r="Q244" s="1">
        <v>123.2224</v>
      </c>
      <c r="R244" s="1">
        <v>86.861614498</v>
      </c>
      <c r="S244" s="1">
        <v>15.2</v>
      </c>
      <c r="T244" s="1">
        <v>45380.0</v>
      </c>
      <c r="U244" s="1">
        <v>25.932128691</v>
      </c>
      <c r="V244" s="1">
        <v>331.88943992</v>
      </c>
      <c r="W244" s="1">
        <v>23.447515335</v>
      </c>
      <c r="X244" s="1">
        <v>19.643992371</v>
      </c>
      <c r="Y244" s="1">
        <v>81.620860132</v>
      </c>
      <c r="Z244" s="1">
        <v>6.3</v>
      </c>
      <c r="AA244" s="1">
        <v>1.928249501</v>
      </c>
      <c r="AB244" s="1">
        <v>67804.0</v>
      </c>
      <c r="AC244" s="1">
        <v>52.15332728</v>
      </c>
      <c r="AD244" s="1">
        <v>51.7113317919999</v>
      </c>
      <c r="AE244" s="1">
        <v>20.263912632</v>
      </c>
      <c r="AF244" s="1">
        <v>2.4776777612</v>
      </c>
      <c r="AG244" s="1">
        <v>1.790769845</v>
      </c>
      <c r="AH244" s="1">
        <v>15.020779645</v>
      </c>
      <c r="AI244" s="1">
        <v>0.5730282022</v>
      </c>
      <c r="AJ244" s="1">
        <v>31.878153243</v>
      </c>
      <c r="AK244" s="1">
        <v>46.252404631</v>
      </c>
      <c r="AL244" s="1">
        <v>6.11130314549999</v>
      </c>
      <c r="AM244" s="1">
        <v>51.56890857</v>
      </c>
      <c r="AN244" s="1">
        <v>6.9295839163</v>
      </c>
      <c r="AO244" s="1">
        <v>28996.0</v>
      </c>
      <c r="AP244" s="1">
        <v>19.3</v>
      </c>
      <c r="AQ244" s="1">
        <v>7.9</v>
      </c>
      <c r="AR244" s="1">
        <v>14.4</v>
      </c>
      <c r="AS244" s="1">
        <v>11.3</v>
      </c>
      <c r="AT244" s="1">
        <v>21.7</v>
      </c>
      <c r="AU244" s="1">
        <v>10.1</v>
      </c>
      <c r="AV244" s="1">
        <v>51.9</v>
      </c>
      <c r="AW244" s="1">
        <v>6.9</v>
      </c>
      <c r="AX244" s="1">
        <v>0.6756</v>
      </c>
      <c r="AY244" s="1">
        <v>16.9</v>
      </c>
      <c r="AZ244" s="1">
        <v>10.6</v>
      </c>
      <c r="BA244" s="1">
        <v>13.6</v>
      </c>
      <c r="BB244" s="1">
        <v>3.53</v>
      </c>
      <c r="BC244" s="1" t="s">
        <v>419</v>
      </c>
      <c r="BD244" s="1">
        <v>13.5</v>
      </c>
      <c r="BE244" s="1">
        <v>18.1</v>
      </c>
      <c r="BF244" s="1">
        <v>27.0</v>
      </c>
      <c r="BG244" s="1">
        <v>41.4</v>
      </c>
      <c r="BH244" s="1" t="s">
        <v>529</v>
      </c>
    </row>
    <row r="245">
      <c r="A245" s="2">
        <v>6115.0</v>
      </c>
      <c r="B245" s="2" t="str">
        <f>IFERROR(__xludf.DUMMYFUNCTION("TO_TEXT(A245)"),"06115")</f>
        <v>06115</v>
      </c>
      <c r="C245" s="1">
        <v>73897.0</v>
      </c>
      <c r="D245" s="1">
        <v>632.037834185096</v>
      </c>
      <c r="E245" s="1" t="s">
        <v>530</v>
      </c>
      <c r="F245" s="1" t="s">
        <v>531</v>
      </c>
      <c r="G245" s="1">
        <v>116.918633668944</v>
      </c>
      <c r="H245" s="1">
        <v>16.3925372229999</v>
      </c>
      <c r="I245" s="1">
        <v>4.0792669518</v>
      </c>
      <c r="J245" s="1">
        <v>6.6537857747</v>
      </c>
      <c r="K245" s="1">
        <v>14.179140049</v>
      </c>
      <c r="L245" s="1">
        <v>34.4</v>
      </c>
      <c r="M245" s="1">
        <v>6.8</v>
      </c>
      <c r="N245" s="1">
        <v>33.8</v>
      </c>
      <c r="O245" s="1">
        <v>87.878871873</v>
      </c>
      <c r="P245" s="1">
        <v>7.4102194215</v>
      </c>
      <c r="Q245" s="1">
        <v>24.66539</v>
      </c>
      <c r="R245" s="1">
        <v>75.025278059</v>
      </c>
      <c r="S245" s="1">
        <v>21.8</v>
      </c>
      <c r="T245" s="1">
        <v>20599.0</v>
      </c>
      <c r="U245" s="1">
        <v>33.069566484</v>
      </c>
      <c r="V245" s="1">
        <v>413.7271153</v>
      </c>
      <c r="W245" s="1">
        <v>23.094913272</v>
      </c>
      <c r="X245" s="1">
        <v>15.719921105</v>
      </c>
      <c r="Y245" s="1">
        <v>75.233523124</v>
      </c>
      <c r="Z245" s="1">
        <v>11.9</v>
      </c>
      <c r="AA245" s="1">
        <v>12.01933271</v>
      </c>
      <c r="AB245" s="1">
        <v>47504.0</v>
      </c>
      <c r="AC245" s="1">
        <v>69.558567953</v>
      </c>
      <c r="AD245" s="1">
        <v>58.776118263</v>
      </c>
      <c r="AE245" s="1">
        <v>16.140805274</v>
      </c>
      <c r="AF245" s="1">
        <v>3.5289142886</v>
      </c>
      <c r="AG245" s="1">
        <v>2.9215412411</v>
      </c>
      <c r="AH245" s="1">
        <v>7.51399905179999</v>
      </c>
      <c r="AI245" s="1">
        <v>0.507425584</v>
      </c>
      <c r="AJ245" s="1">
        <v>28.737458515</v>
      </c>
      <c r="AK245" s="1">
        <v>54.339385708</v>
      </c>
      <c r="AL245" s="1">
        <v>5.6179451324</v>
      </c>
      <c r="AM245" s="1">
        <v>49.381735242</v>
      </c>
      <c r="AN245" s="1">
        <v>26.222714989</v>
      </c>
      <c r="AO245" s="1">
        <v>21418.0</v>
      </c>
      <c r="AP245" s="1">
        <v>20.8</v>
      </c>
      <c r="AQ245" s="1">
        <v>12.7</v>
      </c>
      <c r="AR245" s="1">
        <v>17.8</v>
      </c>
      <c r="AS245" s="1">
        <v>11.5</v>
      </c>
      <c r="AT245" s="1">
        <v>27.9</v>
      </c>
      <c r="AU245" s="1">
        <v>16.9</v>
      </c>
      <c r="AV245" s="1">
        <v>43.0</v>
      </c>
      <c r="AW245" s="1">
        <v>5.1</v>
      </c>
      <c r="AX245" s="1">
        <v>0.9513</v>
      </c>
      <c r="AY245" s="1">
        <v>15.2</v>
      </c>
      <c r="AZ245" s="1">
        <v>14.4</v>
      </c>
      <c r="BA245" s="1">
        <v>21.3</v>
      </c>
      <c r="BB245" s="1">
        <v>3.11</v>
      </c>
      <c r="BC245" s="1" t="s">
        <v>419</v>
      </c>
      <c r="BD245" s="1">
        <v>17.7</v>
      </c>
      <c r="BE245" s="1">
        <v>23.6</v>
      </c>
      <c r="BF245" s="1">
        <v>41.6</v>
      </c>
      <c r="BG245" s="1">
        <v>17.1</v>
      </c>
      <c r="BH245" s="1" t="s">
        <v>531</v>
      </c>
    </row>
    <row r="246">
      <c r="A246" s="2">
        <v>8001.0</v>
      </c>
      <c r="B246" s="2" t="str">
        <f>IFERROR(__xludf.DUMMYFUNCTION("TO_TEXT(A246)"),"08001")</f>
        <v>08001</v>
      </c>
      <c r="C246" s="1">
        <v>479977.0</v>
      </c>
      <c r="D246" s="1">
        <v>1167.29118157335</v>
      </c>
      <c r="E246" s="1" t="s">
        <v>532</v>
      </c>
      <c r="F246" s="1" t="s">
        <v>533</v>
      </c>
      <c r="G246" s="1">
        <v>411.188748426126</v>
      </c>
      <c r="H246" s="1">
        <v>16.643578713</v>
      </c>
      <c r="I246" s="1">
        <v>3.782973632</v>
      </c>
      <c r="J246" s="1">
        <v>8.75976835809999</v>
      </c>
      <c r="K246" s="1">
        <v>16.324605425</v>
      </c>
      <c r="L246" s="1">
        <v>27.8</v>
      </c>
      <c r="M246" s="1">
        <v>8.7</v>
      </c>
      <c r="N246" s="1">
        <v>19.9</v>
      </c>
      <c r="O246" s="1">
        <v>93.051904086</v>
      </c>
      <c r="P246" s="1">
        <v>11.026551173</v>
      </c>
      <c r="Q246" s="1">
        <v>43.52432</v>
      </c>
      <c r="R246" s="1">
        <v>77.259086362</v>
      </c>
      <c r="S246" s="1">
        <v>12.6</v>
      </c>
      <c r="T246" s="1">
        <v>134543.0</v>
      </c>
      <c r="U246" s="1">
        <v>31.022795686</v>
      </c>
      <c r="V246" s="1">
        <v>372.42750473</v>
      </c>
      <c r="W246" s="1">
        <v>18.129133858</v>
      </c>
      <c r="X246" s="1">
        <v>13.571156532</v>
      </c>
      <c r="Y246" s="1">
        <v>79.164313075</v>
      </c>
      <c r="Z246" s="1">
        <v>7.7</v>
      </c>
      <c r="AA246" s="1">
        <v>5.6262113169</v>
      </c>
      <c r="AB246" s="1">
        <v>70199.0</v>
      </c>
      <c r="AC246" s="1">
        <v>54.2741633439999</v>
      </c>
      <c r="AD246" s="1">
        <v>65.2102486719999</v>
      </c>
      <c r="AE246" s="1">
        <v>14.076282691</v>
      </c>
      <c r="AF246" s="1">
        <v>3.1885173521</v>
      </c>
      <c r="AG246" s="1">
        <v>2.2767588519</v>
      </c>
      <c r="AH246" s="1">
        <v>4.37065806029999</v>
      </c>
      <c r="AI246" s="1">
        <v>0.2164620566</v>
      </c>
      <c r="AJ246" s="1">
        <v>40.448904796</v>
      </c>
      <c r="AK246" s="1">
        <v>49.603608743</v>
      </c>
      <c r="AL246" s="1">
        <v>6.5787501873</v>
      </c>
      <c r="AM246" s="1">
        <v>49.504559769</v>
      </c>
      <c r="AN246" s="1">
        <v>3.6204464191</v>
      </c>
      <c r="AO246" s="1">
        <v>26051.0</v>
      </c>
      <c r="AP246" s="1">
        <v>12.9</v>
      </c>
      <c r="AQ246" s="1">
        <v>6.1</v>
      </c>
      <c r="AR246" s="1">
        <v>17.8</v>
      </c>
      <c r="AS246" s="1">
        <v>9.5</v>
      </c>
      <c r="AT246" s="1">
        <v>27.8</v>
      </c>
      <c r="AU246" s="1">
        <v>10.5</v>
      </c>
      <c r="AV246" s="1">
        <v>48.3</v>
      </c>
      <c r="AW246" s="1">
        <v>7.0</v>
      </c>
      <c r="AX246" s="1">
        <v>0.6332</v>
      </c>
      <c r="AY246" s="1">
        <v>9.3</v>
      </c>
      <c r="AZ246" s="1">
        <v>9.3</v>
      </c>
      <c r="BA246" s="1">
        <v>11.7</v>
      </c>
      <c r="BB246" s="1">
        <v>3.22</v>
      </c>
      <c r="BC246" s="1" t="s">
        <v>534</v>
      </c>
      <c r="BD246" s="1">
        <v>16.2</v>
      </c>
      <c r="BE246" s="1">
        <v>28.6</v>
      </c>
      <c r="BF246" s="1">
        <v>30.9</v>
      </c>
      <c r="BG246" s="1">
        <v>24.3</v>
      </c>
      <c r="BH246" s="1" t="s">
        <v>533</v>
      </c>
    </row>
    <row r="247">
      <c r="A247" s="2">
        <v>8003.0</v>
      </c>
      <c r="B247" s="2" t="str">
        <f>IFERROR(__xludf.DUMMYFUNCTION("TO_TEXT(A247)"),"08003")</f>
        <v>08003</v>
      </c>
      <c r="C247" s="1">
        <v>16353.0</v>
      </c>
      <c r="D247" s="1">
        <v>722.576715724842</v>
      </c>
      <c r="E247" s="1" t="s">
        <v>535</v>
      </c>
      <c r="F247" s="1" t="s">
        <v>536</v>
      </c>
      <c r="G247" s="1">
        <v>22.6315070000501</v>
      </c>
      <c r="H247" s="1">
        <v>22.840436161</v>
      </c>
      <c r="I247" s="1">
        <v>4.4455777466</v>
      </c>
      <c r="J247" s="1">
        <v>10.296096904</v>
      </c>
      <c r="K247" s="1">
        <v>17.284642561</v>
      </c>
      <c r="L247" s="1">
        <v>24.0</v>
      </c>
      <c r="M247" s="1">
        <v>8.2</v>
      </c>
      <c r="N247" s="1">
        <v>23.9</v>
      </c>
      <c r="O247" s="1">
        <v>83.127225639</v>
      </c>
      <c r="P247" s="1">
        <v>13.191061625</v>
      </c>
      <c r="Q247" s="1">
        <v>78.5451</v>
      </c>
      <c r="R247" s="1">
        <v>80.0</v>
      </c>
      <c r="S247" s="1">
        <v>24.3</v>
      </c>
      <c r="T247" s="1">
        <v>3890.0</v>
      </c>
      <c r="U247" s="1">
        <v>21.285347044</v>
      </c>
      <c r="V247" s="1">
        <v>204.509002055</v>
      </c>
      <c r="W247" s="1">
        <v>19.512195122</v>
      </c>
      <c r="X247" s="1">
        <v>15.8823529409999</v>
      </c>
      <c r="Y247" s="1">
        <v>76.176734491</v>
      </c>
      <c r="Z247" s="1">
        <v>6.4</v>
      </c>
      <c r="AA247" s="1">
        <v>2.6244486406</v>
      </c>
      <c r="AB247" s="1">
        <v>42897.0</v>
      </c>
      <c r="AC247" s="1">
        <v>45.011337868</v>
      </c>
      <c r="AD247" s="1">
        <v>55.712660491</v>
      </c>
      <c r="AE247" s="1">
        <v>13.105316627</v>
      </c>
      <c r="AF247" s="1">
        <v>1.3127135407</v>
      </c>
      <c r="AG247" s="1">
        <v>5.298807169</v>
      </c>
      <c r="AH247" s="1">
        <v>1.6423904574</v>
      </c>
      <c r="AI247" s="1">
        <v>0.2517532818</v>
      </c>
      <c r="AJ247" s="1">
        <v>45.807109033</v>
      </c>
      <c r="AK247" s="1">
        <v>48.342624228</v>
      </c>
      <c r="AL247" s="1">
        <v>4.1868376292</v>
      </c>
      <c r="AM247" s="1">
        <v>49.883114548</v>
      </c>
      <c r="AN247" s="1">
        <v>36.866299773</v>
      </c>
      <c r="AO247" s="1">
        <v>18133.0</v>
      </c>
      <c r="AP247" s="1">
        <v>31.4</v>
      </c>
      <c r="AQ247" s="1">
        <v>8.7</v>
      </c>
      <c r="AR247" s="1">
        <v>16.2</v>
      </c>
      <c r="AS247" s="1">
        <v>12.7</v>
      </c>
      <c r="AT247" s="1">
        <v>24.5</v>
      </c>
      <c r="AU247" s="1">
        <v>19.1</v>
      </c>
      <c r="AV247" s="1">
        <v>50.9</v>
      </c>
      <c r="AW247" s="1">
        <v>2.7</v>
      </c>
      <c r="AX247" s="1">
        <v>0.9834</v>
      </c>
      <c r="AY247" s="1">
        <v>19.6</v>
      </c>
      <c r="AZ247" s="1">
        <v>14.6</v>
      </c>
      <c r="BA247" s="1">
        <v>17.3</v>
      </c>
      <c r="BB247" s="1">
        <v>3.36</v>
      </c>
      <c r="BC247" s="1" t="s">
        <v>534</v>
      </c>
      <c r="BD247" s="1">
        <v>13.1</v>
      </c>
      <c r="BE247" s="1">
        <v>28.5</v>
      </c>
      <c r="BF247" s="1">
        <v>33.3</v>
      </c>
      <c r="BG247" s="1">
        <v>25.0</v>
      </c>
      <c r="BH247" s="1" t="s">
        <v>536</v>
      </c>
    </row>
    <row r="248">
      <c r="A248" s="2">
        <v>8005.0</v>
      </c>
      <c r="B248" s="2" t="str">
        <f>IFERROR(__xludf.DUMMYFUNCTION("TO_TEXT(A248)"),"08005")</f>
        <v>08005</v>
      </c>
      <c r="C248" s="1">
        <v>617668.0</v>
      </c>
      <c r="D248" s="1">
        <v>797.92900907449</v>
      </c>
      <c r="E248" s="1" t="s">
        <v>537</v>
      </c>
      <c r="F248" s="1" t="s">
        <v>538</v>
      </c>
      <c r="G248" s="1">
        <v>774.088913895269</v>
      </c>
      <c r="H248" s="1">
        <v>11.684058075</v>
      </c>
      <c r="I248" s="1">
        <v>3.4977305996</v>
      </c>
      <c r="J248" s="1">
        <v>9.5992249073</v>
      </c>
      <c r="K248" s="1">
        <v>13.2635524709999</v>
      </c>
      <c r="L248" s="1">
        <v>22.1</v>
      </c>
      <c r="M248" s="1">
        <v>8.4</v>
      </c>
      <c r="N248" s="1">
        <v>16.6</v>
      </c>
      <c r="O248" s="1">
        <v>98.142667084</v>
      </c>
      <c r="P248" s="1">
        <v>8.5250561118</v>
      </c>
      <c r="Q248" s="1">
        <v>83.66353</v>
      </c>
      <c r="R248" s="1">
        <v>83.483870968</v>
      </c>
      <c r="S248" s="1">
        <v>10.3</v>
      </c>
      <c r="T248" s="1">
        <v>151965.0</v>
      </c>
      <c r="U248" s="1">
        <v>28.1051557919999</v>
      </c>
      <c r="V248" s="1">
        <v>329.9652518</v>
      </c>
      <c r="W248" s="1">
        <v>16.545536889</v>
      </c>
      <c r="X248" s="1">
        <v>14.018793468</v>
      </c>
      <c r="Y248" s="1">
        <v>81.115142245</v>
      </c>
      <c r="Z248" s="1">
        <v>7.0</v>
      </c>
      <c r="AA248" s="1">
        <v>2.4007253085</v>
      </c>
      <c r="AB248" s="1">
        <v>76665.0</v>
      </c>
      <c r="AC248" s="1">
        <v>41.722367951</v>
      </c>
      <c r="AD248" s="1">
        <v>63.071489609</v>
      </c>
      <c r="AE248" s="1">
        <v>14.009692832</v>
      </c>
      <c r="AF248" s="1">
        <v>10.514806938</v>
      </c>
      <c r="AG248" s="1">
        <v>1.1457045676</v>
      </c>
      <c r="AH248" s="1">
        <v>6.4720560798</v>
      </c>
      <c r="AI248" s="1">
        <v>0.2894589345</v>
      </c>
      <c r="AJ248" s="1">
        <v>19.488341024</v>
      </c>
      <c r="AK248" s="1">
        <v>59.900033015</v>
      </c>
      <c r="AL248" s="1">
        <v>4.1089571441</v>
      </c>
      <c r="AM248" s="1">
        <v>50.4444768619999</v>
      </c>
      <c r="AN248" s="1">
        <v>1.5753413881</v>
      </c>
      <c r="AO248" s="1">
        <v>35250.0</v>
      </c>
      <c r="AP248" s="1">
        <v>10.7</v>
      </c>
      <c r="AQ248" s="1">
        <v>6.0</v>
      </c>
      <c r="AR248" s="1">
        <v>7.7</v>
      </c>
      <c r="AS248" s="1">
        <v>11.8</v>
      </c>
      <c r="AT248" s="1">
        <v>24.5</v>
      </c>
      <c r="AU248" s="1">
        <v>9.1</v>
      </c>
      <c r="AV248" s="1">
        <v>38.1</v>
      </c>
      <c r="AW248" s="1">
        <v>4.2</v>
      </c>
      <c r="AX248" s="1">
        <v>0.3056</v>
      </c>
      <c r="AY248" s="1">
        <v>7.2</v>
      </c>
      <c r="AZ248" s="1">
        <v>9.2</v>
      </c>
      <c r="BA248" s="1">
        <v>11.1</v>
      </c>
      <c r="BB248" s="1">
        <v>3.41</v>
      </c>
      <c r="BC248" s="1" t="s">
        <v>534</v>
      </c>
      <c r="BD248" s="1">
        <v>7.4</v>
      </c>
      <c r="BE248" s="1">
        <v>20.8</v>
      </c>
      <c r="BF248" s="1">
        <v>29.0</v>
      </c>
      <c r="BG248" s="1">
        <v>42.8</v>
      </c>
      <c r="BH248" s="1" t="s">
        <v>538</v>
      </c>
    </row>
    <row r="249">
      <c r="A249" s="2">
        <v>8007.0</v>
      </c>
      <c r="B249" s="2" t="str">
        <f>IFERROR(__xludf.DUMMYFUNCTION("TO_TEXT(A249)"),"08007")</f>
        <v>08007</v>
      </c>
      <c r="C249" s="1">
        <v>12355.0</v>
      </c>
      <c r="D249" s="1">
        <v>1350.08954103409</v>
      </c>
      <c r="E249" s="1" t="s">
        <v>539</v>
      </c>
      <c r="F249" s="1" t="s">
        <v>540</v>
      </c>
      <c r="G249" s="1">
        <v>9.15124488005201</v>
      </c>
      <c r="H249" s="1">
        <v>13.831244068</v>
      </c>
      <c r="I249" s="1">
        <v>3.7503183801</v>
      </c>
      <c r="J249" s="1">
        <v>7.4534161491</v>
      </c>
      <c r="K249" s="1">
        <v>13.476071073</v>
      </c>
      <c r="L249" s="1">
        <v>23.9</v>
      </c>
      <c r="M249" s="1">
        <v>7.8</v>
      </c>
      <c r="N249" s="1">
        <v>12.5</v>
      </c>
      <c r="O249" s="1">
        <v>89.407480967</v>
      </c>
      <c r="P249" s="1">
        <v>12.915392457</v>
      </c>
      <c r="Q249" s="1">
        <v>90.12392</v>
      </c>
      <c r="R249" s="1">
        <v>84.337349398</v>
      </c>
      <c r="S249" s="1">
        <v>20.7</v>
      </c>
      <c r="T249" s="1">
        <v>2209.0</v>
      </c>
      <c r="U249" s="1">
        <v>21.095518334</v>
      </c>
      <c r="V249" s="1">
        <v>190.26029227</v>
      </c>
      <c r="W249" s="1">
        <v>18.680297398</v>
      </c>
      <c r="X249" s="1">
        <v>13.764880952</v>
      </c>
      <c r="Y249" s="1">
        <v>82.146124572</v>
      </c>
      <c r="Z249" s="1">
        <v>4.5</v>
      </c>
      <c r="AA249" s="1">
        <v>10.672981092</v>
      </c>
      <c r="AB249" s="1">
        <v>53337.0</v>
      </c>
      <c r="AC249" s="1">
        <v>52.048192771</v>
      </c>
      <c r="AD249" s="1">
        <v>74.567901235</v>
      </c>
      <c r="AE249" s="1">
        <v>13.678571429</v>
      </c>
      <c r="AF249" s="1">
        <v>0.6029785688</v>
      </c>
      <c r="AG249" s="1">
        <v>3.4653105703</v>
      </c>
      <c r="AH249" s="1">
        <v>1.1986923356</v>
      </c>
      <c r="AI249" s="1">
        <v>0.1307664366</v>
      </c>
      <c r="AJ249" s="1">
        <v>18.2419179079999</v>
      </c>
      <c r="AK249" s="1">
        <v>76.803487105</v>
      </c>
      <c r="AL249" s="1">
        <v>0.9570930327</v>
      </c>
      <c r="AM249" s="1">
        <v>49.887395568</v>
      </c>
      <c r="AN249" s="1">
        <v>59.376034426</v>
      </c>
      <c r="AO249" s="1">
        <v>28649.0</v>
      </c>
      <c r="AP249" s="1">
        <v>11.2</v>
      </c>
      <c r="AQ249" s="1">
        <v>6.7</v>
      </c>
      <c r="AR249" s="1">
        <v>8.6</v>
      </c>
      <c r="AS249" s="1">
        <v>22.2</v>
      </c>
      <c r="AT249" s="1">
        <v>17.7</v>
      </c>
      <c r="AU249" s="1">
        <v>15.0</v>
      </c>
      <c r="AV249" s="1">
        <v>23.2</v>
      </c>
      <c r="AW249" s="1">
        <v>1.0</v>
      </c>
      <c r="AX249" s="1">
        <v>0.2569</v>
      </c>
      <c r="AY249" s="1">
        <v>10.8</v>
      </c>
      <c r="AZ249" s="1">
        <v>10.6</v>
      </c>
      <c r="BA249" s="1">
        <v>15.0</v>
      </c>
      <c r="BB249" s="1">
        <v>3.3</v>
      </c>
      <c r="BC249" s="1" t="s">
        <v>534</v>
      </c>
      <c r="BD249" s="1">
        <v>7.7</v>
      </c>
      <c r="BE249" s="1">
        <v>21.0</v>
      </c>
      <c r="BF249" s="1">
        <v>34.2</v>
      </c>
      <c r="BG249" s="1">
        <v>37.2</v>
      </c>
      <c r="BH249" s="1" t="s">
        <v>540</v>
      </c>
    </row>
    <row r="250">
      <c r="A250" s="2">
        <v>8009.0</v>
      </c>
      <c r="B250" s="2" t="str">
        <f>IFERROR(__xludf.DUMMYFUNCTION("TO_TEXT(A250)"),"08009")</f>
        <v>08009</v>
      </c>
      <c r="C250" s="1">
        <v>3648.0</v>
      </c>
      <c r="D250" s="1">
        <v>2554.99160028357</v>
      </c>
      <c r="E250" s="1" t="s">
        <v>541</v>
      </c>
      <c r="F250" s="1" t="s">
        <v>542</v>
      </c>
      <c r="G250" s="1">
        <v>1.42779334366309</v>
      </c>
      <c r="H250" s="1">
        <v>15.613659835</v>
      </c>
      <c r="I250" s="1">
        <v>4.1489308422</v>
      </c>
      <c r="J250" s="1">
        <v>4.9645390071</v>
      </c>
      <c r="K250" s="1">
        <v>15.17142555</v>
      </c>
      <c r="L250" s="1">
        <v>30.8</v>
      </c>
      <c r="M250" s="1">
        <v>7.5</v>
      </c>
      <c r="N250" s="1">
        <v>28.5</v>
      </c>
      <c r="O250" s="1">
        <v>81.3093980989999</v>
      </c>
      <c r="P250" s="1">
        <v>15.795586527</v>
      </c>
      <c r="Q250" s="1">
        <v>84.22235</v>
      </c>
      <c r="R250" s="1">
        <v>90.697674419</v>
      </c>
      <c r="S250" s="1">
        <v>29.3</v>
      </c>
      <c r="T250" s="1">
        <v>721.0</v>
      </c>
      <c r="U250" s="1">
        <v>22.0527045769999</v>
      </c>
      <c r="V250" s="1">
        <v>96.471885336</v>
      </c>
      <c r="W250" s="1">
        <v>11.3268608409999</v>
      </c>
      <c r="X250" s="1">
        <v>9.0790333116</v>
      </c>
      <c r="Y250" s="1">
        <v>80.226380627</v>
      </c>
      <c r="Z250" s="1">
        <v>15.1</v>
      </c>
      <c r="AA250" s="1">
        <v>8.3983311563</v>
      </c>
      <c r="AB250" s="1">
        <v>38294.0</v>
      </c>
      <c r="AC250" s="1">
        <v>65.1828298889999</v>
      </c>
      <c r="AD250" s="1">
        <v>71.7417783189999</v>
      </c>
      <c r="AE250" s="1">
        <v>9.8130841121</v>
      </c>
      <c r="AF250" s="1">
        <v>0.7531380753</v>
      </c>
      <c r="AG250" s="1">
        <v>1.9525801953</v>
      </c>
      <c r="AH250" s="1">
        <v>0.3905160391</v>
      </c>
      <c r="AI250" s="1">
        <v>0.0</v>
      </c>
      <c r="AJ250" s="1">
        <v>11.018131102</v>
      </c>
      <c r="AK250" s="1">
        <v>84.490934449</v>
      </c>
      <c r="AL250" s="1">
        <v>2.6362559242</v>
      </c>
      <c r="AM250" s="1">
        <v>49.790794979</v>
      </c>
      <c r="AN250" s="1">
        <v>100.0</v>
      </c>
      <c r="AO250" s="1">
        <v>22113.0</v>
      </c>
      <c r="AP250" s="1">
        <v>18.0</v>
      </c>
      <c r="AQ250" s="1">
        <v>3.7</v>
      </c>
      <c r="AR250" s="1">
        <v>13.7</v>
      </c>
      <c r="AS250" s="1">
        <v>25.5</v>
      </c>
      <c r="AT250" s="1">
        <v>21.5</v>
      </c>
      <c r="AU250" s="1">
        <v>24.5</v>
      </c>
      <c r="AV250" s="1">
        <v>13.7</v>
      </c>
      <c r="AW250" s="1">
        <v>1.9</v>
      </c>
      <c r="AX250" s="1">
        <v>0.5314</v>
      </c>
      <c r="AY250" s="1">
        <v>19.3</v>
      </c>
      <c r="AZ250" s="1">
        <v>14.3</v>
      </c>
      <c r="BA250" s="1">
        <v>20.4</v>
      </c>
      <c r="BB250" s="1">
        <v>2.74</v>
      </c>
      <c r="BC250" s="1" t="s">
        <v>534</v>
      </c>
      <c r="BD250" s="1">
        <v>13.8</v>
      </c>
      <c r="BE250" s="1">
        <v>28.0</v>
      </c>
      <c r="BF250" s="1">
        <v>36.8</v>
      </c>
      <c r="BG250" s="1">
        <v>21.4</v>
      </c>
      <c r="BH250" s="1" t="s">
        <v>542</v>
      </c>
    </row>
    <row r="251">
      <c r="A251" s="2">
        <v>8011.0</v>
      </c>
      <c r="B251" s="2" t="str">
        <f>IFERROR(__xludf.DUMMYFUNCTION("TO_TEXT(A251)"),"08011")</f>
        <v>08011</v>
      </c>
      <c r="C251" s="1">
        <v>5816.0</v>
      </c>
      <c r="D251" s="1">
        <v>1512.86477008035</v>
      </c>
      <c r="E251" s="1" t="s">
        <v>543</v>
      </c>
      <c r="F251" s="1" t="s">
        <v>544</v>
      </c>
      <c r="G251" s="1">
        <v>3.84436211023085</v>
      </c>
      <c r="H251" s="1">
        <v>19.999430047</v>
      </c>
      <c r="I251" s="1">
        <v>3.9864073096</v>
      </c>
      <c r="J251" s="1">
        <v>10.8</v>
      </c>
      <c r="K251" s="1">
        <v>18.217267397</v>
      </c>
      <c r="L251" s="1">
        <v>30.0</v>
      </c>
      <c r="M251" s="1">
        <v>7.2</v>
      </c>
      <c r="N251" s="1">
        <v>24.1</v>
      </c>
      <c r="O251" s="1">
        <v>81.551007847</v>
      </c>
      <c r="P251" s="1">
        <v>10.371106693</v>
      </c>
      <c r="Q251" s="1">
        <v>48.31939</v>
      </c>
      <c r="R251" s="1">
        <v>82.471264368</v>
      </c>
      <c r="S251" s="1">
        <v>30.4</v>
      </c>
      <c r="T251" s="1">
        <v>894.0</v>
      </c>
      <c r="U251" s="1">
        <v>32.214765101</v>
      </c>
      <c r="V251" s="1">
        <v>133.48758565</v>
      </c>
      <c r="W251" s="1">
        <v>19.186046512</v>
      </c>
      <c r="X251" s="1">
        <v>16.317016317</v>
      </c>
      <c r="Y251" s="1">
        <v>75.089520487</v>
      </c>
      <c r="Z251" s="1">
        <v>7.5</v>
      </c>
      <c r="AA251" s="1">
        <v>12.1015551879999</v>
      </c>
      <c r="AB251" s="1">
        <v>37659.0</v>
      </c>
      <c r="AC251" s="1">
        <v>67.279894875</v>
      </c>
      <c r="AD251" s="1">
        <v>64.162844037</v>
      </c>
      <c r="AE251" s="1">
        <v>18.730933496</v>
      </c>
      <c r="AF251" s="1">
        <v>7.5994559674</v>
      </c>
      <c r="AG251" s="1">
        <v>3.4852091125</v>
      </c>
      <c r="AH251" s="1">
        <v>1.4110846651</v>
      </c>
      <c r="AI251" s="1">
        <v>0.1190071404</v>
      </c>
      <c r="AJ251" s="1">
        <v>31.995919755</v>
      </c>
      <c r="AK251" s="1">
        <v>56.562393744</v>
      </c>
      <c r="AL251" s="1">
        <v>2.1607142857</v>
      </c>
      <c r="AM251" s="1">
        <v>34.580074804</v>
      </c>
      <c r="AN251" s="1">
        <v>37.959686106</v>
      </c>
      <c r="AO251" s="1">
        <v>13772.0</v>
      </c>
      <c r="AP251" s="1">
        <v>25.2</v>
      </c>
      <c r="AQ251" s="1">
        <v>7.9</v>
      </c>
      <c r="AR251" s="1">
        <v>15.8</v>
      </c>
      <c r="AS251" s="1">
        <v>16.1</v>
      </c>
      <c r="AT251" s="1">
        <v>15.9</v>
      </c>
      <c r="AU251" s="1">
        <v>27.8</v>
      </c>
      <c r="AV251" s="1">
        <v>41.4</v>
      </c>
      <c r="AW251" s="1">
        <v>2.9</v>
      </c>
      <c r="AX251" s="1">
        <v>0.829</v>
      </c>
      <c r="AY251" s="1">
        <v>34.4</v>
      </c>
      <c r="AZ251" s="1">
        <v>16.5</v>
      </c>
      <c r="BA251" s="1">
        <v>22.0</v>
      </c>
      <c r="BB251" s="1">
        <v>3.05</v>
      </c>
      <c r="BC251" s="1" t="s">
        <v>534</v>
      </c>
      <c r="BD251" s="1">
        <v>15.2</v>
      </c>
      <c r="BE251" s="1">
        <v>48.7</v>
      </c>
      <c r="BF251" s="1">
        <v>24.6</v>
      </c>
      <c r="BG251" s="1">
        <v>11.4</v>
      </c>
      <c r="BH251" s="1" t="s">
        <v>544</v>
      </c>
    </row>
    <row r="252">
      <c r="A252" s="2">
        <v>8013.0</v>
      </c>
      <c r="B252" s="2" t="str">
        <f>IFERROR(__xludf.DUMMYFUNCTION("TO_TEXT(A252)"),"08013")</f>
        <v>08013</v>
      </c>
      <c r="C252" s="1">
        <v>313961.0</v>
      </c>
      <c r="D252" s="1">
        <v>726.339712921286</v>
      </c>
      <c r="E252" s="1" t="s">
        <v>545</v>
      </c>
      <c r="F252" s="1" t="s">
        <v>546</v>
      </c>
      <c r="G252" s="1">
        <v>432.250907412554</v>
      </c>
      <c r="H252" s="1">
        <v>11.612699398</v>
      </c>
      <c r="I252" s="1">
        <v>3.2683151306</v>
      </c>
      <c r="J252" s="1">
        <v>8.09171974519999</v>
      </c>
      <c r="K252" s="1">
        <v>11.318441782</v>
      </c>
      <c r="L252" s="1">
        <v>15.2</v>
      </c>
      <c r="M252" s="1">
        <v>8.3</v>
      </c>
      <c r="N252" s="1">
        <v>9.5</v>
      </c>
      <c r="O252" s="1">
        <v>96.214783054</v>
      </c>
      <c r="P252" s="1">
        <v>6.772989506</v>
      </c>
      <c r="Q252" s="1">
        <v>123.71556</v>
      </c>
      <c r="R252" s="1">
        <v>89.259337413</v>
      </c>
      <c r="S252" s="1">
        <v>6.7</v>
      </c>
      <c r="T252" s="1">
        <v>62209.0</v>
      </c>
      <c r="U252" s="1">
        <v>25.671526628</v>
      </c>
      <c r="V252" s="1">
        <v>242.3764358</v>
      </c>
      <c r="W252" s="1">
        <v>19.624807957</v>
      </c>
      <c r="X252" s="1">
        <v>17.649698156</v>
      </c>
      <c r="Y252" s="1">
        <v>82.96930928</v>
      </c>
      <c r="Z252" s="1">
        <v>4.8</v>
      </c>
      <c r="AA252" s="1">
        <v>3.0818909238</v>
      </c>
      <c r="AB252" s="1">
        <v>83591.0</v>
      </c>
      <c r="AC252" s="1">
        <v>26.4754779719999</v>
      </c>
      <c r="AD252" s="1">
        <v>62.030756033</v>
      </c>
      <c r="AE252" s="1">
        <v>17.595129623</v>
      </c>
      <c r="AF252" s="1">
        <v>0.9555995805</v>
      </c>
      <c r="AG252" s="1">
        <v>0.848876649099999</v>
      </c>
      <c r="AH252" s="1">
        <v>4.9524960286</v>
      </c>
      <c r="AI252" s="1">
        <v>0.0742153718</v>
      </c>
      <c r="AJ252" s="1">
        <v>13.913848834</v>
      </c>
      <c r="AK252" s="1">
        <v>77.5940112489999</v>
      </c>
      <c r="AL252" s="1">
        <v>1.9371813309</v>
      </c>
      <c r="AM252" s="1">
        <v>49.684124657</v>
      </c>
      <c r="AN252" s="1">
        <v>8.9130825924</v>
      </c>
      <c r="AO252" s="1">
        <v>40097.0</v>
      </c>
      <c r="AP252" s="1">
        <v>13.4</v>
      </c>
      <c r="AQ252" s="1">
        <v>5.6</v>
      </c>
      <c r="AR252" s="1">
        <v>5.5</v>
      </c>
      <c r="AS252" s="1">
        <v>12.1</v>
      </c>
      <c r="AT252" s="1">
        <v>20.2</v>
      </c>
      <c r="AU252" s="1">
        <v>8.3</v>
      </c>
      <c r="AV252" s="1">
        <v>21.6</v>
      </c>
      <c r="AW252" s="1">
        <v>2.2</v>
      </c>
      <c r="AX252" s="1">
        <v>0.17</v>
      </c>
      <c r="AY252" s="1">
        <v>10.7</v>
      </c>
      <c r="AZ252" s="1">
        <v>9.0</v>
      </c>
      <c r="BA252" s="1">
        <v>9.5</v>
      </c>
      <c r="BB252" s="1">
        <v>3.95</v>
      </c>
      <c r="BC252" s="1" t="s">
        <v>534</v>
      </c>
      <c r="BD252" s="1">
        <v>5.0</v>
      </c>
      <c r="BE252" s="1">
        <v>11.7</v>
      </c>
      <c r="BF252" s="1">
        <v>21.2</v>
      </c>
      <c r="BG252" s="1">
        <v>62.1</v>
      </c>
      <c r="BH252" s="1" t="s">
        <v>546</v>
      </c>
    </row>
    <row r="253">
      <c r="A253" s="2">
        <v>8014.0</v>
      </c>
      <c r="B253" s="2" t="str">
        <f>IFERROR(__xludf.DUMMYFUNCTION("TO_TEXT(A253)"),"08014")</f>
        <v>08014</v>
      </c>
      <c r="C253" s="1">
        <v>62449.0</v>
      </c>
      <c r="D253" s="1">
        <v>33.003418648694</v>
      </c>
      <c r="E253" s="1" t="s">
        <v>547</v>
      </c>
      <c r="F253" s="1" t="s">
        <v>548</v>
      </c>
      <c r="G253" s="1">
        <v>1892.19791636559</v>
      </c>
      <c r="H253" s="1">
        <v>9.7237924569</v>
      </c>
      <c r="I253" s="1">
        <v>3.3839380814</v>
      </c>
      <c r="J253" s="1">
        <v>8.3143271823</v>
      </c>
      <c r="K253" s="1">
        <v>11.625377957</v>
      </c>
      <c r="L253" s="1">
        <v>19.6</v>
      </c>
      <c r="M253" s="1">
        <v>8.6</v>
      </c>
      <c r="N253" s="1">
        <v>13.0</v>
      </c>
      <c r="O253" s="1">
        <v>99.4524861779999</v>
      </c>
      <c r="P253" s="1">
        <v>4.7788025375</v>
      </c>
      <c r="Q253" s="1">
        <v>105.35403</v>
      </c>
      <c r="R253" s="1">
        <v>89.912280702</v>
      </c>
      <c r="S253" s="1">
        <v>5.1</v>
      </c>
      <c r="T253" s="1">
        <v>15675.0</v>
      </c>
      <c r="U253" s="1">
        <v>15.011164274</v>
      </c>
      <c r="V253" s="1">
        <v>50.922081381</v>
      </c>
      <c r="W253" s="1">
        <v>12.2660699759999</v>
      </c>
      <c r="X253" s="1">
        <v>10.267489712</v>
      </c>
      <c r="Y253" s="1">
        <v>82.9034770069999</v>
      </c>
      <c r="Z253" s="1">
        <v>6.8</v>
      </c>
      <c r="AA253" s="1">
        <v>5.1980311719</v>
      </c>
      <c r="AB253" s="1">
        <v>96924.0</v>
      </c>
      <c r="AC253" s="1">
        <v>18.0848597259999</v>
      </c>
      <c r="AD253" s="1">
        <v>66.322368175</v>
      </c>
      <c r="AE253" s="1">
        <v>11.371148513</v>
      </c>
      <c r="AF253" s="1">
        <v>1.2892142001</v>
      </c>
      <c r="AG253" s="1">
        <v>0.7911415248</v>
      </c>
      <c r="AH253" s="1">
        <v>6.7218155832</v>
      </c>
      <c r="AI253" s="1">
        <v>0.1256009355</v>
      </c>
      <c r="AJ253" s="1">
        <v>12.604847907</v>
      </c>
      <c r="AK253" s="1">
        <v>76.642557062</v>
      </c>
      <c r="AL253" s="1">
        <v>1.5628506396</v>
      </c>
      <c r="AM253" s="1">
        <v>50.277910116</v>
      </c>
      <c r="AN253" s="1">
        <v>0.5832990392</v>
      </c>
      <c r="AO253" s="1">
        <v>41698.0</v>
      </c>
      <c r="AP253" s="1">
        <v>5.9</v>
      </c>
      <c r="AQ253" s="1">
        <v>4.5</v>
      </c>
      <c r="AR253" s="1">
        <v>3.9</v>
      </c>
      <c r="AS253" s="1">
        <v>11.9</v>
      </c>
      <c r="AT253" s="1">
        <v>24.4</v>
      </c>
      <c r="AU253" s="1">
        <v>8.4</v>
      </c>
      <c r="AV253" s="1">
        <v>21.9</v>
      </c>
      <c r="AW253" s="1">
        <v>1.7</v>
      </c>
      <c r="AX253" s="1">
        <v>0.0554</v>
      </c>
      <c r="AY253" s="1">
        <v>4.1</v>
      </c>
      <c r="AZ253" s="1">
        <v>7.5</v>
      </c>
      <c r="BA253" s="1">
        <v>8.3</v>
      </c>
      <c r="BB253" s="1">
        <v>3.85</v>
      </c>
      <c r="BC253" s="1" t="s">
        <v>534</v>
      </c>
      <c r="BD253" s="1">
        <v>3.1</v>
      </c>
      <c r="BE253" s="1">
        <v>14.5</v>
      </c>
      <c r="BF253" s="1">
        <v>26.7</v>
      </c>
      <c r="BG253" s="1">
        <v>55.7</v>
      </c>
      <c r="BH253" s="1" t="s">
        <v>548</v>
      </c>
    </row>
    <row r="254">
      <c r="A254" s="2">
        <v>8015.0</v>
      </c>
      <c r="B254" s="2" t="str">
        <f>IFERROR(__xludf.DUMMYFUNCTION("TO_TEXT(A254)"),"08015")</f>
        <v>08015</v>
      </c>
      <c r="C254" s="1">
        <v>18507.0</v>
      </c>
      <c r="D254" s="1">
        <v>1013.40797695427</v>
      </c>
      <c r="E254" s="1" t="s">
        <v>549</v>
      </c>
      <c r="F254" s="1" t="s">
        <v>550</v>
      </c>
      <c r="G254" s="1">
        <v>18.2621416259436</v>
      </c>
      <c r="H254" s="1">
        <v>12.804392222</v>
      </c>
      <c r="I254" s="1">
        <v>3.747920009</v>
      </c>
      <c r="J254" s="1">
        <v>9.2190889371</v>
      </c>
      <c r="K254" s="1">
        <v>13.488872927</v>
      </c>
      <c r="L254" s="1">
        <v>15.6</v>
      </c>
      <c r="M254" s="1">
        <v>8.6</v>
      </c>
      <c r="N254" s="1">
        <v>17.1</v>
      </c>
      <c r="O254" s="1">
        <v>97.125049132</v>
      </c>
      <c r="P254" s="1">
        <v>10.173031026</v>
      </c>
      <c r="Q254" s="1">
        <v>91.65903</v>
      </c>
      <c r="R254" s="1">
        <v>87.037037037</v>
      </c>
      <c r="S254" s="1">
        <v>13.7</v>
      </c>
      <c r="T254" s="1">
        <v>2969.0</v>
      </c>
      <c r="U254" s="1">
        <v>22.869653082</v>
      </c>
      <c r="V254" s="1">
        <v>61.134442613</v>
      </c>
      <c r="W254" s="1">
        <v>13.96250808</v>
      </c>
      <c r="X254" s="1">
        <v>12.639161755</v>
      </c>
      <c r="Y254" s="1">
        <v>82.021473515</v>
      </c>
      <c r="Z254" s="1">
        <v>7.0</v>
      </c>
      <c r="AA254" s="1">
        <v>2.523152808</v>
      </c>
      <c r="AB254" s="1">
        <v>56168.0</v>
      </c>
      <c r="AC254" s="1">
        <v>36.828963795</v>
      </c>
      <c r="AD254" s="1">
        <v>76.690123147</v>
      </c>
      <c r="AE254" s="1">
        <v>11.694386694</v>
      </c>
      <c r="AF254" s="1">
        <v>1.6178159485</v>
      </c>
      <c r="AG254" s="1">
        <v>1.6278024667</v>
      </c>
      <c r="AH254" s="1">
        <v>0.8688270834</v>
      </c>
      <c r="AI254" s="1">
        <v>0.0848854047</v>
      </c>
      <c r="AJ254" s="1">
        <v>10.126329455</v>
      </c>
      <c r="AK254" s="1">
        <v>85.209966545</v>
      </c>
      <c r="AL254" s="1">
        <v>0.593663986199999</v>
      </c>
      <c r="AM254" s="1">
        <v>47.161332202</v>
      </c>
      <c r="AN254" s="1">
        <v>37.413667247</v>
      </c>
      <c r="AO254" s="1">
        <v>27848.0</v>
      </c>
      <c r="AP254" s="1">
        <v>9.6</v>
      </c>
      <c r="AQ254" s="1">
        <v>3.8</v>
      </c>
      <c r="AR254" s="1">
        <v>8.3</v>
      </c>
      <c r="AS254" s="1">
        <v>22.8</v>
      </c>
      <c r="AT254" s="1">
        <v>15.7</v>
      </c>
      <c r="AU254" s="1">
        <v>15.8</v>
      </c>
      <c r="AV254" s="1">
        <v>12.7</v>
      </c>
      <c r="AW254" s="1">
        <v>1.0</v>
      </c>
      <c r="AX254" s="1">
        <v>0.1605</v>
      </c>
      <c r="AY254" s="1">
        <v>11.0</v>
      </c>
      <c r="AZ254" s="1">
        <v>10.7</v>
      </c>
      <c r="BA254" s="1">
        <v>14.1</v>
      </c>
      <c r="BB254" s="1">
        <v>3.43</v>
      </c>
      <c r="BC254" s="1" t="s">
        <v>534</v>
      </c>
      <c r="BD254" s="1">
        <v>6.5</v>
      </c>
      <c r="BE254" s="1">
        <v>27.0</v>
      </c>
      <c r="BF254" s="1">
        <v>32.7</v>
      </c>
      <c r="BG254" s="1">
        <v>33.8</v>
      </c>
      <c r="BH254" s="1" t="s">
        <v>550</v>
      </c>
    </row>
    <row r="255">
      <c r="A255" s="2">
        <v>8017.0</v>
      </c>
      <c r="B255" s="2" t="str">
        <f>IFERROR(__xludf.DUMMYFUNCTION("TO_TEXT(A255)"),"08017")</f>
        <v>08017</v>
      </c>
      <c r="C255" s="1">
        <v>2071.0</v>
      </c>
      <c r="D255" s="1">
        <v>1778.27539918326</v>
      </c>
      <c r="E255" s="1" t="s">
        <v>551</v>
      </c>
      <c r="F255" s="1" t="s">
        <v>552</v>
      </c>
      <c r="G255" s="1">
        <v>1.1646115112154</v>
      </c>
      <c r="H255" s="1">
        <v>12.989137495</v>
      </c>
      <c r="I255" s="1">
        <v>3.6661806822</v>
      </c>
      <c r="J255" s="1">
        <v>7.80443539465</v>
      </c>
      <c r="K255" s="1">
        <v>14.000025537</v>
      </c>
      <c r="L255" s="1">
        <v>23.8</v>
      </c>
      <c r="M255" s="1">
        <v>8.0</v>
      </c>
      <c r="N255" s="1">
        <v>30.9</v>
      </c>
      <c r="O255" s="1">
        <v>48.474945534</v>
      </c>
      <c r="P255" s="1">
        <v>14.8981025999999</v>
      </c>
      <c r="Q255" s="1">
        <v>54.20054</v>
      </c>
      <c r="R255" s="1">
        <v>83.333333333</v>
      </c>
      <c r="S255" s="1">
        <v>20.4</v>
      </c>
      <c r="T255" s="1">
        <v>676.0</v>
      </c>
      <c r="U255" s="1">
        <v>15.384615385</v>
      </c>
      <c r="V255" s="1">
        <v>80.14961261</v>
      </c>
      <c r="W255" s="1">
        <v>7.7419354839</v>
      </c>
      <c r="X255" s="1">
        <v>6.9100391134</v>
      </c>
      <c r="Y255" s="1">
        <v>78.163133396</v>
      </c>
      <c r="Z255" s="1">
        <v>12.3</v>
      </c>
      <c r="AA255" s="1">
        <v>9.8792927929</v>
      </c>
      <c r="AB255" s="1">
        <v>54504.0</v>
      </c>
      <c r="AC255" s="1">
        <v>49.652777778</v>
      </c>
      <c r="AD255" s="1">
        <v>74.123989218</v>
      </c>
      <c r="AE255" s="1">
        <v>6.9321533923</v>
      </c>
      <c r="AF255" s="1">
        <v>0.9061833689</v>
      </c>
      <c r="AG255" s="1">
        <v>1.2793176972</v>
      </c>
      <c r="AH255" s="1">
        <v>0.9061833689</v>
      </c>
      <c r="AI255" s="1">
        <v>0.0533049041</v>
      </c>
      <c r="AJ255" s="1">
        <v>11.673773987</v>
      </c>
      <c r="AK255" s="1">
        <v>84.434968017</v>
      </c>
      <c r="AL255" s="1">
        <v>1.6456390565</v>
      </c>
      <c r="AM255" s="1">
        <v>49.147121535</v>
      </c>
      <c r="AN255" s="1">
        <v>100.0</v>
      </c>
      <c r="AO255" s="1">
        <v>23916.0</v>
      </c>
      <c r="AP255" s="1">
        <v>11.3</v>
      </c>
      <c r="AQ255" s="1">
        <v>8.8</v>
      </c>
      <c r="AR255" s="1">
        <v>9.4</v>
      </c>
      <c r="AS255" s="1">
        <v>11.6</v>
      </c>
      <c r="AT255" s="1">
        <v>29.6</v>
      </c>
      <c r="AU255" s="1">
        <v>14.5</v>
      </c>
      <c r="AV255" s="1">
        <v>15.7</v>
      </c>
      <c r="AW255" s="1">
        <v>1.3</v>
      </c>
      <c r="AX255" s="1">
        <v>0.2267</v>
      </c>
      <c r="AY255" s="1">
        <v>13.7</v>
      </c>
      <c r="AZ255" s="1">
        <v>9.7</v>
      </c>
      <c r="BA255" s="1">
        <v>11.2</v>
      </c>
      <c r="BB255" s="1">
        <v>2.99</v>
      </c>
      <c r="BC255" s="1" t="s">
        <v>534</v>
      </c>
      <c r="BD255" s="1">
        <v>8.4</v>
      </c>
      <c r="BE255" s="1">
        <v>36.8</v>
      </c>
      <c r="BF255" s="1">
        <v>35.7</v>
      </c>
      <c r="BG255" s="1">
        <v>19.2</v>
      </c>
      <c r="BH255" s="1" t="s">
        <v>552</v>
      </c>
    </row>
    <row r="256">
      <c r="A256" s="2">
        <v>8019.0</v>
      </c>
      <c r="B256" s="2" t="str">
        <f>IFERROR(__xludf.DUMMYFUNCTION("TO_TEXT(A256)"),"08019")</f>
        <v>08019</v>
      </c>
      <c r="C256" s="1">
        <v>9238.0</v>
      </c>
      <c r="D256" s="1">
        <v>395.196503651932</v>
      </c>
      <c r="E256" s="1" t="s">
        <v>553</v>
      </c>
      <c r="F256" s="1" t="s">
        <v>554</v>
      </c>
      <c r="G256" s="1">
        <v>23.3757128786148</v>
      </c>
      <c r="H256" s="1">
        <v>10.47247951</v>
      </c>
      <c r="I256" s="1">
        <v>3.305896862</v>
      </c>
      <c r="J256" s="1">
        <v>10.38647343</v>
      </c>
      <c r="K256" s="1">
        <v>12.483216724</v>
      </c>
      <c r="L256" s="1">
        <v>22.2</v>
      </c>
      <c r="M256" s="1">
        <v>8.7</v>
      </c>
      <c r="N256" s="1">
        <v>16.7</v>
      </c>
      <c r="O256" s="1">
        <v>81.811179577</v>
      </c>
      <c r="P256" s="1">
        <v>5.5105771742</v>
      </c>
      <c r="Q256" s="1">
        <v>10.44496</v>
      </c>
      <c r="R256" s="1">
        <v>86.206896552</v>
      </c>
      <c r="S256" s="1">
        <v>10.2</v>
      </c>
      <c r="T256" s="1">
        <v>1468.0</v>
      </c>
      <c r="U256" s="1">
        <v>22.820163488</v>
      </c>
      <c r="V256" s="1">
        <v>562.54136334</v>
      </c>
      <c r="W256" s="1">
        <v>10.317460317</v>
      </c>
      <c r="X256" s="1">
        <v>7.8767123288</v>
      </c>
      <c r="Y256" s="1">
        <v>83.891454363</v>
      </c>
      <c r="Z256" s="1">
        <v>6.7</v>
      </c>
      <c r="AA256" s="1">
        <v>2.3458862855</v>
      </c>
      <c r="AB256" s="1">
        <v>74019.0</v>
      </c>
      <c r="AC256" s="1">
        <v>26.608910891</v>
      </c>
      <c r="AD256" s="1">
        <v>76.465517241</v>
      </c>
      <c r="AE256" s="1">
        <v>10.285087719</v>
      </c>
      <c r="AF256" s="1">
        <v>0.9994794378</v>
      </c>
      <c r="AG256" s="1">
        <v>1.1868818324</v>
      </c>
      <c r="AH256" s="1">
        <v>1.0098906819</v>
      </c>
      <c r="AI256" s="1">
        <v>0.0624674649</v>
      </c>
      <c r="AJ256" s="1">
        <v>7.3711608537</v>
      </c>
      <c r="AK256" s="1">
        <v>88.235294118</v>
      </c>
      <c r="AL256" s="1">
        <v>0.9635618562</v>
      </c>
      <c r="AM256" s="1">
        <v>47.2462259239999</v>
      </c>
      <c r="AN256" s="1">
        <v>100.0</v>
      </c>
      <c r="AO256" s="1">
        <v>42355.0</v>
      </c>
      <c r="AP256" s="1">
        <v>7.4</v>
      </c>
      <c r="AQ256" s="1">
        <v>4.4</v>
      </c>
      <c r="AR256" s="1">
        <v>3.1</v>
      </c>
      <c r="AS256" s="1">
        <v>18.2</v>
      </c>
      <c r="AT256" s="1">
        <v>15.8</v>
      </c>
      <c r="AU256" s="1">
        <v>9.5</v>
      </c>
      <c r="AV256" s="1">
        <v>9.5</v>
      </c>
      <c r="AW256" s="1">
        <v>0.3</v>
      </c>
      <c r="AX256" s="1">
        <v>0.0121</v>
      </c>
      <c r="AY256" s="1">
        <v>7.4</v>
      </c>
      <c r="AZ256" s="1">
        <v>8.1</v>
      </c>
      <c r="BA256" s="1">
        <v>10.8</v>
      </c>
      <c r="BB256" s="1">
        <v>3.59</v>
      </c>
      <c r="BC256" s="1" t="s">
        <v>534</v>
      </c>
      <c r="BD256" s="1">
        <v>1.4</v>
      </c>
      <c r="BE256" s="1">
        <v>21.9</v>
      </c>
      <c r="BF256" s="1">
        <v>28.7</v>
      </c>
      <c r="BG256" s="1">
        <v>48.1</v>
      </c>
      <c r="BH256" s="1" t="s">
        <v>554</v>
      </c>
    </row>
    <row r="257">
      <c r="A257" s="2">
        <v>8021.0</v>
      </c>
      <c r="B257" s="2" t="str">
        <f>IFERROR(__xludf.DUMMYFUNCTION("TO_TEXT(A257)"),"08021")</f>
        <v>08021</v>
      </c>
      <c r="C257" s="1">
        <v>8213.0</v>
      </c>
      <c r="D257" s="1">
        <v>1287.42763393467</v>
      </c>
      <c r="E257" s="1" t="s">
        <v>555</v>
      </c>
      <c r="F257" s="1" t="s">
        <v>556</v>
      </c>
      <c r="G257" s="1">
        <v>6.37938769024183</v>
      </c>
      <c r="H257" s="1">
        <v>22.693590583</v>
      </c>
      <c r="I257" s="1">
        <v>4.1446115961</v>
      </c>
      <c r="J257" s="1">
        <v>11.095890411</v>
      </c>
      <c r="K257" s="1">
        <v>15.554174957</v>
      </c>
      <c r="L257" s="1">
        <v>26.1</v>
      </c>
      <c r="M257" s="1">
        <v>9.0</v>
      </c>
      <c r="N257" s="1">
        <v>25.5</v>
      </c>
      <c r="O257" s="1">
        <v>22.1172480619999</v>
      </c>
      <c r="P257" s="1">
        <v>10.739709068</v>
      </c>
      <c r="Q257" s="1">
        <v>61.09482</v>
      </c>
      <c r="R257" s="1">
        <v>87.943262411</v>
      </c>
      <c r="S257" s="1">
        <v>27.5</v>
      </c>
      <c r="T257" s="1">
        <v>2210.0</v>
      </c>
      <c r="U257" s="1">
        <v>26.877828054</v>
      </c>
      <c r="V257" s="1">
        <v>44.952478808</v>
      </c>
      <c r="W257" s="1">
        <v>15.1724137929999</v>
      </c>
      <c r="X257" s="1">
        <v>10.725442555</v>
      </c>
      <c r="Y257" s="1">
        <v>75.81977446</v>
      </c>
      <c r="Z257" s="1">
        <v>8.2</v>
      </c>
      <c r="AA257" s="1">
        <v>2.7094259371</v>
      </c>
      <c r="AB257" s="1">
        <v>38777.0</v>
      </c>
      <c r="AC257" s="1">
        <v>65.4626108999999</v>
      </c>
      <c r="AD257" s="1">
        <v>79.693611473</v>
      </c>
      <c r="AE257" s="1">
        <v>13.142462918</v>
      </c>
      <c r="AF257" s="1">
        <v>0.4146341463</v>
      </c>
      <c r="AG257" s="1">
        <v>3.9634146341</v>
      </c>
      <c r="AH257" s="1">
        <v>1.0</v>
      </c>
      <c r="AI257" s="1">
        <v>0.1829268293</v>
      </c>
      <c r="AJ257" s="1">
        <v>51.731707317</v>
      </c>
      <c r="AK257" s="1">
        <v>45.341463415</v>
      </c>
      <c r="AL257" s="1">
        <v>2.6819923372</v>
      </c>
      <c r="AM257" s="1">
        <v>49.792682927</v>
      </c>
      <c r="AN257" s="1">
        <v>100.0</v>
      </c>
      <c r="AO257" s="1">
        <v>18221.0</v>
      </c>
      <c r="AP257" s="1">
        <v>22.1</v>
      </c>
      <c r="AQ257" s="1">
        <v>10.3</v>
      </c>
      <c r="AR257" s="1">
        <v>16.0</v>
      </c>
      <c r="AS257" s="1">
        <v>17.4</v>
      </c>
      <c r="AT257" s="1">
        <v>27.3</v>
      </c>
      <c r="AU257" s="1">
        <v>21.5</v>
      </c>
      <c r="AV257" s="1">
        <v>56.4</v>
      </c>
      <c r="AW257" s="1">
        <v>3.7</v>
      </c>
      <c r="AX257" s="1">
        <v>0.8857</v>
      </c>
      <c r="AY257" s="1">
        <v>19.9</v>
      </c>
      <c r="AZ257" s="1">
        <v>13.8</v>
      </c>
      <c r="BA257" s="1">
        <v>20.0</v>
      </c>
      <c r="BB257" s="1">
        <v>3.37</v>
      </c>
      <c r="BC257" s="1" t="s">
        <v>534</v>
      </c>
      <c r="BD257" s="1">
        <v>12.0</v>
      </c>
      <c r="BE257" s="1">
        <v>33.9</v>
      </c>
      <c r="BF257" s="1">
        <v>33.0</v>
      </c>
      <c r="BG257" s="1">
        <v>21.0</v>
      </c>
      <c r="BH257" s="1" t="s">
        <v>556</v>
      </c>
    </row>
    <row r="258">
      <c r="A258" s="2">
        <v>8023.0</v>
      </c>
      <c r="B258" s="2" t="str">
        <f>IFERROR(__xludf.DUMMYFUNCTION("TO_TEXT(A258)"),"08023")</f>
        <v>08023</v>
      </c>
      <c r="C258" s="1">
        <v>3590.0</v>
      </c>
      <c r="D258" s="1">
        <v>1227.59288884578</v>
      </c>
      <c r="E258" s="1" t="s">
        <v>557</v>
      </c>
      <c r="F258" s="1" t="s">
        <v>558</v>
      </c>
      <c r="G258" s="1">
        <v>2.92442228414618</v>
      </c>
      <c r="H258" s="1">
        <v>27.970707818</v>
      </c>
      <c r="I258" s="1">
        <v>4.484792415</v>
      </c>
      <c r="J258" s="1">
        <v>20.689655172</v>
      </c>
      <c r="K258" s="1">
        <v>17.104496838</v>
      </c>
      <c r="L258" s="1">
        <v>27.9</v>
      </c>
      <c r="M258" s="1">
        <v>4.7</v>
      </c>
      <c r="N258" s="1">
        <v>25.1</v>
      </c>
      <c r="O258" s="1">
        <v>41.486946652</v>
      </c>
      <c r="P258" s="1">
        <v>14.85628966</v>
      </c>
      <c r="Q258" s="1">
        <v>48.31939</v>
      </c>
      <c r="R258" s="1">
        <v>86.206896552</v>
      </c>
      <c r="S258" s="1">
        <v>36.9</v>
      </c>
      <c r="T258" s="1">
        <v>671.0</v>
      </c>
      <c r="U258" s="1">
        <v>42.62295082</v>
      </c>
      <c r="V258" s="1">
        <v>226.24434389</v>
      </c>
      <c r="W258" s="1">
        <v>19.933554817</v>
      </c>
      <c r="X258" s="1">
        <v>14.576271186</v>
      </c>
      <c r="Y258" s="1">
        <v>78.084972308</v>
      </c>
      <c r="Z258" s="1">
        <v>13.7</v>
      </c>
      <c r="AA258" s="1">
        <v>49.231556906</v>
      </c>
      <c r="AB258" s="1">
        <v>31557.0</v>
      </c>
      <c r="AC258" s="1">
        <v>88.152610442</v>
      </c>
      <c r="AD258" s="1">
        <v>70.480142264</v>
      </c>
      <c r="AE258" s="1">
        <v>17.090671885</v>
      </c>
      <c r="AF258" s="1">
        <v>0.8098223615</v>
      </c>
      <c r="AG258" s="1">
        <v>5.329153605</v>
      </c>
      <c r="AH258" s="1">
        <v>1.5151515152</v>
      </c>
      <c r="AI258" s="1">
        <v>0.2612330199</v>
      </c>
      <c r="AJ258" s="1">
        <v>60.26645768</v>
      </c>
      <c r="AK258" s="1">
        <v>34.87460815</v>
      </c>
      <c r="AL258" s="1">
        <v>8.5682074408</v>
      </c>
      <c r="AM258" s="1">
        <v>48.223615465</v>
      </c>
      <c r="AN258" s="1">
        <v>100.0</v>
      </c>
      <c r="AO258" s="1">
        <v>20238.0</v>
      </c>
      <c r="AP258" s="1">
        <v>30.4</v>
      </c>
      <c r="AQ258" s="1">
        <v>11.6</v>
      </c>
      <c r="AR258" s="1">
        <v>23.0</v>
      </c>
      <c r="AS258" s="1">
        <v>25.5</v>
      </c>
      <c r="AT258" s="1">
        <v>18.9</v>
      </c>
      <c r="AU258" s="1">
        <v>31.5</v>
      </c>
      <c r="AV258" s="1">
        <v>68.2</v>
      </c>
      <c r="AW258" s="1">
        <v>6.7</v>
      </c>
      <c r="AX258" s="1">
        <v>0.8574</v>
      </c>
      <c r="AY258" s="1">
        <v>24.6</v>
      </c>
      <c r="AZ258" s="1">
        <v>18.0</v>
      </c>
      <c r="BA258" s="1">
        <v>25.5</v>
      </c>
      <c r="BB258" s="1">
        <v>3.4</v>
      </c>
      <c r="BC258" s="1" t="s">
        <v>534</v>
      </c>
      <c r="BD258" s="1">
        <v>19.0</v>
      </c>
      <c r="BE258" s="1">
        <v>24.5</v>
      </c>
      <c r="BF258" s="1">
        <v>37.2</v>
      </c>
      <c r="BG258" s="1">
        <v>19.3</v>
      </c>
      <c r="BH258" s="1" t="s">
        <v>558</v>
      </c>
    </row>
    <row r="259">
      <c r="A259" s="2">
        <v>8025.0</v>
      </c>
      <c r="B259" s="2" t="str">
        <f>IFERROR(__xludf.DUMMYFUNCTION("TO_TEXT(A259)"),"08025")</f>
        <v>08025</v>
      </c>
      <c r="C259" s="1">
        <v>5537.0</v>
      </c>
      <c r="D259" s="1">
        <v>787.424322694042</v>
      </c>
      <c r="E259" s="1" t="s">
        <v>559</v>
      </c>
      <c r="F259" s="1" t="s">
        <v>560</v>
      </c>
      <c r="G259" s="1">
        <v>7.03178685293346</v>
      </c>
      <c r="H259" s="1">
        <v>18.807642967</v>
      </c>
      <c r="I259" s="1">
        <v>3.7850466899</v>
      </c>
      <c r="J259" s="1">
        <v>10.245901639</v>
      </c>
      <c r="K259" s="1">
        <v>18.629092853</v>
      </c>
      <c r="L259" s="1">
        <v>30.9</v>
      </c>
      <c r="M259" s="1">
        <v>8.0</v>
      </c>
      <c r="N259" s="1">
        <v>20.5</v>
      </c>
      <c r="O259" s="1">
        <v>33.127253993</v>
      </c>
      <c r="P259" s="1">
        <v>11.060948081</v>
      </c>
      <c r="Q259" s="1">
        <v>17.2117</v>
      </c>
      <c r="R259" s="1">
        <v>91.1764705879999</v>
      </c>
      <c r="S259" s="1">
        <v>29.7</v>
      </c>
      <c r="T259" s="1">
        <v>716.0</v>
      </c>
      <c r="U259" s="1">
        <v>34.776536313</v>
      </c>
      <c r="V259" s="1">
        <v>65.18904824</v>
      </c>
      <c r="W259" s="1">
        <v>18.29787234</v>
      </c>
      <c r="X259" s="1">
        <v>15.066079295</v>
      </c>
      <c r="Y259" s="1">
        <v>77.84818402</v>
      </c>
      <c r="Z259" s="1">
        <v>5.6</v>
      </c>
      <c r="AA259" s="1">
        <v>4.8635991993</v>
      </c>
      <c r="AB259" s="1">
        <v>35880.0</v>
      </c>
      <c r="AC259" s="1">
        <v>53.409090909</v>
      </c>
      <c r="AD259" s="1">
        <v>72.4455611389999</v>
      </c>
      <c r="AE259" s="1">
        <v>12.254025045</v>
      </c>
      <c r="AF259" s="1">
        <v>10.464322294</v>
      </c>
      <c r="AG259" s="1">
        <v>3.4653465347</v>
      </c>
      <c r="AH259" s="1">
        <v>1.2290884261</v>
      </c>
      <c r="AI259" s="1">
        <v>0.0170706726</v>
      </c>
      <c r="AJ259" s="1">
        <v>31.205189484</v>
      </c>
      <c r="AK259" s="1">
        <v>53.9774667119999</v>
      </c>
      <c r="AL259" s="1">
        <v>2.5843108504</v>
      </c>
      <c r="AM259" s="1">
        <v>26.835097303</v>
      </c>
      <c r="AN259" s="1">
        <v>100.0</v>
      </c>
      <c r="AO259" s="1">
        <v>12513.0</v>
      </c>
      <c r="AP259" s="1">
        <v>34.1</v>
      </c>
      <c r="AQ259" s="1">
        <v>26.4</v>
      </c>
      <c r="AR259" s="1">
        <v>17.2</v>
      </c>
      <c r="AS259" s="1">
        <v>13.3</v>
      </c>
      <c r="AT259" s="1">
        <v>13.2</v>
      </c>
      <c r="AU259" s="1">
        <v>23.1</v>
      </c>
      <c r="AV259" s="1">
        <v>39.8</v>
      </c>
      <c r="AW259" s="1">
        <v>3.2</v>
      </c>
      <c r="AX259" s="1">
        <v>0.908</v>
      </c>
      <c r="AY259" s="1">
        <v>40.0</v>
      </c>
      <c r="AZ259" s="1">
        <v>17.9</v>
      </c>
      <c r="BA259" s="1">
        <v>22.9</v>
      </c>
      <c r="BB259" s="1">
        <v>3.3</v>
      </c>
      <c r="BC259" s="1" t="s">
        <v>534</v>
      </c>
      <c r="BD259" s="1">
        <v>13.9</v>
      </c>
      <c r="BE259" s="1">
        <v>42.6</v>
      </c>
      <c r="BF259" s="1">
        <v>34.5</v>
      </c>
      <c r="BG259" s="1">
        <v>9.0</v>
      </c>
      <c r="BH259" s="1" t="s">
        <v>560</v>
      </c>
    </row>
    <row r="260">
      <c r="A260" s="2">
        <v>8027.0</v>
      </c>
      <c r="B260" s="2" t="str">
        <f>IFERROR(__xludf.DUMMYFUNCTION("TO_TEXT(A260)"),"08027")</f>
        <v>08027</v>
      </c>
      <c r="C260" s="1">
        <v>4375.0</v>
      </c>
      <c r="D260" s="1">
        <v>738.625465047716</v>
      </c>
      <c r="E260" s="1" t="s">
        <v>561</v>
      </c>
      <c r="F260" s="1" t="s">
        <v>562</v>
      </c>
      <c r="G260" s="1">
        <v>5.92316431943945</v>
      </c>
      <c r="H260" s="1">
        <v>13.443431862</v>
      </c>
      <c r="I260" s="1">
        <v>3.8187443693</v>
      </c>
      <c r="J260" s="1">
        <v>12.2994652409999</v>
      </c>
      <c r="K260" s="1">
        <v>13.658191367</v>
      </c>
      <c r="L260" s="1">
        <v>27.9</v>
      </c>
      <c r="M260" s="1">
        <v>7.7</v>
      </c>
      <c r="N260" s="1">
        <v>21.2</v>
      </c>
      <c r="O260" s="1">
        <v>94.994124559</v>
      </c>
      <c r="P260" s="1">
        <v>12.610062893</v>
      </c>
      <c r="Q260" s="1">
        <v>61.55109</v>
      </c>
      <c r="R260" s="1">
        <v>93.333333333</v>
      </c>
      <c r="S260" s="1">
        <v>24.9</v>
      </c>
      <c r="T260" s="1">
        <v>764.0</v>
      </c>
      <c r="U260" s="1">
        <v>18.586387435</v>
      </c>
      <c r="V260" s="1">
        <v>125.15644556</v>
      </c>
      <c r="W260" s="1">
        <v>24.615384615</v>
      </c>
      <c r="X260" s="1">
        <v>21.343050495</v>
      </c>
      <c r="Y260" s="1">
        <v>76.919038452</v>
      </c>
      <c r="Z260" s="1">
        <v>7.2</v>
      </c>
      <c r="AA260" s="1">
        <v>6.5990089389</v>
      </c>
      <c r="AB260" s="1">
        <v>55242.0</v>
      </c>
      <c r="AC260" s="1">
        <v>49.370277078</v>
      </c>
      <c r="AD260" s="1">
        <v>85.309649544</v>
      </c>
      <c r="AE260" s="1">
        <v>15.6219864999999</v>
      </c>
      <c r="AF260" s="1">
        <v>1.3322567622</v>
      </c>
      <c r="AG260" s="1">
        <v>1.1909568026</v>
      </c>
      <c r="AH260" s="1">
        <v>0.5248284215</v>
      </c>
      <c r="AI260" s="1">
        <v>0.0201857085</v>
      </c>
      <c r="AJ260" s="1">
        <v>5.51069842549999</v>
      </c>
      <c r="AK260" s="1">
        <v>89.907145741</v>
      </c>
      <c r="AL260" s="1">
        <v>1.1235955056</v>
      </c>
      <c r="AM260" s="1">
        <v>48.425514736</v>
      </c>
      <c r="AN260" s="1">
        <v>100.0</v>
      </c>
      <c r="AO260" s="1">
        <v>22333.0</v>
      </c>
      <c r="AP260" s="1">
        <v>17.9</v>
      </c>
      <c r="AQ260" s="1">
        <v>10.8</v>
      </c>
      <c r="AR260" s="1">
        <v>8.3</v>
      </c>
      <c r="AS260" s="1">
        <v>28.9</v>
      </c>
      <c r="AT260" s="1">
        <v>18.4</v>
      </c>
      <c r="AU260" s="1">
        <v>17.8</v>
      </c>
      <c r="AV260" s="1">
        <v>10.2</v>
      </c>
      <c r="AW260" s="1">
        <v>1.0</v>
      </c>
      <c r="AX260" s="1">
        <v>0.3254</v>
      </c>
      <c r="AY260" s="1">
        <v>11.8</v>
      </c>
      <c r="AZ260" s="1">
        <v>12.7</v>
      </c>
      <c r="BA260" s="1">
        <v>19.8</v>
      </c>
      <c r="BB260" s="1">
        <v>3.04</v>
      </c>
      <c r="BC260" s="1" t="s">
        <v>534</v>
      </c>
      <c r="BD260" s="1">
        <v>6.4</v>
      </c>
      <c r="BE260" s="1">
        <v>20.8</v>
      </c>
      <c r="BF260" s="1">
        <v>40.3</v>
      </c>
      <c r="BG260" s="1">
        <v>32.5</v>
      </c>
      <c r="BH260" s="1" t="s">
        <v>562</v>
      </c>
    </row>
    <row r="261">
      <c r="A261" s="2">
        <v>8029.0</v>
      </c>
      <c r="B261" s="2" t="str">
        <f>IFERROR(__xludf.DUMMYFUNCTION("TO_TEXT(A261)"),"08029")</f>
        <v>08029</v>
      </c>
      <c r="C261" s="1">
        <v>30221.0</v>
      </c>
      <c r="D261" s="1">
        <v>1142.08635575429</v>
      </c>
      <c r="E261" s="1" t="s">
        <v>563</v>
      </c>
      <c r="F261" s="1" t="s">
        <v>564</v>
      </c>
      <c r="G261" s="1">
        <v>26.4612214722068</v>
      </c>
      <c r="H261" s="1">
        <v>15.658743653</v>
      </c>
      <c r="I261" s="1">
        <v>4.009770308</v>
      </c>
      <c r="J261" s="1">
        <v>8.434318953</v>
      </c>
      <c r="K261" s="1">
        <v>14.599282442</v>
      </c>
      <c r="L261" s="1">
        <v>26.7</v>
      </c>
      <c r="M261" s="1">
        <v>8.0</v>
      </c>
      <c r="N261" s="1">
        <v>20.4</v>
      </c>
      <c r="O261" s="1">
        <v>73.252132334</v>
      </c>
      <c r="P261" s="1">
        <v>10.723033657</v>
      </c>
      <c r="Q261" s="1">
        <v>78.51348</v>
      </c>
      <c r="R261" s="1">
        <v>84.122562674</v>
      </c>
      <c r="S261" s="1">
        <v>23.1</v>
      </c>
      <c r="T261" s="1">
        <v>6151.0</v>
      </c>
      <c r="U261" s="1">
        <v>24.044870753</v>
      </c>
      <c r="V261" s="1">
        <v>84.2969451519999</v>
      </c>
      <c r="W261" s="1">
        <v>19.20997921</v>
      </c>
      <c r="X261" s="1">
        <v>15.829145729</v>
      </c>
      <c r="Y261" s="1">
        <v>78.042945564</v>
      </c>
      <c r="Z261" s="1">
        <v>9.8</v>
      </c>
      <c r="AA261" s="1">
        <v>3.4535023461</v>
      </c>
      <c r="AB261" s="1">
        <v>46786.0</v>
      </c>
      <c r="AC261" s="1">
        <v>54.5670225389999</v>
      </c>
      <c r="AD261" s="1">
        <v>71.040228918</v>
      </c>
      <c r="AE261" s="1">
        <v>17.503059976</v>
      </c>
      <c r="AF261" s="1">
        <v>0.613833877199999</v>
      </c>
      <c r="AG261" s="1">
        <v>1.3375117113</v>
      </c>
      <c r="AH261" s="1">
        <v>0.843213905</v>
      </c>
      <c r="AI261" s="1">
        <v>0.0936904339</v>
      </c>
      <c r="AJ261" s="1">
        <v>15.407230317</v>
      </c>
      <c r="AK261" s="1">
        <v>81.135915743</v>
      </c>
      <c r="AL261" s="1">
        <v>1.6544117647</v>
      </c>
      <c r="AM261" s="1">
        <v>49.9208477369999</v>
      </c>
      <c r="AN261" s="1">
        <v>63.172008271</v>
      </c>
      <c r="AO261" s="1">
        <v>24261.0</v>
      </c>
      <c r="AP261" s="1">
        <v>16.8</v>
      </c>
      <c r="AQ261" s="1">
        <v>9.2</v>
      </c>
      <c r="AR261" s="1">
        <v>12.0</v>
      </c>
      <c r="AS261" s="1">
        <v>23.3</v>
      </c>
      <c r="AT261" s="1">
        <v>20.9</v>
      </c>
      <c r="AU261" s="1">
        <v>18.9</v>
      </c>
      <c r="AV261" s="1">
        <v>18.3</v>
      </c>
      <c r="AW261" s="1">
        <v>1.7</v>
      </c>
      <c r="AX261" s="1">
        <v>0.6874</v>
      </c>
      <c r="AY261" s="1">
        <v>15.1</v>
      </c>
      <c r="AZ261" s="1">
        <v>14.1</v>
      </c>
      <c r="BA261" s="1">
        <v>20.8</v>
      </c>
      <c r="BB261" s="1">
        <v>3.21</v>
      </c>
      <c r="BC261" s="1" t="s">
        <v>534</v>
      </c>
      <c r="BD261" s="1">
        <v>9.3</v>
      </c>
      <c r="BE261" s="1">
        <v>38.3</v>
      </c>
      <c r="BF261" s="1">
        <v>30.7</v>
      </c>
      <c r="BG261" s="1">
        <v>21.7</v>
      </c>
      <c r="BH261" s="1" t="s">
        <v>564</v>
      </c>
    </row>
    <row r="262">
      <c r="A262" s="2">
        <v>8031.0</v>
      </c>
      <c r="B262" s="2" t="str">
        <f>IFERROR(__xludf.DUMMYFUNCTION("TO_TEXT(A262)"),"08031")</f>
        <v>08031</v>
      </c>
      <c r="C262" s="1">
        <v>663303.0</v>
      </c>
      <c r="D262" s="1">
        <v>153.33420464086</v>
      </c>
      <c r="E262" s="1" t="s">
        <v>565</v>
      </c>
      <c r="F262" s="1" t="s">
        <v>566</v>
      </c>
      <c r="G262" s="1">
        <v>4325.86454896734</v>
      </c>
      <c r="H262" s="1">
        <v>15.084856657</v>
      </c>
      <c r="I262" s="1">
        <v>3.5974090497</v>
      </c>
      <c r="J262" s="1">
        <v>9.24605934169999</v>
      </c>
      <c r="K262" s="1">
        <v>14.6645033509999</v>
      </c>
      <c r="L262" s="1">
        <v>16.6</v>
      </c>
      <c r="M262" s="1">
        <v>8.1</v>
      </c>
      <c r="N262" s="1">
        <v>12.8</v>
      </c>
      <c r="O262" s="1">
        <v>99.453477251</v>
      </c>
      <c r="P262" s="1">
        <v>10.741990131</v>
      </c>
      <c r="Q262" s="1">
        <v>132.41161</v>
      </c>
      <c r="R262" s="1">
        <v>70.151828847</v>
      </c>
      <c r="S262" s="1">
        <v>16.7</v>
      </c>
      <c r="T262" s="1">
        <v>138657.0</v>
      </c>
      <c r="U262" s="1">
        <v>34.355279575</v>
      </c>
      <c r="V262" s="1">
        <v>631.46154365</v>
      </c>
      <c r="W262" s="1">
        <v>19.016615078</v>
      </c>
      <c r="X262" s="1">
        <v>16.139697911</v>
      </c>
      <c r="Y262" s="1">
        <v>79.767451855</v>
      </c>
      <c r="Z262" s="1">
        <v>5.1</v>
      </c>
      <c r="AA262" s="1">
        <v>4.5293046808</v>
      </c>
      <c r="AB262" s="1">
        <v>68069.0</v>
      </c>
      <c r="AC262" s="1">
        <v>66.806972101</v>
      </c>
      <c r="AD262" s="1">
        <v>49.627664273</v>
      </c>
      <c r="AE262" s="1">
        <v>16.025170279</v>
      </c>
      <c r="AF262" s="1">
        <v>8.9499952547</v>
      </c>
      <c r="AG262" s="1">
        <v>1.8004388046</v>
      </c>
      <c r="AH262" s="1">
        <v>4.0989990119</v>
      </c>
      <c r="AI262" s="1">
        <v>0.1967921484</v>
      </c>
      <c r="AJ262" s="1">
        <v>29.667044433</v>
      </c>
      <c r="AK262" s="1">
        <v>54.478765988</v>
      </c>
      <c r="AL262" s="1">
        <v>5.9906522502</v>
      </c>
      <c r="AM262" s="1">
        <v>49.812419399</v>
      </c>
      <c r="AN262" s="1">
        <v>0.0</v>
      </c>
      <c r="AO262" s="1">
        <v>36616.0</v>
      </c>
      <c r="AP262" s="1">
        <v>16.4</v>
      </c>
      <c r="AQ262" s="1">
        <v>5.4</v>
      </c>
      <c r="AR262" s="1">
        <v>13.6</v>
      </c>
      <c r="AS262" s="1">
        <v>10.9</v>
      </c>
      <c r="AT262" s="1">
        <v>20.7</v>
      </c>
      <c r="AU262" s="1">
        <v>9.4</v>
      </c>
      <c r="AV262" s="1">
        <v>46.6</v>
      </c>
      <c r="AW262" s="1">
        <v>6.4</v>
      </c>
      <c r="AX262" s="1">
        <v>0.4798</v>
      </c>
      <c r="AY262" s="1">
        <v>12.1</v>
      </c>
      <c r="AZ262" s="1">
        <v>11.0</v>
      </c>
      <c r="BA262" s="1">
        <v>12.6</v>
      </c>
      <c r="BB262" s="1">
        <v>3.64</v>
      </c>
      <c r="BC262" s="1" t="s">
        <v>534</v>
      </c>
      <c r="BD262" s="1">
        <v>12.0</v>
      </c>
      <c r="BE262" s="1">
        <v>16.8</v>
      </c>
      <c r="BF262" s="1">
        <v>21.7</v>
      </c>
      <c r="BG262" s="1">
        <v>49.4</v>
      </c>
      <c r="BH262" s="1" t="s">
        <v>566</v>
      </c>
    </row>
    <row r="263">
      <c r="A263" s="2">
        <v>8033.0</v>
      </c>
      <c r="B263" s="2" t="str">
        <f>IFERROR(__xludf.DUMMYFUNCTION("TO_TEXT(A263)"),"08033")</f>
        <v>08033</v>
      </c>
      <c r="C263" s="1">
        <v>1789.0</v>
      </c>
      <c r="D263" s="1">
        <v>1067.16991248904</v>
      </c>
      <c r="E263" s="1" t="s">
        <v>567</v>
      </c>
      <c r="F263" s="1" t="s">
        <v>568</v>
      </c>
      <c r="G263" s="1">
        <v>1.67639658789422</v>
      </c>
      <c r="H263" s="1">
        <v>14.541086226</v>
      </c>
      <c r="I263" s="1">
        <v>4.0232433137</v>
      </c>
      <c r="J263" s="1">
        <v>18.584070796</v>
      </c>
      <c r="K263" s="1">
        <v>15.27942802</v>
      </c>
      <c r="L263" s="1">
        <v>20.7</v>
      </c>
      <c r="M263" s="1">
        <v>4.1</v>
      </c>
      <c r="N263" s="1">
        <v>17.3</v>
      </c>
      <c r="O263" s="1">
        <v>27.810077519</v>
      </c>
      <c r="P263" s="1">
        <v>11.703511053</v>
      </c>
      <c r="Q263" s="1">
        <v>48.31939</v>
      </c>
      <c r="R263" s="1">
        <v>91.666666667</v>
      </c>
      <c r="S263" s="1">
        <v>16.5</v>
      </c>
      <c r="T263" s="1">
        <v>356.0</v>
      </c>
      <c r="U263" s="1">
        <v>44.662921348</v>
      </c>
      <c r="V263" s="1">
        <v>175.3507014</v>
      </c>
      <c r="W263" s="1">
        <v>13.888888889</v>
      </c>
      <c r="X263" s="1">
        <v>6.84736091299999</v>
      </c>
      <c r="Y263" s="1">
        <v>76.138791216</v>
      </c>
      <c r="Z263" s="1">
        <v>5.7</v>
      </c>
      <c r="AA263" s="1">
        <v>48.664563</v>
      </c>
      <c r="AB263" s="1">
        <v>47482.0</v>
      </c>
      <c r="AC263" s="1">
        <v>57.024793388</v>
      </c>
      <c r="AD263" s="1">
        <v>81.081081081</v>
      </c>
      <c r="AE263" s="1">
        <v>4.7482014388</v>
      </c>
      <c r="AF263" s="1">
        <v>0.337512054</v>
      </c>
      <c r="AG263" s="1">
        <v>3.2304725169</v>
      </c>
      <c r="AH263" s="1">
        <v>0.2410800386</v>
      </c>
      <c r="AI263" s="1">
        <v>0.0964320154</v>
      </c>
      <c r="AJ263" s="1">
        <v>6.2198649952</v>
      </c>
      <c r="AK263" s="1">
        <v>87.897782064</v>
      </c>
      <c r="AL263" s="1">
        <v>0.0</v>
      </c>
      <c r="AM263" s="1">
        <v>47.444551591</v>
      </c>
      <c r="AN263" s="1">
        <v>100.0</v>
      </c>
      <c r="AO263" s="1">
        <v>21112.0</v>
      </c>
      <c r="AP263" s="1">
        <v>19.3</v>
      </c>
      <c r="AQ263" s="1">
        <v>3.6</v>
      </c>
      <c r="AR263" s="1">
        <v>9.1</v>
      </c>
      <c r="AS263" s="1">
        <v>27.0</v>
      </c>
      <c r="AT263" s="1">
        <v>20.2</v>
      </c>
      <c r="AU263" s="1">
        <v>22.3</v>
      </c>
      <c r="AV263" s="1">
        <v>7.7</v>
      </c>
      <c r="AW263" s="1">
        <v>0.0</v>
      </c>
      <c r="AX263" s="1">
        <v>0.3349</v>
      </c>
      <c r="AY263" s="1">
        <v>12.8</v>
      </c>
      <c r="AZ263" s="1">
        <v>13.1</v>
      </c>
      <c r="BA263" s="1">
        <v>19.1</v>
      </c>
      <c r="BB263" s="1">
        <v>3.58</v>
      </c>
      <c r="BC263" s="1" t="s">
        <v>534</v>
      </c>
      <c r="BD263" s="1">
        <v>6.2</v>
      </c>
      <c r="BE263" s="1">
        <v>36.2</v>
      </c>
      <c r="BF263" s="1">
        <v>33.5</v>
      </c>
      <c r="BG263" s="1">
        <v>24.1</v>
      </c>
      <c r="BH263" s="1" t="s">
        <v>568</v>
      </c>
    </row>
    <row r="264">
      <c r="A264" s="2">
        <v>8035.0</v>
      </c>
      <c r="B264" s="2" t="str">
        <f>IFERROR(__xludf.DUMMYFUNCTION("TO_TEXT(A264)"),"08035")</f>
        <v>08035</v>
      </c>
      <c r="C264" s="1">
        <v>314238.0</v>
      </c>
      <c r="D264" s="1">
        <v>840.263248579134</v>
      </c>
      <c r="E264" s="1" t="s">
        <v>569</v>
      </c>
      <c r="F264" s="1" t="s">
        <v>570</v>
      </c>
      <c r="G264" s="1">
        <v>373.975656475954</v>
      </c>
      <c r="H264" s="1">
        <v>8.1206450181</v>
      </c>
      <c r="I264" s="1">
        <v>2.9354180083</v>
      </c>
      <c r="J264" s="1">
        <v>8.4917458729</v>
      </c>
      <c r="K264" s="1">
        <v>10.7239859889999</v>
      </c>
      <c r="L264" s="1">
        <v>19.6</v>
      </c>
      <c r="M264" s="1">
        <v>9.2</v>
      </c>
      <c r="N264" s="1">
        <v>10.6</v>
      </c>
      <c r="O264" s="1">
        <v>93.392184681</v>
      </c>
      <c r="P264" s="1">
        <v>3.7801851723</v>
      </c>
      <c r="Q264" s="1">
        <v>70.0867</v>
      </c>
      <c r="R264" s="1">
        <v>90.806988353</v>
      </c>
      <c r="S264" s="1">
        <v>2.5</v>
      </c>
      <c r="T264" s="1">
        <v>89066.0</v>
      </c>
      <c r="U264" s="1">
        <v>14.909168482</v>
      </c>
      <c r="V264" s="1">
        <v>113.61496356</v>
      </c>
      <c r="W264" s="1">
        <v>10.564399421</v>
      </c>
      <c r="X264" s="1">
        <v>9.5524234525</v>
      </c>
      <c r="Y264" s="1">
        <v>84.02041569</v>
      </c>
      <c r="Z264" s="1">
        <v>4.9</v>
      </c>
      <c r="AA264" s="1">
        <v>1.7455362127</v>
      </c>
      <c r="AB264" s="1">
        <v>120670.0</v>
      </c>
      <c r="AC264" s="1">
        <v>11.980626697</v>
      </c>
      <c r="AD264" s="1">
        <v>79.0072045369999</v>
      </c>
      <c r="AE264" s="1">
        <v>9.39542342779999</v>
      </c>
      <c r="AF264" s="1">
        <v>1.3594884123</v>
      </c>
      <c r="AG264" s="1">
        <v>0.5143300581</v>
      </c>
      <c r="AH264" s="1">
        <v>5.188811352</v>
      </c>
      <c r="AI264" s="1">
        <v>0.0951058417</v>
      </c>
      <c r="AJ264" s="1">
        <v>8.9746656709</v>
      </c>
      <c r="AK264" s="1">
        <v>81.912677667</v>
      </c>
      <c r="AL264" s="1">
        <v>0.6835336422</v>
      </c>
      <c r="AM264" s="1">
        <v>50.076143021</v>
      </c>
      <c r="AN264" s="1">
        <v>10.287425779</v>
      </c>
      <c r="AO264" s="1">
        <v>47062.0</v>
      </c>
      <c r="AP264" s="1">
        <v>3.8</v>
      </c>
      <c r="AQ264" s="1">
        <v>3.6</v>
      </c>
      <c r="AR264" s="1">
        <v>2.1</v>
      </c>
      <c r="AS264" s="1">
        <v>9.9</v>
      </c>
      <c r="AT264" s="1">
        <v>28.3</v>
      </c>
      <c r="AU264" s="1">
        <v>6.3</v>
      </c>
      <c r="AV264" s="1">
        <v>16.2</v>
      </c>
      <c r="AW264" s="1">
        <v>0.8</v>
      </c>
      <c r="AX264" s="1">
        <v>0.0175</v>
      </c>
      <c r="AY264" s="1">
        <v>2.7</v>
      </c>
      <c r="AZ264" s="1">
        <v>5.9</v>
      </c>
      <c r="BA264" s="1">
        <v>7.7</v>
      </c>
      <c r="BB264" s="1">
        <v>3.57</v>
      </c>
      <c r="BC264" s="1" t="s">
        <v>534</v>
      </c>
      <c r="BD264" s="1">
        <v>1.9</v>
      </c>
      <c r="BE264" s="1">
        <v>12.0</v>
      </c>
      <c r="BF264" s="1">
        <v>28.1</v>
      </c>
      <c r="BG264" s="1">
        <v>58.0</v>
      </c>
      <c r="BH264" s="1" t="s">
        <v>570</v>
      </c>
    </row>
    <row r="265">
      <c r="A265" s="2">
        <v>8037.0</v>
      </c>
      <c r="B265" s="2" t="str">
        <f>IFERROR(__xludf.DUMMYFUNCTION("TO_TEXT(A265)"),"08037")</f>
        <v>08037</v>
      </c>
      <c r="C265" s="1">
        <v>52894.0</v>
      </c>
      <c r="D265" s="1">
        <v>1684.51471768996</v>
      </c>
      <c r="E265" s="1" t="s">
        <v>571</v>
      </c>
      <c r="F265" s="1" t="s">
        <v>572</v>
      </c>
      <c r="G265" s="1">
        <v>31.400141206564</v>
      </c>
      <c r="H265" s="1">
        <v>12.262054388</v>
      </c>
      <c r="I265" s="1">
        <v>3.3913853186</v>
      </c>
      <c r="J265" s="1">
        <v>8.9979550102</v>
      </c>
      <c r="K265" s="1">
        <v>12.546902347</v>
      </c>
      <c r="L265" s="1">
        <v>12.9</v>
      </c>
      <c r="M265" s="1">
        <v>9.1</v>
      </c>
      <c r="N265" s="1">
        <v>12.0</v>
      </c>
      <c r="O265" s="1">
        <v>97.844703719</v>
      </c>
      <c r="P265" s="1">
        <v>12.249933178</v>
      </c>
      <c r="Q265" s="1">
        <v>76.6815199999999</v>
      </c>
      <c r="R265" s="1">
        <v>74.909090909</v>
      </c>
      <c r="S265" s="1">
        <v>8.1</v>
      </c>
      <c r="T265" s="1">
        <v>11997.0</v>
      </c>
      <c r="U265" s="1">
        <v>21.672084688</v>
      </c>
      <c r="V265" s="1">
        <v>144.27581038</v>
      </c>
      <c r="W265" s="1">
        <v>18.223105308</v>
      </c>
      <c r="X265" s="1">
        <v>14.029084688</v>
      </c>
      <c r="Y265" s="1">
        <v>90.1223247379999</v>
      </c>
      <c r="Z265" s="1">
        <v>2.4</v>
      </c>
      <c r="AA265" s="1">
        <v>4.1579162517</v>
      </c>
      <c r="AB265" s="1">
        <v>86896.0</v>
      </c>
      <c r="AC265" s="1">
        <v>37.185203037</v>
      </c>
      <c r="AD265" s="1">
        <v>70.5971830989999</v>
      </c>
      <c r="AE265" s="1">
        <v>15.228746915</v>
      </c>
      <c r="AF265" s="1">
        <v>0.9928536359</v>
      </c>
      <c r="AG265" s="1">
        <v>1.3638099394</v>
      </c>
      <c r="AH265" s="1">
        <v>1.3128943684</v>
      </c>
      <c r="AI265" s="1">
        <v>0.0981943156</v>
      </c>
      <c r="AJ265" s="1">
        <v>29.823795756</v>
      </c>
      <c r="AK265" s="1">
        <v>66.82486862</v>
      </c>
      <c r="AL265" s="1">
        <v>6.7816136843</v>
      </c>
      <c r="AM265" s="1">
        <v>46.9750695539999</v>
      </c>
      <c r="AN265" s="1">
        <v>19.9839071209999</v>
      </c>
      <c r="AO265" s="1">
        <v>38604.0</v>
      </c>
      <c r="AP265" s="1">
        <v>8.1</v>
      </c>
      <c r="AQ265" s="1">
        <v>3.0</v>
      </c>
      <c r="AR265" s="1">
        <v>11.2</v>
      </c>
      <c r="AS265" s="1">
        <v>8.2</v>
      </c>
      <c r="AT265" s="1">
        <v>23.0</v>
      </c>
      <c r="AU265" s="1">
        <v>4.7</v>
      </c>
      <c r="AV265" s="1">
        <v>32.8</v>
      </c>
      <c r="AW265" s="1">
        <v>6.5</v>
      </c>
      <c r="AX265" s="1">
        <v>0.1487</v>
      </c>
      <c r="AY265" s="1">
        <v>7.9</v>
      </c>
      <c r="AZ265" s="1">
        <v>6.2</v>
      </c>
      <c r="BA265" s="1">
        <v>7.1</v>
      </c>
      <c r="BB265" s="1">
        <v>3.55</v>
      </c>
      <c r="BC265" s="1" t="s">
        <v>534</v>
      </c>
      <c r="BD265" s="1">
        <v>11.7</v>
      </c>
      <c r="BE265" s="1">
        <v>15.2</v>
      </c>
      <c r="BF265" s="1">
        <v>25.9</v>
      </c>
      <c r="BG265" s="1">
        <v>47.2</v>
      </c>
      <c r="BH265" s="1" t="s">
        <v>572</v>
      </c>
    </row>
    <row r="266">
      <c r="A266" s="2">
        <v>8039.0</v>
      </c>
      <c r="B266" s="2" t="str">
        <f>IFERROR(__xludf.DUMMYFUNCTION("TO_TEXT(A266)"),"08039")</f>
        <v>08039</v>
      </c>
      <c r="C266" s="1">
        <v>24225.0</v>
      </c>
      <c r="D266" s="1">
        <v>1850.84128358846</v>
      </c>
      <c r="E266" s="1" t="s">
        <v>573</v>
      </c>
      <c r="F266" s="1" t="s">
        <v>574</v>
      </c>
      <c r="G266" s="1">
        <v>13.0886425620633</v>
      </c>
      <c r="H266" s="1">
        <v>10.7939606059999</v>
      </c>
      <c r="I266" s="1">
        <v>3.3867680998</v>
      </c>
      <c r="J266" s="1">
        <v>8.326848249</v>
      </c>
      <c r="K266" s="1">
        <v>12.732064686</v>
      </c>
      <c r="L266" s="1">
        <v>28.0</v>
      </c>
      <c r="M266" s="1">
        <v>8.7</v>
      </c>
      <c r="N266" s="1">
        <v>18.7</v>
      </c>
      <c r="O266" s="1">
        <v>56.2505414539999</v>
      </c>
      <c r="P266" s="1">
        <v>7.79034864929999</v>
      </c>
      <c r="Q266" s="1">
        <v>15.59941</v>
      </c>
      <c r="R266" s="1">
        <v>86.976744186</v>
      </c>
      <c r="S266" s="1">
        <v>7.2</v>
      </c>
      <c r="T266" s="1">
        <v>5472.0</v>
      </c>
      <c r="U266" s="1">
        <v>14.692982456</v>
      </c>
      <c r="V266" s="1">
        <v>4.2722262571</v>
      </c>
      <c r="W266" s="1">
        <v>13.535589265</v>
      </c>
      <c r="X266" s="1">
        <v>11.143695015</v>
      </c>
      <c r="Y266" s="1">
        <v>81.575938294</v>
      </c>
      <c r="Z266" s="1">
        <v>6.0</v>
      </c>
      <c r="AA266" s="1">
        <v>7.4583149198</v>
      </c>
      <c r="AB266" s="1">
        <v>98247.0</v>
      </c>
      <c r="AC266" s="1">
        <v>21.350364964</v>
      </c>
      <c r="AD266" s="1">
        <v>89.719212912</v>
      </c>
      <c r="AE266" s="1">
        <v>10.493617983</v>
      </c>
      <c r="AF266" s="1">
        <v>1.2594170915</v>
      </c>
      <c r="AG266" s="1">
        <v>0.844684575</v>
      </c>
      <c r="AH266" s="1">
        <v>1.1262461</v>
      </c>
      <c r="AI266" s="1">
        <v>0.1978540446</v>
      </c>
      <c r="AJ266" s="1">
        <v>7.1988433148</v>
      </c>
      <c r="AK266" s="1">
        <v>88.223879461</v>
      </c>
      <c r="AL266" s="1">
        <v>0.1329124439</v>
      </c>
      <c r="AM266" s="1">
        <v>49.47873069</v>
      </c>
      <c r="AN266" s="1">
        <v>100.0</v>
      </c>
      <c r="AO266" s="1">
        <v>39360.0</v>
      </c>
      <c r="AP266" s="1">
        <v>5.1</v>
      </c>
      <c r="AQ266" s="1">
        <v>5.6</v>
      </c>
      <c r="AR266" s="1">
        <v>3.6</v>
      </c>
      <c r="AS266" s="1">
        <v>13.7</v>
      </c>
      <c r="AT266" s="1">
        <v>22.7</v>
      </c>
      <c r="AU266" s="1">
        <v>10.7</v>
      </c>
      <c r="AV266" s="1">
        <v>10.3</v>
      </c>
      <c r="AW266" s="1">
        <v>0.7</v>
      </c>
      <c r="AX266" s="1">
        <v>0.0045</v>
      </c>
      <c r="AY266" s="1">
        <v>5.7</v>
      </c>
      <c r="AZ266" s="1">
        <v>6.7</v>
      </c>
      <c r="BA266" s="1">
        <v>9.9</v>
      </c>
      <c r="BB266" s="1">
        <v>3.51</v>
      </c>
      <c r="BC266" s="1" t="s">
        <v>534</v>
      </c>
      <c r="BD266" s="1">
        <v>3.3</v>
      </c>
      <c r="BE266" s="1">
        <v>24.1</v>
      </c>
      <c r="BF266" s="1">
        <v>36.8</v>
      </c>
      <c r="BG266" s="1">
        <v>35.8</v>
      </c>
      <c r="BH266" s="1" t="s">
        <v>574</v>
      </c>
    </row>
    <row r="267">
      <c r="A267" s="2">
        <v>8041.0</v>
      </c>
      <c r="B267" s="2" t="str">
        <f>IFERROR(__xludf.DUMMYFUNCTION("TO_TEXT(A267)"),"08041")</f>
        <v>08041</v>
      </c>
      <c r="C267" s="1">
        <v>665171.0</v>
      </c>
      <c r="D267" s="1">
        <v>2126.84004498048</v>
      </c>
      <c r="E267" s="1" t="s">
        <v>575</v>
      </c>
      <c r="F267" s="1" t="s">
        <v>576</v>
      </c>
      <c r="G267" s="1">
        <v>312.750835009835</v>
      </c>
      <c r="H267" s="1">
        <v>12.590610915</v>
      </c>
      <c r="I267" s="1">
        <v>3.8038994739</v>
      </c>
      <c r="J267" s="1">
        <v>9.5871496295</v>
      </c>
      <c r="K267" s="1">
        <v>14.264909913</v>
      </c>
      <c r="L267" s="1">
        <v>22.3</v>
      </c>
      <c r="M267" s="1">
        <v>7.7</v>
      </c>
      <c r="N267" s="1">
        <v>16.4</v>
      </c>
      <c r="O267" s="1">
        <v>88.350424178</v>
      </c>
      <c r="P267" s="1">
        <v>7.610916447</v>
      </c>
      <c r="Q267" s="1">
        <v>59.92289</v>
      </c>
      <c r="R267" s="1">
        <v>76.553643203</v>
      </c>
      <c r="S267" s="1">
        <v>13.2</v>
      </c>
      <c r="T267" s="1">
        <v>167640.0</v>
      </c>
      <c r="U267" s="1">
        <v>27.276902887</v>
      </c>
      <c r="V267" s="1">
        <v>399.61498249</v>
      </c>
      <c r="W267" s="1">
        <v>16.0081033379999</v>
      </c>
      <c r="X267" s="1">
        <v>13.655763902</v>
      </c>
      <c r="Y267" s="1">
        <v>78.802510615</v>
      </c>
      <c r="Z267" s="1">
        <v>6.6</v>
      </c>
      <c r="AA267" s="1">
        <v>8.3768960629</v>
      </c>
      <c r="AB267" s="1">
        <v>67923.0</v>
      </c>
      <c r="AC267" s="1">
        <v>37.86084137</v>
      </c>
      <c r="AD267" s="1">
        <v>63.7637689</v>
      </c>
      <c r="AE267" s="1">
        <v>13.914673187</v>
      </c>
      <c r="AF267" s="1">
        <v>6.06859086429999</v>
      </c>
      <c r="AG267" s="1">
        <v>1.3655415098</v>
      </c>
      <c r="AH267" s="1">
        <v>3.1327046351</v>
      </c>
      <c r="AI267" s="1">
        <v>0.3934967276</v>
      </c>
      <c r="AJ267" s="1">
        <v>17.457582482</v>
      </c>
      <c r="AK267" s="1">
        <v>68.850580509</v>
      </c>
      <c r="AL267" s="1">
        <v>1.5572582897</v>
      </c>
      <c r="AM267" s="1">
        <v>49.46880043</v>
      </c>
      <c r="AN267" s="1">
        <v>8.9343251969</v>
      </c>
      <c r="AO267" s="1">
        <v>30261.0</v>
      </c>
      <c r="AP267" s="1">
        <v>11.3</v>
      </c>
      <c r="AQ267" s="1">
        <v>7.4</v>
      </c>
      <c r="AR267" s="1">
        <v>6.1</v>
      </c>
      <c r="AS267" s="1">
        <v>11.5</v>
      </c>
      <c r="AT267" s="1">
        <v>25.1</v>
      </c>
      <c r="AU267" s="1">
        <v>11.8</v>
      </c>
      <c r="AV267" s="1">
        <v>29.6</v>
      </c>
      <c r="AW267" s="1">
        <v>1.7</v>
      </c>
      <c r="AX267" s="1">
        <v>0.3642</v>
      </c>
      <c r="AY267" s="1">
        <v>8.8</v>
      </c>
      <c r="AZ267" s="1">
        <v>10.9</v>
      </c>
      <c r="BA267" s="1">
        <v>14.4</v>
      </c>
      <c r="BB267" s="1">
        <v>3.3</v>
      </c>
      <c r="BC267" s="1" t="s">
        <v>534</v>
      </c>
      <c r="BD267" s="1">
        <v>5.8</v>
      </c>
      <c r="BE267" s="1">
        <v>20.4</v>
      </c>
      <c r="BF267" s="1">
        <v>35.3</v>
      </c>
      <c r="BG267" s="1">
        <v>38.5</v>
      </c>
      <c r="BH267" s="1" t="s">
        <v>576</v>
      </c>
    </row>
    <row r="268">
      <c r="A268" s="2">
        <v>8043.0</v>
      </c>
      <c r="B268" s="2" t="str">
        <f>IFERROR(__xludf.DUMMYFUNCTION("TO_TEXT(A268)"),"08043")</f>
        <v>08043</v>
      </c>
      <c r="C268" s="1">
        <v>46835.0</v>
      </c>
      <c r="D268" s="1">
        <v>1533.08152640071</v>
      </c>
      <c r="E268" s="1" t="s">
        <v>577</v>
      </c>
      <c r="F268" s="1" t="s">
        <v>578</v>
      </c>
      <c r="G268" s="1">
        <v>30.5495821281968</v>
      </c>
      <c r="H268" s="1">
        <v>16.074168981</v>
      </c>
      <c r="I268" s="1">
        <v>3.8477510234</v>
      </c>
      <c r="J268" s="1">
        <v>8.8563727378</v>
      </c>
      <c r="K268" s="1">
        <v>15.5698365809999</v>
      </c>
      <c r="L268" s="1">
        <v>27.3</v>
      </c>
      <c r="M268" s="1">
        <v>7.2</v>
      </c>
      <c r="N268" s="1">
        <v>20.8</v>
      </c>
      <c r="O268" s="1">
        <v>64.87057919</v>
      </c>
      <c r="P268" s="1">
        <v>9.0719463822</v>
      </c>
      <c r="Q268" s="1">
        <v>46.25833</v>
      </c>
      <c r="R268" s="1">
        <v>86.440677966</v>
      </c>
      <c r="S268" s="1">
        <v>22.1</v>
      </c>
      <c r="T268" s="1">
        <v>7607.0</v>
      </c>
      <c r="U268" s="1">
        <v>31.405284606</v>
      </c>
      <c r="V268" s="1">
        <v>225.26871339</v>
      </c>
      <c r="W268" s="1">
        <v>14.670750383</v>
      </c>
      <c r="X268" s="1">
        <v>13.088189467</v>
      </c>
      <c r="Y268" s="1">
        <v>77.625509142</v>
      </c>
      <c r="Z268" s="1">
        <v>8.2</v>
      </c>
      <c r="AA268" s="1">
        <v>11.3733385179999</v>
      </c>
      <c r="AB268" s="1">
        <v>47885.0</v>
      </c>
      <c r="AC268" s="1">
        <v>57.12888715</v>
      </c>
      <c r="AD268" s="1">
        <v>75.021849327</v>
      </c>
      <c r="AE268" s="1">
        <v>12.6370977459999</v>
      </c>
      <c r="AF268" s="1">
        <v>3.798338227</v>
      </c>
      <c r="AG268" s="1">
        <v>1.8158722226</v>
      </c>
      <c r="AH268" s="1">
        <v>0.9724912018</v>
      </c>
      <c r="AI268" s="1">
        <v>0.0708023573</v>
      </c>
      <c r="AJ268" s="1">
        <v>13.5378272009999</v>
      </c>
      <c r="AK268" s="1">
        <v>78.8280127439999</v>
      </c>
      <c r="AL268" s="1">
        <v>1.5994683208</v>
      </c>
      <c r="AM268" s="1">
        <v>42.271089732</v>
      </c>
      <c r="AN268" s="1">
        <v>26.4202118569999</v>
      </c>
      <c r="AO268" s="1">
        <v>19427.0</v>
      </c>
      <c r="AP268" s="1">
        <v>16.6</v>
      </c>
      <c r="AQ268" s="1">
        <v>8.0</v>
      </c>
      <c r="AR268" s="1">
        <v>11.3</v>
      </c>
      <c r="AS268" s="1">
        <v>20.0</v>
      </c>
      <c r="AT268" s="1">
        <v>16.2</v>
      </c>
      <c r="AU268" s="1">
        <v>19.2</v>
      </c>
      <c r="AV268" s="1">
        <v>20.5</v>
      </c>
      <c r="AW268" s="1">
        <v>1.6</v>
      </c>
      <c r="AX268" s="1">
        <v>0.688</v>
      </c>
      <c r="AY268" s="1">
        <v>16.1</v>
      </c>
      <c r="AZ268" s="1">
        <v>14.0</v>
      </c>
      <c r="BA268" s="1">
        <v>21.2</v>
      </c>
      <c r="BB268" s="1">
        <v>3.18</v>
      </c>
      <c r="BC268" s="1" t="s">
        <v>534</v>
      </c>
      <c r="BD268" s="1">
        <v>9.9</v>
      </c>
      <c r="BE268" s="1">
        <v>39.3</v>
      </c>
      <c r="BF268" s="1">
        <v>32.3</v>
      </c>
      <c r="BG268" s="1">
        <v>18.5</v>
      </c>
      <c r="BH268" s="1" t="s">
        <v>578</v>
      </c>
    </row>
    <row r="269">
      <c r="A269" s="2">
        <v>8045.0</v>
      </c>
      <c r="B269" s="2" t="str">
        <f>IFERROR(__xludf.DUMMYFUNCTION("TO_TEXT(A269)"),"08045")</f>
        <v>08045</v>
      </c>
      <c r="C269" s="1">
        <v>57495.0</v>
      </c>
      <c r="D269" s="1">
        <v>2947.53364921058</v>
      </c>
      <c r="E269" s="1" t="s">
        <v>579</v>
      </c>
      <c r="F269" s="1" t="s">
        <v>580</v>
      </c>
      <c r="G269" s="1">
        <v>19.5061386374329</v>
      </c>
      <c r="H269" s="1">
        <v>13.165406817</v>
      </c>
      <c r="I269" s="1">
        <v>3.4180289968</v>
      </c>
      <c r="J269" s="1">
        <v>8.5547290117</v>
      </c>
      <c r="K269" s="1">
        <v>13.763628695</v>
      </c>
      <c r="L269" s="1">
        <v>23.4</v>
      </c>
      <c r="M269" s="1">
        <v>8.7</v>
      </c>
      <c r="N269" s="1">
        <v>14.1</v>
      </c>
      <c r="O269" s="1">
        <v>93.8587313129999</v>
      </c>
      <c r="P269" s="1">
        <v>13.844038499</v>
      </c>
      <c r="Q269" s="1">
        <v>87.9596699999999</v>
      </c>
      <c r="R269" s="1">
        <v>83.69047619</v>
      </c>
      <c r="S269" s="1">
        <v>11.4</v>
      </c>
      <c r="T269" s="1">
        <v>14935.0</v>
      </c>
      <c r="U269" s="1">
        <v>19.2768664209999</v>
      </c>
      <c r="V269" s="1">
        <v>188.98070679</v>
      </c>
      <c r="W269" s="1">
        <v>21.473278767</v>
      </c>
      <c r="X269" s="1">
        <v>16.723549488</v>
      </c>
      <c r="Y269" s="1">
        <v>80.708841407</v>
      </c>
      <c r="Z269" s="1">
        <v>4.4</v>
      </c>
      <c r="AA269" s="1">
        <v>4.739622896</v>
      </c>
      <c r="AB269" s="1">
        <v>74421.0</v>
      </c>
      <c r="AC269" s="1">
        <v>46.741034387</v>
      </c>
      <c r="AD269" s="1">
        <v>66.874822594</v>
      </c>
      <c r="AE269" s="1">
        <v>12.795657231</v>
      </c>
      <c r="AF269" s="1">
        <v>0.6106742513</v>
      </c>
      <c r="AG269" s="1">
        <v>1.6948301824</v>
      </c>
      <c r="AH269" s="1">
        <v>0.9319056383</v>
      </c>
      <c r="AI269" s="1">
        <v>0.1823657353</v>
      </c>
      <c r="AJ269" s="1">
        <v>28.750209135</v>
      </c>
      <c r="AK269" s="1">
        <v>67.918688305</v>
      </c>
      <c r="AL269" s="1">
        <v>5.071347346</v>
      </c>
      <c r="AM269" s="1">
        <v>48.9158440689999</v>
      </c>
      <c r="AN269" s="1">
        <v>24.103991913</v>
      </c>
      <c r="AO269" s="1">
        <v>29179.0</v>
      </c>
      <c r="AP269" s="1">
        <v>11.1</v>
      </c>
      <c r="AQ269" s="1">
        <v>6.2</v>
      </c>
      <c r="AR269" s="1">
        <v>13.1</v>
      </c>
      <c r="AS269" s="1">
        <v>10.6</v>
      </c>
      <c r="AT269" s="1">
        <v>26.0</v>
      </c>
      <c r="AU269" s="1">
        <v>8.5</v>
      </c>
      <c r="AV269" s="1">
        <v>31.2</v>
      </c>
      <c r="AW269" s="1">
        <v>5.1</v>
      </c>
      <c r="AX269" s="1">
        <v>0.4448</v>
      </c>
      <c r="AY269" s="1">
        <v>9.6</v>
      </c>
      <c r="AZ269" s="1">
        <v>8.1</v>
      </c>
      <c r="BA269" s="1">
        <v>9.4</v>
      </c>
      <c r="BB269" s="1">
        <v>3.52</v>
      </c>
      <c r="BC269" s="1" t="s">
        <v>534</v>
      </c>
      <c r="BD269" s="1">
        <v>11.9</v>
      </c>
      <c r="BE269" s="1">
        <v>27.0</v>
      </c>
      <c r="BF269" s="1">
        <v>30.1</v>
      </c>
      <c r="BG269" s="1">
        <v>31.0</v>
      </c>
      <c r="BH269" s="1" t="s">
        <v>580</v>
      </c>
    </row>
    <row r="270">
      <c r="A270" s="2">
        <v>8047.0</v>
      </c>
      <c r="B270" s="2" t="str">
        <f>IFERROR(__xludf.DUMMYFUNCTION("TO_TEXT(A270)"),"08047")</f>
        <v>08047</v>
      </c>
      <c r="C270" s="1">
        <v>5708.0</v>
      </c>
      <c r="D270" s="1">
        <v>149.895982933246</v>
      </c>
      <c r="E270" s="1" t="s">
        <v>581</v>
      </c>
      <c r="F270" s="1" t="s">
        <v>582</v>
      </c>
      <c r="G270" s="1">
        <v>38.079739618786</v>
      </c>
      <c r="H270" s="1">
        <v>10.475343256</v>
      </c>
      <c r="I270" s="1">
        <v>3.3567826806</v>
      </c>
      <c r="J270" s="1">
        <v>13.6363636359999</v>
      </c>
      <c r="K270" s="1">
        <v>12.742128838</v>
      </c>
      <c r="L270" s="1">
        <v>27.0</v>
      </c>
      <c r="M270" s="1">
        <v>9.1</v>
      </c>
      <c r="N270" s="1">
        <v>19.3</v>
      </c>
      <c r="O270" s="1">
        <v>81.694541445</v>
      </c>
      <c r="P270" s="1">
        <v>4.3435144784</v>
      </c>
      <c r="Q270" s="1">
        <v>33.26127</v>
      </c>
      <c r="R270" s="1">
        <v>81.481481481</v>
      </c>
      <c r="S270" s="1">
        <v>10.1</v>
      </c>
      <c r="T270" s="1">
        <v>870.0</v>
      </c>
      <c r="U270" s="1">
        <v>14.712643678</v>
      </c>
      <c r="V270" s="1">
        <v>286.16265116</v>
      </c>
      <c r="W270" s="1">
        <v>23.5059760959999</v>
      </c>
      <c r="X270" s="1">
        <v>17.0614211159999</v>
      </c>
      <c r="Y270" s="1">
        <v>85.136854354</v>
      </c>
      <c r="Z270" s="1">
        <v>5.3</v>
      </c>
      <c r="AA270" s="1">
        <v>0.0</v>
      </c>
      <c r="AB270" s="1">
        <v>72949.0</v>
      </c>
      <c r="AC270" s="1">
        <v>35.245901639</v>
      </c>
      <c r="AD270" s="1">
        <v>80.9272521669999</v>
      </c>
      <c r="AE270" s="1">
        <v>15.825688073</v>
      </c>
      <c r="AF270" s="1">
        <v>0.996569188</v>
      </c>
      <c r="AG270" s="1">
        <v>1.3396503839</v>
      </c>
      <c r="AH270" s="1">
        <v>1.584708381</v>
      </c>
      <c r="AI270" s="1">
        <v>0.2450579971</v>
      </c>
      <c r="AJ270" s="1">
        <v>7.3027283124</v>
      </c>
      <c r="AK270" s="1">
        <v>87.338670152</v>
      </c>
      <c r="AL270" s="1">
        <v>0.228953857</v>
      </c>
      <c r="AM270" s="1">
        <v>47.52491423</v>
      </c>
      <c r="AN270" s="1">
        <v>100.0</v>
      </c>
      <c r="AO270" s="1">
        <v>37027.0</v>
      </c>
      <c r="AP270" s="1">
        <v>7.1</v>
      </c>
      <c r="AQ270" s="1">
        <v>3.9</v>
      </c>
      <c r="AR270" s="1">
        <v>2.0</v>
      </c>
      <c r="AS270" s="1">
        <v>11.7</v>
      </c>
      <c r="AT270" s="1">
        <v>19.7</v>
      </c>
      <c r="AU270" s="1">
        <v>8.8</v>
      </c>
      <c r="AV270" s="1">
        <v>13.9</v>
      </c>
      <c r="AW270" s="1">
        <v>0.3</v>
      </c>
      <c r="AX270" s="1">
        <v>0.0076</v>
      </c>
      <c r="AY270" s="1">
        <v>6.8</v>
      </c>
      <c r="AZ270" s="1">
        <v>6.8</v>
      </c>
      <c r="BA270" s="1">
        <v>10.6</v>
      </c>
      <c r="BB270" s="1">
        <v>3.55</v>
      </c>
      <c r="BC270" s="1" t="s">
        <v>534</v>
      </c>
      <c r="BD270" s="1">
        <v>1.5</v>
      </c>
      <c r="BE270" s="1">
        <v>21.4</v>
      </c>
      <c r="BF270" s="1">
        <v>37.5</v>
      </c>
      <c r="BG270" s="1">
        <v>39.6</v>
      </c>
      <c r="BH270" s="1" t="s">
        <v>582</v>
      </c>
    </row>
    <row r="271">
      <c r="A271" s="2">
        <v>8049.0</v>
      </c>
      <c r="B271" s="2" t="str">
        <f>IFERROR(__xludf.DUMMYFUNCTION("TO_TEXT(A271)"),"08049")</f>
        <v>08049</v>
      </c>
      <c r="C271" s="1">
        <v>14490.0</v>
      </c>
      <c r="D271" s="1">
        <v>1846.44034743202</v>
      </c>
      <c r="E271" s="1" t="s">
        <v>583</v>
      </c>
      <c r="F271" s="1" t="s">
        <v>584</v>
      </c>
      <c r="G271" s="1">
        <v>7.8475321556704</v>
      </c>
      <c r="H271" s="1">
        <v>11.836602538</v>
      </c>
      <c r="I271" s="1">
        <v>3.6415470712</v>
      </c>
      <c r="J271" s="1">
        <v>11.3043478259999</v>
      </c>
      <c r="K271" s="1">
        <v>14.168644525</v>
      </c>
      <c r="L271" s="1">
        <v>18.3</v>
      </c>
      <c r="M271" s="1">
        <v>8.5</v>
      </c>
      <c r="N271" s="1">
        <v>14.2</v>
      </c>
      <c r="O271" s="1">
        <v>74.654719396</v>
      </c>
      <c r="P271" s="1">
        <v>10.638970066</v>
      </c>
      <c r="Q271" s="1">
        <v>78.32387</v>
      </c>
      <c r="R271" s="1">
        <v>84.732824427</v>
      </c>
      <c r="S271" s="1">
        <v>11.7</v>
      </c>
      <c r="T271" s="1">
        <v>2636.0</v>
      </c>
      <c r="U271" s="1">
        <v>25.720789074</v>
      </c>
      <c r="V271" s="1">
        <v>80.809635587</v>
      </c>
      <c r="W271" s="1">
        <v>15.371329879</v>
      </c>
      <c r="X271" s="1">
        <v>11.0434782609999</v>
      </c>
      <c r="Y271" s="1">
        <v>85.955398956</v>
      </c>
      <c r="Z271" s="1">
        <v>4.7</v>
      </c>
      <c r="AA271" s="1">
        <v>0.3001204834</v>
      </c>
      <c r="AB271" s="1">
        <v>69214.0</v>
      </c>
      <c r="AC271" s="1">
        <v>29.0544412609999</v>
      </c>
      <c r="AD271" s="1">
        <v>68.847673021</v>
      </c>
      <c r="AE271" s="1">
        <v>11.57744976</v>
      </c>
      <c r="AF271" s="1">
        <v>0.8760064412</v>
      </c>
      <c r="AG271" s="1">
        <v>0.9146537842</v>
      </c>
      <c r="AH271" s="1">
        <v>0.8631239936</v>
      </c>
      <c r="AI271" s="1">
        <v>0.1803542673</v>
      </c>
      <c r="AJ271" s="1">
        <v>9.0499194847</v>
      </c>
      <c r="AK271" s="1">
        <v>87.117552335</v>
      </c>
      <c r="AL271" s="1">
        <v>1.1583810246</v>
      </c>
      <c r="AM271" s="1">
        <v>46.415458937</v>
      </c>
      <c r="AN271" s="1">
        <v>82.597857576</v>
      </c>
      <c r="AO271" s="1">
        <v>32348.0</v>
      </c>
      <c r="AP271" s="1">
        <v>10.6</v>
      </c>
      <c r="AQ271" s="1">
        <v>5.8</v>
      </c>
      <c r="AR271" s="1">
        <v>4.3</v>
      </c>
      <c r="AS271" s="1">
        <v>14.5</v>
      </c>
      <c r="AT271" s="1">
        <v>18.2</v>
      </c>
      <c r="AU271" s="1">
        <v>4.9</v>
      </c>
      <c r="AV271" s="1">
        <v>12.6</v>
      </c>
      <c r="AW271" s="1">
        <v>1.1</v>
      </c>
      <c r="AX271" s="1">
        <v>0.1032</v>
      </c>
      <c r="AY271" s="1">
        <v>8.1</v>
      </c>
      <c r="AZ271" s="1">
        <v>8.9</v>
      </c>
      <c r="BA271" s="1">
        <v>12.0</v>
      </c>
      <c r="BB271" s="1">
        <v>3.61</v>
      </c>
      <c r="BC271" s="1" t="s">
        <v>534</v>
      </c>
      <c r="BD271" s="1">
        <v>5.4</v>
      </c>
      <c r="BE271" s="1">
        <v>26.8</v>
      </c>
      <c r="BF271" s="1">
        <v>29.8</v>
      </c>
      <c r="BG271" s="1">
        <v>38.0</v>
      </c>
      <c r="BH271" s="1" t="s">
        <v>584</v>
      </c>
    </row>
    <row r="272">
      <c r="A272" s="2">
        <v>8051.0</v>
      </c>
      <c r="B272" s="2" t="str">
        <f>IFERROR(__xludf.DUMMYFUNCTION("TO_TEXT(A272)"),"08051")</f>
        <v>08051</v>
      </c>
      <c r="C272" s="1">
        <v>15889.0</v>
      </c>
      <c r="D272" s="1">
        <v>3239.14020402822</v>
      </c>
      <c r="E272" s="1" t="s">
        <v>585</v>
      </c>
      <c r="F272" s="1" t="s">
        <v>586</v>
      </c>
      <c r="G272" s="1">
        <v>4.90531406459045</v>
      </c>
      <c r="H272" s="1">
        <v>13.138637749</v>
      </c>
      <c r="I272" s="1">
        <v>3.8031258022</v>
      </c>
      <c r="J272" s="1">
        <v>10.040983607</v>
      </c>
      <c r="K272" s="1">
        <v>14.971350569</v>
      </c>
      <c r="L272" s="1">
        <v>16.6</v>
      </c>
      <c r="M272" s="1">
        <v>8.0</v>
      </c>
      <c r="N272" s="1">
        <v>14.5</v>
      </c>
      <c r="O272" s="1">
        <v>90.903158444</v>
      </c>
      <c r="P272" s="1">
        <v>10.489662677</v>
      </c>
      <c r="Q272" s="1">
        <v>82.6495099999999</v>
      </c>
      <c r="R272" s="1">
        <v>95.973154362</v>
      </c>
      <c r="S272" s="1">
        <v>10.4</v>
      </c>
      <c r="T272" s="1">
        <v>2898.0</v>
      </c>
      <c r="U272" s="1">
        <v>29.848171153</v>
      </c>
      <c r="V272" s="1">
        <v>179.08196927</v>
      </c>
      <c r="W272" s="1">
        <v>20.456273764</v>
      </c>
      <c r="X272" s="1">
        <v>15.302218822</v>
      </c>
      <c r="Y272" s="1">
        <v>83.260934365</v>
      </c>
      <c r="Z272" s="1">
        <v>2.4</v>
      </c>
      <c r="AA272" s="1">
        <v>3.8966114606</v>
      </c>
      <c r="AB272" s="1">
        <v>61268.0</v>
      </c>
      <c r="AC272" s="1">
        <v>24.1196333819999</v>
      </c>
      <c r="AD272" s="1">
        <v>61.0868583469999</v>
      </c>
      <c r="AE272" s="1">
        <v>16.552688841</v>
      </c>
      <c r="AF272" s="1">
        <v>0.6436275078</v>
      </c>
      <c r="AG272" s="1">
        <v>2.5803084773</v>
      </c>
      <c r="AH272" s="1">
        <v>0.8059839963</v>
      </c>
      <c r="AI272" s="1">
        <v>0.0231937841</v>
      </c>
      <c r="AJ272" s="1">
        <v>9.3528934246</v>
      </c>
      <c r="AK272" s="1">
        <v>87.127449843</v>
      </c>
      <c r="AL272" s="1">
        <v>0.4495662635</v>
      </c>
      <c r="AM272" s="1">
        <v>46.074452047</v>
      </c>
      <c r="AN272" s="1">
        <v>58.607413208</v>
      </c>
      <c r="AO272" s="1">
        <v>25920.0</v>
      </c>
      <c r="AP272" s="1">
        <v>15.4</v>
      </c>
      <c r="AQ272" s="1">
        <v>7.1</v>
      </c>
      <c r="AR272" s="1">
        <v>4.7</v>
      </c>
      <c r="AS272" s="1">
        <v>10.7</v>
      </c>
      <c r="AT272" s="1">
        <v>17.9</v>
      </c>
      <c r="AU272" s="1">
        <v>7.3</v>
      </c>
      <c r="AV272" s="1">
        <v>12.1</v>
      </c>
      <c r="AW272" s="1">
        <v>1.2</v>
      </c>
      <c r="AX272" s="1">
        <v>0.2732</v>
      </c>
      <c r="AY272" s="1">
        <v>11.6</v>
      </c>
      <c r="AZ272" s="1">
        <v>9.6</v>
      </c>
      <c r="BA272" s="1">
        <v>9.6</v>
      </c>
      <c r="BB272" s="1">
        <v>3.52</v>
      </c>
      <c r="BC272" s="1" t="s">
        <v>534</v>
      </c>
      <c r="BD272" s="1">
        <v>2.6</v>
      </c>
      <c r="BE272" s="1">
        <v>15.9</v>
      </c>
      <c r="BF272" s="1">
        <v>25.3</v>
      </c>
      <c r="BG272" s="1">
        <v>56.2</v>
      </c>
      <c r="BH272" s="1" t="s">
        <v>586</v>
      </c>
    </row>
    <row r="273">
      <c r="A273" s="2">
        <v>8053.0</v>
      </c>
      <c r="B273" s="2" t="str">
        <f>IFERROR(__xludf.DUMMYFUNCTION("TO_TEXT(A273)"),"08053")</f>
        <v>08053</v>
      </c>
      <c r="C273" s="1">
        <v>856.0</v>
      </c>
      <c r="D273" s="1">
        <v>1117.23033409594</v>
      </c>
      <c r="E273" s="1" t="s">
        <v>587</v>
      </c>
      <c r="F273" s="1" t="s">
        <v>588</v>
      </c>
      <c r="G273" s="1">
        <v>0.766180414079674</v>
      </c>
      <c r="H273" s="1">
        <v>12.127611981</v>
      </c>
      <c r="I273" s="1">
        <v>3.7001160841</v>
      </c>
      <c r="J273" s="1">
        <v>7.80443539465</v>
      </c>
      <c r="K273" s="1">
        <v>12.8948427329999</v>
      </c>
      <c r="L273" s="1">
        <v>24.4</v>
      </c>
      <c r="M273" s="1">
        <v>8.2</v>
      </c>
      <c r="N273" s="1">
        <v>24.5</v>
      </c>
      <c r="O273" s="1">
        <v>41.6370106759999</v>
      </c>
      <c r="P273" s="1">
        <v>10.526315789</v>
      </c>
      <c r="Q273" s="1">
        <v>0.0</v>
      </c>
      <c r="R273" s="1">
        <v>100.0</v>
      </c>
      <c r="S273" s="1">
        <v>17.0</v>
      </c>
      <c r="T273" s="1">
        <v>132.0</v>
      </c>
      <c r="U273" s="1">
        <v>30.303030303</v>
      </c>
      <c r="V273" s="1">
        <v>254.61489497</v>
      </c>
      <c r="W273" s="1">
        <v>18.75</v>
      </c>
      <c r="X273" s="1">
        <v>14.5</v>
      </c>
      <c r="Y273" s="1">
        <v>77.482572377</v>
      </c>
      <c r="Z273" s="1">
        <v>5.0</v>
      </c>
      <c r="AA273" s="1">
        <v>3.285375334</v>
      </c>
      <c r="AB273" s="1">
        <v>62149.0</v>
      </c>
      <c r="AC273" s="1">
        <v>37.5</v>
      </c>
      <c r="AD273" s="1">
        <v>71.57622739</v>
      </c>
      <c r="AE273" s="1">
        <v>9.2391304348</v>
      </c>
      <c r="AF273" s="1">
        <v>0.6165228113</v>
      </c>
      <c r="AG273" s="1">
        <v>1.356350185</v>
      </c>
      <c r="AH273" s="1">
        <v>0.7398273736</v>
      </c>
      <c r="AI273" s="1">
        <v>0.0</v>
      </c>
      <c r="AJ273" s="1">
        <v>6.0419235512</v>
      </c>
      <c r="AK273" s="1">
        <v>89.025893958</v>
      </c>
      <c r="AL273" s="1">
        <v>0.0</v>
      </c>
      <c r="AM273" s="1">
        <v>48.458692972</v>
      </c>
      <c r="AN273" s="1">
        <v>100.0</v>
      </c>
      <c r="AO273" s="1">
        <v>29958.0</v>
      </c>
      <c r="AP273" s="1">
        <v>11.2</v>
      </c>
      <c r="AQ273" s="1">
        <v>5.1</v>
      </c>
      <c r="AR273" s="1">
        <v>5.1</v>
      </c>
      <c r="AS273" s="1">
        <v>30.4</v>
      </c>
      <c r="AT273" s="1">
        <v>17.4</v>
      </c>
      <c r="AU273" s="1">
        <v>21.5</v>
      </c>
      <c r="AV273" s="1">
        <v>6.5</v>
      </c>
      <c r="AW273" s="1">
        <v>0.0</v>
      </c>
      <c r="AX273" s="1">
        <v>0.0516</v>
      </c>
      <c r="AY273" s="1">
        <v>8.9</v>
      </c>
      <c r="AZ273" s="1">
        <v>13.0</v>
      </c>
      <c r="BA273" s="1">
        <v>19.5</v>
      </c>
      <c r="BB273" s="1">
        <v>3.76</v>
      </c>
      <c r="BC273" s="1" t="s">
        <v>534</v>
      </c>
      <c r="BD273" s="1">
        <v>6.3</v>
      </c>
      <c r="BE273" s="1">
        <v>22.8</v>
      </c>
      <c r="BF273" s="1">
        <v>25.3</v>
      </c>
      <c r="BG273" s="1">
        <v>45.7</v>
      </c>
      <c r="BH273" s="1" t="s">
        <v>588</v>
      </c>
    </row>
    <row r="274">
      <c r="A274" s="2">
        <v>8055.0</v>
      </c>
      <c r="B274" s="2" t="str">
        <f>IFERROR(__xludf.DUMMYFUNCTION("TO_TEXT(A274)"),"08055")</f>
        <v>08055</v>
      </c>
      <c r="C274" s="1">
        <v>6521.0</v>
      </c>
      <c r="D274" s="1">
        <v>1591.03226400058</v>
      </c>
      <c r="E274" s="1" t="s">
        <v>589</v>
      </c>
      <c r="F274" s="1" t="s">
        <v>590</v>
      </c>
      <c r="G274" s="1">
        <v>4.09859695968907</v>
      </c>
      <c r="H274" s="1">
        <v>17.300850253</v>
      </c>
      <c r="I274" s="1">
        <v>3.842639252</v>
      </c>
      <c r="J274" s="1">
        <v>9.8159509202</v>
      </c>
      <c r="K274" s="1">
        <v>13.173637306</v>
      </c>
      <c r="L274" s="1">
        <v>26.6</v>
      </c>
      <c r="M274" s="1">
        <v>7.6</v>
      </c>
      <c r="N274" s="1">
        <v>21.4</v>
      </c>
      <c r="O274" s="1">
        <v>75.368797497</v>
      </c>
      <c r="P274" s="1">
        <v>7.928331467</v>
      </c>
      <c r="Q274" s="1">
        <v>105.07355</v>
      </c>
      <c r="R274" s="1">
        <v>86.79245283</v>
      </c>
      <c r="S274" s="1">
        <v>37.4</v>
      </c>
      <c r="T274" s="1">
        <v>1041.0</v>
      </c>
      <c r="U274" s="1">
        <v>37.367915466</v>
      </c>
      <c r="V274" s="1">
        <v>409.06487769</v>
      </c>
      <c r="W274" s="1">
        <v>16.293929712</v>
      </c>
      <c r="X274" s="1">
        <v>13.950498232</v>
      </c>
      <c r="Y274" s="1">
        <v>75.436501771</v>
      </c>
      <c r="Z274" s="1">
        <v>8.4</v>
      </c>
      <c r="AA274" s="1">
        <v>12.664016859</v>
      </c>
      <c r="AB274" s="1">
        <v>38242.0</v>
      </c>
      <c r="AC274" s="1">
        <v>70.897435897</v>
      </c>
      <c r="AD274" s="1">
        <v>71.663619744</v>
      </c>
      <c r="AE274" s="1">
        <v>10.6431603</v>
      </c>
      <c r="AF274" s="1">
        <v>0.7838583249</v>
      </c>
      <c r="AG274" s="1">
        <v>5.196690376</v>
      </c>
      <c r="AH274" s="1">
        <v>0.9580490637</v>
      </c>
      <c r="AI274" s="1">
        <v>0.2758020032</v>
      </c>
      <c r="AJ274" s="1">
        <v>33.952678183</v>
      </c>
      <c r="AK274" s="1">
        <v>61.619973871</v>
      </c>
      <c r="AL274" s="1">
        <v>0.98161421</v>
      </c>
      <c r="AM274" s="1">
        <v>49.0056611989999</v>
      </c>
      <c r="AN274" s="1">
        <v>56.1466249439999</v>
      </c>
      <c r="AO274" s="1">
        <v>25062.0</v>
      </c>
      <c r="AP274" s="1">
        <v>17.1</v>
      </c>
      <c r="AQ274" s="1">
        <v>12.6</v>
      </c>
      <c r="AR274" s="1">
        <v>8.7</v>
      </c>
      <c r="AS274" s="1">
        <v>29.8</v>
      </c>
      <c r="AT274" s="1">
        <v>15.7</v>
      </c>
      <c r="AU274" s="1">
        <v>24.3</v>
      </c>
      <c r="AV274" s="1">
        <v>35.3</v>
      </c>
      <c r="AW274" s="1">
        <v>0.2</v>
      </c>
      <c r="AX274" s="1">
        <v>0.5654</v>
      </c>
      <c r="AY274" s="1">
        <v>20.0</v>
      </c>
      <c r="AZ274" s="1">
        <v>15.0</v>
      </c>
      <c r="BA274" s="1">
        <v>22.7</v>
      </c>
      <c r="BB274" s="1">
        <v>3.12</v>
      </c>
      <c r="BC274" s="1" t="s">
        <v>534</v>
      </c>
      <c r="BD274" s="1">
        <v>7.6</v>
      </c>
      <c r="BE274" s="1">
        <v>29.6</v>
      </c>
      <c r="BF274" s="1">
        <v>41.6</v>
      </c>
      <c r="BG274" s="1">
        <v>21.1</v>
      </c>
      <c r="BH274" s="1" t="s">
        <v>590</v>
      </c>
    </row>
    <row r="275">
      <c r="A275" s="2">
        <v>8057.0</v>
      </c>
      <c r="B275" s="2" t="str">
        <f>IFERROR(__xludf.DUMMYFUNCTION("TO_TEXT(A275)"),"08057")</f>
        <v>08057</v>
      </c>
      <c r="C275" s="1">
        <v>1306.0</v>
      </c>
      <c r="D275" s="1">
        <v>1613.72499592144</v>
      </c>
      <c r="E275" s="1" t="s">
        <v>130</v>
      </c>
      <c r="F275" s="1" t="s">
        <v>591</v>
      </c>
      <c r="G275" s="1">
        <v>0.809307659793837</v>
      </c>
      <c r="H275" s="1">
        <v>13.964569197</v>
      </c>
      <c r="I275" s="1">
        <v>3.8265924547</v>
      </c>
      <c r="J275" s="1">
        <v>19.76744186</v>
      </c>
      <c r="K275" s="1">
        <v>14.462951644</v>
      </c>
      <c r="L275" s="1">
        <v>28.0</v>
      </c>
      <c r="M275" s="1">
        <v>8.3</v>
      </c>
      <c r="N275" s="1">
        <v>23.2</v>
      </c>
      <c r="O275" s="1">
        <v>87.159253945</v>
      </c>
      <c r="P275" s="1">
        <v>13.644859813</v>
      </c>
      <c r="Q275" s="1">
        <v>144.40433</v>
      </c>
      <c r="R275" s="1">
        <v>100.0</v>
      </c>
      <c r="S275" s="1">
        <v>20.0</v>
      </c>
      <c r="T275" s="1">
        <v>247.0</v>
      </c>
      <c r="U275" s="1">
        <v>10.931174089</v>
      </c>
      <c r="V275" s="1">
        <v>0.0</v>
      </c>
      <c r="W275" s="1">
        <v>10.569105691</v>
      </c>
      <c r="X275" s="1">
        <v>11.36738056</v>
      </c>
      <c r="Y275" s="1">
        <v>77.482572377</v>
      </c>
      <c r="Z275" s="1">
        <v>8.6</v>
      </c>
      <c r="AA275" s="1">
        <v>8.05657558269999</v>
      </c>
      <c r="AB275" s="1">
        <v>51457.0</v>
      </c>
      <c r="AC275" s="1">
        <v>55.376344086</v>
      </c>
      <c r="AD275" s="1">
        <v>71.304347826</v>
      </c>
      <c r="AE275" s="1">
        <v>12.474012474</v>
      </c>
      <c r="AF275" s="1">
        <v>0.0714796283</v>
      </c>
      <c r="AG275" s="1">
        <v>2.6447462473</v>
      </c>
      <c r="AH275" s="1">
        <v>0.7147962831</v>
      </c>
      <c r="AI275" s="1">
        <v>0.0</v>
      </c>
      <c r="AJ275" s="1">
        <v>12.580414582</v>
      </c>
      <c r="AK275" s="1">
        <v>84.703359543</v>
      </c>
      <c r="AL275" s="1">
        <v>1.7312448475</v>
      </c>
      <c r="AM275" s="1">
        <v>48.2487491069999</v>
      </c>
      <c r="AN275" s="1">
        <v>100.0</v>
      </c>
      <c r="AO275" s="1">
        <v>26798.0</v>
      </c>
      <c r="AP275" s="1">
        <v>13.8</v>
      </c>
      <c r="AQ275" s="1">
        <v>1.8</v>
      </c>
      <c r="AR275" s="1">
        <v>12.2</v>
      </c>
      <c r="AS275" s="1">
        <v>22.5</v>
      </c>
      <c r="AT275" s="1">
        <v>17.5</v>
      </c>
      <c r="AU275" s="1">
        <v>7.9</v>
      </c>
      <c r="AV275" s="1">
        <v>18.1</v>
      </c>
      <c r="AW275" s="1">
        <v>1.4</v>
      </c>
      <c r="AX275" s="1">
        <v>0.0493</v>
      </c>
      <c r="AY275" s="1">
        <v>12.6</v>
      </c>
      <c r="AZ275" s="1">
        <v>10.2</v>
      </c>
      <c r="BA275" s="1">
        <v>16.7</v>
      </c>
      <c r="BB275" s="1">
        <v>3.85</v>
      </c>
      <c r="BC275" s="1" t="s">
        <v>534</v>
      </c>
      <c r="BD275" s="1">
        <v>12.6</v>
      </c>
      <c r="BE275" s="1">
        <v>28.1</v>
      </c>
      <c r="BF275" s="1">
        <v>39.2</v>
      </c>
      <c r="BG275" s="1">
        <v>20.0</v>
      </c>
      <c r="BH275" s="1" t="s">
        <v>591</v>
      </c>
    </row>
    <row r="276">
      <c r="A276" s="2">
        <v>8059.0</v>
      </c>
      <c r="B276" s="2" t="str">
        <f>IFERROR(__xludf.DUMMYFUNCTION("TO_TEXT(A276)"),"08059")</f>
        <v>08059</v>
      </c>
      <c r="C276" s="1">
        <v>558810.0</v>
      </c>
      <c r="D276" s="1">
        <v>764.212605206148</v>
      </c>
      <c r="E276" s="1" t="s">
        <v>132</v>
      </c>
      <c r="F276" s="1" t="s">
        <v>592</v>
      </c>
      <c r="G276" s="1">
        <v>731.223217456953</v>
      </c>
      <c r="H276" s="1">
        <v>9.347265343</v>
      </c>
      <c r="I276" s="1">
        <v>3.433300466</v>
      </c>
      <c r="J276" s="1">
        <v>8.4805306473</v>
      </c>
      <c r="K276" s="1">
        <v>12.320125467</v>
      </c>
      <c r="L276" s="1">
        <v>20.6</v>
      </c>
      <c r="M276" s="1">
        <v>8.6</v>
      </c>
      <c r="N276" s="1">
        <v>13.9</v>
      </c>
      <c r="O276" s="1">
        <v>99.182479239</v>
      </c>
      <c r="P276" s="1">
        <v>6.7507525323</v>
      </c>
      <c r="Q276" s="1">
        <v>85.44882</v>
      </c>
      <c r="R276" s="1">
        <v>85.347083269</v>
      </c>
      <c r="S276" s="1">
        <v>8.0</v>
      </c>
      <c r="T276" s="1">
        <v>114633.0</v>
      </c>
      <c r="U276" s="1">
        <v>24.466776583</v>
      </c>
      <c r="V276" s="1">
        <v>253.58037445</v>
      </c>
      <c r="W276" s="1">
        <v>14.0466891529999</v>
      </c>
      <c r="X276" s="1">
        <v>12.587772262</v>
      </c>
      <c r="Y276" s="1">
        <v>80.81213649</v>
      </c>
      <c r="Z276" s="1">
        <v>5.8</v>
      </c>
      <c r="AA276" s="1">
        <v>4.0354645587</v>
      </c>
      <c r="AB276" s="1">
        <v>85550.0</v>
      </c>
      <c r="AC276" s="1">
        <v>31.9414104719999</v>
      </c>
      <c r="AD276" s="1">
        <v>70.403166589</v>
      </c>
      <c r="AE276" s="1">
        <v>13.000908538</v>
      </c>
      <c r="AF276" s="1">
        <v>1.1438508323</v>
      </c>
      <c r="AG276" s="1">
        <v>1.1967606117</v>
      </c>
      <c r="AH276" s="1">
        <v>3.0589435623</v>
      </c>
      <c r="AI276" s="1">
        <v>0.1168496104</v>
      </c>
      <c r="AJ276" s="1">
        <v>15.4918799859999</v>
      </c>
      <c r="AK276" s="1">
        <v>77.995391507</v>
      </c>
      <c r="AL276" s="1">
        <v>1.4969395081</v>
      </c>
      <c r="AM276" s="1">
        <v>50.1417533989999</v>
      </c>
      <c r="AN276" s="1">
        <v>6.8963581976</v>
      </c>
      <c r="AO276" s="1">
        <v>38367.0</v>
      </c>
      <c r="AP276" s="1">
        <v>8.1</v>
      </c>
      <c r="AQ276" s="1">
        <v>5.2</v>
      </c>
      <c r="AR276" s="1">
        <v>5.8</v>
      </c>
      <c r="AS276" s="1">
        <v>14.6</v>
      </c>
      <c r="AT276" s="1">
        <v>20.9</v>
      </c>
      <c r="AU276" s="1">
        <v>9.7</v>
      </c>
      <c r="AV276" s="1">
        <v>21.1</v>
      </c>
      <c r="AW276" s="1">
        <v>1.5</v>
      </c>
      <c r="AX276" s="1">
        <v>0.0748</v>
      </c>
      <c r="AY276" s="1">
        <v>7.2</v>
      </c>
      <c r="AZ276" s="1">
        <v>8.3</v>
      </c>
      <c r="BA276" s="1">
        <v>10.2</v>
      </c>
      <c r="BB276" s="1">
        <v>3.56</v>
      </c>
      <c r="BC276" s="1" t="s">
        <v>534</v>
      </c>
      <c r="BD276" s="1">
        <v>5.5</v>
      </c>
      <c r="BE276" s="1">
        <v>20.3</v>
      </c>
      <c r="BF276" s="1">
        <v>29.1</v>
      </c>
      <c r="BG276" s="1">
        <v>45.2</v>
      </c>
      <c r="BH276" s="1" t="s">
        <v>592</v>
      </c>
    </row>
    <row r="277">
      <c r="A277" s="2">
        <v>8061.0</v>
      </c>
      <c r="B277" s="2" t="str">
        <f>IFERROR(__xludf.DUMMYFUNCTION("TO_TEXT(A277)"),"08061")</f>
        <v>08061</v>
      </c>
      <c r="C277" s="1">
        <v>1465.0</v>
      </c>
      <c r="D277" s="1">
        <v>1767.80800909771</v>
      </c>
      <c r="E277" s="1" t="s">
        <v>593</v>
      </c>
      <c r="F277" s="1" t="s">
        <v>594</v>
      </c>
      <c r="G277" s="1">
        <v>0.828709900883262</v>
      </c>
      <c r="H277" s="1">
        <v>13.462156227</v>
      </c>
      <c r="I277" s="1">
        <v>3.9265997871</v>
      </c>
      <c r="J277" s="1">
        <v>11.570247934</v>
      </c>
      <c r="K277" s="1">
        <v>14.4157975009999</v>
      </c>
      <c r="L277" s="1">
        <v>30.1</v>
      </c>
      <c r="M277" s="1">
        <v>4.7</v>
      </c>
      <c r="N277" s="1">
        <v>30.9</v>
      </c>
      <c r="O277" s="1">
        <v>58.5121602289999</v>
      </c>
      <c r="P277" s="1">
        <v>11.260827719</v>
      </c>
      <c r="Q277" s="1">
        <v>0.0</v>
      </c>
      <c r="R277" s="1">
        <v>100.0</v>
      </c>
      <c r="S277" s="1">
        <v>19.2</v>
      </c>
      <c r="T277" s="1">
        <v>417.0</v>
      </c>
      <c r="U277" s="1">
        <v>29.736211031</v>
      </c>
      <c r="V277" s="1">
        <v>204.509002055</v>
      </c>
      <c r="W277" s="1">
        <v>10.344827586</v>
      </c>
      <c r="X277" s="1">
        <v>8.3916083916</v>
      </c>
      <c r="Y277" s="1">
        <v>77.482572377</v>
      </c>
      <c r="Z277" s="1">
        <v>9.3</v>
      </c>
      <c r="AA277" s="1">
        <v>42.529023484</v>
      </c>
      <c r="AB277" s="1">
        <v>44704.0</v>
      </c>
      <c r="AC277" s="1">
        <v>47.6394849789999</v>
      </c>
      <c r="AD277" s="1">
        <v>74.704890388</v>
      </c>
      <c r="AE277" s="1">
        <v>9.8513011152</v>
      </c>
      <c r="AF277" s="1">
        <v>0.4338394794</v>
      </c>
      <c r="AG277" s="1">
        <v>0.867678958799999</v>
      </c>
      <c r="AH277" s="1">
        <v>0.2169197397</v>
      </c>
      <c r="AI277" s="1">
        <v>0.3615328995</v>
      </c>
      <c r="AJ277" s="1">
        <v>8.8937093275</v>
      </c>
      <c r="AK277" s="1">
        <v>88.864786696</v>
      </c>
      <c r="AL277" s="1">
        <v>0.462962963</v>
      </c>
      <c r="AM277" s="1">
        <v>51.337671728</v>
      </c>
      <c r="AN277" s="1">
        <v>100.0</v>
      </c>
      <c r="AO277" s="1">
        <v>21602.0</v>
      </c>
      <c r="AP277" s="1">
        <v>10.7</v>
      </c>
      <c r="AQ277" s="1">
        <v>4.1</v>
      </c>
      <c r="AR277" s="1">
        <v>7.1</v>
      </c>
      <c r="AS277" s="1">
        <v>19.8</v>
      </c>
      <c r="AT277" s="1">
        <v>27.7</v>
      </c>
      <c r="AU277" s="1">
        <v>17.3</v>
      </c>
      <c r="AV277" s="1">
        <v>11.0</v>
      </c>
      <c r="AW277" s="1">
        <v>0.4</v>
      </c>
      <c r="AX277" s="1">
        <v>0.4912</v>
      </c>
      <c r="AY277" s="1">
        <v>13.5</v>
      </c>
      <c r="AZ277" s="1">
        <v>10.5</v>
      </c>
      <c r="BA277" s="1">
        <v>14.8</v>
      </c>
      <c r="BB277" s="1">
        <v>3.06</v>
      </c>
      <c r="BC277" s="1" t="s">
        <v>534</v>
      </c>
      <c r="BD277" s="1">
        <v>4.3</v>
      </c>
      <c r="BE277" s="1">
        <v>35.6</v>
      </c>
      <c r="BF277" s="1">
        <v>38.7</v>
      </c>
      <c r="BG277" s="1">
        <v>21.4</v>
      </c>
      <c r="BH277" s="1" t="s">
        <v>594</v>
      </c>
    </row>
    <row r="278">
      <c r="A278" s="2">
        <v>8063.0</v>
      </c>
      <c r="B278" s="2" t="str">
        <f>IFERROR(__xludf.DUMMYFUNCTION("TO_TEXT(A278)"),"08063")</f>
        <v>08063</v>
      </c>
      <c r="C278" s="1">
        <v>8174.0</v>
      </c>
      <c r="D278" s="1">
        <v>2160.8205951267</v>
      </c>
      <c r="E278" s="1" t="s">
        <v>595</v>
      </c>
      <c r="F278" s="1" t="s">
        <v>596</v>
      </c>
      <c r="G278" s="1">
        <v>3.78282214563987</v>
      </c>
      <c r="H278" s="1">
        <v>14.33741347</v>
      </c>
      <c r="I278" s="1">
        <v>3.8342549869</v>
      </c>
      <c r="J278" s="1">
        <v>7.9439252336</v>
      </c>
      <c r="K278" s="1">
        <v>14.119193893</v>
      </c>
      <c r="L278" s="1">
        <v>31.1</v>
      </c>
      <c r="M278" s="1">
        <v>8.4</v>
      </c>
      <c r="N278" s="1">
        <v>20.7</v>
      </c>
      <c r="O278" s="1">
        <v>27.859733978</v>
      </c>
      <c r="P278" s="1">
        <v>14.9059588679999</v>
      </c>
      <c r="Q278" s="1">
        <v>55.88153</v>
      </c>
      <c r="R278" s="1">
        <v>89.130434783</v>
      </c>
      <c r="S278" s="1">
        <v>20.1</v>
      </c>
      <c r="T278" s="1">
        <v>1791.0</v>
      </c>
      <c r="U278" s="1">
        <v>33.0541596869999</v>
      </c>
      <c r="V278" s="1">
        <v>206.29533506</v>
      </c>
      <c r="W278" s="1">
        <v>10.7563025209999</v>
      </c>
      <c r="X278" s="1">
        <v>10.016806723</v>
      </c>
      <c r="Y278" s="1">
        <v>80.153064862</v>
      </c>
      <c r="Z278" s="1">
        <v>9.1</v>
      </c>
      <c r="AA278" s="1">
        <v>4.5101211316</v>
      </c>
      <c r="AB278" s="1">
        <v>48342.0</v>
      </c>
      <c r="AC278" s="1">
        <v>60.953058321</v>
      </c>
      <c r="AD278" s="1">
        <v>68.827678871</v>
      </c>
      <c r="AE278" s="1">
        <v>9.9495313627</v>
      </c>
      <c r="AF278" s="1">
        <v>0.6421890269</v>
      </c>
      <c r="AG278" s="1">
        <v>1.1587323747</v>
      </c>
      <c r="AH278" s="1">
        <v>0.656149658</v>
      </c>
      <c r="AI278" s="1">
        <v>0.2094094653</v>
      </c>
      <c r="AJ278" s="1">
        <v>18.986458188</v>
      </c>
      <c r="AK278" s="1">
        <v>77.872399832</v>
      </c>
      <c r="AL278" s="1">
        <v>3.919403809</v>
      </c>
      <c r="AM278" s="1">
        <v>49.993019684</v>
      </c>
      <c r="AN278" s="1">
        <v>48.69407497</v>
      </c>
      <c r="AO278" s="1">
        <v>24327.0</v>
      </c>
      <c r="AP278" s="1">
        <v>14.2</v>
      </c>
      <c r="AQ278" s="1">
        <v>5.0</v>
      </c>
      <c r="AR278" s="1">
        <v>16.5</v>
      </c>
      <c r="AS278" s="1">
        <v>17.2</v>
      </c>
      <c r="AT278" s="1">
        <v>21.9</v>
      </c>
      <c r="AU278" s="1">
        <v>16.5</v>
      </c>
      <c r="AV278" s="1">
        <v>24.4</v>
      </c>
      <c r="AW278" s="1">
        <v>4.8</v>
      </c>
      <c r="AX278" s="1">
        <v>0.5371</v>
      </c>
      <c r="AY278" s="1">
        <v>13.2</v>
      </c>
      <c r="AZ278" s="1">
        <v>10.0</v>
      </c>
      <c r="BA278" s="1">
        <v>13.1</v>
      </c>
      <c r="BB278" s="1">
        <v>2.95</v>
      </c>
      <c r="BC278" s="1" t="s">
        <v>534</v>
      </c>
      <c r="BD278" s="1">
        <v>10.5</v>
      </c>
      <c r="BE278" s="1">
        <v>37.6</v>
      </c>
      <c r="BF278" s="1">
        <v>33.2</v>
      </c>
      <c r="BG278" s="1">
        <v>18.7</v>
      </c>
      <c r="BH278" s="1" t="s">
        <v>596</v>
      </c>
    </row>
    <row r="279">
      <c r="A279" s="2">
        <v>8065.0</v>
      </c>
      <c r="B279" s="2" t="str">
        <f>IFERROR(__xludf.DUMMYFUNCTION("TO_TEXT(A279)"),"08065")</f>
        <v>08065</v>
      </c>
      <c r="C279" s="1">
        <v>7401.0</v>
      </c>
      <c r="D279" s="1">
        <v>376.918900610944</v>
      </c>
      <c r="E279" s="1" t="s">
        <v>450</v>
      </c>
      <c r="F279" s="1" t="s">
        <v>597</v>
      </c>
      <c r="G279" s="1">
        <v>19.6355236842827</v>
      </c>
      <c r="H279" s="1">
        <v>16.46451412</v>
      </c>
      <c r="I279" s="1">
        <v>3.7774330344</v>
      </c>
      <c r="J279" s="1">
        <v>11.826086957</v>
      </c>
      <c r="K279" s="1">
        <v>14.969632987</v>
      </c>
      <c r="L279" s="1">
        <v>24.8</v>
      </c>
      <c r="M279" s="1">
        <v>8.3</v>
      </c>
      <c r="N279" s="1">
        <v>18.1</v>
      </c>
      <c r="O279" s="1">
        <v>86.744186047</v>
      </c>
      <c r="P279" s="1">
        <v>11.744966443</v>
      </c>
      <c r="Q279" s="1">
        <v>77.14065</v>
      </c>
      <c r="R279" s="1">
        <v>55.357142857</v>
      </c>
      <c r="S279" s="1">
        <v>18.5</v>
      </c>
      <c r="T279" s="1">
        <v>1228.0</v>
      </c>
      <c r="U279" s="1">
        <v>32.410423453</v>
      </c>
      <c r="V279" s="1">
        <v>201.54517971</v>
      </c>
      <c r="W279" s="1">
        <v>12.9807692309999</v>
      </c>
      <c r="X279" s="1">
        <v>9.6742986134</v>
      </c>
      <c r="Y279" s="1">
        <v>85.1827841539999</v>
      </c>
      <c r="Z279" s="1">
        <v>7.4</v>
      </c>
      <c r="AA279" s="1">
        <v>7.88414442929999</v>
      </c>
      <c r="AB279" s="1">
        <v>51802.0</v>
      </c>
      <c r="AC279" s="1">
        <v>58.45410628</v>
      </c>
      <c r="AD279" s="1">
        <v>62.183119594</v>
      </c>
      <c r="AE279" s="1">
        <v>12.260896833</v>
      </c>
      <c r="AF279" s="1">
        <v>0.7285276074</v>
      </c>
      <c r="AG279" s="1">
        <v>2.6840490798</v>
      </c>
      <c r="AH279" s="1">
        <v>0.677402863</v>
      </c>
      <c r="AI279" s="1">
        <v>0.0511247444</v>
      </c>
      <c r="AJ279" s="1">
        <v>35.851226994</v>
      </c>
      <c r="AK279" s="1">
        <v>60.403885481</v>
      </c>
      <c r="AL279" s="1">
        <v>4.1316623055</v>
      </c>
      <c r="AM279" s="1">
        <v>46.229550102</v>
      </c>
      <c r="AN279" s="1">
        <v>31.067031464</v>
      </c>
      <c r="AO279" s="1">
        <v>26693.0</v>
      </c>
      <c r="AP279" s="1">
        <v>11.5</v>
      </c>
      <c r="AQ279" s="1">
        <v>6.0</v>
      </c>
      <c r="AR279" s="1">
        <v>7.2</v>
      </c>
      <c r="AS279" s="1">
        <v>11.5</v>
      </c>
      <c r="AT279" s="1">
        <v>19.8</v>
      </c>
      <c r="AU279" s="1">
        <v>9.8</v>
      </c>
      <c r="AV279" s="1">
        <v>37.2</v>
      </c>
      <c r="AW279" s="1">
        <v>4.3</v>
      </c>
      <c r="AX279" s="1">
        <v>0.313</v>
      </c>
      <c r="AY279" s="1">
        <v>11.4</v>
      </c>
      <c r="AZ279" s="1">
        <v>11.6</v>
      </c>
      <c r="BA279" s="1">
        <v>13.0</v>
      </c>
      <c r="BB279" s="1">
        <v>3.94</v>
      </c>
      <c r="BC279" s="1" t="s">
        <v>534</v>
      </c>
      <c r="BD279" s="1">
        <v>16.3</v>
      </c>
      <c r="BE279" s="1">
        <v>25.8</v>
      </c>
      <c r="BF279" s="1">
        <v>25.6</v>
      </c>
      <c r="BG279" s="1">
        <v>32.3</v>
      </c>
      <c r="BH279" s="1" t="s">
        <v>597</v>
      </c>
    </row>
    <row r="280">
      <c r="A280" s="2">
        <v>8067.0</v>
      </c>
      <c r="B280" s="2" t="str">
        <f>IFERROR(__xludf.DUMMYFUNCTION("TO_TEXT(A280)"),"08067")</f>
        <v>08067</v>
      </c>
      <c r="C280" s="1">
        <v>53994.0</v>
      </c>
      <c r="D280" s="1">
        <v>1689.78094703862</v>
      </c>
      <c r="E280" s="1" t="s">
        <v>598</v>
      </c>
      <c r="F280" s="1" t="s">
        <v>599</v>
      </c>
      <c r="G280" s="1">
        <v>31.9532541153488</v>
      </c>
      <c r="H280" s="1">
        <v>12.422990795</v>
      </c>
      <c r="I280" s="1">
        <v>3.6833394744</v>
      </c>
      <c r="J280" s="1">
        <v>7.51429349309999</v>
      </c>
      <c r="K280" s="1">
        <v>14.778477805</v>
      </c>
      <c r="L280" s="1">
        <v>18.4</v>
      </c>
      <c r="M280" s="1">
        <v>8.4</v>
      </c>
      <c r="N280" s="1">
        <v>13.6</v>
      </c>
      <c r="O280" s="1">
        <v>75.423695796</v>
      </c>
      <c r="P280" s="1">
        <v>11.5545700909999</v>
      </c>
      <c r="Q280" s="1">
        <v>113.33177</v>
      </c>
      <c r="R280" s="1">
        <v>80.182232346</v>
      </c>
      <c r="S280" s="1">
        <v>10.8</v>
      </c>
      <c r="T280" s="1">
        <v>10507.0</v>
      </c>
      <c r="U280" s="1">
        <v>20.557723422</v>
      </c>
      <c r="V280" s="1">
        <v>174.58228218</v>
      </c>
      <c r="W280" s="1">
        <v>14.672529507</v>
      </c>
      <c r="X280" s="1">
        <v>12.460093897</v>
      </c>
      <c r="Y280" s="1">
        <v>82.154493758</v>
      </c>
      <c r="Z280" s="1">
        <v>5.1</v>
      </c>
      <c r="AA280" s="1">
        <v>4.3927139194</v>
      </c>
      <c r="AB280" s="1">
        <v>66219.0</v>
      </c>
      <c r="AC280" s="1">
        <v>33.362653933</v>
      </c>
      <c r="AD280" s="1">
        <v>70.559353921</v>
      </c>
      <c r="AE280" s="1">
        <v>11.818570005</v>
      </c>
      <c r="AF280" s="1">
        <v>0.477712662</v>
      </c>
      <c r="AG280" s="1">
        <v>7.4924524951</v>
      </c>
      <c r="AH280" s="1">
        <v>0.7600781389</v>
      </c>
      <c r="AI280" s="1">
        <v>0.0816906411</v>
      </c>
      <c r="AJ280" s="1">
        <v>12.9657254479999</v>
      </c>
      <c r="AK280" s="1">
        <v>78.366187178</v>
      </c>
      <c r="AL280" s="1">
        <v>0.5262553582</v>
      </c>
      <c r="AM280" s="1">
        <v>49.545373823</v>
      </c>
      <c r="AN280" s="1">
        <v>59.948572096</v>
      </c>
      <c r="AO280" s="1">
        <v>32953.0</v>
      </c>
      <c r="AP280" s="1">
        <v>10.7</v>
      </c>
      <c r="AQ280" s="1">
        <v>5.1</v>
      </c>
      <c r="AR280" s="1">
        <v>5.2</v>
      </c>
      <c r="AS280" s="1">
        <v>14.1</v>
      </c>
      <c r="AT280" s="1">
        <v>19.5</v>
      </c>
      <c r="AU280" s="1">
        <v>8.7</v>
      </c>
      <c r="AV280" s="1">
        <v>20.6</v>
      </c>
      <c r="AW280" s="1">
        <v>0.7</v>
      </c>
      <c r="AX280" s="1">
        <v>0.1207</v>
      </c>
      <c r="AY280" s="1">
        <v>11.3</v>
      </c>
      <c r="AZ280" s="1">
        <v>8.7</v>
      </c>
      <c r="BA280" s="1">
        <v>10.7</v>
      </c>
      <c r="BB280" s="1">
        <v>3.91</v>
      </c>
      <c r="BC280" s="1" t="s">
        <v>534</v>
      </c>
      <c r="BD280" s="1">
        <v>4.5</v>
      </c>
      <c r="BE280" s="1">
        <v>20.0</v>
      </c>
      <c r="BF280" s="1">
        <v>31.3</v>
      </c>
      <c r="BG280" s="1">
        <v>44.2</v>
      </c>
      <c r="BH280" s="1" t="s">
        <v>599</v>
      </c>
    </row>
    <row r="281">
      <c r="A281" s="2">
        <v>8069.0</v>
      </c>
      <c r="B281" s="2" t="str">
        <f>IFERROR(__xludf.DUMMYFUNCTION("TO_TEXT(A281)"),"08069")</f>
        <v>08069</v>
      </c>
      <c r="C281" s="1">
        <v>325228.0</v>
      </c>
      <c r="D281" s="1">
        <v>2596.18089484791</v>
      </c>
      <c r="E281" s="1" t="s">
        <v>600</v>
      </c>
      <c r="F281" s="1" t="s">
        <v>601</v>
      </c>
      <c r="G281" s="1">
        <v>125.271702232079</v>
      </c>
      <c r="H281" s="1">
        <v>11.680454125</v>
      </c>
      <c r="I281" s="1">
        <v>3.5838697568</v>
      </c>
      <c r="J281" s="1">
        <v>8.4992797221</v>
      </c>
      <c r="K281" s="1">
        <v>12.667672587</v>
      </c>
      <c r="L281" s="1">
        <v>20.2</v>
      </c>
      <c r="M281" s="1">
        <v>8.1</v>
      </c>
      <c r="N281" s="1">
        <v>13.1</v>
      </c>
      <c r="O281" s="1">
        <v>92.832827153</v>
      </c>
      <c r="P281" s="1">
        <v>7.42093310159999</v>
      </c>
      <c r="Q281" s="1">
        <v>88.08754</v>
      </c>
      <c r="R281" s="1">
        <v>82.692863334</v>
      </c>
      <c r="S281" s="1">
        <v>8.5</v>
      </c>
      <c r="T281" s="1">
        <v>66881.0</v>
      </c>
      <c r="U281" s="1">
        <v>24.084568114</v>
      </c>
      <c r="V281" s="1">
        <v>201.12825097</v>
      </c>
      <c r="W281" s="1">
        <v>17.085743517</v>
      </c>
      <c r="X281" s="1">
        <v>15.294257709</v>
      </c>
      <c r="Y281" s="1">
        <v>81.5630080419999</v>
      </c>
      <c r="Z281" s="1">
        <v>5.0</v>
      </c>
      <c r="AA281" s="1">
        <v>4.651516851</v>
      </c>
      <c r="AB281" s="1">
        <v>71306.0</v>
      </c>
      <c r="AC281" s="1">
        <v>33.774631798</v>
      </c>
      <c r="AD281" s="1">
        <v>64.5914309469999</v>
      </c>
      <c r="AE281" s="1">
        <v>15.705329634</v>
      </c>
      <c r="AF281" s="1">
        <v>0.9751282388</v>
      </c>
      <c r="AG281" s="1">
        <v>1.0284778528</v>
      </c>
      <c r="AH281" s="1">
        <v>2.3858974432</v>
      </c>
      <c r="AI281" s="1">
        <v>0.0989963426</v>
      </c>
      <c r="AJ281" s="1">
        <v>11.655606845</v>
      </c>
      <c r="AK281" s="1">
        <v>82.490770802</v>
      </c>
      <c r="AL281" s="1">
        <v>1.1762502926</v>
      </c>
      <c r="AM281" s="1">
        <v>50.07645827</v>
      </c>
      <c r="AN281" s="1">
        <v>11.660381137</v>
      </c>
      <c r="AO281" s="1">
        <v>32433.0</v>
      </c>
      <c r="AP281" s="1">
        <v>13.2</v>
      </c>
      <c r="AQ281" s="1">
        <v>6.0</v>
      </c>
      <c r="AR281" s="1">
        <v>4.3</v>
      </c>
      <c r="AS281" s="1">
        <v>13.8</v>
      </c>
      <c r="AT281" s="1">
        <v>20.4</v>
      </c>
      <c r="AU281" s="1">
        <v>9.7</v>
      </c>
      <c r="AV281" s="1">
        <v>16.6</v>
      </c>
      <c r="AW281" s="1">
        <v>0.9</v>
      </c>
      <c r="AX281" s="1">
        <v>0.1229</v>
      </c>
      <c r="AY281" s="1">
        <v>10.3</v>
      </c>
      <c r="AZ281" s="1">
        <v>9.5</v>
      </c>
      <c r="BA281" s="1">
        <v>11.1</v>
      </c>
      <c r="BB281" s="1">
        <v>3.49</v>
      </c>
      <c r="BC281" s="1" t="s">
        <v>534</v>
      </c>
      <c r="BD281" s="1">
        <v>4.1</v>
      </c>
      <c r="BE281" s="1">
        <v>19.0</v>
      </c>
      <c r="BF281" s="1">
        <v>29.6</v>
      </c>
      <c r="BG281" s="1">
        <v>47.3</v>
      </c>
      <c r="BH281" s="1" t="s">
        <v>601</v>
      </c>
    </row>
    <row r="282">
      <c r="A282" s="2">
        <v>8071.0</v>
      </c>
      <c r="B282" s="2" t="str">
        <f>IFERROR(__xludf.DUMMYFUNCTION("TO_TEXT(A282)"),"08071")</f>
        <v>08071</v>
      </c>
      <c r="C282" s="1">
        <v>14322.0</v>
      </c>
      <c r="D282" s="1">
        <v>4772.9359932601</v>
      </c>
      <c r="E282" s="1" t="s">
        <v>602</v>
      </c>
      <c r="F282" s="1" t="s">
        <v>603</v>
      </c>
      <c r="G282" s="1">
        <v>3.00066877498969</v>
      </c>
      <c r="H282" s="1">
        <v>19.7483916029999</v>
      </c>
      <c r="I282" s="1">
        <v>3.90992639</v>
      </c>
      <c r="J282" s="1">
        <v>10.054644809</v>
      </c>
      <c r="K282" s="1">
        <v>15.0361401209999</v>
      </c>
      <c r="L282" s="1">
        <v>28.9</v>
      </c>
      <c r="M282" s="1">
        <v>7.6</v>
      </c>
      <c r="N282" s="1">
        <v>30.1</v>
      </c>
      <c r="O282" s="1">
        <v>80.389501515</v>
      </c>
      <c r="P282" s="1">
        <v>12.198780122</v>
      </c>
      <c r="Q282" s="1">
        <v>70.23458</v>
      </c>
      <c r="R282" s="1">
        <v>82.75862069</v>
      </c>
      <c r="S282" s="1">
        <v>26.6</v>
      </c>
      <c r="T282" s="1">
        <v>2473.0</v>
      </c>
      <c r="U282" s="1">
        <v>30.084917105</v>
      </c>
      <c r="V282" s="1">
        <v>146.89423615</v>
      </c>
      <c r="W282" s="1">
        <v>15.845648604</v>
      </c>
      <c r="X282" s="1">
        <v>14.06120761</v>
      </c>
      <c r="Y282" s="1">
        <v>74.712104472</v>
      </c>
      <c r="Z282" s="1">
        <v>10.2</v>
      </c>
      <c r="AA282" s="1">
        <v>15.41721668</v>
      </c>
      <c r="AB282" s="1">
        <v>41485.0</v>
      </c>
      <c r="AC282" s="1">
        <v>55.540229885</v>
      </c>
      <c r="AD282" s="1">
        <v>68.951675158</v>
      </c>
      <c r="AE282" s="1">
        <v>14.904396143</v>
      </c>
      <c r="AF282" s="1">
        <v>1.7306764118</v>
      </c>
      <c r="AG282" s="1">
        <v>3.6751017031</v>
      </c>
      <c r="AH282" s="1">
        <v>1.2066469006</v>
      </c>
      <c r="AI282" s="1">
        <v>0.1310073778</v>
      </c>
      <c r="AJ282" s="1">
        <v>41.205267876</v>
      </c>
      <c r="AK282" s="1">
        <v>53.5199613869999</v>
      </c>
      <c r="AL282" s="1">
        <v>1.6522829535</v>
      </c>
      <c r="AM282" s="1">
        <v>47.790112391</v>
      </c>
      <c r="AN282" s="1">
        <v>40.794479912</v>
      </c>
      <c r="AO282" s="1">
        <v>23857.0</v>
      </c>
      <c r="AP282" s="1">
        <v>14.3</v>
      </c>
      <c r="AQ282" s="1">
        <v>7.8</v>
      </c>
      <c r="AR282" s="1">
        <v>14.2</v>
      </c>
      <c r="AS282" s="1">
        <v>21.7</v>
      </c>
      <c r="AT282" s="1">
        <v>18.3</v>
      </c>
      <c r="AU282" s="1">
        <v>19.3</v>
      </c>
      <c r="AV282" s="1">
        <v>47.1</v>
      </c>
      <c r="AW282" s="1">
        <v>1.3</v>
      </c>
      <c r="AX282" s="1">
        <v>0.6444</v>
      </c>
      <c r="AY282" s="1">
        <v>17.6</v>
      </c>
      <c r="AZ282" s="1">
        <v>13.8</v>
      </c>
      <c r="BA282" s="1">
        <v>18.3</v>
      </c>
      <c r="BB282" s="1">
        <v>3.16</v>
      </c>
      <c r="BC282" s="1" t="s">
        <v>534</v>
      </c>
      <c r="BD282" s="1">
        <v>12.1</v>
      </c>
      <c r="BE282" s="1">
        <v>29.5</v>
      </c>
      <c r="BF282" s="1">
        <v>38.8</v>
      </c>
      <c r="BG282" s="1">
        <v>19.5</v>
      </c>
      <c r="BH282" s="1" t="s">
        <v>603</v>
      </c>
    </row>
    <row r="283">
      <c r="A283" s="2">
        <v>8073.0</v>
      </c>
      <c r="B283" s="2" t="str">
        <f>IFERROR(__xludf.DUMMYFUNCTION("TO_TEXT(A283)"),"08073")</f>
        <v>08073</v>
      </c>
      <c r="C283" s="1">
        <v>5515.0</v>
      </c>
      <c r="D283" s="1">
        <v>2577.67822252638</v>
      </c>
      <c r="E283" s="1" t="s">
        <v>353</v>
      </c>
      <c r="F283" s="1" t="s">
        <v>604</v>
      </c>
      <c r="G283" s="1">
        <v>2.13952228474614</v>
      </c>
      <c r="H283" s="1">
        <v>13.845761292</v>
      </c>
      <c r="I283" s="1">
        <v>3.6997223591</v>
      </c>
      <c r="J283" s="1">
        <v>8.0200501253</v>
      </c>
      <c r="K283" s="1">
        <v>14.7831705859999</v>
      </c>
      <c r="L283" s="1">
        <v>30.3</v>
      </c>
      <c r="M283" s="1">
        <v>7.8</v>
      </c>
      <c r="N283" s="1">
        <v>21.8</v>
      </c>
      <c r="O283" s="1">
        <v>59.831717578</v>
      </c>
      <c r="P283" s="1">
        <v>9.5330201713</v>
      </c>
      <c r="Q283" s="1">
        <v>36.06203</v>
      </c>
      <c r="R283" s="1">
        <v>80.555555556</v>
      </c>
      <c r="S283" s="1">
        <v>21.0</v>
      </c>
      <c r="T283" s="1">
        <v>1108.0</v>
      </c>
      <c r="U283" s="1">
        <v>25.0</v>
      </c>
      <c r="V283" s="1">
        <v>99.791345369</v>
      </c>
      <c r="W283" s="1">
        <v>12.666666667</v>
      </c>
      <c r="X283" s="1">
        <v>11.3270777479999</v>
      </c>
      <c r="Y283" s="1">
        <v>80.091985413</v>
      </c>
      <c r="Z283" s="1">
        <v>9.0</v>
      </c>
      <c r="AA283" s="1">
        <v>9.5222526074</v>
      </c>
      <c r="AB283" s="1">
        <v>46690.0</v>
      </c>
      <c r="AC283" s="1">
        <v>46.8926553669999</v>
      </c>
      <c r="AD283" s="1">
        <v>68.421052632</v>
      </c>
      <c r="AE283" s="1">
        <v>10.041841004</v>
      </c>
      <c r="AF283" s="1">
        <v>5.2762923351</v>
      </c>
      <c r="AG283" s="1">
        <v>1.4973262032</v>
      </c>
      <c r="AH283" s="1">
        <v>0.9803921569</v>
      </c>
      <c r="AI283" s="1">
        <v>0.0891265597</v>
      </c>
      <c r="AJ283" s="1">
        <v>14.1354723709999</v>
      </c>
      <c r="AK283" s="1">
        <v>77.219251337</v>
      </c>
      <c r="AL283" s="1">
        <v>3.4522220103</v>
      </c>
      <c r="AM283" s="1">
        <v>41.586452763</v>
      </c>
      <c r="AN283" s="1">
        <v>100.0</v>
      </c>
      <c r="AO283" s="1">
        <v>14210.0</v>
      </c>
      <c r="AP283" s="1">
        <v>17.0</v>
      </c>
      <c r="AQ283" s="1">
        <v>4.2</v>
      </c>
      <c r="AR283" s="1">
        <v>14.8</v>
      </c>
      <c r="AS283" s="1">
        <v>17.3</v>
      </c>
      <c r="AT283" s="1">
        <v>19.8</v>
      </c>
      <c r="AU283" s="1">
        <v>19.0</v>
      </c>
      <c r="AV283" s="1">
        <v>33.0</v>
      </c>
      <c r="AW283" s="1">
        <v>3.5</v>
      </c>
      <c r="AX283" s="1">
        <v>0.6842</v>
      </c>
      <c r="AY283" s="1">
        <v>17.0</v>
      </c>
      <c r="AZ283" s="1">
        <v>11.6</v>
      </c>
      <c r="BA283" s="1">
        <v>14.6</v>
      </c>
      <c r="BB283" s="1">
        <v>3.48</v>
      </c>
      <c r="BC283" s="1" t="s">
        <v>534</v>
      </c>
      <c r="BD283" s="1">
        <v>9.1</v>
      </c>
      <c r="BE283" s="1">
        <v>54.5</v>
      </c>
      <c r="BF283" s="1">
        <v>23.9</v>
      </c>
      <c r="BG283" s="1">
        <v>12.6</v>
      </c>
      <c r="BH283" s="1" t="s">
        <v>604</v>
      </c>
    </row>
    <row r="284">
      <c r="A284" s="2">
        <v>8075.0</v>
      </c>
      <c r="B284" s="2" t="str">
        <f>IFERROR(__xludf.DUMMYFUNCTION("TO_TEXT(A284)"),"08075")</f>
        <v>08075</v>
      </c>
      <c r="C284" s="1">
        <v>21862.0</v>
      </c>
      <c r="D284" s="1">
        <v>1838.59764785431</v>
      </c>
      <c r="E284" s="1" t="s">
        <v>357</v>
      </c>
      <c r="F284" s="1" t="s">
        <v>605</v>
      </c>
      <c r="G284" s="1">
        <v>11.890584122912</v>
      </c>
      <c r="H284" s="1">
        <v>14.565603901</v>
      </c>
      <c r="I284" s="1">
        <v>3.7500777341</v>
      </c>
      <c r="J284" s="1">
        <v>7.9826732673</v>
      </c>
      <c r="K284" s="1">
        <v>15.533597307</v>
      </c>
      <c r="L284" s="1">
        <v>38.0</v>
      </c>
      <c r="M284" s="1">
        <v>7.7</v>
      </c>
      <c r="N284" s="1">
        <v>23.4</v>
      </c>
      <c r="O284" s="1">
        <v>83.9975340169999</v>
      </c>
      <c r="P284" s="1">
        <v>10.528086108</v>
      </c>
      <c r="Q284" s="1">
        <v>73.07271</v>
      </c>
      <c r="R284" s="1">
        <v>86.842105263</v>
      </c>
      <c r="S284" s="1">
        <v>16.9</v>
      </c>
      <c r="T284" s="1">
        <v>4542.0</v>
      </c>
      <c r="U284" s="1">
        <v>26.442095993</v>
      </c>
      <c r="V284" s="1">
        <v>301.13036248</v>
      </c>
      <c r="W284" s="1">
        <v>13.947696139</v>
      </c>
      <c r="X284" s="1">
        <v>12.5826972009999</v>
      </c>
      <c r="Y284" s="1">
        <v>78.567136636</v>
      </c>
      <c r="Z284" s="1">
        <v>11.1</v>
      </c>
      <c r="AA284" s="1">
        <v>6.6747155437</v>
      </c>
      <c r="AB284" s="1">
        <v>53168.0</v>
      </c>
      <c r="AC284" s="1">
        <v>46.138211382</v>
      </c>
      <c r="AD284" s="1">
        <v>61.762189906</v>
      </c>
      <c r="AE284" s="1">
        <v>12.076137653</v>
      </c>
      <c r="AF284" s="1">
        <v>3.4931252323</v>
      </c>
      <c r="AG284" s="1">
        <v>1.7186919361</v>
      </c>
      <c r="AH284" s="1">
        <v>0.9894091416</v>
      </c>
      <c r="AI284" s="1">
        <v>0.1161278335</v>
      </c>
      <c r="AJ284" s="1">
        <v>16.341508733</v>
      </c>
      <c r="AK284" s="1">
        <v>77.14139725</v>
      </c>
      <c r="AL284" s="1">
        <v>3.1487785342</v>
      </c>
      <c r="AM284" s="1">
        <v>44.119286511</v>
      </c>
      <c r="AN284" s="1">
        <v>29.155841296</v>
      </c>
      <c r="AO284" s="1">
        <v>23692.0</v>
      </c>
      <c r="AP284" s="1">
        <v>16.3</v>
      </c>
      <c r="AQ284" s="1">
        <v>6.9</v>
      </c>
      <c r="AR284" s="1">
        <v>10.7</v>
      </c>
      <c r="AS284" s="1">
        <v>16.3</v>
      </c>
      <c r="AT284" s="1">
        <v>19.7</v>
      </c>
      <c r="AU284" s="1">
        <v>14.7</v>
      </c>
      <c r="AV284" s="1">
        <v>21.5</v>
      </c>
      <c r="AW284" s="1">
        <v>2.5</v>
      </c>
      <c r="AX284" s="1">
        <v>0.5963</v>
      </c>
      <c r="AY284" s="1">
        <v>12.9</v>
      </c>
      <c r="AZ284" s="1">
        <v>11.8</v>
      </c>
      <c r="BA284" s="1">
        <v>16.1</v>
      </c>
      <c r="BB284" s="1">
        <v>3.07</v>
      </c>
      <c r="BC284" s="1" t="s">
        <v>534</v>
      </c>
      <c r="BD284" s="1">
        <v>10.4</v>
      </c>
      <c r="BE284" s="1">
        <v>33.7</v>
      </c>
      <c r="BF284" s="1">
        <v>35.6</v>
      </c>
      <c r="BG284" s="1">
        <v>20.2</v>
      </c>
      <c r="BH284" s="1" t="s">
        <v>605</v>
      </c>
    </row>
    <row r="285">
      <c r="A285" s="2">
        <v>8077.0</v>
      </c>
      <c r="B285" s="2" t="str">
        <f>IFERROR(__xludf.DUMMYFUNCTION("TO_TEXT(A285)"),"08077")</f>
        <v>08077</v>
      </c>
      <c r="C285" s="1">
        <v>148166.0</v>
      </c>
      <c r="D285" s="1">
        <v>3328.93724076823</v>
      </c>
      <c r="E285" s="1" t="s">
        <v>606</v>
      </c>
      <c r="F285" s="1" t="s">
        <v>607</v>
      </c>
      <c r="G285" s="1">
        <v>44.5084990445201</v>
      </c>
      <c r="H285" s="1">
        <v>14.089154482</v>
      </c>
      <c r="I285" s="1">
        <v>3.7450573425</v>
      </c>
      <c r="J285" s="1">
        <v>8.0649127121</v>
      </c>
      <c r="K285" s="1">
        <v>15.635450965</v>
      </c>
      <c r="L285" s="1">
        <v>23.5</v>
      </c>
      <c r="M285" s="1">
        <v>7.4</v>
      </c>
      <c r="N285" s="1">
        <v>15.6</v>
      </c>
      <c r="O285" s="1">
        <v>77.439801531</v>
      </c>
      <c r="P285" s="1">
        <v>9.5414318846</v>
      </c>
      <c r="Q285" s="1">
        <v>110.80625</v>
      </c>
      <c r="R285" s="1">
        <v>77.603583427</v>
      </c>
      <c r="S285" s="1">
        <v>19.7</v>
      </c>
      <c r="T285" s="1">
        <v>32692.0</v>
      </c>
      <c r="U285" s="1">
        <v>33.066193564</v>
      </c>
      <c r="V285" s="1">
        <v>347.93466523</v>
      </c>
      <c r="W285" s="1">
        <v>16.932773109</v>
      </c>
      <c r="X285" s="1">
        <v>15.010624734</v>
      </c>
      <c r="Y285" s="1">
        <v>78.833064131</v>
      </c>
      <c r="Z285" s="1">
        <v>8.2</v>
      </c>
      <c r="AA285" s="1">
        <v>9.5351035998</v>
      </c>
      <c r="AB285" s="1">
        <v>51132.0</v>
      </c>
      <c r="AC285" s="1">
        <v>43.2582601689999</v>
      </c>
      <c r="AD285" s="1">
        <v>67.225926958</v>
      </c>
      <c r="AE285" s="1">
        <v>14.963216195</v>
      </c>
      <c r="AF285" s="1">
        <v>0.6984015091</v>
      </c>
      <c r="AG285" s="1">
        <v>1.5332197615</v>
      </c>
      <c r="AH285" s="1">
        <v>1.0032178686</v>
      </c>
      <c r="AI285" s="1">
        <v>0.1344586083</v>
      </c>
      <c r="AJ285" s="1">
        <v>14.788488777</v>
      </c>
      <c r="AK285" s="1">
        <v>81.1464228139999</v>
      </c>
      <c r="AL285" s="1">
        <v>1.0511413909</v>
      </c>
      <c r="AM285" s="1">
        <v>50.576670779</v>
      </c>
      <c r="AN285" s="1">
        <v>12.676267525</v>
      </c>
      <c r="AO285" s="1">
        <v>26731.0</v>
      </c>
      <c r="AP285" s="1">
        <v>16.3</v>
      </c>
      <c r="AQ285" s="1">
        <v>8.7</v>
      </c>
      <c r="AR285" s="1">
        <v>10.2</v>
      </c>
      <c r="AS285" s="1">
        <v>16.8</v>
      </c>
      <c r="AT285" s="1">
        <v>22.4</v>
      </c>
      <c r="AU285" s="1">
        <v>14.3</v>
      </c>
      <c r="AV285" s="1">
        <v>18.0</v>
      </c>
      <c r="AW285" s="1">
        <v>1.0</v>
      </c>
      <c r="AX285" s="1">
        <v>0.5514</v>
      </c>
      <c r="AY285" s="1">
        <v>11.2</v>
      </c>
      <c r="AZ285" s="1">
        <v>12.6</v>
      </c>
      <c r="BA285" s="1">
        <v>17.9</v>
      </c>
      <c r="BB285" s="1">
        <v>3.19</v>
      </c>
      <c r="BC285" s="1" t="s">
        <v>534</v>
      </c>
      <c r="BD285" s="1">
        <v>9.5</v>
      </c>
      <c r="BE285" s="1">
        <v>27.6</v>
      </c>
      <c r="BF285" s="1">
        <v>34.7</v>
      </c>
      <c r="BG285" s="1">
        <v>28.2</v>
      </c>
      <c r="BH285" s="1" t="s">
        <v>607</v>
      </c>
    </row>
    <row r="286">
      <c r="A286" s="2">
        <v>8079.0</v>
      </c>
      <c r="B286" s="2" t="str">
        <f>IFERROR(__xludf.DUMMYFUNCTION("TO_TEXT(A286)"),"08079")</f>
        <v>08079</v>
      </c>
      <c r="C286" s="1">
        <v>793.0</v>
      </c>
      <c r="D286" s="1">
        <v>875.760062978364</v>
      </c>
      <c r="E286" s="1" t="s">
        <v>608</v>
      </c>
      <c r="F286" s="1" t="s">
        <v>609</v>
      </c>
      <c r="G286" s="1">
        <v>0.905499158414571</v>
      </c>
      <c r="H286" s="1">
        <v>11.9497374909999</v>
      </c>
      <c r="I286" s="1">
        <v>3.6330736938</v>
      </c>
      <c r="J286" s="1">
        <v>7.80443539465</v>
      </c>
      <c r="K286" s="1">
        <v>12.747824237</v>
      </c>
      <c r="L286" s="1">
        <v>21.1</v>
      </c>
      <c r="M286" s="1">
        <v>8.5</v>
      </c>
      <c r="N286" s="1">
        <v>17.6</v>
      </c>
      <c r="O286" s="1">
        <v>100.0</v>
      </c>
      <c r="P286" s="1">
        <v>9.925093633</v>
      </c>
      <c r="Q286" s="1">
        <v>130.5483</v>
      </c>
      <c r="R286" s="1">
        <v>89.912280702</v>
      </c>
      <c r="S286" s="1">
        <v>15.9</v>
      </c>
      <c r="T286" s="1">
        <v>78.0</v>
      </c>
      <c r="U286" s="1">
        <v>37.179487179</v>
      </c>
      <c r="V286" s="1">
        <v>137.17421125</v>
      </c>
      <c r="W286" s="1">
        <v>10.731707317</v>
      </c>
      <c r="X286" s="1">
        <v>10.098522167</v>
      </c>
      <c r="Y286" s="1">
        <v>77.482572377</v>
      </c>
      <c r="Z286" s="1">
        <v>6.0</v>
      </c>
      <c r="AA286" s="1">
        <v>3.9626015963</v>
      </c>
      <c r="AB286" s="1">
        <v>60210.0</v>
      </c>
      <c r="AC286" s="1">
        <v>47.5</v>
      </c>
      <c r="AD286" s="1">
        <v>88.8</v>
      </c>
      <c r="AE286" s="1">
        <v>9.014084507</v>
      </c>
      <c r="AF286" s="1">
        <v>0.2577319588</v>
      </c>
      <c r="AG286" s="1">
        <v>1.1597938144</v>
      </c>
      <c r="AH286" s="1">
        <v>0.5154639175</v>
      </c>
      <c r="AI286" s="1">
        <v>0.0</v>
      </c>
      <c r="AJ286" s="1">
        <v>6.4432989691</v>
      </c>
      <c r="AK286" s="1">
        <v>90.206185567</v>
      </c>
      <c r="AL286" s="1">
        <v>0.2466091245</v>
      </c>
      <c r="AM286" s="1">
        <v>50.386597938</v>
      </c>
      <c r="AN286" s="1">
        <v>100.0</v>
      </c>
      <c r="AO286" s="1">
        <v>35041.0</v>
      </c>
      <c r="AP286" s="1">
        <v>8.2</v>
      </c>
      <c r="AQ286" s="1">
        <v>2.1</v>
      </c>
      <c r="AR286" s="1">
        <v>3.4</v>
      </c>
      <c r="AS286" s="1">
        <v>37.6</v>
      </c>
      <c r="AT286" s="1">
        <v>7.9</v>
      </c>
      <c r="AU286" s="1">
        <v>20.8</v>
      </c>
      <c r="AV286" s="1">
        <v>15.5</v>
      </c>
      <c r="AW286" s="1">
        <v>0.3</v>
      </c>
      <c r="AX286" s="1">
        <v>0.0382</v>
      </c>
      <c r="AY286" s="1">
        <v>9.4</v>
      </c>
      <c r="AZ286" s="1">
        <v>10.4</v>
      </c>
      <c r="BA286" s="1">
        <v>14.4</v>
      </c>
      <c r="BB286" s="1">
        <v>3.69</v>
      </c>
      <c r="BC286" s="1" t="s">
        <v>534</v>
      </c>
      <c r="BD286" s="1">
        <v>2.6</v>
      </c>
      <c r="BE286" s="1">
        <v>15.8</v>
      </c>
      <c r="BF286" s="1">
        <v>35.2</v>
      </c>
      <c r="BG286" s="1">
        <v>46.5</v>
      </c>
      <c r="BH286" s="1" t="s">
        <v>609</v>
      </c>
    </row>
    <row r="287">
      <c r="A287" s="2">
        <v>8081.0</v>
      </c>
      <c r="B287" s="2" t="str">
        <f>IFERROR(__xludf.DUMMYFUNCTION("TO_TEXT(A287)"),"08081")</f>
        <v>08081</v>
      </c>
      <c r="C287" s="1">
        <v>13034.0</v>
      </c>
      <c r="D287" s="1">
        <v>4743.24140041135</v>
      </c>
      <c r="E287" s="1" t="s">
        <v>610</v>
      </c>
      <c r="F287" s="1" t="s">
        <v>611</v>
      </c>
      <c r="G287" s="1">
        <v>2.74790989951927</v>
      </c>
      <c r="H287" s="1">
        <v>13.356456687</v>
      </c>
      <c r="I287" s="1">
        <v>3.6835711195</v>
      </c>
      <c r="J287" s="1">
        <v>8.7520259319</v>
      </c>
      <c r="K287" s="1">
        <v>14.581587317</v>
      </c>
      <c r="L287" s="1">
        <v>26.3</v>
      </c>
      <c r="M287" s="1">
        <v>8.0</v>
      </c>
      <c r="N287" s="1">
        <v>21.6</v>
      </c>
      <c r="O287" s="1">
        <v>76.063791229</v>
      </c>
      <c r="P287" s="1">
        <v>9.9257380909</v>
      </c>
      <c r="Q287" s="1">
        <v>38.07783</v>
      </c>
      <c r="R287" s="1">
        <v>77.931034483</v>
      </c>
      <c r="S287" s="1">
        <v>16.7</v>
      </c>
      <c r="T287" s="1">
        <v>3381.0</v>
      </c>
      <c r="U287" s="1">
        <v>35.6699201419999</v>
      </c>
      <c r="V287" s="1">
        <v>159.08738165</v>
      </c>
      <c r="W287" s="1">
        <v>14.720812183</v>
      </c>
      <c r="X287" s="1">
        <v>12.461695608</v>
      </c>
      <c r="Y287" s="1">
        <v>79.854587345</v>
      </c>
      <c r="Z287" s="1">
        <v>8.2</v>
      </c>
      <c r="AA287" s="1">
        <v>8.31466707429999</v>
      </c>
      <c r="AB287" s="1">
        <v>59500.0</v>
      </c>
      <c r="AC287" s="1">
        <v>40.213523132</v>
      </c>
      <c r="AD287" s="1">
        <v>68.02303263</v>
      </c>
      <c r="AE287" s="1">
        <v>12.918660287</v>
      </c>
      <c r="AF287" s="1">
        <v>0.6521079769</v>
      </c>
      <c r="AG287" s="1">
        <v>1.5696087352</v>
      </c>
      <c r="AH287" s="1">
        <v>0.7430997877</v>
      </c>
      <c r="AI287" s="1">
        <v>0.0834091598</v>
      </c>
      <c r="AJ287" s="1">
        <v>15.650591447</v>
      </c>
      <c r="AK287" s="1">
        <v>80.360934183</v>
      </c>
      <c r="AL287" s="1">
        <v>1.9721767594</v>
      </c>
      <c r="AM287" s="1">
        <v>48.718531999</v>
      </c>
      <c r="AN287" s="1">
        <v>27.357738311</v>
      </c>
      <c r="AO287" s="1">
        <v>26344.0</v>
      </c>
      <c r="AP287" s="1">
        <v>11.1</v>
      </c>
      <c r="AQ287" s="1">
        <v>4.5</v>
      </c>
      <c r="AR287" s="1">
        <v>8.9</v>
      </c>
      <c r="AS287" s="1">
        <v>12.8</v>
      </c>
      <c r="AT287" s="1">
        <v>25.8</v>
      </c>
      <c r="AU287" s="1">
        <v>10.2</v>
      </c>
      <c r="AV287" s="1">
        <v>18.1</v>
      </c>
      <c r="AW287" s="1">
        <v>2.3</v>
      </c>
      <c r="AX287" s="1">
        <v>0.3321</v>
      </c>
      <c r="AY287" s="1">
        <v>12.2</v>
      </c>
      <c r="AZ287" s="1">
        <v>11.5</v>
      </c>
      <c r="BA287" s="1">
        <v>14.6</v>
      </c>
      <c r="BB287" s="1">
        <v>3.47</v>
      </c>
      <c r="BC287" s="1" t="s">
        <v>534</v>
      </c>
      <c r="BD287" s="1">
        <v>11.3</v>
      </c>
      <c r="BE287" s="1">
        <v>38.8</v>
      </c>
      <c r="BF287" s="1">
        <v>32.4</v>
      </c>
      <c r="BG287" s="1">
        <v>17.6</v>
      </c>
      <c r="BH287" s="1" t="s">
        <v>611</v>
      </c>
    </row>
    <row r="288">
      <c r="A288" s="2">
        <v>8083.0</v>
      </c>
      <c r="B288" s="2" t="str">
        <f>IFERROR(__xludf.DUMMYFUNCTION("TO_TEXT(A288)"),"08083")</f>
        <v>08083</v>
      </c>
      <c r="C288" s="1">
        <v>26006.0</v>
      </c>
      <c r="D288" s="1">
        <v>2029.27791477866</v>
      </c>
      <c r="E288" s="1" t="s">
        <v>612</v>
      </c>
      <c r="F288" s="1" t="s">
        <v>613</v>
      </c>
      <c r="G288" s="1">
        <v>12.8153959645476</v>
      </c>
      <c r="H288" s="1">
        <v>15.4325414109999</v>
      </c>
      <c r="I288" s="1">
        <v>4.287849149</v>
      </c>
      <c r="J288" s="1">
        <v>9.0019569472</v>
      </c>
      <c r="K288" s="1">
        <v>15.905568407</v>
      </c>
      <c r="L288" s="1">
        <v>27.7</v>
      </c>
      <c r="M288" s="1">
        <v>7.6</v>
      </c>
      <c r="N288" s="1">
        <v>21.6</v>
      </c>
      <c r="O288" s="1">
        <v>79.588799687</v>
      </c>
      <c r="P288" s="1">
        <v>13.7988937179999</v>
      </c>
      <c r="Q288" s="1">
        <v>99.46442</v>
      </c>
      <c r="R288" s="1">
        <v>74.712643678</v>
      </c>
      <c r="S288" s="1">
        <v>28.8</v>
      </c>
      <c r="T288" s="1">
        <v>5764.0</v>
      </c>
      <c r="U288" s="1">
        <v>32.338653713</v>
      </c>
      <c r="V288" s="1">
        <v>159.32125307</v>
      </c>
      <c r="W288" s="1">
        <v>15.720524017</v>
      </c>
      <c r="X288" s="1">
        <v>12.610402355</v>
      </c>
      <c r="Y288" s="1">
        <v>78.328969595</v>
      </c>
      <c r="Z288" s="1">
        <v>12.4</v>
      </c>
      <c r="AA288" s="1">
        <v>7.4335716395</v>
      </c>
      <c r="AB288" s="1">
        <v>50180.0</v>
      </c>
      <c r="AC288" s="1">
        <v>56.484006943</v>
      </c>
      <c r="AD288" s="1">
        <v>71.088082902</v>
      </c>
      <c r="AE288" s="1">
        <v>12.492610837</v>
      </c>
      <c r="AF288" s="1">
        <v>0.3708234575</v>
      </c>
      <c r="AG288" s="1">
        <v>14.056885083</v>
      </c>
      <c r="AH288" s="1">
        <v>0.6537197033</v>
      </c>
      <c r="AI288" s="1">
        <v>0.110864745</v>
      </c>
      <c r="AJ288" s="1">
        <v>12.718862298</v>
      </c>
      <c r="AK288" s="1">
        <v>72.023855035</v>
      </c>
      <c r="AL288" s="1">
        <v>0.5782243182</v>
      </c>
      <c r="AM288" s="1">
        <v>50.680480159</v>
      </c>
      <c r="AN288" s="1">
        <v>67.182298806</v>
      </c>
      <c r="AO288" s="1">
        <v>22738.0</v>
      </c>
      <c r="AP288" s="1">
        <v>18.7</v>
      </c>
      <c r="AQ288" s="1">
        <v>6.5</v>
      </c>
      <c r="AR288" s="1">
        <v>9.8</v>
      </c>
      <c r="AS288" s="1">
        <v>18.9</v>
      </c>
      <c r="AT288" s="1">
        <v>22.4</v>
      </c>
      <c r="AU288" s="1">
        <v>15.7</v>
      </c>
      <c r="AV288" s="1">
        <v>26.8</v>
      </c>
      <c r="AW288" s="1">
        <v>0.6</v>
      </c>
      <c r="AX288" s="1">
        <v>0.4282</v>
      </c>
      <c r="AY288" s="1">
        <v>14.9</v>
      </c>
      <c r="AZ288" s="1">
        <v>13.8</v>
      </c>
      <c r="BA288" s="1">
        <v>21.0</v>
      </c>
      <c r="BB288" s="1">
        <v>3.18</v>
      </c>
      <c r="BC288" s="1" t="s">
        <v>534</v>
      </c>
      <c r="BD288" s="1">
        <v>10.0</v>
      </c>
      <c r="BE288" s="1">
        <v>29.3</v>
      </c>
      <c r="BF288" s="1">
        <v>31.2</v>
      </c>
      <c r="BG288" s="1">
        <v>29.6</v>
      </c>
      <c r="BH288" s="1" t="s">
        <v>613</v>
      </c>
    </row>
    <row r="289">
      <c r="A289" s="2">
        <v>8085.0</v>
      </c>
      <c r="B289" s="2" t="str">
        <f>IFERROR(__xludf.DUMMYFUNCTION("TO_TEXT(A289)"),"08085")</f>
        <v>08085</v>
      </c>
      <c r="C289" s="1">
        <v>40866.0</v>
      </c>
      <c r="D289" s="1">
        <v>2240.94513699568</v>
      </c>
      <c r="E289" s="1" t="s">
        <v>614</v>
      </c>
      <c r="F289" s="1" t="s">
        <v>615</v>
      </c>
      <c r="G289" s="1">
        <v>18.2360555487703</v>
      </c>
      <c r="H289" s="1">
        <v>16.251343254</v>
      </c>
      <c r="I289" s="1">
        <v>3.9966218164</v>
      </c>
      <c r="J289" s="1">
        <v>7.7022653722</v>
      </c>
      <c r="K289" s="1">
        <v>15.431181265</v>
      </c>
      <c r="L289" s="1">
        <v>20.9</v>
      </c>
      <c r="M289" s="1">
        <v>7.6</v>
      </c>
      <c r="N289" s="1">
        <v>17.6</v>
      </c>
      <c r="O289" s="1">
        <v>86.5151661979999</v>
      </c>
      <c r="P289" s="1">
        <v>12.2034858109999</v>
      </c>
      <c r="Q289" s="1">
        <v>74.19108</v>
      </c>
      <c r="R289" s="1">
        <v>79.0</v>
      </c>
      <c r="S289" s="1">
        <v>17.4</v>
      </c>
      <c r="T289" s="1">
        <v>9035.0</v>
      </c>
      <c r="U289" s="1">
        <v>28.75484228</v>
      </c>
      <c r="V289" s="1">
        <v>134.4240888</v>
      </c>
      <c r="W289" s="1">
        <v>18.450406994</v>
      </c>
      <c r="X289" s="1">
        <v>15.670731707</v>
      </c>
      <c r="Y289" s="1">
        <v>79.818703427</v>
      </c>
      <c r="Z289" s="1">
        <v>7.7</v>
      </c>
      <c r="AA289" s="1">
        <v>10.191973725</v>
      </c>
      <c r="AB289" s="1">
        <v>52576.0</v>
      </c>
      <c r="AC289" s="1">
        <v>49.749125741</v>
      </c>
      <c r="AD289" s="1">
        <v>70.721167883</v>
      </c>
      <c r="AE289" s="1">
        <v>13.716146933</v>
      </c>
      <c r="AF289" s="1">
        <v>0.4500876486</v>
      </c>
      <c r="AG289" s="1">
        <v>1.8382527124</v>
      </c>
      <c r="AH289" s="1">
        <v>0.864642061899999</v>
      </c>
      <c r="AI289" s="1">
        <v>0.196617236</v>
      </c>
      <c r="AJ289" s="1">
        <v>20.70640072</v>
      </c>
      <c r="AK289" s="1">
        <v>75.891884209</v>
      </c>
      <c r="AL289" s="1">
        <v>3.6964780778</v>
      </c>
      <c r="AM289" s="1">
        <v>50.69171365</v>
      </c>
      <c r="AN289" s="1">
        <v>44.989824595</v>
      </c>
      <c r="AO289" s="1">
        <v>23276.0</v>
      </c>
      <c r="AP289" s="1">
        <v>18.0</v>
      </c>
      <c r="AQ289" s="1">
        <v>8.6</v>
      </c>
      <c r="AR289" s="1">
        <v>11.2</v>
      </c>
      <c r="AS289" s="1">
        <v>21.4</v>
      </c>
      <c r="AT289" s="1">
        <v>22.4</v>
      </c>
      <c r="AU289" s="1">
        <v>16.9</v>
      </c>
      <c r="AV289" s="1">
        <v>23.6</v>
      </c>
      <c r="AW289" s="1">
        <v>3.2</v>
      </c>
      <c r="AX289" s="1">
        <v>0.7367</v>
      </c>
      <c r="AY289" s="1">
        <v>13.2</v>
      </c>
      <c r="AZ289" s="1">
        <v>12.8</v>
      </c>
      <c r="BA289" s="1">
        <v>18.4</v>
      </c>
      <c r="BB289" s="1">
        <v>3.48</v>
      </c>
      <c r="BC289" s="1" t="s">
        <v>534</v>
      </c>
      <c r="BD289" s="1">
        <v>11.0</v>
      </c>
      <c r="BE289" s="1">
        <v>31.4</v>
      </c>
      <c r="BF289" s="1">
        <v>32.4</v>
      </c>
      <c r="BG289" s="1">
        <v>25.2</v>
      </c>
      <c r="BH289" s="1" t="s">
        <v>615</v>
      </c>
    </row>
    <row r="290">
      <c r="A290" s="2">
        <v>8087.0</v>
      </c>
      <c r="B290" s="2" t="str">
        <f>IFERROR(__xludf.DUMMYFUNCTION("TO_TEXT(A290)"),"08087")</f>
        <v>08087</v>
      </c>
      <c r="C290" s="1">
        <v>28288.0</v>
      </c>
      <c r="D290" s="1">
        <v>1280.48469912182</v>
      </c>
      <c r="E290" s="1" t="s">
        <v>162</v>
      </c>
      <c r="F290" s="1" t="s">
        <v>616</v>
      </c>
      <c r="G290" s="1">
        <v>22.0916345344856</v>
      </c>
      <c r="H290" s="1">
        <v>16.567497267</v>
      </c>
      <c r="I290" s="1">
        <v>3.8606827512</v>
      </c>
      <c r="J290" s="1">
        <v>6.8633952255</v>
      </c>
      <c r="K290" s="1">
        <v>14.1860670129999</v>
      </c>
      <c r="L290" s="1">
        <v>34.9</v>
      </c>
      <c r="M290" s="1">
        <v>8.9</v>
      </c>
      <c r="N290" s="1">
        <v>21.5</v>
      </c>
      <c r="O290" s="1">
        <v>72.342767854</v>
      </c>
      <c r="P290" s="1">
        <v>12.351543943</v>
      </c>
      <c r="Q290" s="1">
        <v>70.94211</v>
      </c>
      <c r="R290" s="1">
        <v>82.005141388</v>
      </c>
      <c r="S290" s="1">
        <v>15.3</v>
      </c>
      <c r="T290" s="1">
        <v>7380.0</v>
      </c>
      <c r="U290" s="1">
        <v>29.837398374</v>
      </c>
      <c r="V290" s="1">
        <v>202.82873649</v>
      </c>
      <c r="W290" s="1">
        <v>14.6736541209999</v>
      </c>
      <c r="X290" s="1">
        <v>9.66507177029999</v>
      </c>
      <c r="Y290" s="1">
        <v>78.159061329</v>
      </c>
      <c r="Z290" s="1">
        <v>10.2</v>
      </c>
      <c r="AA290" s="1">
        <v>4.4384452536</v>
      </c>
      <c r="AB290" s="1">
        <v>55387.0</v>
      </c>
      <c r="AC290" s="1">
        <v>59.551553672</v>
      </c>
      <c r="AD290" s="1">
        <v>64.302271674</v>
      </c>
      <c r="AE290" s="1">
        <v>11.386470194</v>
      </c>
      <c r="AF290" s="1">
        <v>3.2705371525</v>
      </c>
      <c r="AG290" s="1">
        <v>1.8593739057</v>
      </c>
      <c r="AH290" s="1">
        <v>0.833391694099999</v>
      </c>
      <c r="AI290" s="1">
        <v>0.3221514112</v>
      </c>
      <c r="AJ290" s="1">
        <v>36.322571609</v>
      </c>
      <c r="AK290" s="1">
        <v>58.148329715</v>
      </c>
      <c r="AL290" s="1">
        <v>8.115333206</v>
      </c>
      <c r="AM290" s="1">
        <v>49.5412844039999</v>
      </c>
      <c r="AN290" s="1">
        <v>32.547320572</v>
      </c>
      <c r="AO290" s="1">
        <v>23408.0</v>
      </c>
      <c r="AP290" s="1">
        <v>10.7</v>
      </c>
      <c r="AQ290" s="1">
        <v>5.5</v>
      </c>
      <c r="AR290" s="1">
        <v>19.0</v>
      </c>
      <c r="AS290" s="1">
        <v>15.6</v>
      </c>
      <c r="AT290" s="1">
        <v>26.7</v>
      </c>
      <c r="AU290" s="1">
        <v>11.6</v>
      </c>
      <c r="AV290" s="1">
        <v>40.1</v>
      </c>
      <c r="AW290" s="1">
        <v>8.1</v>
      </c>
      <c r="AX290" s="1">
        <v>0.7647</v>
      </c>
      <c r="AY290" s="1">
        <v>11.9</v>
      </c>
      <c r="AZ290" s="1">
        <v>9.3</v>
      </c>
      <c r="BA290" s="1">
        <v>11.0</v>
      </c>
      <c r="BB290" s="1">
        <v>3.02</v>
      </c>
      <c r="BC290" s="1" t="s">
        <v>534</v>
      </c>
      <c r="BD290" s="1">
        <v>21.1</v>
      </c>
      <c r="BE290" s="1">
        <v>31.3</v>
      </c>
      <c r="BF290" s="1">
        <v>30.1</v>
      </c>
      <c r="BG290" s="1">
        <v>17.5</v>
      </c>
      <c r="BH290" s="1" t="s">
        <v>616</v>
      </c>
    </row>
    <row r="291">
      <c r="A291" s="2">
        <v>8089.0</v>
      </c>
      <c r="B291" s="2" t="str">
        <f>IFERROR(__xludf.DUMMYFUNCTION("TO_TEXT(A291)"),"08089")</f>
        <v>08089</v>
      </c>
      <c r="C291" s="1">
        <v>18440.0</v>
      </c>
      <c r="D291" s="1">
        <v>1261.96069041765</v>
      </c>
      <c r="E291" s="1" t="s">
        <v>617</v>
      </c>
      <c r="F291" s="1" t="s">
        <v>618</v>
      </c>
      <c r="G291" s="1">
        <v>14.6121825663977</v>
      </c>
      <c r="H291" s="1">
        <v>20.316636808</v>
      </c>
      <c r="I291" s="1">
        <v>4.2059016575</v>
      </c>
      <c r="J291" s="1">
        <v>9.18163672649999</v>
      </c>
      <c r="K291" s="1">
        <v>16.209473009</v>
      </c>
      <c r="L291" s="1">
        <v>35.1</v>
      </c>
      <c r="M291" s="1">
        <v>7.3</v>
      </c>
      <c r="N291" s="1">
        <v>22.5</v>
      </c>
      <c r="O291" s="1">
        <v>70.68132335</v>
      </c>
      <c r="P291" s="1">
        <v>10.822910745</v>
      </c>
      <c r="Q291" s="1">
        <v>65.48074</v>
      </c>
      <c r="R291" s="1">
        <v>92.056074766</v>
      </c>
      <c r="S291" s="1">
        <v>29.9</v>
      </c>
      <c r="T291" s="1">
        <v>4201.0</v>
      </c>
      <c r="U291" s="1">
        <v>40.157105451</v>
      </c>
      <c r="V291" s="1">
        <v>157.71125007</v>
      </c>
      <c r="W291" s="1">
        <v>18.456375839</v>
      </c>
      <c r="X291" s="1">
        <v>15.172881356</v>
      </c>
      <c r="Y291" s="1">
        <v>75.744471859</v>
      </c>
      <c r="Z291" s="1">
        <v>11.5</v>
      </c>
      <c r="AA291" s="1">
        <v>14.910278686</v>
      </c>
      <c r="AB291" s="1">
        <v>40064.0</v>
      </c>
      <c r="AC291" s="1">
        <v>67.299006323</v>
      </c>
      <c r="AD291" s="1">
        <v>62.202574438</v>
      </c>
      <c r="AE291" s="1">
        <v>17.747578041</v>
      </c>
      <c r="AF291" s="1">
        <v>1.1338975694</v>
      </c>
      <c r="AG291" s="1">
        <v>3.7380642361</v>
      </c>
      <c r="AH291" s="1">
        <v>0.9602864583</v>
      </c>
      <c r="AI291" s="1">
        <v>0.2115885417</v>
      </c>
      <c r="AJ291" s="1">
        <v>42.084418403</v>
      </c>
      <c r="AK291" s="1">
        <v>53.651258681</v>
      </c>
      <c r="AL291" s="1">
        <v>2.4550203134</v>
      </c>
      <c r="AM291" s="1">
        <v>51.036241319</v>
      </c>
      <c r="AN291" s="1">
        <v>34.406032606</v>
      </c>
      <c r="AO291" s="1">
        <v>19842.0</v>
      </c>
      <c r="AP291" s="1">
        <v>23.1</v>
      </c>
      <c r="AQ291" s="1">
        <v>10.1</v>
      </c>
      <c r="AR291" s="1">
        <v>14.2</v>
      </c>
      <c r="AS291" s="1">
        <v>19.2</v>
      </c>
      <c r="AT291" s="1">
        <v>23.7</v>
      </c>
      <c r="AU291" s="1">
        <v>20.2</v>
      </c>
      <c r="AV291" s="1">
        <v>45.2</v>
      </c>
      <c r="AW291" s="1">
        <v>2.5</v>
      </c>
      <c r="AX291" s="1">
        <v>0.9424</v>
      </c>
      <c r="AY291" s="1">
        <v>24.2</v>
      </c>
      <c r="AZ291" s="1">
        <v>16.3</v>
      </c>
      <c r="BA291" s="1">
        <v>21.6</v>
      </c>
      <c r="BB291" s="1">
        <v>3.02</v>
      </c>
      <c r="BC291" s="1" t="s">
        <v>534</v>
      </c>
      <c r="BD291" s="1">
        <v>12.8</v>
      </c>
      <c r="BE291" s="1">
        <v>31.9</v>
      </c>
      <c r="BF291" s="1">
        <v>36.7</v>
      </c>
      <c r="BG291" s="1">
        <v>18.6</v>
      </c>
      <c r="BH291" s="1" t="s">
        <v>618</v>
      </c>
    </row>
    <row r="292">
      <c r="A292" s="2">
        <v>8091.0</v>
      </c>
      <c r="B292" s="2" t="str">
        <f>IFERROR(__xludf.DUMMYFUNCTION("TO_TEXT(A292)"),"08091")</f>
        <v>08091</v>
      </c>
      <c r="C292" s="1">
        <v>4651.0</v>
      </c>
      <c r="D292" s="1">
        <v>541.592746087598</v>
      </c>
      <c r="E292" s="1" t="s">
        <v>619</v>
      </c>
      <c r="F292" s="1" t="s">
        <v>620</v>
      </c>
      <c r="G292" s="1">
        <v>8.58763348216584</v>
      </c>
      <c r="H292" s="1">
        <v>11.163319261</v>
      </c>
      <c r="I292" s="1">
        <v>3.532423217</v>
      </c>
      <c r="J292" s="1">
        <v>12.5683060109999</v>
      </c>
      <c r="K292" s="1">
        <v>12.616688327</v>
      </c>
      <c r="L292" s="1">
        <v>21.9</v>
      </c>
      <c r="M292" s="1">
        <v>8.4</v>
      </c>
      <c r="N292" s="1">
        <v>17.0</v>
      </c>
      <c r="O292" s="1">
        <v>70.536519387</v>
      </c>
      <c r="P292" s="1">
        <v>8.6821266968</v>
      </c>
      <c r="Q292" s="1">
        <v>125.15645</v>
      </c>
      <c r="R292" s="1">
        <v>96.7741935479999</v>
      </c>
      <c r="S292" s="1">
        <v>11.0</v>
      </c>
      <c r="T292" s="1">
        <v>683.0</v>
      </c>
      <c r="U292" s="1">
        <v>24.304538799</v>
      </c>
      <c r="V292" s="1">
        <v>81.632653061</v>
      </c>
      <c r="W292" s="1">
        <v>18.937644342</v>
      </c>
      <c r="X292" s="1">
        <v>16.775396086</v>
      </c>
      <c r="Y292" s="1">
        <v>85.230368395</v>
      </c>
      <c r="Z292" s="1">
        <v>6.9</v>
      </c>
      <c r="AA292" s="1">
        <v>1.7289086109</v>
      </c>
      <c r="AB292" s="1">
        <v>68900.0</v>
      </c>
      <c r="AC292" s="1">
        <v>27.946768061</v>
      </c>
      <c r="AD292" s="1">
        <v>68.368277119</v>
      </c>
      <c r="AE292" s="1">
        <v>20.57847321</v>
      </c>
      <c r="AF292" s="1">
        <v>0.0827643286</v>
      </c>
      <c r="AG292" s="1">
        <v>0.8897165322</v>
      </c>
      <c r="AH292" s="1">
        <v>0.7862611215</v>
      </c>
      <c r="AI292" s="1">
        <v>0.1655286571</v>
      </c>
      <c r="AJ292" s="1">
        <v>6.4556176288</v>
      </c>
      <c r="AK292" s="1">
        <v>90.420028968</v>
      </c>
      <c r="AL292" s="1">
        <v>0.657318142</v>
      </c>
      <c r="AM292" s="1">
        <v>49.389613077</v>
      </c>
      <c r="AN292" s="1">
        <v>100.0</v>
      </c>
      <c r="AO292" s="1">
        <v>34993.0</v>
      </c>
      <c r="AP292" s="1">
        <v>9.2</v>
      </c>
      <c r="AQ292" s="1">
        <v>6.4</v>
      </c>
      <c r="AR292" s="1">
        <v>2.2</v>
      </c>
      <c r="AS292" s="1">
        <v>26.6</v>
      </c>
      <c r="AT292" s="1">
        <v>13.6</v>
      </c>
      <c r="AU292" s="1">
        <v>10.1</v>
      </c>
      <c r="AV292" s="1">
        <v>8.4</v>
      </c>
      <c r="AW292" s="1">
        <v>0.6</v>
      </c>
      <c r="AX292" s="1">
        <v>0.0156</v>
      </c>
      <c r="AY292" s="1">
        <v>6.9</v>
      </c>
      <c r="AZ292" s="1">
        <v>10.9</v>
      </c>
      <c r="BA292" s="1">
        <v>13.3</v>
      </c>
      <c r="BB292" s="1">
        <v>3.54</v>
      </c>
      <c r="BC292" s="1" t="s">
        <v>534</v>
      </c>
      <c r="BD292" s="1">
        <v>2.2</v>
      </c>
      <c r="BE292" s="1">
        <v>15.9</v>
      </c>
      <c r="BF292" s="1">
        <v>34.1</v>
      </c>
      <c r="BG292" s="1">
        <v>47.8</v>
      </c>
      <c r="BH292" s="1" t="s">
        <v>620</v>
      </c>
    </row>
    <row r="293">
      <c r="A293" s="2">
        <v>8093.0</v>
      </c>
      <c r="B293" s="2" t="str">
        <f>IFERROR(__xludf.DUMMYFUNCTION("TO_TEXT(A293)"),"08093")</f>
        <v>08093</v>
      </c>
      <c r="C293" s="1">
        <v>16440.0</v>
      </c>
      <c r="D293" s="1">
        <v>2193.89724458342</v>
      </c>
      <c r="E293" s="1" t="s">
        <v>621</v>
      </c>
      <c r="F293" s="1" t="s">
        <v>622</v>
      </c>
      <c r="G293" s="1">
        <v>7.49351412906379</v>
      </c>
      <c r="H293" s="1">
        <v>10.59726292</v>
      </c>
      <c r="I293" s="1">
        <v>3.3598986358</v>
      </c>
      <c r="J293" s="1">
        <v>11.838790932</v>
      </c>
      <c r="K293" s="1">
        <v>12.853324383</v>
      </c>
      <c r="L293" s="1">
        <v>23.4</v>
      </c>
      <c r="M293" s="1">
        <v>7.7</v>
      </c>
      <c r="N293" s="1">
        <v>17.9</v>
      </c>
      <c r="O293" s="1">
        <v>72.127607059</v>
      </c>
      <c r="P293" s="1">
        <v>8.7417958386</v>
      </c>
      <c r="Q293" s="1">
        <v>16.7551</v>
      </c>
      <c r="R293" s="1">
        <v>87.234042553</v>
      </c>
      <c r="S293" s="1">
        <v>12.1</v>
      </c>
      <c r="T293" s="1">
        <v>2974.0</v>
      </c>
      <c r="U293" s="1">
        <v>13.0800269</v>
      </c>
      <c r="V293" s="1">
        <v>112.33150275</v>
      </c>
      <c r="W293" s="1">
        <v>13.5810810809999</v>
      </c>
      <c r="X293" s="1">
        <v>10.630508475</v>
      </c>
      <c r="Y293" s="1">
        <v>82.015000694</v>
      </c>
      <c r="Z293" s="1">
        <v>4.3</v>
      </c>
      <c r="AA293" s="1">
        <v>13.5634370029999</v>
      </c>
      <c r="AB293" s="1">
        <v>72121.0</v>
      </c>
      <c r="AC293" s="1">
        <v>35.524728589</v>
      </c>
      <c r="AD293" s="1">
        <v>83.733670459</v>
      </c>
      <c r="AE293" s="1">
        <v>10.843373494</v>
      </c>
      <c r="AF293" s="1">
        <v>0.8353093339</v>
      </c>
      <c r="AG293" s="1">
        <v>1.2610476396</v>
      </c>
      <c r="AH293" s="1">
        <v>1.050873033</v>
      </c>
      <c r="AI293" s="1">
        <v>0.0377236473</v>
      </c>
      <c r="AJ293" s="1">
        <v>6.2297909032</v>
      </c>
      <c r="AK293" s="1">
        <v>88.941582238</v>
      </c>
      <c r="AL293" s="1">
        <v>0.0724418956</v>
      </c>
      <c r="AM293" s="1">
        <v>47.359344686</v>
      </c>
      <c r="AN293" s="1">
        <v>100.0</v>
      </c>
      <c r="AO293" s="1">
        <v>34442.0</v>
      </c>
      <c r="AP293" s="1">
        <v>6.3</v>
      </c>
      <c r="AQ293" s="1">
        <v>4.3</v>
      </c>
      <c r="AR293" s="1">
        <v>3.7</v>
      </c>
      <c r="AS293" s="1">
        <v>16.5</v>
      </c>
      <c r="AT293" s="1">
        <v>16.7</v>
      </c>
      <c r="AU293" s="1">
        <v>10.4</v>
      </c>
      <c r="AV293" s="1">
        <v>10.0</v>
      </c>
      <c r="AW293" s="1">
        <v>0.1</v>
      </c>
      <c r="AX293" s="1">
        <v>0.0</v>
      </c>
      <c r="AY293" s="1">
        <v>8.6</v>
      </c>
      <c r="AZ293" s="1">
        <v>8.0</v>
      </c>
      <c r="BA293" s="1">
        <v>12.4</v>
      </c>
      <c r="BB293" s="1">
        <v>3.45</v>
      </c>
      <c r="BC293" s="1" t="s">
        <v>534</v>
      </c>
      <c r="BD293" s="1">
        <v>2.3</v>
      </c>
      <c r="BE293" s="1">
        <v>30.9</v>
      </c>
      <c r="BF293" s="1">
        <v>37.0</v>
      </c>
      <c r="BG293" s="1">
        <v>29.8</v>
      </c>
      <c r="BH293" s="1" t="s">
        <v>622</v>
      </c>
    </row>
    <row r="294">
      <c r="A294" s="2">
        <v>8095.0</v>
      </c>
      <c r="B294" s="2" t="str">
        <f>IFERROR(__xludf.DUMMYFUNCTION("TO_TEXT(A294)"),"08095")</f>
        <v>08095</v>
      </c>
      <c r="C294" s="1">
        <v>4347.0</v>
      </c>
      <c r="D294" s="1">
        <v>687.927575525246</v>
      </c>
      <c r="E294" s="1" t="s">
        <v>376</v>
      </c>
      <c r="F294" s="1" t="s">
        <v>623</v>
      </c>
      <c r="G294" s="1">
        <v>6.31897914061808</v>
      </c>
      <c r="H294" s="1">
        <v>13.63905579</v>
      </c>
      <c r="I294" s="1">
        <v>3.6641378702</v>
      </c>
      <c r="J294" s="1">
        <v>6.7532467532</v>
      </c>
      <c r="K294" s="1">
        <v>12.29095581</v>
      </c>
      <c r="L294" s="1">
        <v>31.4</v>
      </c>
      <c r="M294" s="1">
        <v>8.9</v>
      </c>
      <c r="N294" s="1">
        <v>25.3</v>
      </c>
      <c r="O294" s="1">
        <v>82.845565061</v>
      </c>
      <c r="P294" s="1">
        <v>13.240206499</v>
      </c>
      <c r="Q294" s="1">
        <v>116.49581</v>
      </c>
      <c r="R294" s="1">
        <v>81.428571429</v>
      </c>
      <c r="S294" s="1">
        <v>15.6</v>
      </c>
      <c r="T294" s="1">
        <v>1107.0</v>
      </c>
      <c r="U294" s="1">
        <v>7.9494128275</v>
      </c>
      <c r="V294" s="1">
        <v>161.27174289</v>
      </c>
      <c r="W294" s="1">
        <v>17.919075145</v>
      </c>
      <c r="X294" s="1">
        <v>10.3948896629999</v>
      </c>
      <c r="Y294" s="1">
        <v>79.608084702</v>
      </c>
      <c r="Z294" s="1">
        <v>12.4</v>
      </c>
      <c r="AA294" s="1">
        <v>1.6937663105</v>
      </c>
      <c r="AB294" s="1">
        <v>52367.0</v>
      </c>
      <c r="AC294" s="1">
        <v>43.301178992</v>
      </c>
      <c r="AD294" s="1">
        <v>70.323741007</v>
      </c>
      <c r="AE294" s="1">
        <v>8.6984126984</v>
      </c>
      <c r="AF294" s="1">
        <v>0.6766215586</v>
      </c>
      <c r="AG294" s="1">
        <v>0.9566028931</v>
      </c>
      <c r="AH294" s="1">
        <v>0.5132991134</v>
      </c>
      <c r="AI294" s="1">
        <v>0.1166588894</v>
      </c>
      <c r="AJ294" s="1">
        <v>20.555296314</v>
      </c>
      <c r="AK294" s="1">
        <v>76.9948670089999</v>
      </c>
      <c r="AL294" s="1">
        <v>5.794254849</v>
      </c>
      <c r="AM294" s="1">
        <v>50.653289781</v>
      </c>
      <c r="AN294" s="1">
        <v>100.0</v>
      </c>
      <c r="AO294" s="1">
        <v>26290.0</v>
      </c>
      <c r="AP294" s="1">
        <v>11.9</v>
      </c>
      <c r="AQ294" s="1">
        <v>2.7</v>
      </c>
      <c r="AR294" s="1">
        <v>10.9</v>
      </c>
      <c r="AS294" s="1">
        <v>19.3</v>
      </c>
      <c r="AT294" s="1">
        <v>23.6</v>
      </c>
      <c r="AU294" s="1">
        <v>13.1</v>
      </c>
      <c r="AV294" s="1">
        <v>20.7</v>
      </c>
      <c r="AW294" s="1">
        <v>2.8</v>
      </c>
      <c r="AX294" s="1">
        <v>0.3381</v>
      </c>
      <c r="AY294" s="1">
        <v>10.4</v>
      </c>
      <c r="AZ294" s="1">
        <v>8.1</v>
      </c>
      <c r="BA294" s="1">
        <v>8.8</v>
      </c>
      <c r="BB294" s="1">
        <v>3.15</v>
      </c>
      <c r="BC294" s="1" t="s">
        <v>534</v>
      </c>
      <c r="BD294" s="1">
        <v>11.5</v>
      </c>
      <c r="BE294" s="1">
        <v>33.1</v>
      </c>
      <c r="BF294" s="1">
        <v>31.6</v>
      </c>
      <c r="BG294" s="1">
        <v>23.8</v>
      </c>
      <c r="BH294" s="1" t="s">
        <v>623</v>
      </c>
    </row>
    <row r="295">
      <c r="A295" s="2">
        <v>8097.0</v>
      </c>
      <c r="B295" s="2" t="str">
        <f>IFERROR(__xludf.DUMMYFUNCTION("TO_TEXT(A295)"),"08097")</f>
        <v>08097</v>
      </c>
      <c r="C295" s="1">
        <v>17543.0</v>
      </c>
      <c r="D295" s="1">
        <v>970.700942068961</v>
      </c>
      <c r="E295" s="1" t="s">
        <v>624</v>
      </c>
      <c r="F295" s="1" t="s">
        <v>625</v>
      </c>
      <c r="G295" s="1">
        <v>18.0725074425174</v>
      </c>
      <c r="H295" s="1">
        <v>10.585429711</v>
      </c>
      <c r="I295" s="1">
        <v>3.2563527597</v>
      </c>
      <c r="J295" s="1">
        <v>9.8544232923</v>
      </c>
      <c r="K295" s="1">
        <v>12.266772787</v>
      </c>
      <c r="L295" s="1">
        <v>14.2</v>
      </c>
      <c r="M295" s="1">
        <v>8.5</v>
      </c>
      <c r="N295" s="1">
        <v>13.6</v>
      </c>
      <c r="O295" s="1">
        <v>92.693025426</v>
      </c>
      <c r="P295" s="1">
        <v>12.251043734</v>
      </c>
      <c r="Q295" s="1">
        <v>72.66629</v>
      </c>
      <c r="R295" s="1">
        <v>95.52238806</v>
      </c>
      <c r="S295" s="1">
        <v>6.2</v>
      </c>
      <c r="T295" s="1">
        <v>2841.0</v>
      </c>
      <c r="U295" s="1">
        <v>34.07250968</v>
      </c>
      <c r="V295" s="1">
        <v>62.071495077</v>
      </c>
      <c r="W295" s="1">
        <v>15.921052632</v>
      </c>
      <c r="X295" s="1">
        <v>13.70592149</v>
      </c>
      <c r="Y295" s="1">
        <v>93.361728874</v>
      </c>
      <c r="Z295" s="1">
        <v>1.9</v>
      </c>
      <c r="AA295" s="1">
        <v>1.7181700193</v>
      </c>
      <c r="AB295" s="1">
        <v>89034.0</v>
      </c>
      <c r="AC295" s="1">
        <v>13.015284854</v>
      </c>
      <c r="AD295" s="1">
        <v>64.519806213</v>
      </c>
      <c r="AE295" s="1">
        <v>14.741506647</v>
      </c>
      <c r="AF295" s="1">
        <v>0.8913649025</v>
      </c>
      <c r="AG295" s="1">
        <v>0.4846796657</v>
      </c>
      <c r="AH295" s="1">
        <v>1.8662952646</v>
      </c>
      <c r="AI295" s="1">
        <v>0.1225626741</v>
      </c>
      <c r="AJ295" s="1">
        <v>10.133704735</v>
      </c>
      <c r="AK295" s="1">
        <v>85.688022284</v>
      </c>
      <c r="AL295" s="1">
        <v>0.7842678216</v>
      </c>
      <c r="AM295" s="1">
        <v>48.250696379</v>
      </c>
      <c r="AN295" s="1">
        <v>44.203405645</v>
      </c>
      <c r="AO295" s="1">
        <v>59229.0</v>
      </c>
      <c r="AP295" s="1">
        <v>8.6</v>
      </c>
      <c r="AQ295" s="1">
        <v>5.5</v>
      </c>
      <c r="AR295" s="1">
        <v>4.6</v>
      </c>
      <c r="AS295" s="1">
        <v>15.6</v>
      </c>
      <c r="AT295" s="1">
        <v>16.2</v>
      </c>
      <c r="AU295" s="1">
        <v>5.4</v>
      </c>
      <c r="AV295" s="1">
        <v>13.9</v>
      </c>
      <c r="AW295" s="1">
        <v>0.9</v>
      </c>
      <c r="AX295" s="1">
        <v>0.0579</v>
      </c>
      <c r="AY295" s="1">
        <v>6.2</v>
      </c>
      <c r="AZ295" s="1">
        <v>8.2</v>
      </c>
      <c r="BA295" s="1">
        <v>8.9</v>
      </c>
      <c r="BB295" s="1">
        <v>3.66</v>
      </c>
      <c r="BC295" s="1" t="s">
        <v>534</v>
      </c>
      <c r="BD295" s="1">
        <v>3.1</v>
      </c>
      <c r="BE295" s="1">
        <v>17.0</v>
      </c>
      <c r="BF295" s="1">
        <v>19.1</v>
      </c>
      <c r="BG295" s="1">
        <v>60.8</v>
      </c>
      <c r="BH295" s="1" t="s">
        <v>625</v>
      </c>
    </row>
    <row r="296">
      <c r="A296" s="2">
        <v>8099.0</v>
      </c>
      <c r="B296" s="2" t="str">
        <f>IFERROR(__xludf.DUMMYFUNCTION("TO_TEXT(A296)"),"08099")</f>
        <v>08099</v>
      </c>
      <c r="C296" s="1">
        <v>12121.0</v>
      </c>
      <c r="D296" s="1">
        <v>1638.39370289721</v>
      </c>
      <c r="E296" s="1" t="s">
        <v>626</v>
      </c>
      <c r="F296" s="1" t="s">
        <v>627</v>
      </c>
      <c r="G296" s="1">
        <v>7.39809972326319</v>
      </c>
      <c r="H296" s="1">
        <v>17.468110578</v>
      </c>
      <c r="I296" s="1">
        <v>3.9940808726</v>
      </c>
      <c r="J296" s="1">
        <v>7.0507308684</v>
      </c>
      <c r="K296" s="1">
        <v>15.038081079</v>
      </c>
      <c r="L296" s="1">
        <v>33.8</v>
      </c>
      <c r="M296" s="1">
        <v>7.7</v>
      </c>
      <c r="N296" s="1">
        <v>21.4</v>
      </c>
      <c r="O296" s="1">
        <v>55.318301331</v>
      </c>
      <c r="P296" s="1">
        <v>14.103502352</v>
      </c>
      <c r="Q296" s="1">
        <v>41.42502</v>
      </c>
      <c r="R296" s="1">
        <v>95.031055901</v>
      </c>
      <c r="S296" s="1">
        <v>28.6</v>
      </c>
      <c r="T296" s="1">
        <v>3002.0</v>
      </c>
      <c r="U296" s="1">
        <v>38.474350433</v>
      </c>
      <c r="V296" s="1">
        <v>56.942975677</v>
      </c>
      <c r="W296" s="1">
        <v>13.585291113</v>
      </c>
      <c r="X296" s="1">
        <v>11.674601532</v>
      </c>
      <c r="Y296" s="1">
        <v>76.777451712</v>
      </c>
      <c r="Z296" s="1">
        <v>12.4</v>
      </c>
      <c r="AA296" s="1">
        <v>12.634270059</v>
      </c>
      <c r="AB296" s="1">
        <v>42455.0</v>
      </c>
      <c r="AC296" s="1">
        <v>60.979802321</v>
      </c>
      <c r="AD296" s="1">
        <v>63.812210357</v>
      </c>
      <c r="AE296" s="1">
        <v>12.2191895859999</v>
      </c>
      <c r="AF296" s="1">
        <v>0.698783295</v>
      </c>
      <c r="AG296" s="1">
        <v>1.9648142059</v>
      </c>
      <c r="AH296" s="1">
        <v>0.4768168366</v>
      </c>
      <c r="AI296" s="1">
        <v>0.0411048997</v>
      </c>
      <c r="AJ296" s="1">
        <v>38.646826702</v>
      </c>
      <c r="AK296" s="1">
        <v>58.171654061</v>
      </c>
      <c r="AL296" s="1">
        <v>4.207810693</v>
      </c>
      <c r="AM296" s="1">
        <v>49.745149622</v>
      </c>
      <c r="AN296" s="1">
        <v>37.885427456</v>
      </c>
      <c r="AO296" s="1">
        <v>20589.0</v>
      </c>
      <c r="AP296" s="1">
        <v>20.6</v>
      </c>
      <c r="AQ296" s="1">
        <v>10.6</v>
      </c>
      <c r="AR296" s="1">
        <v>17.4</v>
      </c>
      <c r="AS296" s="1">
        <v>16.0</v>
      </c>
      <c r="AT296" s="1">
        <v>25.7</v>
      </c>
      <c r="AU296" s="1">
        <v>19.5</v>
      </c>
      <c r="AV296" s="1">
        <v>39.3</v>
      </c>
      <c r="AW296" s="1">
        <v>4.2</v>
      </c>
      <c r="AX296" s="1">
        <v>0.9417</v>
      </c>
      <c r="AY296" s="1">
        <v>18.2</v>
      </c>
      <c r="AZ296" s="1">
        <v>13.4</v>
      </c>
      <c r="BA296" s="1">
        <v>17.1</v>
      </c>
      <c r="BB296" s="1">
        <v>3.03</v>
      </c>
      <c r="BC296" s="1" t="s">
        <v>534</v>
      </c>
      <c r="BD296" s="1">
        <v>19.5</v>
      </c>
      <c r="BE296" s="1">
        <v>26.1</v>
      </c>
      <c r="BF296" s="1">
        <v>36.1</v>
      </c>
      <c r="BG296" s="1">
        <v>18.3</v>
      </c>
      <c r="BH296" s="1" t="s">
        <v>627</v>
      </c>
    </row>
    <row r="297">
      <c r="A297" s="2">
        <v>8101.0</v>
      </c>
      <c r="B297" s="2" t="str">
        <f>IFERROR(__xludf.DUMMYFUNCTION("TO_TEXT(A297)"),"08101")</f>
        <v>08101</v>
      </c>
      <c r="C297" s="1">
        <v>162158.0</v>
      </c>
      <c r="D297" s="1">
        <v>2386.07178261867</v>
      </c>
      <c r="E297" s="1" t="s">
        <v>628</v>
      </c>
      <c r="F297" s="1" t="s">
        <v>629</v>
      </c>
      <c r="G297" s="1">
        <v>67.9602353882391</v>
      </c>
      <c r="H297" s="1">
        <v>22.5151171009999</v>
      </c>
      <c r="I297" s="1">
        <v>4.3193149805</v>
      </c>
      <c r="J297" s="1">
        <v>9.9876885195</v>
      </c>
      <c r="K297" s="1">
        <v>16.428117379</v>
      </c>
      <c r="L297" s="1">
        <v>29.4</v>
      </c>
      <c r="M297" s="1">
        <v>7.3</v>
      </c>
      <c r="N297" s="1">
        <v>22.1</v>
      </c>
      <c r="O297" s="1">
        <v>64.502744196</v>
      </c>
      <c r="P297" s="1">
        <v>8.4312338892</v>
      </c>
      <c r="Q297" s="1">
        <v>64.2739199999999</v>
      </c>
      <c r="R297" s="1">
        <v>84.620024125</v>
      </c>
      <c r="S297" s="1">
        <v>22.9</v>
      </c>
      <c r="T297" s="1">
        <v>37130.0</v>
      </c>
      <c r="U297" s="1">
        <v>40.347427956</v>
      </c>
      <c r="V297" s="1">
        <v>629.90730185</v>
      </c>
      <c r="W297" s="1">
        <v>18.012718601</v>
      </c>
      <c r="X297" s="1">
        <v>15.7390253729999</v>
      </c>
      <c r="Y297" s="1">
        <v>76.496100233</v>
      </c>
      <c r="Z297" s="1">
        <v>9.5</v>
      </c>
      <c r="AA297" s="1">
        <v>16.040452446</v>
      </c>
      <c r="AB297" s="1">
        <v>48308.0</v>
      </c>
      <c r="AC297" s="1">
        <v>65.259352405</v>
      </c>
      <c r="AD297" s="1">
        <v>64.311031649</v>
      </c>
      <c r="AE297" s="1">
        <v>16.1130993829999</v>
      </c>
      <c r="AF297" s="1">
        <v>1.8480382501</v>
      </c>
      <c r="AG297" s="1">
        <v>3.1194599144</v>
      </c>
      <c r="AH297" s="1">
        <v>1.0833945168</v>
      </c>
      <c r="AI297" s="1">
        <v>0.1784765623</v>
      </c>
      <c r="AJ297" s="1">
        <v>43.090450012</v>
      </c>
      <c r="AK297" s="1">
        <v>51.951005498</v>
      </c>
      <c r="AL297" s="1">
        <v>0.9480934936</v>
      </c>
      <c r="AM297" s="1">
        <v>50.721367644</v>
      </c>
      <c r="AN297" s="1">
        <v>14.153511502</v>
      </c>
      <c r="AO297" s="1">
        <v>22431.0</v>
      </c>
      <c r="AP297" s="1">
        <v>20.2</v>
      </c>
      <c r="AQ297" s="1">
        <v>9.7</v>
      </c>
      <c r="AR297" s="1">
        <v>11.8</v>
      </c>
      <c r="AS297" s="1">
        <v>16.9</v>
      </c>
      <c r="AT297" s="1">
        <v>23.4</v>
      </c>
      <c r="AU297" s="1">
        <v>18.4</v>
      </c>
      <c r="AV297" s="1">
        <v>47.3</v>
      </c>
      <c r="AW297" s="1">
        <v>1.3</v>
      </c>
      <c r="AX297" s="1">
        <v>0.8676</v>
      </c>
      <c r="AY297" s="1">
        <v>17.8</v>
      </c>
      <c r="AZ297" s="1">
        <v>14.1</v>
      </c>
      <c r="BA297" s="1">
        <v>19.1</v>
      </c>
      <c r="BB297" s="1">
        <v>3.0</v>
      </c>
      <c r="BC297" s="1" t="s">
        <v>534</v>
      </c>
      <c r="BD297" s="1">
        <v>10.3</v>
      </c>
      <c r="BE297" s="1">
        <v>29.1</v>
      </c>
      <c r="BF297" s="1">
        <v>38.8</v>
      </c>
      <c r="BG297" s="1">
        <v>21.8</v>
      </c>
      <c r="BH297" s="1" t="s">
        <v>629</v>
      </c>
    </row>
    <row r="298">
      <c r="A298" s="2">
        <v>8103.0</v>
      </c>
      <c r="B298" s="2" t="str">
        <f>IFERROR(__xludf.DUMMYFUNCTION("TO_TEXT(A298)"),"08103")</f>
        <v>08103</v>
      </c>
      <c r="C298" s="1">
        <v>6658.0</v>
      </c>
      <c r="D298" s="1">
        <v>3220.96910606563</v>
      </c>
      <c r="E298" s="1" t="s">
        <v>630</v>
      </c>
      <c r="F298" s="1" t="s">
        <v>631</v>
      </c>
      <c r="G298" s="1">
        <v>2.06707974549084</v>
      </c>
      <c r="H298" s="1">
        <v>12.574311527</v>
      </c>
      <c r="I298" s="1">
        <v>3.6668539504</v>
      </c>
      <c r="J298" s="1">
        <v>7.7071290944</v>
      </c>
      <c r="K298" s="1">
        <v>14.1335577559999</v>
      </c>
      <c r="L298" s="1">
        <v>25.9</v>
      </c>
      <c r="M298" s="1">
        <v>8.2</v>
      </c>
      <c r="N298" s="1">
        <v>18.9</v>
      </c>
      <c r="O298" s="1">
        <v>94.779477948</v>
      </c>
      <c r="P298" s="1">
        <v>9.1734260332</v>
      </c>
      <c r="Q298" s="1">
        <v>140.18692</v>
      </c>
      <c r="R298" s="1">
        <v>95.061728395</v>
      </c>
      <c r="S298" s="1">
        <v>12.0</v>
      </c>
      <c r="T298" s="1">
        <v>1657.0</v>
      </c>
      <c r="U298" s="1">
        <v>23.1744115869999</v>
      </c>
      <c r="V298" s="1">
        <v>96.740586397</v>
      </c>
      <c r="W298" s="1">
        <v>12.244897959</v>
      </c>
      <c r="X298" s="1">
        <v>9.44329896909999</v>
      </c>
      <c r="Y298" s="1">
        <v>80.152242323</v>
      </c>
      <c r="Z298" s="1">
        <v>3.9</v>
      </c>
      <c r="AA298" s="1">
        <v>2.3336726802</v>
      </c>
      <c r="AB298" s="1">
        <v>63411.0</v>
      </c>
      <c r="AC298" s="1">
        <v>32.615629984</v>
      </c>
      <c r="AD298" s="1">
        <v>69.954223887</v>
      </c>
      <c r="AE298" s="1">
        <v>8.7772925764</v>
      </c>
      <c r="AF298" s="1">
        <v>1.1679292929</v>
      </c>
      <c r="AG298" s="1">
        <v>1.5940656566</v>
      </c>
      <c r="AH298" s="1">
        <v>0.6628787879</v>
      </c>
      <c r="AI298" s="1">
        <v>0.110479798</v>
      </c>
      <c r="AJ298" s="1">
        <v>10.29040404</v>
      </c>
      <c r="AK298" s="1">
        <v>84.580176768</v>
      </c>
      <c r="AL298" s="1">
        <v>1.4228987426</v>
      </c>
      <c r="AM298" s="1">
        <v>48.910984848</v>
      </c>
      <c r="AN298" s="1">
        <v>100.0</v>
      </c>
      <c r="AO298" s="1">
        <v>27419.0</v>
      </c>
      <c r="AP298" s="1">
        <v>12.4</v>
      </c>
      <c r="AQ298" s="1">
        <v>4.3</v>
      </c>
      <c r="AR298" s="1">
        <v>8.2</v>
      </c>
      <c r="AS298" s="1">
        <v>13.6</v>
      </c>
      <c r="AT298" s="1">
        <v>24.4</v>
      </c>
      <c r="AU298" s="1">
        <v>9.9</v>
      </c>
      <c r="AV298" s="1">
        <v>12.2</v>
      </c>
      <c r="AW298" s="1">
        <v>0.8</v>
      </c>
      <c r="AX298" s="1">
        <v>0.2541</v>
      </c>
      <c r="AY298" s="1">
        <v>10.3</v>
      </c>
      <c r="AZ298" s="1">
        <v>11.0</v>
      </c>
      <c r="BA298" s="1">
        <v>16.0</v>
      </c>
      <c r="BB298" s="1">
        <v>3.43</v>
      </c>
      <c r="BC298" s="1" t="s">
        <v>534</v>
      </c>
      <c r="BD298" s="1">
        <v>8.1</v>
      </c>
      <c r="BE298" s="1">
        <v>31.5</v>
      </c>
      <c r="BF298" s="1">
        <v>37.6</v>
      </c>
      <c r="BG298" s="1">
        <v>22.7</v>
      </c>
      <c r="BH298" s="1" t="s">
        <v>631</v>
      </c>
    </row>
    <row r="299">
      <c r="A299" s="2">
        <v>8105.0</v>
      </c>
      <c r="B299" s="2" t="str">
        <f>IFERROR(__xludf.DUMMYFUNCTION("TO_TEXT(A299)"),"08105")</f>
        <v>08105</v>
      </c>
      <c r="C299" s="1">
        <v>11623.0</v>
      </c>
      <c r="D299" s="1">
        <v>911.955971805588</v>
      </c>
      <c r="E299" s="1" t="s">
        <v>632</v>
      </c>
      <c r="F299" s="1" t="s">
        <v>633</v>
      </c>
      <c r="G299" s="1">
        <v>12.745132834634</v>
      </c>
      <c r="H299" s="1">
        <v>17.289462827</v>
      </c>
      <c r="I299" s="1">
        <v>3.8634622277</v>
      </c>
      <c r="J299" s="1">
        <v>11.7277486909999</v>
      </c>
      <c r="K299" s="1">
        <v>14.193381545</v>
      </c>
      <c r="L299" s="1">
        <v>27.5</v>
      </c>
      <c r="M299" s="1">
        <v>8.4</v>
      </c>
      <c r="N299" s="1">
        <v>21.2</v>
      </c>
      <c r="O299" s="1">
        <v>78.350859623</v>
      </c>
      <c r="P299" s="1">
        <v>13.609734114</v>
      </c>
      <c r="Q299" s="1">
        <v>115.03407</v>
      </c>
      <c r="R299" s="1">
        <v>85.333333333</v>
      </c>
      <c r="S299" s="1">
        <v>23.4</v>
      </c>
      <c r="T299" s="1">
        <v>2653.0</v>
      </c>
      <c r="U299" s="1">
        <v>25.744440256</v>
      </c>
      <c r="V299" s="1">
        <v>200.85582045</v>
      </c>
      <c r="W299" s="1">
        <v>17.139737991</v>
      </c>
      <c r="X299" s="1">
        <v>11.2461334509999</v>
      </c>
      <c r="Y299" s="1">
        <v>76.446730754</v>
      </c>
      <c r="Z299" s="1">
        <v>7.9</v>
      </c>
      <c r="AA299" s="1">
        <v>5.3681933528</v>
      </c>
      <c r="AB299" s="1">
        <v>44171.0</v>
      </c>
      <c r="AC299" s="1">
        <v>58.324715615</v>
      </c>
      <c r="AD299" s="1">
        <v>66.207815275</v>
      </c>
      <c r="AE299" s="1">
        <v>14.0917603</v>
      </c>
      <c r="AF299" s="1">
        <v>0.6222222222</v>
      </c>
      <c r="AG299" s="1">
        <v>3.4488888889</v>
      </c>
      <c r="AH299" s="1">
        <v>0.6311111111</v>
      </c>
      <c r="AI299" s="1">
        <v>0.0711111111</v>
      </c>
      <c r="AJ299" s="1">
        <v>43.982222222</v>
      </c>
      <c r="AK299" s="1">
        <v>52.453333333</v>
      </c>
      <c r="AL299" s="1">
        <v>3.6779883655</v>
      </c>
      <c r="AM299" s="1">
        <v>50.008888889</v>
      </c>
      <c r="AN299" s="1">
        <v>62.535469871</v>
      </c>
      <c r="AO299" s="1">
        <v>22918.0</v>
      </c>
      <c r="AP299" s="1">
        <v>19.2</v>
      </c>
      <c r="AQ299" s="1">
        <v>9.4</v>
      </c>
      <c r="AR299" s="1">
        <v>16.6</v>
      </c>
      <c r="AS299" s="1">
        <v>18.3</v>
      </c>
      <c r="AT299" s="1">
        <v>24.0</v>
      </c>
      <c r="AU299" s="1">
        <v>15.7</v>
      </c>
      <c r="AV299" s="1">
        <v>47.2</v>
      </c>
      <c r="AW299" s="1">
        <v>3.5</v>
      </c>
      <c r="AX299" s="1">
        <v>0.9223</v>
      </c>
      <c r="AY299" s="1">
        <v>14.4</v>
      </c>
      <c r="AZ299" s="1">
        <v>13.6</v>
      </c>
      <c r="BA299" s="1">
        <v>18.1</v>
      </c>
      <c r="BB299" s="1">
        <v>3.43</v>
      </c>
      <c r="BC299" s="1" t="s">
        <v>534</v>
      </c>
      <c r="BD299" s="1">
        <v>13.0</v>
      </c>
      <c r="BE299" s="1">
        <v>32.1</v>
      </c>
      <c r="BF299" s="1">
        <v>30.5</v>
      </c>
      <c r="BG299" s="1">
        <v>24.5</v>
      </c>
      <c r="BH299" s="1" t="s">
        <v>633</v>
      </c>
    </row>
    <row r="300">
      <c r="A300" s="2">
        <v>8107.0</v>
      </c>
      <c r="B300" s="2" t="str">
        <f>IFERROR(__xludf.DUMMYFUNCTION("TO_TEXT(A300)"),"08107")</f>
        <v>08107</v>
      </c>
      <c r="C300" s="1">
        <v>23980.0</v>
      </c>
      <c r="D300" s="1">
        <v>2362.01866779136</v>
      </c>
      <c r="E300" s="1" t="s">
        <v>634</v>
      </c>
      <c r="F300" s="1" t="s">
        <v>635</v>
      </c>
      <c r="G300" s="1">
        <v>10.1523329713659</v>
      </c>
      <c r="H300" s="1">
        <v>10.959992734</v>
      </c>
      <c r="I300" s="1">
        <v>3.6686373534</v>
      </c>
      <c r="J300" s="1">
        <v>8.4516565247</v>
      </c>
      <c r="K300" s="1">
        <v>14.35470545</v>
      </c>
      <c r="L300" s="1">
        <v>15.6</v>
      </c>
      <c r="M300" s="1">
        <v>8.1</v>
      </c>
      <c r="N300" s="1">
        <v>10.2</v>
      </c>
      <c r="O300" s="1">
        <v>86.379684376</v>
      </c>
      <c r="P300" s="1">
        <v>8.4615744422</v>
      </c>
      <c r="Q300" s="1">
        <v>122.91832</v>
      </c>
      <c r="R300" s="1">
        <v>92.9961089489999</v>
      </c>
      <c r="S300" s="1">
        <v>7.3</v>
      </c>
      <c r="T300" s="1">
        <v>4597.0</v>
      </c>
      <c r="U300" s="1">
        <v>18.2510332829999</v>
      </c>
      <c r="V300" s="1">
        <v>159.39811273</v>
      </c>
      <c r="W300" s="1">
        <v>19.130895601</v>
      </c>
      <c r="X300" s="1">
        <v>17.725573946</v>
      </c>
      <c r="Y300" s="1">
        <v>83.337153109</v>
      </c>
      <c r="Z300" s="1">
        <v>3.2</v>
      </c>
      <c r="AA300" s="1">
        <v>5.3101406437</v>
      </c>
      <c r="AB300" s="1">
        <v>81033.0</v>
      </c>
      <c r="AC300" s="1">
        <v>21.551960515</v>
      </c>
      <c r="AD300" s="1">
        <v>70.445979899</v>
      </c>
      <c r="AE300" s="1">
        <v>14.819686507</v>
      </c>
      <c r="AF300" s="1">
        <v>0.8665915362</v>
      </c>
      <c r="AG300" s="1">
        <v>0.6295418334</v>
      </c>
      <c r="AH300" s="1">
        <v>0.920996386</v>
      </c>
      <c r="AI300" s="1">
        <v>0.1010375782</v>
      </c>
      <c r="AJ300" s="1">
        <v>7.0259977461</v>
      </c>
      <c r="AK300" s="1">
        <v>89.585357323</v>
      </c>
      <c r="AL300" s="1">
        <v>1.5952980688</v>
      </c>
      <c r="AM300" s="1">
        <v>47.930672677</v>
      </c>
      <c r="AN300" s="1">
        <v>45.178442299</v>
      </c>
      <c r="AO300" s="1">
        <v>36692.0</v>
      </c>
      <c r="AP300" s="1">
        <v>10.2</v>
      </c>
      <c r="AQ300" s="1">
        <v>4.1</v>
      </c>
      <c r="AR300" s="1">
        <v>3.5</v>
      </c>
      <c r="AS300" s="1">
        <v>11.9</v>
      </c>
      <c r="AT300" s="1">
        <v>19.1</v>
      </c>
      <c r="AU300" s="1">
        <v>5.7</v>
      </c>
      <c r="AV300" s="1">
        <v>10.1</v>
      </c>
      <c r="AW300" s="1">
        <v>2.4</v>
      </c>
      <c r="AX300" s="1">
        <v>0.0528</v>
      </c>
      <c r="AY300" s="1">
        <v>7.2</v>
      </c>
      <c r="AZ300" s="1">
        <v>8.7</v>
      </c>
      <c r="BA300" s="1">
        <v>10.2</v>
      </c>
      <c r="BB300" s="1">
        <v>4.24</v>
      </c>
      <c r="BC300" s="1" t="s">
        <v>534</v>
      </c>
      <c r="BD300" s="1">
        <v>3.2</v>
      </c>
      <c r="BE300" s="1">
        <v>20.2</v>
      </c>
      <c r="BF300" s="1">
        <v>26.8</v>
      </c>
      <c r="BG300" s="1">
        <v>49.8</v>
      </c>
      <c r="BH300" s="1" t="s">
        <v>635</v>
      </c>
    </row>
    <row r="301">
      <c r="A301" s="2">
        <v>8109.0</v>
      </c>
      <c r="B301" s="2" t="str">
        <f>IFERROR(__xludf.DUMMYFUNCTION("TO_TEXT(A301)"),"08109")</f>
        <v>08109</v>
      </c>
      <c r="C301" s="1">
        <v>6255.0</v>
      </c>
      <c r="D301" s="1">
        <v>3168.56448431252</v>
      </c>
      <c r="E301" s="1" t="s">
        <v>636</v>
      </c>
      <c r="F301" s="1" t="s">
        <v>637</v>
      </c>
      <c r="G301" s="1">
        <v>1.97408007031838</v>
      </c>
      <c r="H301" s="1">
        <v>20.974047889</v>
      </c>
      <c r="I301" s="1">
        <v>4.39374335029999</v>
      </c>
      <c r="J301" s="1">
        <v>14.31670282</v>
      </c>
      <c r="K301" s="1">
        <v>17.560154882</v>
      </c>
      <c r="L301" s="1">
        <v>29.0</v>
      </c>
      <c r="M301" s="1">
        <v>7.8</v>
      </c>
      <c r="N301" s="1">
        <v>23.9</v>
      </c>
      <c r="O301" s="1">
        <v>48.428290766</v>
      </c>
      <c r="P301" s="1">
        <v>16.948814977</v>
      </c>
      <c r="Q301" s="1">
        <v>15.09206</v>
      </c>
      <c r="R301" s="1">
        <v>68.333333333</v>
      </c>
      <c r="S301" s="1">
        <v>37.0</v>
      </c>
      <c r="T301" s="1">
        <v>1412.0</v>
      </c>
      <c r="U301" s="1">
        <v>22.23796034</v>
      </c>
      <c r="V301" s="1">
        <v>175.50857599</v>
      </c>
      <c r="W301" s="1">
        <v>16.798418972</v>
      </c>
      <c r="X301" s="1">
        <v>11.177644711</v>
      </c>
      <c r="Y301" s="1">
        <v>78.754718547</v>
      </c>
      <c r="Z301" s="1">
        <v>13.9</v>
      </c>
      <c r="AA301" s="1">
        <v>9.559264546</v>
      </c>
      <c r="AB301" s="1">
        <v>36869.0</v>
      </c>
      <c r="AC301" s="1">
        <v>89.968976215</v>
      </c>
      <c r="AD301" s="1">
        <v>74.933837429</v>
      </c>
      <c r="AE301" s="1">
        <v>14.199273901</v>
      </c>
      <c r="AF301" s="1">
        <v>0.8037410492</v>
      </c>
      <c r="AG301" s="1">
        <v>3.5218471431</v>
      </c>
      <c r="AH301" s="1">
        <v>0.876808417399999</v>
      </c>
      <c r="AI301" s="1">
        <v>0.0438404209</v>
      </c>
      <c r="AJ301" s="1">
        <v>35.905304691</v>
      </c>
      <c r="AK301" s="1">
        <v>58.804617858</v>
      </c>
      <c r="AL301" s="1">
        <v>5.031753786</v>
      </c>
      <c r="AM301" s="1">
        <v>49.934239369</v>
      </c>
      <c r="AN301" s="1">
        <v>100.0</v>
      </c>
      <c r="AO301" s="1">
        <v>21356.0</v>
      </c>
      <c r="AP301" s="1">
        <v>22.6</v>
      </c>
      <c r="AQ301" s="1">
        <v>7.7</v>
      </c>
      <c r="AR301" s="1">
        <v>19.2</v>
      </c>
      <c r="AS301" s="1">
        <v>18.3</v>
      </c>
      <c r="AT301" s="1">
        <v>23.0</v>
      </c>
      <c r="AU301" s="1">
        <v>16.7</v>
      </c>
      <c r="AV301" s="1">
        <v>42.5</v>
      </c>
      <c r="AW301" s="1">
        <v>5.2</v>
      </c>
      <c r="AX301" s="1">
        <v>0.7186</v>
      </c>
      <c r="AY301" s="1">
        <v>25.4</v>
      </c>
      <c r="AZ301" s="1">
        <v>13.0</v>
      </c>
      <c r="BA301" s="1">
        <v>17.4</v>
      </c>
      <c r="BB301" s="1">
        <v>3.43</v>
      </c>
      <c r="BC301" s="1" t="s">
        <v>534</v>
      </c>
      <c r="BD301" s="1">
        <v>16.9</v>
      </c>
      <c r="BE301" s="1">
        <v>30.5</v>
      </c>
      <c r="BF301" s="1">
        <v>30.4</v>
      </c>
      <c r="BG301" s="1">
        <v>22.1</v>
      </c>
      <c r="BH301" s="1" t="s">
        <v>637</v>
      </c>
    </row>
    <row r="302">
      <c r="A302" s="2">
        <v>8111.0</v>
      </c>
      <c r="B302" s="2" t="str">
        <f>IFERROR(__xludf.DUMMYFUNCTION("TO_TEXT(A302)"),"08111")</f>
        <v>08111</v>
      </c>
      <c r="C302" s="1">
        <v>552.0</v>
      </c>
      <c r="D302" s="1">
        <v>387.515365367302</v>
      </c>
      <c r="E302" s="1" t="s">
        <v>638</v>
      </c>
      <c r="F302" s="1" t="s">
        <v>639</v>
      </c>
      <c r="G302" s="1">
        <v>1.42445964555958</v>
      </c>
      <c r="H302" s="1">
        <v>15.05190653</v>
      </c>
      <c r="I302" s="1">
        <v>3.9083514674</v>
      </c>
      <c r="J302" s="1">
        <v>7.80443539465</v>
      </c>
      <c r="K302" s="1">
        <v>16.019892247</v>
      </c>
      <c r="L302" s="1">
        <v>24.8</v>
      </c>
      <c r="M302" s="1">
        <v>5.4</v>
      </c>
      <c r="N302" s="1">
        <v>21.3</v>
      </c>
      <c r="O302" s="1">
        <v>99.713876967</v>
      </c>
      <c r="P302" s="1">
        <v>8.5766423358</v>
      </c>
      <c r="Q302" s="1">
        <v>139.86014</v>
      </c>
      <c r="R302" s="1">
        <v>89.912280702</v>
      </c>
      <c r="S302" s="1">
        <v>20.4</v>
      </c>
      <c r="T302" s="1">
        <v>69.0</v>
      </c>
      <c r="U302" s="1">
        <v>17.391304348</v>
      </c>
      <c r="V302" s="1">
        <v>71.83908046</v>
      </c>
      <c r="W302" s="1">
        <v>15.789473684</v>
      </c>
      <c r="X302" s="1">
        <v>14.035087719</v>
      </c>
      <c r="Y302" s="1">
        <v>77.482572377</v>
      </c>
      <c r="Z302" s="1">
        <v>4.3</v>
      </c>
      <c r="AA302" s="1">
        <v>41.1865261959999</v>
      </c>
      <c r="AB302" s="1">
        <v>46878.0</v>
      </c>
      <c r="AC302" s="1">
        <v>64.705882353</v>
      </c>
      <c r="AD302" s="1">
        <v>66.917293233</v>
      </c>
      <c r="AE302" s="1">
        <v>11.654135338</v>
      </c>
      <c r="AF302" s="1">
        <v>0.1312335958</v>
      </c>
      <c r="AG302" s="1">
        <v>0.9186351706</v>
      </c>
      <c r="AH302" s="1">
        <v>0.7874015748</v>
      </c>
      <c r="AI302" s="1">
        <v>0.0</v>
      </c>
      <c r="AJ302" s="1">
        <v>12.335958005</v>
      </c>
      <c r="AK302" s="1">
        <v>83.858267717</v>
      </c>
      <c r="AL302" s="1">
        <v>0.7561436673</v>
      </c>
      <c r="AM302" s="1">
        <v>43.963254593</v>
      </c>
      <c r="AN302" s="1">
        <v>100.0</v>
      </c>
      <c r="AO302" s="1">
        <v>29427.0</v>
      </c>
      <c r="AP302" s="1">
        <v>3.8</v>
      </c>
      <c r="AQ302" s="1">
        <v>10.3</v>
      </c>
      <c r="AR302" s="1">
        <v>4.6</v>
      </c>
      <c r="AS302" s="1">
        <v>17.0</v>
      </c>
      <c r="AT302" s="1">
        <v>10.1</v>
      </c>
      <c r="AU302" s="1">
        <v>12.3</v>
      </c>
      <c r="AV302" s="1">
        <v>24.1</v>
      </c>
      <c r="AW302" s="1">
        <v>0.0</v>
      </c>
      <c r="AX302" s="1">
        <v>0.0408</v>
      </c>
      <c r="AY302" s="1">
        <v>13.7</v>
      </c>
      <c r="AZ302" s="1">
        <v>9.5</v>
      </c>
      <c r="BA302" s="1">
        <v>18.5</v>
      </c>
      <c r="BB302" s="1">
        <v>3.76</v>
      </c>
      <c r="BC302" s="1" t="s">
        <v>534</v>
      </c>
      <c r="BD302" s="1">
        <v>6.2</v>
      </c>
      <c r="BE302" s="1">
        <v>25.8</v>
      </c>
      <c r="BF302" s="1">
        <v>32.4</v>
      </c>
      <c r="BG302" s="1">
        <v>35.7</v>
      </c>
      <c r="BH302" s="1" t="s">
        <v>639</v>
      </c>
    </row>
    <row r="303">
      <c r="A303" s="2">
        <v>8113.0</v>
      </c>
      <c r="B303" s="2" t="str">
        <f>IFERROR(__xludf.DUMMYFUNCTION("TO_TEXT(A303)"),"08113")</f>
        <v>08113</v>
      </c>
      <c r="C303" s="1">
        <v>7767.0</v>
      </c>
      <c r="D303" s="1">
        <v>1286.72588930255</v>
      </c>
      <c r="E303" s="1" t="s">
        <v>640</v>
      </c>
      <c r="F303" s="1" t="s">
        <v>641</v>
      </c>
      <c r="G303" s="1">
        <v>6.03625066113342</v>
      </c>
      <c r="H303" s="1">
        <v>11.99361551</v>
      </c>
      <c r="I303" s="1">
        <v>3.5701230497</v>
      </c>
      <c r="J303" s="1">
        <v>9.07127429809999</v>
      </c>
      <c r="K303" s="1">
        <v>14.3749448259999</v>
      </c>
      <c r="L303" s="1">
        <v>18.8</v>
      </c>
      <c r="M303" s="1">
        <v>8.3</v>
      </c>
      <c r="N303" s="1">
        <v>15.2</v>
      </c>
      <c r="O303" s="1">
        <v>82.11713548</v>
      </c>
      <c r="P303" s="1">
        <v>11.819641033</v>
      </c>
      <c r="Q303" s="1">
        <v>75.31066</v>
      </c>
      <c r="R303" s="1">
        <v>97.4025974029999</v>
      </c>
      <c r="S303" s="1">
        <v>9.8</v>
      </c>
      <c r="T303" s="1">
        <v>1461.0</v>
      </c>
      <c r="U303" s="1">
        <v>26.0780287469999</v>
      </c>
      <c r="V303" s="1">
        <v>114.0034201</v>
      </c>
      <c r="W303" s="1">
        <v>29.754601227</v>
      </c>
      <c r="X303" s="1">
        <v>23.875539125</v>
      </c>
      <c r="Y303" s="1">
        <v>104.74014539</v>
      </c>
      <c r="Z303" s="1">
        <v>1.8</v>
      </c>
      <c r="AA303" s="1">
        <v>1.948093739</v>
      </c>
      <c r="AB303" s="1">
        <v>69458.0</v>
      </c>
      <c r="AC303" s="1">
        <v>27.3444347059999</v>
      </c>
      <c r="AD303" s="1">
        <v>60.476605638</v>
      </c>
      <c r="AE303" s="1">
        <v>22.2386296519999</v>
      </c>
      <c r="AF303" s="1">
        <v>0.561591991199999</v>
      </c>
      <c r="AG303" s="1">
        <v>1.3551458918</v>
      </c>
      <c r="AH303" s="1">
        <v>0.9156391161</v>
      </c>
      <c r="AI303" s="1">
        <v>0.0610426077</v>
      </c>
      <c r="AJ303" s="1">
        <v>10.694664876</v>
      </c>
      <c r="AK303" s="1">
        <v>85.935783177</v>
      </c>
      <c r="AL303" s="1">
        <v>1.2813807531</v>
      </c>
      <c r="AM303" s="1">
        <v>46.783054572</v>
      </c>
      <c r="AN303" s="1">
        <v>100.0</v>
      </c>
      <c r="AO303" s="1">
        <v>35701.0</v>
      </c>
      <c r="AP303" s="1">
        <v>11.9</v>
      </c>
      <c r="AQ303" s="1">
        <v>4.3</v>
      </c>
      <c r="AR303" s="1">
        <v>6.8</v>
      </c>
      <c r="AS303" s="1">
        <v>10.5</v>
      </c>
      <c r="AT303" s="1">
        <v>19.2</v>
      </c>
      <c r="AU303" s="1">
        <v>9.3</v>
      </c>
      <c r="AV303" s="1">
        <v>13.0</v>
      </c>
      <c r="AW303" s="1">
        <v>0.6</v>
      </c>
      <c r="AX303" s="1">
        <v>0.0595</v>
      </c>
      <c r="AY303" s="1">
        <v>9.9</v>
      </c>
      <c r="AZ303" s="1">
        <v>9.6</v>
      </c>
      <c r="BA303" s="1">
        <v>11.2</v>
      </c>
      <c r="BB303" s="1">
        <v>3.36</v>
      </c>
      <c r="BC303" s="1" t="s">
        <v>534</v>
      </c>
      <c r="BD303" s="1">
        <v>3.2</v>
      </c>
      <c r="BE303" s="1">
        <v>15.3</v>
      </c>
      <c r="BF303" s="1">
        <v>22.1</v>
      </c>
      <c r="BG303" s="1">
        <v>59.4</v>
      </c>
      <c r="BH303" s="1" t="s">
        <v>641</v>
      </c>
    </row>
    <row r="304">
      <c r="A304" s="2">
        <v>8115.0</v>
      </c>
      <c r="B304" s="2" t="str">
        <f>IFERROR(__xludf.DUMMYFUNCTION("TO_TEXT(A304)"),"08115")</f>
        <v>08115</v>
      </c>
      <c r="C304" s="1">
        <v>2367.0</v>
      </c>
      <c r="D304" s="1">
        <v>548.040564159056</v>
      </c>
      <c r="E304" s="1" t="s">
        <v>642</v>
      </c>
      <c r="F304" s="1" t="s">
        <v>643</v>
      </c>
      <c r="G304" s="1">
        <v>4.31902336213389</v>
      </c>
      <c r="H304" s="1">
        <v>14.63173681</v>
      </c>
      <c r="I304" s="1">
        <v>3.8649523653</v>
      </c>
      <c r="J304" s="1">
        <v>6.02409638549999</v>
      </c>
      <c r="K304" s="1">
        <v>13.858229967</v>
      </c>
      <c r="L304" s="1">
        <v>26.9</v>
      </c>
      <c r="M304" s="1">
        <v>7.9</v>
      </c>
      <c r="N304" s="1">
        <v>26.4</v>
      </c>
      <c r="O304" s="1">
        <v>62.5052543089999</v>
      </c>
      <c r="P304" s="1">
        <v>12.1071012809999</v>
      </c>
      <c r="Q304" s="1">
        <v>42.66212</v>
      </c>
      <c r="R304" s="1">
        <v>69.662921348</v>
      </c>
      <c r="S304" s="1">
        <v>25.9</v>
      </c>
      <c r="T304" s="1">
        <v>521.0</v>
      </c>
      <c r="U304" s="1">
        <v>38.387715931</v>
      </c>
      <c r="V304" s="1">
        <v>337.55274262</v>
      </c>
      <c r="W304" s="1">
        <v>11.881188119</v>
      </c>
      <c r="X304" s="1">
        <v>9.3373493976</v>
      </c>
      <c r="Y304" s="1">
        <v>79.099246944</v>
      </c>
      <c r="Z304" s="1">
        <v>11.3</v>
      </c>
      <c r="AA304" s="1">
        <v>4.9324630692</v>
      </c>
      <c r="AB304" s="1">
        <v>40009.0</v>
      </c>
      <c r="AC304" s="1">
        <v>54.31711146</v>
      </c>
      <c r="AD304" s="1">
        <v>71.5830875119999</v>
      </c>
      <c r="AE304" s="1">
        <v>10.710607621</v>
      </c>
      <c r="AF304" s="1">
        <v>0.7381676075</v>
      </c>
      <c r="AG304" s="1">
        <v>1.1723838472</v>
      </c>
      <c r="AH304" s="1">
        <v>1.432913591</v>
      </c>
      <c r="AI304" s="1">
        <v>0.2171081198</v>
      </c>
      <c r="AJ304" s="1">
        <v>16.673903604</v>
      </c>
      <c r="AK304" s="1">
        <v>79.678679983</v>
      </c>
      <c r="AL304" s="1">
        <v>0.8652094718</v>
      </c>
      <c r="AM304" s="1">
        <v>50.629613548</v>
      </c>
      <c r="AN304" s="1">
        <v>100.0</v>
      </c>
      <c r="AO304" s="1">
        <v>24247.0</v>
      </c>
      <c r="AP304" s="1">
        <v>14.7</v>
      </c>
      <c r="AQ304" s="1">
        <v>8.4</v>
      </c>
      <c r="AR304" s="1">
        <v>8.8</v>
      </c>
      <c r="AS304" s="1">
        <v>25.8</v>
      </c>
      <c r="AT304" s="1">
        <v>20.1</v>
      </c>
      <c r="AU304" s="1">
        <v>14.6</v>
      </c>
      <c r="AV304" s="1">
        <v>20.0</v>
      </c>
      <c r="AW304" s="1">
        <v>0.6</v>
      </c>
      <c r="AX304" s="1">
        <v>0.4766</v>
      </c>
      <c r="AY304" s="1">
        <v>14.6</v>
      </c>
      <c r="AZ304" s="1">
        <v>12.7</v>
      </c>
      <c r="BA304" s="1">
        <v>18.2</v>
      </c>
      <c r="BB304" s="1">
        <v>3.16</v>
      </c>
      <c r="BC304" s="1" t="s">
        <v>534</v>
      </c>
      <c r="BD304" s="1">
        <v>13.0</v>
      </c>
      <c r="BE304" s="1">
        <v>29.1</v>
      </c>
      <c r="BF304" s="1">
        <v>38.4</v>
      </c>
      <c r="BG304" s="1">
        <v>19.5</v>
      </c>
      <c r="BH304" s="1" t="s">
        <v>643</v>
      </c>
    </row>
    <row r="305">
      <c r="A305" s="2">
        <v>8117.0</v>
      </c>
      <c r="B305" s="2" t="str">
        <f>IFERROR(__xludf.DUMMYFUNCTION("TO_TEXT(A305)"),"08117")</f>
        <v>08117</v>
      </c>
      <c r="C305" s="1">
        <v>29269.0</v>
      </c>
      <c r="D305" s="1">
        <v>608.337770254378</v>
      </c>
      <c r="E305" s="1" t="s">
        <v>644</v>
      </c>
      <c r="F305" s="1" t="s">
        <v>645</v>
      </c>
      <c r="G305" s="1">
        <v>48.1130737415188</v>
      </c>
      <c r="H305" s="1">
        <v>10.8598035259999</v>
      </c>
      <c r="I305" s="1">
        <v>3.3661081867</v>
      </c>
      <c r="J305" s="1">
        <v>12.525773196</v>
      </c>
      <c r="K305" s="1">
        <v>13.712538017</v>
      </c>
      <c r="L305" s="1">
        <v>15.9</v>
      </c>
      <c r="M305" s="1">
        <v>8.3</v>
      </c>
      <c r="N305" s="1">
        <v>10.8</v>
      </c>
      <c r="O305" s="1">
        <v>100.0</v>
      </c>
      <c r="P305" s="1">
        <v>11.0537229029999</v>
      </c>
      <c r="Q305" s="1">
        <v>62.12196</v>
      </c>
      <c r="R305" s="1">
        <v>94.95412844</v>
      </c>
      <c r="S305" s="1">
        <v>7.1</v>
      </c>
      <c r="T305" s="1">
        <v>5011.0</v>
      </c>
      <c r="U305" s="1">
        <v>22.849730593</v>
      </c>
      <c r="V305" s="1">
        <v>175.97667052</v>
      </c>
      <c r="W305" s="1">
        <v>23.571796191</v>
      </c>
      <c r="X305" s="1">
        <v>18.972746331</v>
      </c>
      <c r="Y305" s="1">
        <v>96.7530669929999</v>
      </c>
      <c r="Z305" s="1">
        <v>3.2</v>
      </c>
      <c r="AA305" s="1">
        <v>6.5519517864</v>
      </c>
      <c r="AB305" s="1">
        <v>80078.0</v>
      </c>
      <c r="AC305" s="1">
        <v>32.767260579</v>
      </c>
      <c r="AD305" s="1">
        <v>66.096631297</v>
      </c>
      <c r="AE305" s="1">
        <v>18.276818085</v>
      </c>
      <c r="AF305" s="1">
        <v>1.0191247138</v>
      </c>
      <c r="AG305" s="1">
        <v>0.8159447867</v>
      </c>
      <c r="AH305" s="1">
        <v>1.2868062051</v>
      </c>
      <c r="AI305" s="1">
        <v>0.1193278937</v>
      </c>
      <c r="AJ305" s="1">
        <v>14.577353501</v>
      </c>
      <c r="AK305" s="1">
        <v>81.78475828</v>
      </c>
      <c r="AL305" s="1">
        <v>3.6299323466</v>
      </c>
      <c r="AM305" s="1">
        <v>45.7670848519999</v>
      </c>
      <c r="AN305" s="1">
        <v>19.518468243</v>
      </c>
      <c r="AO305" s="1">
        <v>36545.0</v>
      </c>
      <c r="AP305" s="1">
        <v>12.1</v>
      </c>
      <c r="AQ305" s="1">
        <v>4.3</v>
      </c>
      <c r="AR305" s="1">
        <v>5.3</v>
      </c>
      <c r="AS305" s="1">
        <v>10.4</v>
      </c>
      <c r="AT305" s="1">
        <v>16.7</v>
      </c>
      <c r="AU305" s="1">
        <v>6.4</v>
      </c>
      <c r="AV305" s="1">
        <v>18.6</v>
      </c>
      <c r="AW305" s="1">
        <v>3.6</v>
      </c>
      <c r="AX305" s="1">
        <v>0.072</v>
      </c>
      <c r="AY305" s="1">
        <v>6.4</v>
      </c>
      <c r="AZ305" s="1">
        <v>8.4</v>
      </c>
      <c r="BA305" s="1">
        <v>10.0</v>
      </c>
      <c r="BB305" s="1">
        <v>4.44</v>
      </c>
      <c r="BC305" s="1" t="s">
        <v>534</v>
      </c>
      <c r="BD305" s="1">
        <v>7.1</v>
      </c>
      <c r="BE305" s="1">
        <v>18.0</v>
      </c>
      <c r="BF305" s="1">
        <v>22.6</v>
      </c>
      <c r="BG305" s="1">
        <v>52.4</v>
      </c>
      <c r="BH305" s="1" t="s">
        <v>645</v>
      </c>
    </row>
    <row r="306">
      <c r="A306" s="2">
        <v>8119.0</v>
      </c>
      <c r="B306" s="2" t="str">
        <f>IFERROR(__xludf.DUMMYFUNCTION("TO_TEXT(A306)"),"08119")</f>
        <v>08119</v>
      </c>
      <c r="C306" s="1">
        <v>23472.0</v>
      </c>
      <c r="D306" s="1">
        <v>557.042572443664</v>
      </c>
      <c r="E306" s="1" t="s">
        <v>646</v>
      </c>
      <c r="F306" s="1" t="s">
        <v>647</v>
      </c>
      <c r="G306" s="1">
        <v>42.1368153192166</v>
      </c>
      <c r="H306" s="1">
        <v>10.475556645</v>
      </c>
      <c r="I306" s="1">
        <v>3.4988687894</v>
      </c>
      <c r="J306" s="1">
        <v>12.460063898</v>
      </c>
      <c r="K306" s="1">
        <v>12.294382438</v>
      </c>
      <c r="L306" s="1">
        <v>21.0</v>
      </c>
      <c r="M306" s="1">
        <v>8.7</v>
      </c>
      <c r="N306" s="1">
        <v>15.3</v>
      </c>
      <c r="O306" s="1">
        <v>81.730192719</v>
      </c>
      <c r="P306" s="1">
        <v>8.1806451613</v>
      </c>
      <c r="Q306" s="1">
        <v>48.68944</v>
      </c>
      <c r="R306" s="1">
        <v>83.111111111</v>
      </c>
      <c r="S306" s="1">
        <v>12.5</v>
      </c>
      <c r="T306" s="1">
        <v>4274.0</v>
      </c>
      <c r="U306" s="1">
        <v>27.4216190919999</v>
      </c>
      <c r="V306" s="1">
        <v>242.00111363</v>
      </c>
      <c r="W306" s="1">
        <v>14.293032787</v>
      </c>
      <c r="X306" s="1">
        <v>11.474226804</v>
      </c>
      <c r="Y306" s="1">
        <v>81.345857299</v>
      </c>
      <c r="Z306" s="1">
        <v>6.5</v>
      </c>
      <c r="AA306" s="1">
        <v>1.7797098552</v>
      </c>
      <c r="AB306" s="1">
        <v>64850.0</v>
      </c>
      <c r="AC306" s="1">
        <v>35.099337748</v>
      </c>
      <c r="AD306" s="1">
        <v>80.938819601</v>
      </c>
      <c r="AE306" s="1">
        <v>11.362952562</v>
      </c>
      <c r="AF306" s="1">
        <v>0.8252601363</v>
      </c>
      <c r="AG306" s="1">
        <v>1.3674600327</v>
      </c>
      <c r="AH306" s="1">
        <v>0.9807439302</v>
      </c>
      <c r="AI306" s="1">
        <v>0.1196029183</v>
      </c>
      <c r="AJ306" s="1">
        <v>6.7575648846</v>
      </c>
      <c r="AK306" s="1">
        <v>88.482238967</v>
      </c>
      <c r="AL306" s="1">
        <v>0.475470067</v>
      </c>
      <c r="AM306" s="1">
        <v>49.232547941</v>
      </c>
      <c r="AN306" s="1">
        <v>62.60385439</v>
      </c>
      <c r="AO306" s="1">
        <v>34230.0</v>
      </c>
      <c r="AP306" s="1">
        <v>7.5</v>
      </c>
      <c r="AQ306" s="1">
        <v>7.2</v>
      </c>
      <c r="AR306" s="1">
        <v>5.6</v>
      </c>
      <c r="AS306" s="1">
        <v>17.8</v>
      </c>
      <c r="AT306" s="1">
        <v>18.6</v>
      </c>
      <c r="AU306" s="1">
        <v>13.8</v>
      </c>
      <c r="AV306" s="1">
        <v>10.3</v>
      </c>
      <c r="AW306" s="1">
        <v>0.4</v>
      </c>
      <c r="AX306" s="1">
        <v>0.0484</v>
      </c>
      <c r="AY306" s="1">
        <v>7.9</v>
      </c>
      <c r="AZ306" s="1">
        <v>10.0</v>
      </c>
      <c r="BA306" s="1">
        <v>14.0</v>
      </c>
      <c r="BB306" s="1">
        <v>3.49</v>
      </c>
      <c r="BC306" s="1" t="s">
        <v>534</v>
      </c>
      <c r="BD306" s="1">
        <v>2.8</v>
      </c>
      <c r="BE306" s="1">
        <v>23.2</v>
      </c>
      <c r="BF306" s="1">
        <v>36.3</v>
      </c>
      <c r="BG306" s="1">
        <v>37.7</v>
      </c>
      <c r="BH306" s="1" t="s">
        <v>647</v>
      </c>
    </row>
    <row r="307">
      <c r="A307" s="2">
        <v>8121.0</v>
      </c>
      <c r="B307" s="2" t="str">
        <f>IFERROR(__xludf.DUMMYFUNCTION("TO_TEXT(A307)"),"08121")</f>
        <v>08121</v>
      </c>
      <c r="C307" s="1">
        <v>4814.0</v>
      </c>
      <c r="D307" s="1">
        <v>2518.08264446038</v>
      </c>
      <c r="E307" s="1" t="s">
        <v>188</v>
      </c>
      <c r="F307" s="1" t="s">
        <v>648</v>
      </c>
      <c r="G307" s="1">
        <v>1.91177204234757</v>
      </c>
      <c r="H307" s="1">
        <v>12.9927536479999</v>
      </c>
      <c r="I307" s="1">
        <v>3.7277362823</v>
      </c>
      <c r="J307" s="1">
        <v>7.29483282669999</v>
      </c>
      <c r="K307" s="1">
        <v>13.539430209</v>
      </c>
      <c r="L307" s="1">
        <v>31.8</v>
      </c>
      <c r="M307" s="1">
        <v>7.3</v>
      </c>
      <c r="N307" s="1">
        <v>29.9</v>
      </c>
      <c r="O307" s="1">
        <v>43.726630661</v>
      </c>
      <c r="P307" s="1">
        <v>9.6128170895</v>
      </c>
      <c r="Q307" s="1">
        <v>20.25111</v>
      </c>
      <c r="R307" s="1">
        <v>86.5384615379999</v>
      </c>
      <c r="S307" s="1">
        <v>19.6</v>
      </c>
      <c r="T307" s="1">
        <v>1108.0</v>
      </c>
      <c r="U307" s="1">
        <v>27.707581227</v>
      </c>
      <c r="V307" s="1">
        <v>133.95157135</v>
      </c>
      <c r="W307" s="1">
        <v>10.72319202</v>
      </c>
      <c r="X307" s="1">
        <v>7.9118678017</v>
      </c>
      <c r="Y307" s="1">
        <v>78.669167341</v>
      </c>
      <c r="Z307" s="1">
        <v>13.3</v>
      </c>
      <c r="AA307" s="1">
        <v>16.336281464</v>
      </c>
      <c r="AB307" s="1">
        <v>47869.0</v>
      </c>
      <c r="AC307" s="1">
        <v>55.260361318</v>
      </c>
      <c r="AD307" s="1">
        <v>67.980295567</v>
      </c>
      <c r="AE307" s="1">
        <v>10.176754151</v>
      </c>
      <c r="AF307" s="1">
        <v>1.1203911184</v>
      </c>
      <c r="AG307" s="1">
        <v>0.3870442045</v>
      </c>
      <c r="AH307" s="1">
        <v>0.4074149521</v>
      </c>
      <c r="AI307" s="1">
        <v>0.1222244856</v>
      </c>
      <c r="AJ307" s="1">
        <v>10.450193522</v>
      </c>
      <c r="AK307" s="1">
        <v>86.433082094</v>
      </c>
      <c r="AL307" s="1">
        <v>0.9573542211</v>
      </c>
      <c r="AM307" s="1">
        <v>48.013852108</v>
      </c>
      <c r="AN307" s="1">
        <v>100.0</v>
      </c>
      <c r="AO307" s="1">
        <v>25744.0</v>
      </c>
      <c r="AP307" s="1">
        <v>11.7</v>
      </c>
      <c r="AQ307" s="1">
        <v>3.9</v>
      </c>
      <c r="AR307" s="1">
        <v>8.7</v>
      </c>
      <c r="AS307" s="1">
        <v>20.2</v>
      </c>
      <c r="AT307" s="1">
        <v>22.1</v>
      </c>
      <c r="AU307" s="1">
        <v>13.7</v>
      </c>
      <c r="AV307" s="1">
        <v>11.7</v>
      </c>
      <c r="AW307" s="1">
        <v>0.7</v>
      </c>
      <c r="AX307" s="1">
        <v>0.2748</v>
      </c>
      <c r="AY307" s="1">
        <v>11.8</v>
      </c>
      <c r="AZ307" s="1">
        <v>9.9</v>
      </c>
      <c r="BA307" s="1">
        <v>13.9</v>
      </c>
      <c r="BB307" s="1">
        <v>3.33</v>
      </c>
      <c r="BC307" s="1" t="s">
        <v>534</v>
      </c>
      <c r="BD307" s="1">
        <v>8.1</v>
      </c>
      <c r="BE307" s="1">
        <v>34.5</v>
      </c>
      <c r="BF307" s="1">
        <v>42.0</v>
      </c>
      <c r="BG307" s="1">
        <v>15.4</v>
      </c>
      <c r="BH307" s="1" t="s">
        <v>648</v>
      </c>
    </row>
    <row r="308">
      <c r="A308" s="2">
        <v>8123.0</v>
      </c>
      <c r="B308" s="2" t="str">
        <f>IFERROR(__xludf.DUMMYFUNCTION("TO_TEXT(A308)"),"08123")</f>
        <v>08123</v>
      </c>
      <c r="C308" s="1">
        <v>278065.0</v>
      </c>
      <c r="D308" s="1">
        <v>3987.1659705312</v>
      </c>
      <c r="E308" s="1" t="s">
        <v>649</v>
      </c>
      <c r="F308" s="1" t="s">
        <v>650</v>
      </c>
      <c r="G308" s="1">
        <v>69.7400113401736</v>
      </c>
      <c r="H308" s="1">
        <v>13.564725693</v>
      </c>
      <c r="I308" s="1">
        <v>3.7164058872</v>
      </c>
      <c r="J308" s="1">
        <v>8.124153734</v>
      </c>
      <c r="K308" s="1">
        <v>13.748363782</v>
      </c>
      <c r="L308" s="1">
        <v>29.0</v>
      </c>
      <c r="M308" s="1">
        <v>8.8</v>
      </c>
      <c r="N308" s="1">
        <v>18.6</v>
      </c>
      <c r="O308" s="1">
        <v>78.261643429</v>
      </c>
      <c r="P308" s="1">
        <v>9.3993736032</v>
      </c>
      <c r="Q308" s="1">
        <v>48.91131</v>
      </c>
      <c r="R308" s="1">
        <v>84.591194969</v>
      </c>
      <c r="S308" s="1">
        <v>13.2</v>
      </c>
      <c r="T308" s="1">
        <v>77859.0</v>
      </c>
      <c r="U308" s="1">
        <v>22.558727957</v>
      </c>
      <c r="V308" s="1">
        <v>272.7775432</v>
      </c>
      <c r="W308" s="1">
        <v>15.349583398</v>
      </c>
      <c r="X308" s="1">
        <v>12.620292887</v>
      </c>
      <c r="Y308" s="1">
        <v>80.400819165</v>
      </c>
      <c r="Z308" s="1">
        <v>7.1</v>
      </c>
      <c r="AA308" s="1">
        <v>4.8983465225</v>
      </c>
      <c r="AB308" s="1">
        <v>75629.0</v>
      </c>
      <c r="AC308" s="1">
        <v>42.791127542</v>
      </c>
      <c r="AD308" s="1">
        <v>72.618289733</v>
      </c>
      <c r="AE308" s="1">
        <v>12.378046939</v>
      </c>
      <c r="AF308" s="1">
        <v>1.15620177849999</v>
      </c>
      <c r="AG308" s="1">
        <v>1.6118101844</v>
      </c>
      <c r="AH308" s="1">
        <v>1.7778909021</v>
      </c>
      <c r="AI308" s="1">
        <v>0.1603537965</v>
      </c>
      <c r="AJ308" s="1">
        <v>29.647317096</v>
      </c>
      <c r="AK308" s="1">
        <v>65.441847887</v>
      </c>
      <c r="AL308" s="1">
        <v>3.5267881624</v>
      </c>
      <c r="AM308" s="1">
        <v>49.579230365</v>
      </c>
      <c r="AN308" s="1">
        <v>20.460001978</v>
      </c>
      <c r="AO308" s="1">
        <v>27808.0</v>
      </c>
      <c r="AP308" s="1">
        <v>12.6</v>
      </c>
      <c r="AQ308" s="1">
        <v>6.0</v>
      </c>
      <c r="AR308" s="1">
        <v>13.0</v>
      </c>
      <c r="AS308" s="1">
        <v>11.2</v>
      </c>
      <c r="AT308" s="1">
        <v>26.9</v>
      </c>
      <c r="AU308" s="1">
        <v>10.2</v>
      </c>
      <c r="AV308" s="1">
        <v>33.3</v>
      </c>
      <c r="AW308" s="1">
        <v>3.8</v>
      </c>
      <c r="AX308" s="1">
        <v>0.4814</v>
      </c>
      <c r="AY308" s="1">
        <v>8.4</v>
      </c>
      <c r="AZ308" s="1">
        <v>8.5</v>
      </c>
      <c r="BA308" s="1">
        <v>10.9</v>
      </c>
      <c r="BB308" s="1">
        <v>3.4</v>
      </c>
      <c r="BC308" s="1" t="s">
        <v>534</v>
      </c>
      <c r="BD308" s="1">
        <v>11.9</v>
      </c>
      <c r="BE308" s="1">
        <v>27.3</v>
      </c>
      <c r="BF308" s="1">
        <v>33.2</v>
      </c>
      <c r="BG308" s="1">
        <v>27.5</v>
      </c>
      <c r="BH308" s="1" t="s">
        <v>650</v>
      </c>
    </row>
    <row r="309">
      <c r="A309" s="2">
        <v>8125.0</v>
      </c>
      <c r="B309" s="2" t="str">
        <f>IFERROR(__xludf.DUMMYFUNCTION("TO_TEXT(A309)"),"08125")</f>
        <v>08125</v>
      </c>
      <c r="C309" s="1">
        <v>10150.0</v>
      </c>
      <c r="D309" s="1">
        <v>2364.39732329394</v>
      </c>
      <c r="E309" s="1" t="s">
        <v>282</v>
      </c>
      <c r="F309" s="1" t="s">
        <v>651</v>
      </c>
      <c r="G309" s="1">
        <v>4.29284871032573</v>
      </c>
      <c r="H309" s="1">
        <v>15.268201879</v>
      </c>
      <c r="I309" s="1">
        <v>3.7907899567</v>
      </c>
      <c r="J309" s="1">
        <v>6.9486404834</v>
      </c>
      <c r="K309" s="1">
        <v>14.277809153</v>
      </c>
      <c r="L309" s="1">
        <v>27.8</v>
      </c>
      <c r="M309" s="1">
        <v>8.1</v>
      </c>
      <c r="N309" s="1">
        <v>21.3</v>
      </c>
      <c r="O309" s="1">
        <v>72.518171861</v>
      </c>
      <c r="P309" s="1">
        <v>13.419643969</v>
      </c>
      <c r="Q309" s="1">
        <v>49.62779</v>
      </c>
      <c r="R309" s="1">
        <v>84.848484848</v>
      </c>
      <c r="S309" s="1">
        <v>16.6</v>
      </c>
      <c r="T309" s="1">
        <v>2701.0</v>
      </c>
      <c r="U309" s="1">
        <v>30.248056275</v>
      </c>
      <c r="V309" s="1">
        <v>4.9002793159</v>
      </c>
      <c r="W309" s="1">
        <v>9.3516209476</v>
      </c>
      <c r="X309" s="1">
        <v>6.74185463659999</v>
      </c>
      <c r="Y309" s="1">
        <v>80.101184283</v>
      </c>
      <c r="Z309" s="1">
        <v>9.3</v>
      </c>
      <c r="AA309" s="1">
        <v>6.7939646676</v>
      </c>
      <c r="AB309" s="1">
        <v>53253.0</v>
      </c>
      <c r="AC309" s="1">
        <v>58.609451385</v>
      </c>
      <c r="AD309" s="1">
        <v>63.2189582819999</v>
      </c>
      <c r="AE309" s="1">
        <v>8.5501858736</v>
      </c>
      <c r="AF309" s="1">
        <v>0.3892215569</v>
      </c>
      <c r="AG309" s="1">
        <v>0.878243512999999</v>
      </c>
      <c r="AH309" s="1">
        <v>0.5389221557</v>
      </c>
      <c r="AI309" s="1">
        <v>0.2095808383</v>
      </c>
      <c r="AJ309" s="1">
        <v>23.912175649</v>
      </c>
      <c r="AK309" s="1">
        <v>74.111776447</v>
      </c>
      <c r="AL309" s="1">
        <v>6.5081755594</v>
      </c>
      <c r="AM309" s="1">
        <v>50.209580838</v>
      </c>
      <c r="AN309" s="1">
        <v>64.910883202</v>
      </c>
      <c r="AO309" s="1">
        <v>23905.0</v>
      </c>
      <c r="AP309" s="1">
        <v>14.6</v>
      </c>
      <c r="AQ309" s="1">
        <v>2.2</v>
      </c>
      <c r="AR309" s="1">
        <v>12.9</v>
      </c>
      <c r="AS309" s="1">
        <v>17.9</v>
      </c>
      <c r="AT309" s="1">
        <v>27.1</v>
      </c>
      <c r="AU309" s="1">
        <v>12.1</v>
      </c>
      <c r="AV309" s="1">
        <v>23.2</v>
      </c>
      <c r="AW309" s="1">
        <v>6.3</v>
      </c>
      <c r="AX309" s="1">
        <v>0.4546</v>
      </c>
      <c r="AY309" s="1">
        <v>12.8</v>
      </c>
      <c r="AZ309" s="1">
        <v>11.0</v>
      </c>
      <c r="BA309" s="1">
        <v>14.0</v>
      </c>
      <c r="BB309" s="1">
        <v>3.01</v>
      </c>
      <c r="BC309" s="1" t="s">
        <v>534</v>
      </c>
      <c r="BD309" s="1">
        <v>11.4</v>
      </c>
      <c r="BE309" s="1">
        <v>34.4</v>
      </c>
      <c r="BF309" s="1">
        <v>32.4</v>
      </c>
      <c r="BG309" s="1">
        <v>21.8</v>
      </c>
      <c r="BH309" s="1" t="s">
        <v>651</v>
      </c>
    </row>
    <row r="310">
      <c r="A310" s="2">
        <v>9001.0</v>
      </c>
      <c r="B310" s="2" t="str">
        <f>IFERROR(__xludf.DUMMYFUNCTION("TO_TEXT(A310)"),"09001")</f>
        <v>09001</v>
      </c>
      <c r="C310" s="1">
        <v>941618.0</v>
      </c>
      <c r="D310" s="1">
        <v>624.969582632206</v>
      </c>
      <c r="E310" s="1" t="s">
        <v>652</v>
      </c>
      <c r="F310" s="1" t="s">
        <v>653</v>
      </c>
      <c r="G310" s="1">
        <v>1506.66212591364</v>
      </c>
      <c r="H310" s="1">
        <v>10.596030215</v>
      </c>
      <c r="I310" s="1">
        <v>3.0440698167</v>
      </c>
      <c r="J310" s="1">
        <v>7.5480837726</v>
      </c>
      <c r="K310" s="1">
        <v>10.157896011</v>
      </c>
      <c r="L310" s="1">
        <v>21.3</v>
      </c>
      <c r="M310" s="1">
        <v>8.7</v>
      </c>
      <c r="N310" s="1">
        <v>17.7</v>
      </c>
      <c r="O310" s="1">
        <v>96.810746606</v>
      </c>
      <c r="P310" s="1">
        <v>8.896320055</v>
      </c>
      <c r="Q310" s="1">
        <v>91.69184</v>
      </c>
      <c r="R310" s="1">
        <v>90.408640616</v>
      </c>
      <c r="S310" s="1">
        <v>12.7</v>
      </c>
      <c r="T310" s="1">
        <v>215451.0</v>
      </c>
      <c r="U310" s="1">
        <v>25.680549174</v>
      </c>
      <c r="V310" s="1">
        <v>238.13702459</v>
      </c>
      <c r="W310" s="1">
        <v>21.314996569</v>
      </c>
      <c r="X310" s="1">
        <v>18.988067402</v>
      </c>
      <c r="Y310" s="1">
        <v>82.707272226</v>
      </c>
      <c r="Z310" s="1">
        <v>7.4</v>
      </c>
      <c r="AA310" s="1">
        <v>3.2083189396</v>
      </c>
      <c r="AB310" s="1">
        <v>91183.0</v>
      </c>
      <c r="AC310" s="1">
        <v>31.410515915</v>
      </c>
      <c r="AD310" s="1">
        <v>67.305450071</v>
      </c>
      <c r="AE310" s="1">
        <v>19.5366702679999</v>
      </c>
      <c r="AF310" s="1">
        <v>10.974409397</v>
      </c>
      <c r="AG310" s="1">
        <v>0.5177877632</v>
      </c>
      <c r="AH310" s="1">
        <v>5.8153912333</v>
      </c>
      <c r="AI310" s="1">
        <v>0.1079651587</v>
      </c>
      <c r="AJ310" s="1">
        <v>20.177088289</v>
      </c>
      <c r="AK310" s="1">
        <v>61.5136524539999</v>
      </c>
      <c r="AL310" s="1">
        <v>5.7885742352</v>
      </c>
      <c r="AM310" s="1">
        <v>51.288747996</v>
      </c>
      <c r="AN310" s="1">
        <v>4.5840609318</v>
      </c>
      <c r="AO310" s="1">
        <v>51719.0</v>
      </c>
      <c r="AP310" s="1">
        <v>8.8</v>
      </c>
      <c r="AQ310" s="1">
        <v>8.2</v>
      </c>
      <c r="AR310" s="1">
        <v>10.1</v>
      </c>
      <c r="AS310" s="1">
        <v>14.4</v>
      </c>
      <c r="AT310" s="1">
        <v>23.6</v>
      </c>
      <c r="AU310" s="1">
        <v>9.0</v>
      </c>
      <c r="AV310" s="1">
        <v>36.5</v>
      </c>
      <c r="AW310" s="1">
        <v>5.8</v>
      </c>
      <c r="AX310" s="1">
        <v>0.4336</v>
      </c>
      <c r="AY310" s="1">
        <v>9.0</v>
      </c>
      <c r="AZ310" s="1">
        <v>9.9</v>
      </c>
      <c r="BA310" s="1">
        <v>12.4</v>
      </c>
      <c r="BB310" s="1">
        <v>4.06</v>
      </c>
      <c r="BC310" s="1" t="s">
        <v>654</v>
      </c>
      <c r="BD310" s="1">
        <v>10.0</v>
      </c>
      <c r="BE310" s="1">
        <v>21.5</v>
      </c>
      <c r="BF310" s="1">
        <v>20.6</v>
      </c>
      <c r="BG310" s="1">
        <v>47.9</v>
      </c>
      <c r="BH310" s="1" t="s">
        <v>653</v>
      </c>
    </row>
    <row r="311">
      <c r="A311" s="2">
        <v>9003.0</v>
      </c>
      <c r="B311" s="2" t="str">
        <f>IFERROR(__xludf.DUMMYFUNCTION("TO_TEXT(A311)"),"09003")</f>
        <v>09003</v>
      </c>
      <c r="C311" s="1">
        <v>895699.0</v>
      </c>
      <c r="D311" s="1">
        <v>735.132612223714</v>
      </c>
      <c r="E311" s="1" t="s">
        <v>655</v>
      </c>
      <c r="F311" s="1" t="s">
        <v>656</v>
      </c>
      <c r="G311" s="1">
        <v>1218.4182623739</v>
      </c>
      <c r="H311" s="1">
        <v>13.044215939</v>
      </c>
      <c r="I311" s="1">
        <v>3.6805720315</v>
      </c>
      <c r="J311" s="1">
        <v>8.5261950287</v>
      </c>
      <c r="K311" s="1">
        <v>11.3562480159999</v>
      </c>
      <c r="L311" s="1">
        <v>26.2</v>
      </c>
      <c r="M311" s="1">
        <v>8.2</v>
      </c>
      <c r="N311" s="1">
        <v>21.6</v>
      </c>
      <c r="O311" s="1">
        <v>96.841324633</v>
      </c>
      <c r="P311" s="1">
        <v>5.4384862036</v>
      </c>
      <c r="Q311" s="1">
        <v>92.25051</v>
      </c>
      <c r="R311" s="1">
        <v>83.815090132</v>
      </c>
      <c r="S311" s="1">
        <v>15.5</v>
      </c>
      <c r="T311" s="1">
        <v>188894.0</v>
      </c>
      <c r="U311" s="1">
        <v>35.925439665</v>
      </c>
      <c r="V311" s="1">
        <v>270.04471382</v>
      </c>
      <c r="W311" s="1">
        <v>16.843075417</v>
      </c>
      <c r="X311" s="1">
        <v>15.145902906</v>
      </c>
      <c r="Y311" s="1">
        <v>80.295570423</v>
      </c>
      <c r="Z311" s="1">
        <v>9.9</v>
      </c>
      <c r="AA311" s="1">
        <v>4.0199667897</v>
      </c>
      <c r="AB311" s="1">
        <v>73037.0</v>
      </c>
      <c r="AC311" s="1">
        <v>39.673024923</v>
      </c>
      <c r="AD311" s="1">
        <v>64.490179451</v>
      </c>
      <c r="AE311" s="1">
        <v>15.847055507</v>
      </c>
      <c r="AF311" s="1">
        <v>13.239654664</v>
      </c>
      <c r="AG311" s="1">
        <v>0.5649173236</v>
      </c>
      <c r="AH311" s="1">
        <v>5.8511454614</v>
      </c>
      <c r="AI311" s="1">
        <v>0.1232221011</v>
      </c>
      <c r="AJ311" s="1">
        <v>18.453293783</v>
      </c>
      <c r="AK311" s="1">
        <v>60.621801126</v>
      </c>
      <c r="AL311" s="1">
        <v>4.2652802902</v>
      </c>
      <c r="AM311" s="1">
        <v>51.370173754</v>
      </c>
      <c r="AN311" s="1">
        <v>5.4086401332</v>
      </c>
      <c r="AO311" s="1">
        <v>36570.0</v>
      </c>
      <c r="AP311" s="1">
        <v>11.6</v>
      </c>
      <c r="AQ311" s="1">
        <v>8.2</v>
      </c>
      <c r="AR311" s="1">
        <v>10.7</v>
      </c>
      <c r="AS311" s="1">
        <v>15.6</v>
      </c>
      <c r="AT311" s="1">
        <v>21.7</v>
      </c>
      <c r="AU311" s="1">
        <v>11.8</v>
      </c>
      <c r="AV311" s="1">
        <v>36.7</v>
      </c>
      <c r="AW311" s="1">
        <v>4.2</v>
      </c>
      <c r="AX311" s="1">
        <v>0.5259</v>
      </c>
      <c r="AY311" s="1">
        <v>10.8</v>
      </c>
      <c r="AZ311" s="1">
        <v>11.7</v>
      </c>
      <c r="BA311" s="1">
        <v>15.4</v>
      </c>
      <c r="BB311" s="1">
        <v>3.43</v>
      </c>
      <c r="BC311" s="1" t="s">
        <v>654</v>
      </c>
      <c r="BD311" s="1">
        <v>10.3</v>
      </c>
      <c r="BE311" s="1">
        <v>26.6</v>
      </c>
      <c r="BF311" s="1">
        <v>25.0</v>
      </c>
      <c r="BG311" s="1">
        <v>38.1</v>
      </c>
      <c r="BH311" s="1" t="s">
        <v>656</v>
      </c>
    </row>
    <row r="312">
      <c r="A312" s="2">
        <v>9005.0</v>
      </c>
      <c r="B312" s="2" t="str">
        <f>IFERROR(__xludf.DUMMYFUNCTION("TO_TEXT(A312)"),"09005")</f>
        <v>09005</v>
      </c>
      <c r="C312" s="1">
        <v>185141.0</v>
      </c>
      <c r="D312" s="1">
        <v>920.489610564852</v>
      </c>
      <c r="E312" s="1" t="s">
        <v>657</v>
      </c>
      <c r="F312" s="1" t="s">
        <v>658</v>
      </c>
      <c r="G312" s="1">
        <v>201.133177251604</v>
      </c>
      <c r="H312" s="1">
        <v>10.678781863</v>
      </c>
      <c r="I312" s="1">
        <v>3.5842598558</v>
      </c>
      <c r="J312" s="1">
        <v>6.5327140549</v>
      </c>
      <c r="K312" s="1">
        <v>12.063141174</v>
      </c>
      <c r="L312" s="1">
        <v>27.7</v>
      </c>
      <c r="M312" s="1">
        <v>8.7</v>
      </c>
      <c r="N312" s="1">
        <v>20.8</v>
      </c>
      <c r="O312" s="1">
        <v>82.930283741</v>
      </c>
      <c r="P312" s="1">
        <v>5.1257219936</v>
      </c>
      <c r="Q312" s="1">
        <v>62.57651</v>
      </c>
      <c r="R312" s="1">
        <v>88.838187702</v>
      </c>
      <c r="S312" s="1">
        <v>8.1</v>
      </c>
      <c r="T312" s="1">
        <v>33933.0</v>
      </c>
      <c r="U312" s="1">
        <v>23.375475201</v>
      </c>
      <c r="V312" s="1">
        <v>106.29585098</v>
      </c>
      <c r="W312" s="1">
        <v>14.695991391</v>
      </c>
      <c r="X312" s="1">
        <v>13.648080315</v>
      </c>
      <c r="Y312" s="1">
        <v>80.432443126</v>
      </c>
      <c r="Z312" s="1">
        <v>9.1</v>
      </c>
      <c r="AA312" s="1">
        <v>2.7977826088</v>
      </c>
      <c r="AB312" s="1">
        <v>76304.0</v>
      </c>
      <c r="AC312" s="1">
        <v>26.633429546</v>
      </c>
      <c r="AD312" s="1">
        <v>77.1473366939999</v>
      </c>
      <c r="AE312" s="1">
        <v>13.731479434</v>
      </c>
      <c r="AF312" s="1">
        <v>1.6327003882</v>
      </c>
      <c r="AG312" s="1">
        <v>0.3307363992</v>
      </c>
      <c r="AH312" s="1">
        <v>2.052884695</v>
      </c>
      <c r="AI312" s="1">
        <v>0.0712270376</v>
      </c>
      <c r="AJ312" s="1">
        <v>6.7251575001</v>
      </c>
      <c r="AK312" s="1">
        <v>88.068642987</v>
      </c>
      <c r="AL312" s="1">
        <v>1.4150163841</v>
      </c>
      <c r="AM312" s="1">
        <v>50.554632242</v>
      </c>
      <c r="AN312" s="1">
        <v>41.4485565509999</v>
      </c>
      <c r="AO312" s="1">
        <v>38859.0</v>
      </c>
      <c r="AP312" s="1">
        <v>6.9</v>
      </c>
      <c r="AQ312" s="1">
        <v>6.7</v>
      </c>
      <c r="AR312" s="1">
        <v>8.3</v>
      </c>
      <c r="AS312" s="1">
        <v>18.4</v>
      </c>
      <c r="AT312" s="1">
        <v>19.5</v>
      </c>
      <c r="AU312" s="1">
        <v>10.4</v>
      </c>
      <c r="AV312" s="1">
        <v>10.1</v>
      </c>
      <c r="AW312" s="1">
        <v>1.4</v>
      </c>
      <c r="AX312" s="1">
        <v>0.0818</v>
      </c>
      <c r="AY312" s="1">
        <v>7.1</v>
      </c>
      <c r="AZ312" s="1">
        <v>9.8</v>
      </c>
      <c r="BA312" s="1">
        <v>13.5</v>
      </c>
      <c r="BB312" s="1">
        <v>3.64</v>
      </c>
      <c r="BC312" s="1" t="s">
        <v>654</v>
      </c>
      <c r="BD312" s="1">
        <v>7.0</v>
      </c>
      <c r="BE312" s="1">
        <v>29.9</v>
      </c>
      <c r="BF312" s="1">
        <v>27.7</v>
      </c>
      <c r="BG312" s="1">
        <v>35.4</v>
      </c>
      <c r="BH312" s="1" t="s">
        <v>658</v>
      </c>
    </row>
    <row r="313">
      <c r="A313" s="2">
        <v>9007.0</v>
      </c>
      <c r="B313" s="2" t="str">
        <f>IFERROR(__xludf.DUMMYFUNCTION("TO_TEXT(A313)"),"09007")</f>
        <v>09007</v>
      </c>
      <c r="C313" s="1">
        <v>164438.0</v>
      </c>
      <c r="D313" s="1">
        <v>369.303246769922</v>
      </c>
      <c r="E313" s="1" t="s">
        <v>659</v>
      </c>
      <c r="F313" s="1" t="s">
        <v>660</v>
      </c>
      <c r="G313" s="1">
        <v>445.265514013869</v>
      </c>
      <c r="H313" s="1">
        <v>10.377224369</v>
      </c>
      <c r="I313" s="1">
        <v>3.6457930327</v>
      </c>
      <c r="J313" s="1">
        <v>6.2836238433</v>
      </c>
      <c r="K313" s="1">
        <v>11.316440612</v>
      </c>
      <c r="L313" s="1">
        <v>25.5</v>
      </c>
      <c r="M313" s="1">
        <v>8.5</v>
      </c>
      <c r="N313" s="1">
        <v>19.4</v>
      </c>
      <c r="O313" s="1">
        <v>96.7605446779999</v>
      </c>
      <c r="P313" s="1">
        <v>4.0905094268</v>
      </c>
      <c r="Q313" s="1">
        <v>70.98709</v>
      </c>
      <c r="R313" s="1">
        <v>96.3385678389999</v>
      </c>
      <c r="S313" s="1">
        <v>8.1</v>
      </c>
      <c r="T313" s="1">
        <v>29878.0</v>
      </c>
      <c r="U313" s="1">
        <v>27.337840552</v>
      </c>
      <c r="V313" s="1">
        <v>109.74528775</v>
      </c>
      <c r="W313" s="1">
        <v>14.022417814</v>
      </c>
      <c r="X313" s="1">
        <v>12.925531915</v>
      </c>
      <c r="Y313" s="1">
        <v>81.10542525</v>
      </c>
      <c r="Z313" s="1">
        <v>7.2</v>
      </c>
      <c r="AA313" s="1">
        <v>4.8816998608</v>
      </c>
      <c r="AB313" s="1">
        <v>88709.0</v>
      </c>
      <c r="AC313" s="1">
        <v>21.659488093</v>
      </c>
      <c r="AD313" s="1">
        <v>73.6440829989999</v>
      </c>
      <c r="AE313" s="1">
        <v>13.5264588029999</v>
      </c>
      <c r="AF313" s="1">
        <v>4.7829507874</v>
      </c>
      <c r="AG313" s="1">
        <v>0.2759985739</v>
      </c>
      <c r="AH313" s="1">
        <v>3.154620671</v>
      </c>
      <c r="AI313" s="1">
        <v>0.0663871848</v>
      </c>
      <c r="AJ313" s="1">
        <v>6.4309511808</v>
      </c>
      <c r="AK313" s="1">
        <v>83.720387013</v>
      </c>
      <c r="AL313" s="1">
        <v>1.208968862</v>
      </c>
      <c r="AM313" s="1">
        <v>51.290247231</v>
      </c>
      <c r="AN313" s="1">
        <v>24.540066153</v>
      </c>
      <c r="AO313" s="1">
        <v>42573.0</v>
      </c>
      <c r="AP313" s="1">
        <v>7.0</v>
      </c>
      <c r="AQ313" s="1">
        <v>5.3</v>
      </c>
      <c r="AR313" s="1">
        <v>6.2</v>
      </c>
      <c r="AS313" s="1">
        <v>17.7</v>
      </c>
      <c r="AT313" s="1">
        <v>19.2</v>
      </c>
      <c r="AU313" s="1">
        <v>10.3</v>
      </c>
      <c r="AV313" s="1">
        <v>15.3</v>
      </c>
      <c r="AW313" s="1">
        <v>1.3</v>
      </c>
      <c r="AX313" s="1">
        <v>0.0936</v>
      </c>
      <c r="AY313" s="1">
        <v>7.0</v>
      </c>
      <c r="AZ313" s="1">
        <v>9.7</v>
      </c>
      <c r="BA313" s="1">
        <v>13.1</v>
      </c>
      <c r="BB313" s="1">
        <v>3.88</v>
      </c>
      <c r="BC313" s="1" t="s">
        <v>654</v>
      </c>
      <c r="BD313" s="1">
        <v>5.8</v>
      </c>
      <c r="BE313" s="1">
        <v>25.8</v>
      </c>
      <c r="BF313" s="1">
        <v>26.2</v>
      </c>
      <c r="BG313" s="1">
        <v>42.2</v>
      </c>
      <c r="BH313" s="1" t="s">
        <v>660</v>
      </c>
    </row>
    <row r="314">
      <c r="A314" s="2">
        <v>9009.0</v>
      </c>
      <c r="B314" s="2" t="str">
        <f>IFERROR(__xludf.DUMMYFUNCTION("TO_TEXT(A314)"),"09009")</f>
        <v>09009</v>
      </c>
      <c r="C314" s="1">
        <v>860874.0</v>
      </c>
      <c r="D314" s="1">
        <v>604.501468118316</v>
      </c>
      <c r="E314" s="1" t="s">
        <v>661</v>
      </c>
      <c r="F314" s="1" t="s">
        <v>662</v>
      </c>
      <c r="G314" s="1">
        <v>1424.10572248851</v>
      </c>
      <c r="H314" s="1">
        <v>14.442711452</v>
      </c>
      <c r="I314" s="1">
        <v>3.7821709018</v>
      </c>
      <c r="J314" s="1">
        <v>8.0582982254</v>
      </c>
      <c r="K314" s="1">
        <v>12.843951967</v>
      </c>
      <c r="L314" s="1">
        <v>28.1</v>
      </c>
      <c r="M314" s="1">
        <v>8.0</v>
      </c>
      <c r="N314" s="1">
        <v>21.7</v>
      </c>
      <c r="O314" s="1">
        <v>95.4136747989999</v>
      </c>
      <c r="P314" s="1">
        <v>5.6898991941</v>
      </c>
      <c r="Q314" s="1">
        <v>87.86253</v>
      </c>
      <c r="R314" s="1">
        <v>85.843052711</v>
      </c>
      <c r="S314" s="1">
        <v>16.7</v>
      </c>
      <c r="T314" s="1">
        <v>175602.0</v>
      </c>
      <c r="U314" s="1">
        <v>37.392512614</v>
      </c>
      <c r="V314" s="1">
        <v>328.67014478</v>
      </c>
      <c r="W314" s="1">
        <v>20.132624776</v>
      </c>
      <c r="X314" s="1">
        <v>18.738719114</v>
      </c>
      <c r="Y314" s="1">
        <v>80.13563462</v>
      </c>
      <c r="Z314" s="1">
        <v>9.8</v>
      </c>
      <c r="AA314" s="1">
        <v>4.5426641279</v>
      </c>
      <c r="AB314" s="1">
        <v>67720.0</v>
      </c>
      <c r="AC314" s="1">
        <v>43.59543122</v>
      </c>
      <c r="AD314" s="1">
        <v>61.934414004</v>
      </c>
      <c r="AE314" s="1">
        <v>18.111253233</v>
      </c>
      <c r="AF314" s="1">
        <v>12.827825844</v>
      </c>
      <c r="AG314" s="1">
        <v>0.5360182832</v>
      </c>
      <c r="AH314" s="1">
        <v>4.3084349712</v>
      </c>
      <c r="AI314" s="1">
        <v>0.1043585737</v>
      </c>
      <c r="AJ314" s="1">
        <v>18.633427392</v>
      </c>
      <c r="AK314" s="1">
        <v>62.339147874</v>
      </c>
      <c r="AL314" s="1">
        <v>3.373222423</v>
      </c>
      <c r="AM314" s="1">
        <v>51.785872531</v>
      </c>
      <c r="AN314" s="1">
        <v>3.6399811241</v>
      </c>
      <c r="AO314" s="1">
        <v>33706.0</v>
      </c>
      <c r="AP314" s="1">
        <v>12.8</v>
      </c>
      <c r="AQ314" s="1">
        <v>8.5</v>
      </c>
      <c r="AR314" s="1">
        <v>10.5</v>
      </c>
      <c r="AS314" s="1">
        <v>15.6</v>
      </c>
      <c r="AT314" s="1">
        <v>21.1</v>
      </c>
      <c r="AU314" s="1">
        <v>11.4</v>
      </c>
      <c r="AV314" s="1">
        <v>35.2</v>
      </c>
      <c r="AW314" s="1">
        <v>3.3</v>
      </c>
      <c r="AX314" s="1">
        <v>0.5075</v>
      </c>
      <c r="AY314" s="1">
        <v>12.0</v>
      </c>
      <c r="AZ314" s="1">
        <v>12.1</v>
      </c>
      <c r="BA314" s="1">
        <v>16.1</v>
      </c>
      <c r="BB314" s="1">
        <v>3.41</v>
      </c>
      <c r="BC314" s="1" t="s">
        <v>654</v>
      </c>
      <c r="BD314" s="1">
        <v>9.9</v>
      </c>
      <c r="BE314" s="1">
        <v>30.7</v>
      </c>
      <c r="BF314" s="1">
        <v>24.4</v>
      </c>
      <c r="BG314" s="1">
        <v>35.0</v>
      </c>
      <c r="BH314" s="1" t="s">
        <v>662</v>
      </c>
    </row>
    <row r="315">
      <c r="A315" s="2">
        <v>9011.0</v>
      </c>
      <c r="B315" s="2" t="str">
        <f>IFERROR(__xludf.DUMMYFUNCTION("TO_TEXT(A315)"),"09011")</f>
        <v>09011</v>
      </c>
      <c r="C315" s="1">
        <v>272033.0</v>
      </c>
      <c r="D315" s="1">
        <v>665.142093409742</v>
      </c>
      <c r="E315" s="1" t="s">
        <v>663</v>
      </c>
      <c r="F315" s="1" t="s">
        <v>664</v>
      </c>
      <c r="G315" s="1">
        <v>408.98479091207</v>
      </c>
      <c r="H315" s="1">
        <v>11.54628191</v>
      </c>
      <c r="I315" s="1">
        <v>3.4507546226</v>
      </c>
      <c r="J315" s="1">
        <v>7.28580701</v>
      </c>
      <c r="K315" s="1">
        <v>12.350839725</v>
      </c>
      <c r="L315" s="1">
        <v>29.6</v>
      </c>
      <c r="M315" s="1">
        <v>8.0</v>
      </c>
      <c r="N315" s="1">
        <v>20.9</v>
      </c>
      <c r="O315" s="1">
        <v>92.070934666</v>
      </c>
      <c r="P315" s="1">
        <v>5.0066805924</v>
      </c>
      <c r="Q315" s="1">
        <v>64.30438</v>
      </c>
      <c r="R315" s="1">
        <v>89.0854313529999</v>
      </c>
      <c r="S315" s="1">
        <v>12.5</v>
      </c>
      <c r="T315" s="1">
        <v>52828.0</v>
      </c>
      <c r="U315" s="1">
        <v>36.092602408</v>
      </c>
      <c r="V315" s="1">
        <v>283.15892622</v>
      </c>
      <c r="W315" s="1">
        <v>15.01836677</v>
      </c>
      <c r="X315" s="1">
        <v>13.6878150859999</v>
      </c>
      <c r="Y315" s="1">
        <v>79.875299951</v>
      </c>
      <c r="Z315" s="1">
        <v>8.8</v>
      </c>
      <c r="AA315" s="1">
        <v>7.148508682</v>
      </c>
      <c r="AB315" s="1">
        <v>67790.0</v>
      </c>
      <c r="AC315" s="1">
        <v>38.122680982</v>
      </c>
      <c r="AD315" s="1">
        <v>66.534142753</v>
      </c>
      <c r="AE315" s="1">
        <v>14.433127337</v>
      </c>
      <c r="AF315" s="1">
        <v>5.7143606813</v>
      </c>
      <c r="AG315" s="1">
        <v>1.1788563032</v>
      </c>
      <c r="AH315" s="1">
        <v>4.3848206789</v>
      </c>
      <c r="AI315" s="1">
        <v>0.1424373276</v>
      </c>
      <c r="AJ315" s="1">
        <v>10.939936428</v>
      </c>
      <c r="AK315" s="1">
        <v>75.273254768</v>
      </c>
      <c r="AL315" s="1">
        <v>2.2152443895</v>
      </c>
      <c r="AM315" s="1">
        <v>49.883801128</v>
      </c>
      <c r="AN315" s="1">
        <v>25.808323147</v>
      </c>
      <c r="AO315" s="1">
        <v>35531.0</v>
      </c>
      <c r="AP315" s="1">
        <v>9.9</v>
      </c>
      <c r="AQ315" s="1">
        <v>7.7</v>
      </c>
      <c r="AR315" s="1">
        <v>8.4</v>
      </c>
      <c r="AS315" s="1">
        <v>16.1</v>
      </c>
      <c r="AT315" s="1">
        <v>20.3</v>
      </c>
      <c r="AU315" s="1">
        <v>12.8</v>
      </c>
      <c r="AV315" s="1">
        <v>23.5</v>
      </c>
      <c r="AW315" s="1">
        <v>2.0</v>
      </c>
      <c r="AX315" s="1">
        <v>0.3496</v>
      </c>
      <c r="AY315" s="1">
        <v>7.8</v>
      </c>
      <c r="AZ315" s="1">
        <v>11.8</v>
      </c>
      <c r="BA315" s="1">
        <v>16.8</v>
      </c>
      <c r="BB315" s="1">
        <v>3.55</v>
      </c>
      <c r="BC315" s="1" t="s">
        <v>654</v>
      </c>
      <c r="BD315" s="1">
        <v>7.7</v>
      </c>
      <c r="BE315" s="1">
        <v>29.5</v>
      </c>
      <c r="BF315" s="1">
        <v>29.5</v>
      </c>
      <c r="BG315" s="1">
        <v>33.3</v>
      </c>
      <c r="BH315" s="1" t="s">
        <v>664</v>
      </c>
    </row>
    <row r="316">
      <c r="A316" s="2">
        <v>9013.0</v>
      </c>
      <c r="B316" s="2" t="str">
        <f>IFERROR(__xludf.DUMMYFUNCTION("TO_TEXT(A316)"),"09013")</f>
        <v>09013</v>
      </c>
      <c r="C316" s="1">
        <v>151689.0</v>
      </c>
      <c r="D316" s="1">
        <v>410.322761860122</v>
      </c>
      <c r="E316" s="1" t="s">
        <v>665</v>
      </c>
      <c r="F316" s="1" t="s">
        <v>666</v>
      </c>
      <c r="G316" s="1">
        <v>369.682148054244</v>
      </c>
      <c r="H316" s="1">
        <v>10.470404945</v>
      </c>
      <c r="I316" s="1">
        <v>3.3384278937</v>
      </c>
      <c r="J316" s="1">
        <v>7.0765370138</v>
      </c>
      <c r="K316" s="1">
        <v>10.543489991</v>
      </c>
      <c r="L316" s="1">
        <v>24.9</v>
      </c>
      <c r="M316" s="1">
        <v>8.2</v>
      </c>
      <c r="N316" s="1">
        <v>19.1</v>
      </c>
      <c r="O316" s="1">
        <v>76.605693852</v>
      </c>
      <c r="P316" s="1">
        <v>3.7413953162</v>
      </c>
      <c r="Q316" s="1">
        <v>50.17793</v>
      </c>
      <c r="R316" s="1">
        <v>91.42347561</v>
      </c>
      <c r="S316" s="1">
        <v>6.4</v>
      </c>
      <c r="T316" s="1">
        <v>26650.0</v>
      </c>
      <c r="U316" s="1">
        <v>23.771106942</v>
      </c>
      <c r="V316" s="1">
        <v>204.509002055</v>
      </c>
      <c r="W316" s="1">
        <v>12.60650481</v>
      </c>
      <c r="X316" s="1">
        <v>11.77771634</v>
      </c>
      <c r="Y316" s="1">
        <v>81.586244992</v>
      </c>
      <c r="Z316" s="1">
        <v>8.2</v>
      </c>
      <c r="AA316" s="1">
        <v>8.0116852767</v>
      </c>
      <c r="AB316" s="1">
        <v>89584.0</v>
      </c>
      <c r="AC316" s="1">
        <v>19.901203426</v>
      </c>
      <c r="AD316" s="1">
        <v>72.056054461</v>
      </c>
      <c r="AE316" s="1">
        <v>12.534531659</v>
      </c>
      <c r="AF316" s="1">
        <v>3.2606462984</v>
      </c>
      <c r="AG316" s="1">
        <v>0.2676897185</v>
      </c>
      <c r="AH316" s="1">
        <v>4.9297314489</v>
      </c>
      <c r="AI316" s="1">
        <v>0.0768614042999999</v>
      </c>
      <c r="AJ316" s="1">
        <v>5.7202112363</v>
      </c>
      <c r="AK316" s="1">
        <v>84.29708258</v>
      </c>
      <c r="AL316" s="1">
        <v>0.7579046005</v>
      </c>
      <c r="AM316" s="1">
        <v>49.908892732</v>
      </c>
      <c r="AN316" s="1">
        <v>38.207883896</v>
      </c>
      <c r="AO316" s="1">
        <v>36364.0</v>
      </c>
      <c r="AP316" s="1">
        <v>6.8</v>
      </c>
      <c r="AQ316" s="1">
        <v>6.3</v>
      </c>
      <c r="AR316" s="1">
        <v>6.2</v>
      </c>
      <c r="AS316" s="1">
        <v>13.9</v>
      </c>
      <c r="AT316" s="1">
        <v>18.6</v>
      </c>
      <c r="AU316" s="1">
        <v>9.8</v>
      </c>
      <c r="AV316" s="1">
        <v>14.1</v>
      </c>
      <c r="AW316" s="1">
        <v>0.7</v>
      </c>
      <c r="AX316" s="1">
        <v>0.0675</v>
      </c>
      <c r="AY316" s="1">
        <v>7.8</v>
      </c>
      <c r="AZ316" s="1">
        <v>9.2</v>
      </c>
      <c r="BA316" s="1">
        <v>12.0</v>
      </c>
      <c r="BB316" s="1">
        <v>3.93</v>
      </c>
      <c r="BC316" s="1" t="s">
        <v>654</v>
      </c>
      <c r="BD316" s="1">
        <v>5.0</v>
      </c>
      <c r="BE316" s="1">
        <v>27.0</v>
      </c>
      <c r="BF316" s="1">
        <v>26.2</v>
      </c>
      <c r="BG316" s="1">
        <v>41.8</v>
      </c>
      <c r="BH316" s="1" t="s">
        <v>666</v>
      </c>
    </row>
    <row r="317">
      <c r="A317" s="2">
        <v>9015.0</v>
      </c>
      <c r="B317" s="2" t="str">
        <f>IFERROR(__xludf.DUMMYFUNCTION("TO_TEXT(A317)"),"09015")</f>
        <v>09015</v>
      </c>
      <c r="C317" s="1">
        <v>117078.0</v>
      </c>
      <c r="D317" s="1">
        <v>512.87637547452</v>
      </c>
      <c r="E317" s="1" t="s">
        <v>667</v>
      </c>
      <c r="F317" s="1" t="s">
        <v>668</v>
      </c>
      <c r="G317" s="1">
        <v>228.277233264406</v>
      </c>
      <c r="H317" s="1">
        <v>13.385187564</v>
      </c>
      <c r="I317" s="1">
        <v>3.8563813784</v>
      </c>
      <c r="J317" s="1">
        <v>7.8997826921</v>
      </c>
      <c r="K317" s="1">
        <v>14.356951843</v>
      </c>
      <c r="L317" s="1">
        <v>30.3</v>
      </c>
      <c r="M317" s="1">
        <v>8.2</v>
      </c>
      <c r="N317" s="1">
        <v>23.0</v>
      </c>
      <c r="O317" s="1">
        <v>81.859019826</v>
      </c>
      <c r="P317" s="1">
        <v>5.6040261316</v>
      </c>
      <c r="Q317" s="1">
        <v>45.54869</v>
      </c>
      <c r="R317" s="1">
        <v>82.627573859</v>
      </c>
      <c r="S317" s="1">
        <v>14.8</v>
      </c>
      <c r="T317" s="1">
        <v>23301.0</v>
      </c>
      <c r="U317" s="1">
        <v>35.53066392</v>
      </c>
      <c r="V317" s="1">
        <v>204.509002055</v>
      </c>
      <c r="W317" s="1">
        <v>15.894713059</v>
      </c>
      <c r="X317" s="1">
        <v>14.266211604</v>
      </c>
      <c r="Y317" s="1">
        <v>78.723192019</v>
      </c>
      <c r="Z317" s="1">
        <v>11.1</v>
      </c>
      <c r="AA317" s="1">
        <v>4.6261453577</v>
      </c>
      <c r="AB317" s="1">
        <v>65182.0</v>
      </c>
      <c r="AC317" s="1">
        <v>43.119763727</v>
      </c>
      <c r="AD317" s="1">
        <v>69.652860582</v>
      </c>
      <c r="AE317" s="1">
        <v>12.950634632</v>
      </c>
      <c r="AF317" s="1">
        <v>1.8551274492</v>
      </c>
      <c r="AG317" s="1">
        <v>0.699838498799999</v>
      </c>
      <c r="AH317" s="1">
        <v>1.4876908748</v>
      </c>
      <c r="AI317" s="1">
        <v>0.0794688405</v>
      </c>
      <c r="AJ317" s="1">
        <v>12.284344638</v>
      </c>
      <c r="AK317" s="1">
        <v>82.228887351</v>
      </c>
      <c r="AL317" s="1">
        <v>2.3698137745</v>
      </c>
      <c r="AM317" s="1">
        <v>50.4874943389999</v>
      </c>
      <c r="AN317" s="1">
        <v>49.761036241</v>
      </c>
      <c r="AO317" s="1">
        <v>28663.0</v>
      </c>
      <c r="AP317" s="1">
        <v>11.2</v>
      </c>
      <c r="AQ317" s="1">
        <v>8.4</v>
      </c>
      <c r="AR317" s="1">
        <v>11.9</v>
      </c>
      <c r="AS317" s="1">
        <v>14.6</v>
      </c>
      <c r="AT317" s="1">
        <v>20.7</v>
      </c>
      <c r="AU317" s="1">
        <v>13.7</v>
      </c>
      <c r="AV317" s="1">
        <v>16.2</v>
      </c>
      <c r="AW317" s="1">
        <v>2.6</v>
      </c>
      <c r="AX317" s="1">
        <v>0.4457</v>
      </c>
      <c r="AY317" s="1">
        <v>11.5</v>
      </c>
      <c r="AZ317" s="1">
        <v>11.9</v>
      </c>
      <c r="BA317" s="1">
        <v>17.0</v>
      </c>
      <c r="BB317" s="1">
        <v>3.0</v>
      </c>
      <c r="BC317" s="1" t="s">
        <v>654</v>
      </c>
      <c r="BD317" s="1">
        <v>11.6</v>
      </c>
      <c r="BE317" s="1">
        <v>33.2</v>
      </c>
      <c r="BF317" s="1">
        <v>30.9</v>
      </c>
      <c r="BG317" s="1">
        <v>24.3</v>
      </c>
      <c r="BH317" s="1" t="s">
        <v>668</v>
      </c>
    </row>
    <row r="318">
      <c r="A318" s="1">
        <v>10001.0</v>
      </c>
      <c r="B318" s="2" t="str">
        <f>IFERROR(__xludf.DUMMYFUNCTION("TO_TEXT(A318)"),"10001")</f>
        <v>10001</v>
      </c>
      <c r="C318" s="1">
        <v>171474.0</v>
      </c>
      <c r="D318" s="1">
        <v>586.321714521085</v>
      </c>
      <c r="E318" s="1" t="s">
        <v>669</v>
      </c>
      <c r="F318" s="1" t="s">
        <v>670</v>
      </c>
      <c r="G318" s="1">
        <v>292.4571881839</v>
      </c>
      <c r="H318" s="1">
        <v>18.955716012</v>
      </c>
      <c r="I318" s="1">
        <v>4.6791565581</v>
      </c>
      <c r="J318" s="1">
        <v>9.1444451796</v>
      </c>
      <c r="K318" s="1">
        <v>16.8237595029999</v>
      </c>
      <c r="L318" s="1">
        <v>35.4</v>
      </c>
      <c r="M318" s="1">
        <v>7.9</v>
      </c>
      <c r="N318" s="1">
        <v>31.2</v>
      </c>
      <c r="O318" s="1">
        <v>66.84431027</v>
      </c>
      <c r="P318" s="1">
        <v>6.4075160659</v>
      </c>
      <c r="Q318" s="1">
        <v>46.3738</v>
      </c>
      <c r="R318" s="1">
        <v>90.0841632</v>
      </c>
      <c r="S318" s="1">
        <v>19.6</v>
      </c>
      <c r="T318" s="1">
        <v>39958.0</v>
      </c>
      <c r="U318" s="1">
        <v>39.741728815</v>
      </c>
      <c r="V318" s="1">
        <v>448.14599062</v>
      </c>
      <c r="W318" s="1">
        <v>15.9317669779999</v>
      </c>
      <c r="X318" s="1">
        <v>13.9446113859999</v>
      </c>
      <c r="Y318" s="1">
        <v>77.732028148</v>
      </c>
      <c r="Z318" s="1">
        <v>13.1</v>
      </c>
      <c r="AA318" s="1">
        <v>4.4611350557</v>
      </c>
      <c r="AB318" s="1">
        <v>54980.0</v>
      </c>
      <c r="AC318" s="1">
        <v>52.4746192889999</v>
      </c>
      <c r="AD318" s="1">
        <v>69.027810055</v>
      </c>
      <c r="AE318" s="1">
        <v>14.5977377729999</v>
      </c>
      <c r="AF318" s="1">
        <v>25.4662559509999</v>
      </c>
      <c r="AG318" s="1">
        <v>0.7426491179</v>
      </c>
      <c r="AH318" s="1">
        <v>2.3914869784</v>
      </c>
      <c r="AI318" s="1">
        <v>0.1254550546</v>
      </c>
      <c r="AJ318" s="1">
        <v>7.388966676</v>
      </c>
      <c r="AK318" s="1">
        <v>60.933071969</v>
      </c>
      <c r="AL318" s="1">
        <v>1.3532237489</v>
      </c>
      <c r="AM318" s="1">
        <v>51.821338561</v>
      </c>
      <c r="AN318" s="1">
        <v>26.969379582</v>
      </c>
      <c r="AO318" s="1">
        <v>26118.0</v>
      </c>
      <c r="AP318" s="1">
        <v>13.2</v>
      </c>
      <c r="AQ318" s="1">
        <v>8.0</v>
      </c>
      <c r="AR318" s="1">
        <v>13.1</v>
      </c>
      <c r="AS318" s="1">
        <v>15.5</v>
      </c>
      <c r="AT318" s="1">
        <v>23.6</v>
      </c>
      <c r="AU318" s="1">
        <v>14.0</v>
      </c>
      <c r="AV318" s="1">
        <v>36.7</v>
      </c>
      <c r="AW318" s="1">
        <v>1.2</v>
      </c>
      <c r="AX318" s="1">
        <v>0.6985</v>
      </c>
      <c r="AY318" s="1">
        <v>12.7</v>
      </c>
      <c r="AZ318" s="1">
        <v>12.5</v>
      </c>
      <c r="BA318" s="1">
        <v>19.1</v>
      </c>
      <c r="BB318" s="1">
        <v>3.02</v>
      </c>
      <c r="BC318" s="1" t="s">
        <v>671</v>
      </c>
      <c r="BD318" s="1">
        <v>12.6</v>
      </c>
      <c r="BE318" s="1">
        <v>32.9</v>
      </c>
      <c r="BF318" s="1">
        <v>30.8</v>
      </c>
      <c r="BG318" s="1">
        <v>23.7</v>
      </c>
      <c r="BH318" s="1" t="s">
        <v>670</v>
      </c>
    </row>
    <row r="319">
      <c r="A319" s="1">
        <v>10003.0</v>
      </c>
      <c r="B319" s="2" t="str">
        <f>IFERROR(__xludf.DUMMYFUNCTION("TO_TEXT(A319)"),"10003")</f>
        <v>10003</v>
      </c>
      <c r="C319" s="1">
        <v>551997.0</v>
      </c>
      <c r="D319" s="1">
        <v>426.318143778454</v>
      </c>
      <c r="E319" s="1" t="s">
        <v>672</v>
      </c>
      <c r="F319" s="1" t="s">
        <v>673</v>
      </c>
      <c r="G319" s="1">
        <v>1294.80062731475</v>
      </c>
      <c r="H319" s="1">
        <v>16.7999340159999</v>
      </c>
      <c r="I319" s="1">
        <v>4.1720258823</v>
      </c>
      <c r="J319" s="1">
        <v>8.9138824567</v>
      </c>
      <c r="K319" s="1">
        <v>15.2425581279999</v>
      </c>
      <c r="L319" s="1">
        <v>28.7</v>
      </c>
      <c r="M319" s="1">
        <v>8.1</v>
      </c>
      <c r="N319" s="1">
        <v>25.5</v>
      </c>
      <c r="O319" s="1">
        <v>96.939899235</v>
      </c>
      <c r="P319" s="1">
        <v>5.5958405064</v>
      </c>
      <c r="Q319" s="1">
        <v>83.78097</v>
      </c>
      <c r="R319" s="1">
        <v>87.686595725</v>
      </c>
      <c r="S319" s="1">
        <v>15.5</v>
      </c>
      <c r="T319" s="1">
        <v>119960.0</v>
      </c>
      <c r="U319" s="1">
        <v>35.834444815</v>
      </c>
      <c r="V319" s="1">
        <v>551.25136937</v>
      </c>
      <c r="W319" s="1">
        <v>14.4377237379999</v>
      </c>
      <c r="X319" s="1">
        <v>13.131846046</v>
      </c>
      <c r="Y319" s="1">
        <v>78.468085874</v>
      </c>
      <c r="Z319" s="1">
        <v>10.5</v>
      </c>
      <c r="AA319" s="1">
        <v>4.7501029088</v>
      </c>
      <c r="AB319" s="1">
        <v>69562.0</v>
      </c>
      <c r="AC319" s="1">
        <v>52.4746192889999</v>
      </c>
      <c r="AD319" s="1">
        <v>68.019916117</v>
      </c>
      <c r="AE319" s="1">
        <v>13.7659520809999</v>
      </c>
      <c r="AF319" s="1">
        <v>24.850760278</v>
      </c>
      <c r="AG319" s="1">
        <v>0.4612620344</v>
      </c>
      <c r="AH319" s="1">
        <v>5.7616634039</v>
      </c>
      <c r="AI319" s="1">
        <v>0.0668651166</v>
      </c>
      <c r="AJ319" s="1">
        <v>10.2766678289999</v>
      </c>
      <c r="AK319" s="1">
        <v>56.788686565</v>
      </c>
      <c r="AL319" s="1">
        <v>2.0744910885</v>
      </c>
      <c r="AM319" s="1">
        <v>51.527617617</v>
      </c>
      <c r="AN319" s="1">
        <v>4.6024078933</v>
      </c>
      <c r="AO319" s="1">
        <v>33240.0</v>
      </c>
      <c r="AP319" s="1">
        <v>11.4</v>
      </c>
      <c r="AQ319" s="1">
        <v>6.9</v>
      </c>
      <c r="AR319" s="1">
        <v>9.5</v>
      </c>
      <c r="AS319" s="1">
        <v>13.8</v>
      </c>
      <c r="AT319" s="1">
        <v>22.2</v>
      </c>
      <c r="AU319" s="1">
        <v>11.1</v>
      </c>
      <c r="AV319" s="1">
        <v>40.8</v>
      </c>
      <c r="AW319" s="1">
        <v>2.3</v>
      </c>
      <c r="AX319" s="1">
        <v>0.391</v>
      </c>
      <c r="AY319" s="1">
        <v>10.4</v>
      </c>
      <c r="AZ319" s="1">
        <v>10.7</v>
      </c>
      <c r="BA319" s="1">
        <v>15.1</v>
      </c>
      <c r="BB319" s="1">
        <v>3.43</v>
      </c>
      <c r="BC319" s="1" t="s">
        <v>671</v>
      </c>
      <c r="BD319" s="1">
        <v>8.4</v>
      </c>
      <c r="BE319" s="1">
        <v>30.8</v>
      </c>
      <c r="BF319" s="1">
        <v>24.6</v>
      </c>
      <c r="BG319" s="1">
        <v>36.2</v>
      </c>
      <c r="BH319" s="1" t="s">
        <v>673</v>
      </c>
    </row>
    <row r="320">
      <c r="A320" s="1">
        <v>10005.0</v>
      </c>
      <c r="B320" s="2" t="str">
        <f>IFERROR(__xludf.DUMMYFUNCTION("TO_TEXT(A320)"),"10005")</f>
        <v>10005</v>
      </c>
      <c r="C320" s="1">
        <v>211224.0</v>
      </c>
      <c r="D320" s="1">
        <v>936.092125976144</v>
      </c>
      <c r="E320" s="1" t="s">
        <v>674</v>
      </c>
      <c r="F320" s="1" t="s">
        <v>675</v>
      </c>
      <c r="G320" s="1">
        <v>225.644457568466</v>
      </c>
      <c r="H320" s="1">
        <v>17.8137091959999</v>
      </c>
      <c r="I320" s="1">
        <v>4.1327347552</v>
      </c>
      <c r="J320" s="1">
        <v>7.78960551029999</v>
      </c>
      <c r="K320" s="1">
        <v>16.085001169</v>
      </c>
      <c r="L320" s="1">
        <v>32.9</v>
      </c>
      <c r="M320" s="1">
        <v>8.5</v>
      </c>
      <c r="N320" s="1">
        <v>30.3</v>
      </c>
      <c r="O320" s="1">
        <v>74.031296761</v>
      </c>
      <c r="P320" s="1">
        <v>7.1545503038</v>
      </c>
      <c r="Q320" s="1">
        <v>62.1333</v>
      </c>
      <c r="R320" s="1">
        <v>88.5425085129999</v>
      </c>
      <c r="S320" s="1">
        <v>21.6</v>
      </c>
      <c r="T320" s="1">
        <v>41244.0</v>
      </c>
      <c r="U320" s="1">
        <v>37.321792261</v>
      </c>
      <c r="V320" s="1">
        <v>406.1413998</v>
      </c>
      <c r="W320" s="1">
        <v>14.978713198</v>
      </c>
      <c r="X320" s="1">
        <v>12.890696122</v>
      </c>
      <c r="Y320" s="1">
        <v>78.514194813</v>
      </c>
      <c r="Z320" s="1">
        <v>12.9</v>
      </c>
      <c r="AA320" s="1">
        <v>4.6440750474</v>
      </c>
      <c r="AB320" s="1">
        <v>59821.0</v>
      </c>
      <c r="AC320" s="1">
        <v>52.4746192889999</v>
      </c>
      <c r="AD320" s="1">
        <v>79.552397471</v>
      </c>
      <c r="AE320" s="1">
        <v>12.817171065</v>
      </c>
      <c r="AF320" s="1">
        <v>11.790951039</v>
      </c>
      <c r="AG320" s="1">
        <v>1.1130204199</v>
      </c>
      <c r="AH320" s="1">
        <v>1.3463534625</v>
      </c>
      <c r="AI320" s="1">
        <v>0.1966975742</v>
      </c>
      <c r="AJ320" s="1">
        <v>9.2897080502</v>
      </c>
      <c r="AK320" s="1">
        <v>75.288504313</v>
      </c>
      <c r="AL320" s="1">
        <v>2.3498732135</v>
      </c>
      <c r="AM320" s="1">
        <v>51.6843592719999</v>
      </c>
      <c r="AN320" s="1">
        <v>41.303609019</v>
      </c>
      <c r="AO320" s="1">
        <v>29630.0</v>
      </c>
      <c r="AP320" s="1">
        <v>12.9</v>
      </c>
      <c r="AQ320" s="1">
        <v>7.1</v>
      </c>
      <c r="AR320" s="1">
        <v>13.8</v>
      </c>
      <c r="AS320" s="1">
        <v>24.2</v>
      </c>
      <c r="AT320" s="1">
        <v>19.6</v>
      </c>
      <c r="AU320" s="1">
        <v>14.1</v>
      </c>
      <c r="AV320" s="1">
        <v>25.2</v>
      </c>
      <c r="AW320" s="1">
        <v>2.6</v>
      </c>
      <c r="AX320" s="1">
        <v>0.4874</v>
      </c>
      <c r="AY320" s="1">
        <v>12.1</v>
      </c>
      <c r="AZ320" s="1">
        <v>10.9</v>
      </c>
      <c r="BA320" s="1">
        <v>17.9</v>
      </c>
      <c r="BB320" s="1">
        <v>3.59</v>
      </c>
      <c r="BC320" s="1" t="s">
        <v>671</v>
      </c>
      <c r="BD320" s="1">
        <v>11.9</v>
      </c>
      <c r="BE320" s="1">
        <v>31.2</v>
      </c>
      <c r="BF320" s="1">
        <v>28.7</v>
      </c>
      <c r="BG320" s="1">
        <v>28.3</v>
      </c>
      <c r="BH320" s="1" t="s">
        <v>675</v>
      </c>
    </row>
    <row r="321">
      <c r="A321" s="1">
        <v>11001.0</v>
      </c>
      <c r="B321" s="2" t="str">
        <f>IFERROR(__xludf.DUMMYFUNCTION("TO_TEXT(A321)"),"11001")</f>
        <v>11001</v>
      </c>
      <c r="C321" s="1">
        <v>659009.0</v>
      </c>
      <c r="D321" s="1">
        <v>61.145040141184</v>
      </c>
      <c r="E321" s="1" t="s">
        <v>676</v>
      </c>
      <c r="F321" s="1" t="s">
        <v>677</v>
      </c>
      <c r="G321" s="1">
        <v>10777.7997770277</v>
      </c>
      <c r="H321" s="1">
        <v>13.0337936559999</v>
      </c>
      <c r="I321" s="1">
        <v>3.5629029718</v>
      </c>
      <c r="J321" s="1">
        <v>9.92557326659999</v>
      </c>
      <c r="K321" s="1">
        <v>15.965592149</v>
      </c>
      <c r="L321" s="1">
        <v>23.5</v>
      </c>
      <c r="M321" s="1">
        <v>8.6</v>
      </c>
      <c r="N321" s="1">
        <v>18.4</v>
      </c>
      <c r="O321" s="1">
        <v>100.0</v>
      </c>
      <c r="P321" s="1">
        <v>4.3005780747</v>
      </c>
      <c r="Q321" s="1">
        <v>117.4399</v>
      </c>
      <c r="R321" s="1">
        <v>72.367312553</v>
      </c>
      <c r="S321" s="1">
        <v>24.5</v>
      </c>
      <c r="T321" s="1">
        <v>120652.0</v>
      </c>
      <c r="U321" s="1">
        <v>52.077048039</v>
      </c>
      <c r="V321" s="1">
        <v>1226.43487659999</v>
      </c>
      <c r="W321" s="1">
        <v>21.461245005</v>
      </c>
      <c r="X321" s="1">
        <v>18.503057059</v>
      </c>
      <c r="Y321" s="1">
        <v>78.5919756999999</v>
      </c>
      <c r="Z321" s="1">
        <v>8.1</v>
      </c>
      <c r="AA321" s="1">
        <v>0.7858984598</v>
      </c>
      <c r="AB321" s="1">
        <v>82533.0</v>
      </c>
      <c r="AC321" s="1">
        <v>52.4746192889999</v>
      </c>
      <c r="AD321" s="1">
        <v>41.7923233869999</v>
      </c>
      <c r="AE321" s="1">
        <v>18.39325344</v>
      </c>
      <c r="AF321" s="1">
        <v>44.890704743</v>
      </c>
      <c r="AG321" s="1">
        <v>0.6115694244</v>
      </c>
      <c r="AH321" s="1">
        <v>4.416653024</v>
      </c>
      <c r="AI321" s="1">
        <v>0.1387989266</v>
      </c>
      <c r="AJ321" s="1">
        <v>11.281719114</v>
      </c>
      <c r="AK321" s="1">
        <v>37.051199009</v>
      </c>
      <c r="AL321" s="1">
        <v>2.4951313367</v>
      </c>
      <c r="AM321" s="1">
        <v>52.551124271</v>
      </c>
      <c r="AN321" s="1">
        <v>0.0</v>
      </c>
      <c r="AO321" s="1">
        <v>48781.0</v>
      </c>
      <c r="AP321" s="1">
        <v>17.9</v>
      </c>
      <c r="AQ321" s="1">
        <v>8.7</v>
      </c>
      <c r="AR321" s="1">
        <v>10.0</v>
      </c>
      <c r="AS321" s="1">
        <v>11.4</v>
      </c>
      <c r="AT321" s="1">
        <v>17.4</v>
      </c>
      <c r="AU321" s="1">
        <v>11.3</v>
      </c>
      <c r="AV321" s="1">
        <v>64.2</v>
      </c>
      <c r="AW321" s="1">
        <v>2.4</v>
      </c>
      <c r="AX321" s="1">
        <v>0.5918</v>
      </c>
      <c r="AY321" s="1">
        <v>14.1</v>
      </c>
      <c r="AZ321" s="1">
        <v>10.7</v>
      </c>
      <c r="BA321" s="1">
        <v>18.0</v>
      </c>
      <c r="BB321" s="1">
        <v>4.33</v>
      </c>
      <c r="BC321" s="1" t="s">
        <v>678</v>
      </c>
      <c r="BD321" s="1">
        <v>9.1</v>
      </c>
      <c r="BE321" s="1">
        <v>16.8</v>
      </c>
      <c r="BF321" s="1">
        <v>15.5</v>
      </c>
      <c r="BG321" s="1">
        <v>58.5</v>
      </c>
      <c r="BH321" s="1" t="s">
        <v>677</v>
      </c>
    </row>
    <row r="322">
      <c r="A322" s="1">
        <v>12001.0</v>
      </c>
      <c r="B322" s="2" t="str">
        <f>IFERROR(__xludf.DUMMYFUNCTION("TO_TEXT(A322)"),"12001")</f>
        <v>12001</v>
      </c>
      <c r="C322" s="1">
        <v>256581.0</v>
      </c>
      <c r="D322" s="1">
        <v>875.053359252153</v>
      </c>
      <c r="E322" s="1" t="s">
        <v>679</v>
      </c>
      <c r="F322" s="1" t="s">
        <v>680</v>
      </c>
      <c r="G322" s="1">
        <v>293.21754757822</v>
      </c>
      <c r="H322" s="1">
        <v>17.61444956</v>
      </c>
      <c r="I322" s="1">
        <v>4.4764717547</v>
      </c>
      <c r="J322" s="1">
        <v>9.8970625157</v>
      </c>
      <c r="K322" s="1">
        <v>16.3808520859999</v>
      </c>
      <c r="L322" s="1">
        <v>26.7</v>
      </c>
      <c r="M322" s="1">
        <v>6.6</v>
      </c>
      <c r="N322" s="1">
        <v>23.5</v>
      </c>
      <c r="O322" s="1">
        <v>87.381941974</v>
      </c>
      <c r="P322" s="1">
        <v>11.865669582</v>
      </c>
      <c r="Q322" s="1">
        <v>158.08559</v>
      </c>
      <c r="R322" s="1">
        <v>84.217942696</v>
      </c>
      <c r="S322" s="1">
        <v>21.1</v>
      </c>
      <c r="T322" s="1">
        <v>46745.0</v>
      </c>
      <c r="U322" s="1">
        <v>34.878596641</v>
      </c>
      <c r="V322" s="1">
        <v>560.54092488</v>
      </c>
      <c r="W322" s="1">
        <v>20.138059895</v>
      </c>
      <c r="X322" s="1">
        <v>18.979335914</v>
      </c>
      <c r="Y322" s="1">
        <v>79.130398872</v>
      </c>
      <c r="Z322" s="1">
        <v>8.8</v>
      </c>
      <c r="AA322" s="1">
        <v>6.4279615268</v>
      </c>
      <c r="AB322" s="1">
        <v>51026.0</v>
      </c>
      <c r="AC322" s="1">
        <v>54.064750535</v>
      </c>
      <c r="AD322" s="1">
        <v>54.812051768</v>
      </c>
      <c r="AE322" s="1">
        <v>19.035269142</v>
      </c>
      <c r="AF322" s="1">
        <v>19.959548964</v>
      </c>
      <c r="AG322" s="1">
        <v>0.359688245499999</v>
      </c>
      <c r="AH322" s="1">
        <v>6.2602794529</v>
      </c>
      <c r="AI322" s="1">
        <v>0.0796426084</v>
      </c>
      <c r="AJ322" s="1">
        <v>10.276119071</v>
      </c>
      <c r="AK322" s="1">
        <v>60.809909763</v>
      </c>
      <c r="AL322" s="1">
        <v>1.1944446676</v>
      </c>
      <c r="AM322" s="1">
        <v>51.685459853</v>
      </c>
      <c r="AN322" s="1">
        <v>21.193437268</v>
      </c>
      <c r="AO322" s="1">
        <v>25758.0</v>
      </c>
      <c r="AP322" s="1">
        <v>24.2</v>
      </c>
      <c r="AQ322" s="1">
        <v>7.0</v>
      </c>
      <c r="AR322" s="1">
        <v>7.5</v>
      </c>
      <c r="AS322" s="1">
        <v>12.4</v>
      </c>
      <c r="AT322" s="1">
        <v>18.0</v>
      </c>
      <c r="AU322" s="1">
        <v>10.5</v>
      </c>
      <c r="AV322" s="1">
        <v>37.5</v>
      </c>
      <c r="AW322" s="1">
        <v>1.1</v>
      </c>
      <c r="AX322" s="1">
        <v>0.4871</v>
      </c>
      <c r="AY322" s="1">
        <v>18.4</v>
      </c>
      <c r="AZ322" s="1">
        <v>13.9</v>
      </c>
      <c r="BA322" s="1">
        <v>18.2</v>
      </c>
      <c r="BB322" s="1">
        <v>3.49</v>
      </c>
      <c r="BC322" s="1" t="s">
        <v>681</v>
      </c>
      <c r="BD322" s="1">
        <v>7.4</v>
      </c>
      <c r="BE322" s="1">
        <v>21.2</v>
      </c>
      <c r="BF322" s="1">
        <v>28.1</v>
      </c>
      <c r="BG322" s="1">
        <v>43.3</v>
      </c>
      <c r="BH322" s="1" t="s">
        <v>680</v>
      </c>
    </row>
    <row r="323">
      <c r="A323" s="1">
        <v>12003.0</v>
      </c>
      <c r="B323" s="2" t="str">
        <f>IFERROR(__xludf.DUMMYFUNCTION("TO_TEXT(A323)"),"12003")</f>
        <v>12003</v>
      </c>
      <c r="C323" s="1">
        <v>27312.0</v>
      </c>
      <c r="D323" s="1">
        <v>585.229843161716</v>
      </c>
      <c r="E323" s="1" t="s">
        <v>682</v>
      </c>
      <c r="F323" s="1" t="s">
        <v>683</v>
      </c>
      <c r="G323" s="1">
        <v>46.6688435648571</v>
      </c>
      <c r="H323" s="1">
        <v>19.933229887</v>
      </c>
      <c r="I323" s="1">
        <v>4.6285162411</v>
      </c>
      <c r="J323" s="1">
        <v>9.5178197065</v>
      </c>
      <c r="K323" s="1">
        <v>22.731956418</v>
      </c>
      <c r="L323" s="1">
        <v>37.9</v>
      </c>
      <c r="M323" s="1">
        <v>6.7</v>
      </c>
      <c r="N323" s="1">
        <v>33.4</v>
      </c>
      <c r="O323" s="1">
        <v>41.117462659</v>
      </c>
      <c r="P323" s="1">
        <v>11.9664389529999</v>
      </c>
      <c r="Q323" s="1">
        <v>35.35693</v>
      </c>
      <c r="R323" s="1">
        <v>81.458966565</v>
      </c>
      <c r="S323" s="1">
        <v>21.7</v>
      </c>
      <c r="T323" s="1">
        <v>6615.0</v>
      </c>
      <c r="U323" s="1">
        <v>30.1738473169999</v>
      </c>
      <c r="V323" s="1">
        <v>465.69388389</v>
      </c>
      <c r="W323" s="1">
        <v>11.850060459</v>
      </c>
      <c r="X323" s="1">
        <v>8.8522588523</v>
      </c>
      <c r="Y323" s="1">
        <v>75.303626385</v>
      </c>
      <c r="Z323" s="1">
        <v>15.5</v>
      </c>
      <c r="AA323" s="1">
        <v>12.9605918509999</v>
      </c>
      <c r="AB323" s="1">
        <v>52804.0</v>
      </c>
      <c r="AC323" s="1">
        <v>46.667988893</v>
      </c>
      <c r="AD323" s="1">
        <v>75.64057971</v>
      </c>
      <c r="AE323" s="1">
        <v>9.0649092266</v>
      </c>
      <c r="AF323" s="1">
        <v>13.814142127</v>
      </c>
      <c r="AG323" s="1">
        <v>0.4408393581</v>
      </c>
      <c r="AH323" s="1">
        <v>0.7088696879</v>
      </c>
      <c r="AI323" s="1">
        <v>0.0317404338</v>
      </c>
      <c r="AJ323" s="1">
        <v>2.666196438</v>
      </c>
      <c r="AK323" s="1">
        <v>80.786457415</v>
      </c>
      <c r="AL323" s="1">
        <v>0.6256676331</v>
      </c>
      <c r="AM323" s="1">
        <v>47.391994357</v>
      </c>
      <c r="AN323" s="1">
        <v>59.491056611</v>
      </c>
      <c r="AO323" s="1">
        <v>21222.0</v>
      </c>
      <c r="AP323" s="1">
        <v>18.5</v>
      </c>
      <c r="AQ323" s="1">
        <v>6.8</v>
      </c>
      <c r="AR323" s="1">
        <v>17.9</v>
      </c>
      <c r="AS323" s="1">
        <v>12.9</v>
      </c>
      <c r="AT323" s="1">
        <v>24.5</v>
      </c>
      <c r="AU323" s="1">
        <v>16.0</v>
      </c>
      <c r="AV323" s="1">
        <v>17.9</v>
      </c>
      <c r="AW323" s="1">
        <v>0.6</v>
      </c>
      <c r="AX323" s="1">
        <v>0.7023</v>
      </c>
      <c r="AY323" s="1">
        <v>14.9</v>
      </c>
      <c r="AZ323" s="1">
        <v>13.5</v>
      </c>
      <c r="BA323" s="1">
        <v>20.7</v>
      </c>
      <c r="BB323" s="1">
        <v>3.1</v>
      </c>
      <c r="BC323" s="1" t="s">
        <v>681</v>
      </c>
      <c r="BD323" s="1">
        <v>14.3</v>
      </c>
      <c r="BE323" s="1">
        <v>42.6</v>
      </c>
      <c r="BF323" s="1">
        <v>29.9</v>
      </c>
      <c r="BG323" s="1">
        <v>13.2</v>
      </c>
      <c r="BH323" s="1" t="s">
        <v>683</v>
      </c>
    </row>
    <row r="324">
      <c r="A324" s="1">
        <v>12005.0</v>
      </c>
      <c r="B324" s="2" t="str">
        <f>IFERROR(__xludf.DUMMYFUNCTION("TO_TEXT(A324)"),"12005")</f>
        <v>12005</v>
      </c>
      <c r="C324" s="1">
        <v>178361.0</v>
      </c>
      <c r="D324" s="1">
        <v>758.45956223961</v>
      </c>
      <c r="E324" s="1" t="s">
        <v>684</v>
      </c>
      <c r="F324" s="1" t="s">
        <v>685</v>
      </c>
      <c r="G324" s="1">
        <v>235.162174596795</v>
      </c>
      <c r="H324" s="1">
        <v>19.769132811</v>
      </c>
      <c r="I324" s="1">
        <v>4.8163587624</v>
      </c>
      <c r="J324" s="1">
        <v>8.2014031167</v>
      </c>
      <c r="K324" s="1">
        <v>22.708204482</v>
      </c>
      <c r="L324" s="1">
        <v>29.1</v>
      </c>
      <c r="M324" s="1">
        <v>6.8</v>
      </c>
      <c r="N324" s="1">
        <v>30.6</v>
      </c>
      <c r="O324" s="1">
        <v>68.08625305</v>
      </c>
      <c r="P324" s="1">
        <v>14.834860487</v>
      </c>
      <c r="Q324" s="1">
        <v>54.47721</v>
      </c>
      <c r="R324" s="1">
        <v>79.036827195</v>
      </c>
      <c r="S324" s="1">
        <v>20.5</v>
      </c>
      <c r="T324" s="1">
        <v>39040.0</v>
      </c>
      <c r="U324" s="1">
        <v>36.682889344</v>
      </c>
      <c r="V324" s="1">
        <v>496.91120437</v>
      </c>
      <c r="W324" s="1">
        <v>16.875183986</v>
      </c>
      <c r="X324" s="1">
        <v>14.88330475</v>
      </c>
      <c r="Y324" s="1">
        <v>76.0791377789999</v>
      </c>
      <c r="Z324" s="1">
        <v>11.4</v>
      </c>
      <c r="AA324" s="1">
        <v>10.582808978</v>
      </c>
      <c r="AB324" s="1">
        <v>51777.0</v>
      </c>
      <c r="AC324" s="1">
        <v>52.530901578</v>
      </c>
      <c r="AD324" s="1">
        <v>63.455319876</v>
      </c>
      <c r="AE324" s="1">
        <v>14.885804509</v>
      </c>
      <c r="AF324" s="1">
        <v>11.214494271</v>
      </c>
      <c r="AG324" s="1">
        <v>0.8284445212</v>
      </c>
      <c r="AH324" s="1">
        <v>2.279166914</v>
      </c>
      <c r="AI324" s="1">
        <v>0.1608315748</v>
      </c>
      <c r="AJ324" s="1">
        <v>6.7063528472</v>
      </c>
      <c r="AK324" s="1">
        <v>76.136480163</v>
      </c>
      <c r="AL324" s="1">
        <v>1.2735763591</v>
      </c>
      <c r="AM324" s="1">
        <v>50.3856179869999</v>
      </c>
      <c r="AN324" s="1">
        <v>11.999857864</v>
      </c>
      <c r="AO324" s="1">
        <v>25695.0</v>
      </c>
      <c r="AP324" s="1">
        <v>15.6</v>
      </c>
      <c r="AQ324" s="1">
        <v>7.5</v>
      </c>
      <c r="AR324" s="1">
        <v>11.3</v>
      </c>
      <c r="AS324" s="1">
        <v>16.1</v>
      </c>
      <c r="AT324" s="1">
        <v>21.6</v>
      </c>
      <c r="AU324" s="1">
        <v>18.0</v>
      </c>
      <c r="AV324" s="1">
        <v>22.3</v>
      </c>
      <c r="AW324" s="1">
        <v>1.2</v>
      </c>
      <c r="AX324" s="1">
        <v>0.6027</v>
      </c>
      <c r="AY324" s="1">
        <v>12.1</v>
      </c>
      <c r="AZ324" s="1">
        <v>14.9</v>
      </c>
      <c r="BA324" s="1">
        <v>22.3</v>
      </c>
      <c r="BB324" s="1">
        <v>3.4</v>
      </c>
      <c r="BC324" s="1" t="s">
        <v>681</v>
      </c>
      <c r="BD324" s="1">
        <v>9.3</v>
      </c>
      <c r="BE324" s="1">
        <v>31.0</v>
      </c>
      <c r="BF324" s="1">
        <v>35.9</v>
      </c>
      <c r="BG324" s="1">
        <v>23.7</v>
      </c>
      <c r="BH324" s="1" t="s">
        <v>685</v>
      </c>
    </row>
    <row r="325">
      <c r="A325" s="1">
        <v>12007.0</v>
      </c>
      <c r="B325" s="2" t="str">
        <f>IFERROR(__xludf.DUMMYFUNCTION("TO_TEXT(A325)"),"12007")</f>
        <v>12007</v>
      </c>
      <c r="C325" s="1">
        <v>26919.0</v>
      </c>
      <c r="D325" s="1">
        <v>293.963536484454</v>
      </c>
      <c r="E325" s="1" t="s">
        <v>686</v>
      </c>
      <c r="F325" s="1" t="s">
        <v>687</v>
      </c>
      <c r="G325" s="1">
        <v>91.5725818308203</v>
      </c>
      <c r="H325" s="1">
        <v>22.592265688</v>
      </c>
      <c r="I325" s="1">
        <v>4.8570323459</v>
      </c>
      <c r="J325" s="1">
        <v>11.1645813279999</v>
      </c>
      <c r="K325" s="1">
        <v>22.940737775</v>
      </c>
      <c r="L325" s="1">
        <v>36.6</v>
      </c>
      <c r="M325" s="1">
        <v>7.4</v>
      </c>
      <c r="N325" s="1">
        <v>33.2</v>
      </c>
      <c r="O325" s="1">
        <v>65.252454418</v>
      </c>
      <c r="P325" s="1">
        <v>13.269099859</v>
      </c>
      <c r="Q325" s="1">
        <v>29.58799</v>
      </c>
      <c r="R325" s="1">
        <v>80.530973451</v>
      </c>
      <c r="S325" s="1">
        <v>26.0</v>
      </c>
      <c r="T325" s="1">
        <v>5339.0</v>
      </c>
      <c r="U325" s="1">
        <v>44.184304177</v>
      </c>
      <c r="V325" s="1">
        <v>454.08105347</v>
      </c>
      <c r="W325" s="1">
        <v>15.278575531</v>
      </c>
      <c r="X325" s="1">
        <v>13.4114888629999</v>
      </c>
      <c r="Y325" s="1">
        <v>75.170652818</v>
      </c>
      <c r="Z325" s="1">
        <v>12.3</v>
      </c>
      <c r="AA325" s="1">
        <v>2.2470219273</v>
      </c>
      <c r="AB325" s="1">
        <v>45075.0</v>
      </c>
      <c r="AC325" s="1">
        <v>48.6452818439999</v>
      </c>
      <c r="AD325" s="1">
        <v>68.586678528</v>
      </c>
      <c r="AE325" s="1">
        <v>15.2927261979999</v>
      </c>
      <c r="AF325" s="1">
        <v>19.692052503</v>
      </c>
      <c r="AG325" s="1">
        <v>0.4976200779</v>
      </c>
      <c r="AH325" s="1">
        <v>0.6021924131</v>
      </c>
      <c r="AI325" s="1">
        <v>0.0540891389</v>
      </c>
      <c r="AJ325" s="1">
        <v>4.2694360306</v>
      </c>
      <c r="AK325" s="1">
        <v>73.2258762439999</v>
      </c>
      <c r="AL325" s="1">
        <v>0.539884981</v>
      </c>
      <c r="AM325" s="1">
        <v>44.764171354</v>
      </c>
      <c r="AN325" s="1">
        <v>75.529453015</v>
      </c>
      <c r="AO325" s="1">
        <v>19852.0</v>
      </c>
      <c r="AP325" s="1">
        <v>19.3</v>
      </c>
      <c r="AQ325" s="1">
        <v>10.6</v>
      </c>
      <c r="AR325" s="1">
        <v>23.2</v>
      </c>
      <c r="AS325" s="1">
        <v>17.5</v>
      </c>
      <c r="AT325" s="1">
        <v>19.9</v>
      </c>
      <c r="AU325" s="1">
        <v>19.7</v>
      </c>
      <c r="AV325" s="1">
        <v>25.2</v>
      </c>
      <c r="AW325" s="1">
        <v>0.4</v>
      </c>
      <c r="AX325" s="1">
        <v>0.9089</v>
      </c>
      <c r="AY325" s="1">
        <v>21.0</v>
      </c>
      <c r="AZ325" s="1">
        <v>16.3</v>
      </c>
      <c r="BA325" s="1">
        <v>25.1</v>
      </c>
      <c r="BB325" s="1">
        <v>3.02</v>
      </c>
      <c r="BC325" s="1" t="s">
        <v>681</v>
      </c>
      <c r="BD325" s="1">
        <v>20.4</v>
      </c>
      <c r="BE325" s="1">
        <v>40.4</v>
      </c>
      <c r="BF325" s="1">
        <v>29.4</v>
      </c>
      <c r="BG325" s="1">
        <v>9.9</v>
      </c>
      <c r="BH325" s="1" t="s">
        <v>687</v>
      </c>
    </row>
    <row r="326">
      <c r="A326" s="1">
        <v>12009.0</v>
      </c>
      <c r="B326" s="2" t="str">
        <f>IFERROR(__xludf.DUMMYFUNCTION("TO_TEXT(A326)"),"12009")</f>
        <v>12009</v>
      </c>
      <c r="C326" s="1">
        <v>560683.0</v>
      </c>
      <c r="D326" s="1">
        <v>1015.39162964746</v>
      </c>
      <c r="E326" s="1" t="s">
        <v>688</v>
      </c>
      <c r="F326" s="1" t="s">
        <v>689</v>
      </c>
      <c r="G326" s="1">
        <v>552.183988550966</v>
      </c>
      <c r="H326" s="1">
        <v>17.606259239</v>
      </c>
      <c r="I326" s="1">
        <v>4.5327458877</v>
      </c>
      <c r="J326" s="1">
        <v>7.8982118294</v>
      </c>
      <c r="K326" s="1">
        <v>16.866412293</v>
      </c>
      <c r="L326" s="1">
        <v>29.6</v>
      </c>
      <c r="M326" s="1">
        <v>7.1</v>
      </c>
      <c r="N326" s="1">
        <v>26.8</v>
      </c>
      <c r="O326" s="1">
        <v>88.369747652</v>
      </c>
      <c r="P326" s="1">
        <v>13.012913988</v>
      </c>
      <c r="Q326" s="1">
        <v>73.15475</v>
      </c>
      <c r="R326" s="1">
        <v>86.123110151</v>
      </c>
      <c r="S326" s="1">
        <v>16.5</v>
      </c>
      <c r="T326" s="1">
        <v>105513.0</v>
      </c>
      <c r="U326" s="1">
        <v>35.628785079</v>
      </c>
      <c r="V326" s="1">
        <v>496.31520878</v>
      </c>
      <c r="W326" s="1">
        <v>15.4050139279999</v>
      </c>
      <c r="X326" s="1">
        <v>14.1973630559999</v>
      </c>
      <c r="Y326" s="1">
        <v>77.739450445</v>
      </c>
      <c r="Z326" s="1">
        <v>13.1</v>
      </c>
      <c r="AA326" s="1">
        <v>12.312836385</v>
      </c>
      <c r="AB326" s="1">
        <v>57612.0</v>
      </c>
      <c r="AC326" s="1">
        <v>47.072185421</v>
      </c>
      <c r="AD326" s="1">
        <v>72.884991786</v>
      </c>
      <c r="AE326" s="1">
        <v>14.225467872</v>
      </c>
      <c r="AF326" s="1">
        <v>9.9619836843</v>
      </c>
      <c r="AG326" s="1">
        <v>0.4620934273</v>
      </c>
      <c r="AH326" s="1">
        <v>2.6403663238</v>
      </c>
      <c r="AI326" s="1">
        <v>0.1337021592</v>
      </c>
      <c r="AJ326" s="1">
        <v>10.716445868</v>
      </c>
      <c r="AK326" s="1">
        <v>74.0701584489999</v>
      </c>
      <c r="AL326" s="1">
        <v>1.3904177257</v>
      </c>
      <c r="AM326" s="1">
        <v>51.092654926</v>
      </c>
      <c r="AN326" s="1">
        <v>5.0743867966</v>
      </c>
      <c r="AO326" s="1">
        <v>28189.0</v>
      </c>
      <c r="AP326" s="1">
        <v>14.0</v>
      </c>
      <c r="AQ326" s="1">
        <v>9.3</v>
      </c>
      <c r="AR326" s="1">
        <v>8.8</v>
      </c>
      <c r="AS326" s="1">
        <v>22.5</v>
      </c>
      <c r="AT326" s="1">
        <v>18.8</v>
      </c>
      <c r="AU326" s="1">
        <v>14.9</v>
      </c>
      <c r="AV326" s="1">
        <v>24.2</v>
      </c>
      <c r="AW326" s="1">
        <v>1.5</v>
      </c>
      <c r="AX326" s="1">
        <v>0.4266</v>
      </c>
      <c r="AY326" s="1">
        <v>9.4</v>
      </c>
      <c r="AZ326" s="1">
        <v>12.5</v>
      </c>
      <c r="BA326" s="1">
        <v>19.3</v>
      </c>
      <c r="BB326" s="1">
        <v>3.39</v>
      </c>
      <c r="BC326" s="1" t="s">
        <v>681</v>
      </c>
      <c r="BD326" s="1">
        <v>7.8</v>
      </c>
      <c r="BE326" s="1">
        <v>28.3</v>
      </c>
      <c r="BF326" s="1">
        <v>33.8</v>
      </c>
      <c r="BG326" s="1">
        <v>30.2</v>
      </c>
      <c r="BH326" s="1" t="s">
        <v>689</v>
      </c>
    </row>
    <row r="327">
      <c r="A327" s="1">
        <v>12011.0</v>
      </c>
      <c r="B327" s="2" t="str">
        <f>IFERROR(__xludf.DUMMYFUNCTION("TO_TEXT(A327)"),"12011")</f>
        <v>12011</v>
      </c>
      <c r="C327" s="1">
        <v>1863780.0</v>
      </c>
      <c r="D327" s="1">
        <v>1206.95561184874</v>
      </c>
      <c r="E327" s="1" t="s">
        <v>690</v>
      </c>
      <c r="F327" s="1" t="s">
        <v>691</v>
      </c>
      <c r="G327" s="1">
        <v>1544.19929092933</v>
      </c>
      <c r="H327" s="1">
        <v>17.782269952</v>
      </c>
      <c r="I327" s="1">
        <v>4.1419373838</v>
      </c>
      <c r="J327" s="1">
        <v>9.5103950981</v>
      </c>
      <c r="K327" s="1">
        <v>14.5937925509999</v>
      </c>
      <c r="L327" s="1">
        <v>24.6</v>
      </c>
      <c r="M327" s="1">
        <v>7.9</v>
      </c>
      <c r="N327" s="1">
        <v>25.0</v>
      </c>
      <c r="O327" s="1">
        <v>96.879236825</v>
      </c>
      <c r="P327" s="1">
        <v>16.892308114</v>
      </c>
      <c r="Q327" s="1">
        <v>73.35173</v>
      </c>
      <c r="R327" s="1">
        <v>81.322204692</v>
      </c>
      <c r="S327" s="1">
        <v>17.3</v>
      </c>
      <c r="T327" s="1">
        <v>405579.0</v>
      </c>
      <c r="U327" s="1">
        <v>39.315151919</v>
      </c>
      <c r="V327" s="1">
        <v>397.77519133</v>
      </c>
      <c r="W327" s="1">
        <v>24.700218428</v>
      </c>
      <c r="X327" s="1">
        <v>21.634968605</v>
      </c>
      <c r="Y327" s="1">
        <v>81.19630142</v>
      </c>
      <c r="Z327" s="1">
        <v>9.3</v>
      </c>
      <c r="AA327" s="1">
        <v>2.4764159096</v>
      </c>
      <c r="AB327" s="1">
        <v>57200.0</v>
      </c>
      <c r="AC327" s="1">
        <v>63.698318613</v>
      </c>
      <c r="AD327" s="1">
        <v>62.061786749</v>
      </c>
      <c r="AE327" s="1">
        <v>21.778824582</v>
      </c>
      <c r="AF327" s="1">
        <v>28.3452230869999</v>
      </c>
      <c r="AG327" s="1">
        <v>0.4053790884</v>
      </c>
      <c r="AH327" s="1">
        <v>3.8872830889</v>
      </c>
      <c r="AI327" s="1">
        <v>0.1223824606</v>
      </c>
      <c r="AJ327" s="1">
        <v>30.428184865</v>
      </c>
      <c r="AK327" s="1">
        <v>35.602994988</v>
      </c>
      <c r="AL327" s="1">
        <v>7.6429978082</v>
      </c>
      <c r="AM327" s="1">
        <v>51.2844008489999</v>
      </c>
      <c r="AN327" s="1">
        <v>0.0169329991</v>
      </c>
      <c r="AO327" s="1">
        <v>28987.0</v>
      </c>
      <c r="AP327" s="1">
        <v>14.4</v>
      </c>
      <c r="AQ327" s="1">
        <v>8.7</v>
      </c>
      <c r="AR327" s="1">
        <v>11.7</v>
      </c>
      <c r="AS327" s="1">
        <v>15.4</v>
      </c>
      <c r="AT327" s="1">
        <v>21.6</v>
      </c>
      <c r="AU327" s="1">
        <v>11.2</v>
      </c>
      <c r="AV327" s="1">
        <v>60.8</v>
      </c>
      <c r="AW327" s="1">
        <v>7.4</v>
      </c>
      <c r="AX327" s="1">
        <v>0.5985</v>
      </c>
      <c r="AY327" s="1">
        <v>12.3</v>
      </c>
      <c r="AZ327" s="1">
        <v>11.6</v>
      </c>
      <c r="BA327" s="1">
        <v>16.3</v>
      </c>
      <c r="BB327" s="1">
        <v>3.57</v>
      </c>
      <c r="BC327" s="1" t="s">
        <v>681</v>
      </c>
      <c r="BD327" s="1">
        <v>11.0</v>
      </c>
      <c r="BE327" s="1">
        <v>27.3</v>
      </c>
      <c r="BF327" s="1">
        <v>29.2</v>
      </c>
      <c r="BG327" s="1">
        <v>32.4</v>
      </c>
      <c r="BH327" s="1" t="s">
        <v>691</v>
      </c>
    </row>
    <row r="328">
      <c r="A328" s="1">
        <v>12013.0</v>
      </c>
      <c r="B328" s="2" t="str">
        <f>IFERROR(__xludf.DUMMYFUNCTION("TO_TEXT(A328)"),"12013")</f>
        <v>12013</v>
      </c>
      <c r="C328" s="1">
        <v>14550.0</v>
      </c>
      <c r="D328" s="1">
        <v>567.334111215012</v>
      </c>
      <c r="E328" s="1" t="s">
        <v>74</v>
      </c>
      <c r="F328" s="1" t="s">
        <v>692</v>
      </c>
      <c r="G328" s="1">
        <v>25.6462633082989</v>
      </c>
      <c r="H328" s="1">
        <v>24.27885071</v>
      </c>
      <c r="I328" s="1">
        <v>4.772104959</v>
      </c>
      <c r="J328" s="1">
        <v>8.024691358</v>
      </c>
      <c r="K328" s="1">
        <v>22.384885446</v>
      </c>
      <c r="L328" s="1">
        <v>36.4</v>
      </c>
      <c r="M328" s="1">
        <v>7.2</v>
      </c>
      <c r="N328" s="1">
        <v>40.9</v>
      </c>
      <c r="O328" s="1">
        <v>20.013675214</v>
      </c>
      <c r="P328" s="1">
        <v>15.210100612</v>
      </c>
      <c r="Q328" s="1">
        <v>41.42788</v>
      </c>
      <c r="R328" s="1">
        <v>81.41025641</v>
      </c>
      <c r="S328" s="1">
        <v>29.3</v>
      </c>
      <c r="T328" s="1">
        <v>3074.0</v>
      </c>
      <c r="U328" s="1">
        <v>37.573194535</v>
      </c>
      <c r="V328" s="1">
        <v>173.97355602</v>
      </c>
      <c r="W328" s="1">
        <v>11.6355653129999</v>
      </c>
      <c r="X328" s="1">
        <v>8.0267558528</v>
      </c>
      <c r="Y328" s="1">
        <v>74.240281392</v>
      </c>
      <c r="Z328" s="1">
        <v>16.8</v>
      </c>
      <c r="AA328" s="1">
        <v>8.9572682484</v>
      </c>
      <c r="AB328" s="1">
        <v>38323.0</v>
      </c>
      <c r="AC328" s="1">
        <v>56.6367713</v>
      </c>
      <c r="AD328" s="1">
        <v>82.396839333</v>
      </c>
      <c r="AE328" s="1">
        <v>9.3816129791</v>
      </c>
      <c r="AF328" s="1">
        <v>13.004730239</v>
      </c>
      <c r="AG328" s="1">
        <v>1.3299513265</v>
      </c>
      <c r="AH328" s="1">
        <v>0.802084047399999</v>
      </c>
      <c r="AI328" s="1">
        <v>0.1371083842</v>
      </c>
      <c r="AJ328" s="1">
        <v>5.744841297</v>
      </c>
      <c r="AK328" s="1">
        <v>77.246863646</v>
      </c>
      <c r="AL328" s="1">
        <v>0.8123005512</v>
      </c>
      <c r="AM328" s="1">
        <v>45.417152259</v>
      </c>
      <c r="AN328" s="1">
        <v>67.514529915</v>
      </c>
      <c r="AO328" s="1">
        <v>16560.0</v>
      </c>
      <c r="AP328" s="1">
        <v>13.1</v>
      </c>
      <c r="AQ328" s="1">
        <v>10.1</v>
      </c>
      <c r="AR328" s="1">
        <v>23.1</v>
      </c>
      <c r="AS328" s="1">
        <v>17.6</v>
      </c>
      <c r="AT328" s="1">
        <v>21.2</v>
      </c>
      <c r="AU328" s="1">
        <v>23.2</v>
      </c>
      <c r="AV328" s="1">
        <v>22.8</v>
      </c>
      <c r="AW328" s="1">
        <v>1.4</v>
      </c>
      <c r="AX328" s="1">
        <v>0.9179</v>
      </c>
      <c r="AY328" s="1">
        <v>20.3</v>
      </c>
      <c r="AZ328" s="1">
        <v>14.0</v>
      </c>
      <c r="BA328" s="1">
        <v>20.4</v>
      </c>
      <c r="BB328" s="1">
        <v>3.28</v>
      </c>
      <c r="BC328" s="1" t="s">
        <v>681</v>
      </c>
      <c r="BD328" s="1">
        <v>23.1</v>
      </c>
      <c r="BE328" s="1">
        <v>41.6</v>
      </c>
      <c r="BF328" s="1">
        <v>25.8</v>
      </c>
      <c r="BG328" s="1">
        <v>9.5</v>
      </c>
      <c r="BH328" s="1" t="s">
        <v>692</v>
      </c>
    </row>
    <row r="329">
      <c r="A329" s="1">
        <v>12015.0</v>
      </c>
      <c r="B329" s="2" t="str">
        <f>IFERROR(__xludf.DUMMYFUNCTION("TO_TEXT(A329)"),"12015")</f>
        <v>12015</v>
      </c>
      <c r="C329" s="1">
        <v>169642.0</v>
      </c>
      <c r="D329" s="1">
        <v>681.1241791335</v>
      </c>
      <c r="E329" s="1" t="s">
        <v>693</v>
      </c>
      <c r="F329" s="1" t="s">
        <v>694</v>
      </c>
      <c r="G329" s="1">
        <v>249.061779330476</v>
      </c>
      <c r="H329" s="1">
        <v>15.664628654</v>
      </c>
      <c r="I329" s="1">
        <v>4.5349353943</v>
      </c>
      <c r="J329" s="1">
        <v>8.612109483</v>
      </c>
      <c r="K329" s="1">
        <v>15.760805711</v>
      </c>
      <c r="L329" s="1">
        <v>27.9</v>
      </c>
      <c r="M329" s="1">
        <v>7.0</v>
      </c>
      <c r="N329" s="1">
        <v>26.2</v>
      </c>
      <c r="O329" s="1">
        <v>80.516696046</v>
      </c>
      <c r="P329" s="1">
        <v>17.104715384</v>
      </c>
      <c r="Q329" s="1">
        <v>64.2740599999999</v>
      </c>
      <c r="R329" s="1">
        <v>89.550949914</v>
      </c>
      <c r="S329" s="1">
        <v>20.0</v>
      </c>
      <c r="T329" s="1">
        <v>21922.0</v>
      </c>
      <c r="U329" s="1">
        <v>32.989690722</v>
      </c>
      <c r="V329" s="1">
        <v>199.69027631</v>
      </c>
      <c r="W329" s="1">
        <v>16.057298772</v>
      </c>
      <c r="X329" s="1">
        <v>14.551255375</v>
      </c>
      <c r="Y329" s="1">
        <v>80.79011746</v>
      </c>
      <c r="Z329" s="1">
        <v>12.9</v>
      </c>
      <c r="AA329" s="1">
        <v>14.1304154659999</v>
      </c>
      <c r="AB329" s="1">
        <v>52724.0</v>
      </c>
      <c r="AC329" s="1">
        <v>51.028237218</v>
      </c>
      <c r="AD329" s="1">
        <v>79.510177282</v>
      </c>
      <c r="AE329" s="1">
        <v>14.441793634</v>
      </c>
      <c r="AF329" s="1">
        <v>5.502762192</v>
      </c>
      <c r="AG329" s="1">
        <v>0.4010854171</v>
      </c>
      <c r="AH329" s="1">
        <v>1.4189342587</v>
      </c>
      <c r="AI329" s="1">
        <v>0.0610817413999999</v>
      </c>
      <c r="AJ329" s="1">
        <v>7.41197202129999</v>
      </c>
      <c r="AK329" s="1">
        <v>83.961448232</v>
      </c>
      <c r="AL329" s="1">
        <v>1.8202695141</v>
      </c>
      <c r="AM329" s="1">
        <v>51.21244554</v>
      </c>
      <c r="AN329" s="1">
        <v>8.8843465977</v>
      </c>
      <c r="AO329" s="1">
        <v>27860.0</v>
      </c>
      <c r="AP329" s="1">
        <v>12.4</v>
      </c>
      <c r="AQ329" s="1">
        <v>10.1</v>
      </c>
      <c r="AR329" s="1">
        <v>10.6</v>
      </c>
      <c r="AS329" s="1">
        <v>37.6</v>
      </c>
      <c r="AT329" s="1">
        <v>13.1</v>
      </c>
      <c r="AU329" s="1">
        <v>20.8</v>
      </c>
      <c r="AV329" s="1">
        <v>15.4</v>
      </c>
      <c r="AW329" s="1">
        <v>1.5</v>
      </c>
      <c r="AX329" s="1">
        <v>0.4817</v>
      </c>
      <c r="AY329" s="1">
        <v>11.4</v>
      </c>
      <c r="AZ329" s="1">
        <v>13.4</v>
      </c>
      <c r="BA329" s="1">
        <v>22.1</v>
      </c>
      <c r="BB329" s="1">
        <v>3.38</v>
      </c>
      <c r="BC329" s="1" t="s">
        <v>681</v>
      </c>
      <c r="BD329" s="1">
        <v>9.4</v>
      </c>
      <c r="BE329" s="1">
        <v>34.6</v>
      </c>
      <c r="BF329" s="1">
        <v>32.6</v>
      </c>
      <c r="BG329" s="1">
        <v>23.4</v>
      </c>
      <c r="BH329" s="1" t="s">
        <v>694</v>
      </c>
    </row>
    <row r="330">
      <c r="A330" s="1">
        <v>12017.0</v>
      </c>
      <c r="B330" s="2" t="str">
        <f>IFERROR(__xludf.DUMMYFUNCTION("TO_TEXT(A330)"),"12017")</f>
        <v>12017</v>
      </c>
      <c r="C330" s="1">
        <v>140453.0</v>
      </c>
      <c r="D330" s="1">
        <v>581.894093311004</v>
      </c>
      <c r="E330" s="1" t="s">
        <v>695</v>
      </c>
      <c r="F330" s="1" t="s">
        <v>696</v>
      </c>
      <c r="G330" s="1">
        <v>241.372101237212</v>
      </c>
      <c r="H330" s="1">
        <v>17.740636584</v>
      </c>
      <c r="I330" s="1">
        <v>4.9083994387</v>
      </c>
      <c r="J330" s="1">
        <v>8.1778265642</v>
      </c>
      <c r="K330" s="1">
        <v>19.587156047</v>
      </c>
      <c r="L330" s="1">
        <v>29.3</v>
      </c>
      <c r="M330" s="1">
        <v>6.8</v>
      </c>
      <c r="N330" s="1">
        <v>34.8</v>
      </c>
      <c r="O330" s="1">
        <v>73.314877227</v>
      </c>
      <c r="P330" s="1">
        <v>15.446198085</v>
      </c>
      <c r="Q330" s="1">
        <v>51.49437</v>
      </c>
      <c r="R330" s="1">
        <v>79.644444444</v>
      </c>
      <c r="S330" s="1">
        <v>24.5</v>
      </c>
      <c r="T330" s="1">
        <v>21068.0</v>
      </c>
      <c r="U330" s="1">
        <v>38.290298082</v>
      </c>
      <c r="V330" s="1">
        <v>296.26859769</v>
      </c>
      <c r="W330" s="1">
        <v>14.686226569</v>
      </c>
      <c r="X330" s="1">
        <v>12.768427162</v>
      </c>
      <c r="Y330" s="1">
        <v>75.553575225</v>
      </c>
      <c r="Z330" s="1">
        <v>15.0</v>
      </c>
      <c r="AA330" s="1">
        <v>12.885707514</v>
      </c>
      <c r="AB330" s="1">
        <v>41556.0</v>
      </c>
      <c r="AC330" s="1">
        <v>68.313206578</v>
      </c>
      <c r="AD330" s="1">
        <v>81.448965935</v>
      </c>
      <c r="AE330" s="1">
        <v>12.259425257</v>
      </c>
      <c r="AF330" s="1">
        <v>2.8689438852</v>
      </c>
      <c r="AG330" s="1">
        <v>0.4326399827</v>
      </c>
      <c r="AH330" s="1">
        <v>1.6818879327</v>
      </c>
      <c r="AI330" s="1">
        <v>0.0385319985</v>
      </c>
      <c r="AJ330" s="1">
        <v>5.9481237621</v>
      </c>
      <c r="AK330" s="1">
        <v>87.715052491</v>
      </c>
      <c r="AL330" s="1">
        <v>0.8776964827</v>
      </c>
      <c r="AM330" s="1">
        <v>51.521337939</v>
      </c>
      <c r="AN330" s="1">
        <v>34.518819564</v>
      </c>
      <c r="AO330" s="1">
        <v>24188.0</v>
      </c>
      <c r="AP330" s="1">
        <v>17.7</v>
      </c>
      <c r="AQ330" s="1">
        <v>11.6</v>
      </c>
      <c r="AR330" s="1">
        <v>13.3</v>
      </c>
      <c r="AS330" s="1">
        <v>35.1</v>
      </c>
      <c r="AT330" s="1">
        <v>15.0</v>
      </c>
      <c r="AU330" s="1">
        <v>21.1</v>
      </c>
      <c r="AV330" s="1">
        <v>11.1</v>
      </c>
      <c r="AW330" s="1">
        <v>0.8</v>
      </c>
      <c r="AX330" s="1">
        <v>0.6087</v>
      </c>
      <c r="AY330" s="1">
        <v>15.2</v>
      </c>
      <c r="AZ330" s="1">
        <v>15.5</v>
      </c>
      <c r="BA330" s="1">
        <v>27.0</v>
      </c>
      <c r="BB330" s="1">
        <v>3.52</v>
      </c>
      <c r="BC330" s="1" t="s">
        <v>681</v>
      </c>
      <c r="BD330" s="1">
        <v>11.6</v>
      </c>
      <c r="BE330" s="1">
        <v>37.2</v>
      </c>
      <c r="BF330" s="1">
        <v>32.9</v>
      </c>
      <c r="BG330" s="1">
        <v>18.3</v>
      </c>
      <c r="BH330" s="1" t="s">
        <v>696</v>
      </c>
    </row>
    <row r="331">
      <c r="A331" s="1">
        <v>12019.0</v>
      </c>
      <c r="B331" s="2" t="str">
        <f>IFERROR(__xludf.DUMMYFUNCTION("TO_TEXT(A331)"),"12019")</f>
        <v>12019</v>
      </c>
      <c r="C331" s="1">
        <v>200346.0</v>
      </c>
      <c r="D331" s="1">
        <v>604.80764584601</v>
      </c>
      <c r="E331" s="1" t="s">
        <v>86</v>
      </c>
      <c r="F331" s="1" t="s">
        <v>697</v>
      </c>
      <c r="G331" s="1">
        <v>331.255732919438</v>
      </c>
      <c r="H331" s="1">
        <v>17.649646777</v>
      </c>
      <c r="I331" s="1">
        <v>4.6410676868</v>
      </c>
      <c r="J331" s="1">
        <v>8.1701732263</v>
      </c>
      <c r="K331" s="1">
        <v>19.886004808</v>
      </c>
      <c r="L331" s="1">
        <v>32.1</v>
      </c>
      <c r="M331" s="1">
        <v>7.8</v>
      </c>
      <c r="N331" s="1">
        <v>28.4</v>
      </c>
      <c r="O331" s="1">
        <v>88.331019307</v>
      </c>
      <c r="P331" s="1">
        <v>11.350148781</v>
      </c>
      <c r="Q331" s="1">
        <v>49.00344</v>
      </c>
      <c r="R331" s="1">
        <v>88.418266049</v>
      </c>
      <c r="S331" s="1">
        <v>12.1</v>
      </c>
      <c r="T331" s="1">
        <v>48754.0</v>
      </c>
      <c r="U331" s="1">
        <v>29.078639701</v>
      </c>
      <c r="V331" s="1">
        <v>268.32354404</v>
      </c>
      <c r="W331" s="1">
        <v>14.271534917</v>
      </c>
      <c r="X331" s="1">
        <v>11.9361306029999</v>
      </c>
      <c r="Y331" s="1">
        <v>77.897888334</v>
      </c>
      <c r="Z331" s="1">
        <v>11.4</v>
      </c>
      <c r="AA331" s="1">
        <v>6.8756737168</v>
      </c>
      <c r="AB331" s="1">
        <v>62835.0</v>
      </c>
      <c r="AC331" s="1">
        <v>46.3699983969999</v>
      </c>
      <c r="AD331" s="1">
        <v>73.713180196</v>
      </c>
      <c r="AE331" s="1">
        <v>12.014084507</v>
      </c>
      <c r="AF331" s="1">
        <v>11.32400311</v>
      </c>
      <c r="AG331" s="1">
        <v>0.5646266059</v>
      </c>
      <c r="AH331" s="1">
        <v>3.1702395498</v>
      </c>
      <c r="AI331" s="1">
        <v>0.1592061905</v>
      </c>
      <c r="AJ331" s="1">
        <v>10.336832167</v>
      </c>
      <c r="AK331" s="1">
        <v>72.092635788</v>
      </c>
      <c r="AL331" s="1">
        <v>1.7872470877</v>
      </c>
      <c r="AM331" s="1">
        <v>50.683105631</v>
      </c>
      <c r="AN331" s="1">
        <v>14.9686951509999</v>
      </c>
      <c r="AO331" s="1">
        <v>27159.0</v>
      </c>
      <c r="AP331" s="1">
        <v>10.2</v>
      </c>
      <c r="AQ331" s="1">
        <v>8.9</v>
      </c>
      <c r="AR331" s="1">
        <v>9.2</v>
      </c>
      <c r="AS331" s="1">
        <v>14.2</v>
      </c>
      <c r="AT331" s="1">
        <v>24.3</v>
      </c>
      <c r="AU331" s="1">
        <v>13.2</v>
      </c>
      <c r="AV331" s="1">
        <v>25.1</v>
      </c>
      <c r="AW331" s="1">
        <v>1.6</v>
      </c>
      <c r="AX331" s="1">
        <v>0.3559</v>
      </c>
      <c r="AY331" s="1">
        <v>8.3</v>
      </c>
      <c r="AZ331" s="1">
        <v>11.3</v>
      </c>
      <c r="BA331" s="1">
        <v>17.1</v>
      </c>
      <c r="BB331" s="1">
        <v>3.14</v>
      </c>
      <c r="BC331" s="1" t="s">
        <v>681</v>
      </c>
      <c r="BD331" s="1">
        <v>8.2</v>
      </c>
      <c r="BE331" s="1">
        <v>31.0</v>
      </c>
      <c r="BF331" s="1">
        <v>35.8</v>
      </c>
      <c r="BG331" s="1">
        <v>24.9</v>
      </c>
      <c r="BH331" s="1" t="s">
        <v>697</v>
      </c>
    </row>
    <row r="332">
      <c r="A332" s="1">
        <v>12021.0</v>
      </c>
      <c r="B332" s="2" t="str">
        <f>IFERROR(__xludf.DUMMYFUNCTION("TO_TEXT(A332)"),"12021")</f>
        <v>12021</v>
      </c>
      <c r="C332" s="1">
        <v>348236.0</v>
      </c>
      <c r="D332" s="1">
        <v>1998.76949767872</v>
      </c>
      <c r="E332" s="1" t="s">
        <v>698</v>
      </c>
      <c r="F332" s="1" t="s">
        <v>699</v>
      </c>
      <c r="G332" s="1">
        <v>174.225192251746</v>
      </c>
      <c r="H332" s="1">
        <v>17.720359431</v>
      </c>
      <c r="I332" s="1">
        <v>3.8867715115</v>
      </c>
      <c r="J332" s="1">
        <v>7.0019067891</v>
      </c>
      <c r="K332" s="1">
        <v>14.4419098509999</v>
      </c>
      <c r="L332" s="1">
        <v>21.3</v>
      </c>
      <c r="M332" s="1">
        <v>8.0</v>
      </c>
      <c r="N332" s="1">
        <v>23.2</v>
      </c>
      <c r="O332" s="1">
        <v>91.4481214229999</v>
      </c>
      <c r="P332" s="1">
        <v>22.822206461</v>
      </c>
      <c r="Q332" s="1">
        <v>74.823</v>
      </c>
      <c r="R332" s="1">
        <v>88.557066824</v>
      </c>
      <c r="S332" s="1">
        <v>18.5</v>
      </c>
      <c r="T332" s="1">
        <v>64029.0</v>
      </c>
      <c r="U332" s="1">
        <v>35.558887379</v>
      </c>
      <c r="V332" s="1">
        <v>261.45589652</v>
      </c>
      <c r="W332" s="1">
        <v>19.946748669</v>
      </c>
      <c r="X332" s="1">
        <v>16.23470396</v>
      </c>
      <c r="Y332" s="1">
        <v>86.0611441229999</v>
      </c>
      <c r="Z332" s="1">
        <v>8.7</v>
      </c>
      <c r="AA332" s="1">
        <v>9.4764262112</v>
      </c>
      <c r="AB332" s="1">
        <v>70649.0</v>
      </c>
      <c r="AC332" s="1">
        <v>66.01469081</v>
      </c>
      <c r="AD332" s="1">
        <v>72.674575357</v>
      </c>
      <c r="AE332" s="1">
        <v>16.376627362</v>
      </c>
      <c r="AF332" s="1">
        <v>6.692946672</v>
      </c>
      <c r="AG332" s="1">
        <v>0.4782185961</v>
      </c>
      <c r="AH332" s="1">
        <v>1.5540783327</v>
      </c>
      <c r="AI332" s="1">
        <v>0.0972289742</v>
      </c>
      <c r="AJ332" s="1">
        <v>28.202479339</v>
      </c>
      <c r="AK332" s="1">
        <v>62.535932447</v>
      </c>
      <c r="AL332" s="1">
        <v>9.8696526182</v>
      </c>
      <c r="AM332" s="1">
        <v>50.6539176939999</v>
      </c>
      <c r="AN332" s="1">
        <v>8.48594177659999</v>
      </c>
      <c r="AO332" s="1">
        <v>39616.0</v>
      </c>
      <c r="AP332" s="1">
        <v>13.2</v>
      </c>
      <c r="AQ332" s="1">
        <v>6.4</v>
      </c>
      <c r="AR332" s="1">
        <v>14.3</v>
      </c>
      <c r="AS332" s="1">
        <v>29.6</v>
      </c>
      <c r="AT332" s="1">
        <v>18.2</v>
      </c>
      <c r="AU332" s="1">
        <v>11.5</v>
      </c>
      <c r="AV332" s="1">
        <v>35.8</v>
      </c>
      <c r="AW332" s="1">
        <v>9.7</v>
      </c>
      <c r="AX332" s="1">
        <v>0.4811</v>
      </c>
      <c r="AY332" s="1">
        <v>9.4</v>
      </c>
      <c r="AZ332" s="1">
        <v>10.5</v>
      </c>
      <c r="BA332" s="1">
        <v>16.8</v>
      </c>
      <c r="BB332" s="1">
        <v>3.68</v>
      </c>
      <c r="BC332" s="1" t="s">
        <v>681</v>
      </c>
      <c r="BD332" s="1">
        <v>12.9</v>
      </c>
      <c r="BE332" s="1">
        <v>25.8</v>
      </c>
      <c r="BF332" s="1">
        <v>24.9</v>
      </c>
      <c r="BG332" s="1">
        <v>36.4</v>
      </c>
      <c r="BH332" s="1" t="s">
        <v>699</v>
      </c>
    </row>
    <row r="333">
      <c r="A333" s="1">
        <v>12023.0</v>
      </c>
      <c r="B333" s="2" t="str">
        <f>IFERROR(__xludf.DUMMYFUNCTION("TO_TEXT(A333)"),"12023")</f>
        <v>12023</v>
      </c>
      <c r="C333" s="1">
        <v>68198.0</v>
      </c>
      <c r="D333" s="1">
        <v>797.543105530918</v>
      </c>
      <c r="E333" s="1" t="s">
        <v>308</v>
      </c>
      <c r="F333" s="1" t="s">
        <v>700</v>
      </c>
      <c r="G333" s="1">
        <v>85.5101116504557</v>
      </c>
      <c r="H333" s="1">
        <v>22.9585611769999</v>
      </c>
      <c r="I333" s="1">
        <v>4.9122664702</v>
      </c>
      <c r="J333" s="1">
        <v>10.259122158</v>
      </c>
      <c r="K333" s="1">
        <v>23.2948153119999</v>
      </c>
      <c r="L333" s="1">
        <v>35.9</v>
      </c>
      <c r="M333" s="1">
        <v>7.1</v>
      </c>
      <c r="N333" s="1">
        <v>36.9</v>
      </c>
      <c r="O333" s="1">
        <v>67.483081844</v>
      </c>
      <c r="P333" s="1">
        <v>12.380897934</v>
      </c>
      <c r="Q333" s="1">
        <v>45.96909</v>
      </c>
      <c r="R333" s="1">
        <v>70.588235294</v>
      </c>
      <c r="S333" s="1">
        <v>26.4</v>
      </c>
      <c r="T333" s="1">
        <v>14850.0</v>
      </c>
      <c r="U333" s="1">
        <v>37.494949495</v>
      </c>
      <c r="V333" s="1">
        <v>570.55497443</v>
      </c>
      <c r="W333" s="1">
        <v>15.976578837</v>
      </c>
      <c r="X333" s="1">
        <v>12.5345818259999</v>
      </c>
      <c r="Y333" s="1">
        <v>75.4198343669999</v>
      </c>
      <c r="Z333" s="1">
        <v>15.0</v>
      </c>
      <c r="AA333" s="1">
        <v>7.1913795639</v>
      </c>
      <c r="AB333" s="1">
        <v>46195.0</v>
      </c>
      <c r="AC333" s="1">
        <v>58.468495036</v>
      </c>
      <c r="AD333" s="1">
        <v>73.356013608</v>
      </c>
      <c r="AE333" s="1">
        <v>12.137977283</v>
      </c>
      <c r="AF333" s="1">
        <v>18.0375303179999</v>
      </c>
      <c r="AG333" s="1">
        <v>0.5786987788</v>
      </c>
      <c r="AH333" s="1">
        <v>1.0552742436</v>
      </c>
      <c r="AI333" s="1">
        <v>0.0851027616</v>
      </c>
      <c r="AJ333" s="1">
        <v>6.3642681872</v>
      </c>
      <c r="AK333" s="1">
        <v>72.270683517</v>
      </c>
      <c r="AL333" s="1">
        <v>0.5940655011</v>
      </c>
      <c r="AM333" s="1">
        <v>48.4192162039999</v>
      </c>
      <c r="AN333" s="1">
        <v>62.0574254789999</v>
      </c>
      <c r="AO333" s="1">
        <v>21875.0</v>
      </c>
      <c r="AP333" s="1">
        <v>19.4</v>
      </c>
      <c r="AQ333" s="1">
        <v>11.7</v>
      </c>
      <c r="AR333" s="1">
        <v>13.8</v>
      </c>
      <c r="AS333" s="1">
        <v>17.2</v>
      </c>
      <c r="AT333" s="1">
        <v>21.9</v>
      </c>
      <c r="AU333" s="1">
        <v>18.8</v>
      </c>
      <c r="AV333" s="1">
        <v>26.7</v>
      </c>
      <c r="AW333" s="1">
        <v>0.5</v>
      </c>
      <c r="AX333" s="1">
        <v>0.859</v>
      </c>
      <c r="AY333" s="1">
        <v>15.6</v>
      </c>
      <c r="AZ333" s="1">
        <v>15.2</v>
      </c>
      <c r="BA333" s="1">
        <v>23.5</v>
      </c>
      <c r="BB333" s="1">
        <v>2.92</v>
      </c>
      <c r="BC333" s="1" t="s">
        <v>681</v>
      </c>
      <c r="BD333" s="1">
        <v>13.9</v>
      </c>
      <c r="BE333" s="1">
        <v>36.7</v>
      </c>
      <c r="BF333" s="1">
        <v>34.6</v>
      </c>
      <c r="BG333" s="1">
        <v>14.9</v>
      </c>
      <c r="BH333" s="1" t="s">
        <v>700</v>
      </c>
    </row>
    <row r="334">
      <c r="A334" s="1">
        <v>12027.0</v>
      </c>
      <c r="B334" s="2" t="str">
        <f>IFERROR(__xludf.DUMMYFUNCTION("TO_TEXT(A334)"),"12027")</f>
        <v>12027</v>
      </c>
      <c r="C334" s="1">
        <v>35134.0</v>
      </c>
      <c r="D334" s="1">
        <v>637.059821200079</v>
      </c>
      <c r="E334" s="1" t="s">
        <v>701</v>
      </c>
      <c r="F334" s="1" t="s">
        <v>702</v>
      </c>
      <c r="G334" s="1">
        <v>55.1502368079269</v>
      </c>
      <c r="H334" s="1">
        <v>26.088680623</v>
      </c>
      <c r="I334" s="1">
        <v>4.7806203332</v>
      </c>
      <c r="J334" s="1">
        <v>7.2754831376</v>
      </c>
      <c r="K334" s="1">
        <v>21.3119303</v>
      </c>
      <c r="L334" s="1">
        <v>31.6</v>
      </c>
      <c r="M334" s="1">
        <v>7.3</v>
      </c>
      <c r="N334" s="1">
        <v>36.3</v>
      </c>
      <c r="O334" s="1">
        <v>55.75411623</v>
      </c>
      <c r="P334" s="1">
        <v>23.070258349</v>
      </c>
      <c r="Q334" s="1">
        <v>24.41539</v>
      </c>
      <c r="R334" s="1">
        <v>64.838709677</v>
      </c>
      <c r="S334" s="1">
        <v>34.5</v>
      </c>
      <c r="T334" s="1">
        <v>6982.0</v>
      </c>
      <c r="U334" s="1">
        <v>36.522486394</v>
      </c>
      <c r="V334" s="1">
        <v>440.77918385</v>
      </c>
      <c r="W334" s="1">
        <v>18.126094571</v>
      </c>
      <c r="X334" s="1">
        <v>11.881188119</v>
      </c>
      <c r="Y334" s="1">
        <v>79.8543695589999</v>
      </c>
      <c r="Z334" s="1">
        <v>14.7</v>
      </c>
      <c r="AA334" s="1">
        <v>5.7895063269</v>
      </c>
      <c r="AB334" s="1">
        <v>37233.0</v>
      </c>
      <c r="AC334" s="1">
        <v>52.4746192889999</v>
      </c>
      <c r="AD334" s="1">
        <v>69.881627209</v>
      </c>
      <c r="AE334" s="1">
        <v>13.037786892</v>
      </c>
      <c r="AF334" s="1">
        <v>11.915495212</v>
      </c>
      <c r="AG334" s="1">
        <v>1.0989890368</v>
      </c>
      <c r="AH334" s="1">
        <v>0.5975086025</v>
      </c>
      <c r="AI334" s="1">
        <v>0.1707167436</v>
      </c>
      <c r="AJ334" s="1">
        <v>31.876016965</v>
      </c>
      <c r="AK334" s="1">
        <v>54.506655286</v>
      </c>
      <c r="AL334" s="1">
        <v>9.9603209083</v>
      </c>
      <c r="AM334" s="1">
        <v>43.370055216</v>
      </c>
      <c r="AN334" s="1">
        <v>46.242326889</v>
      </c>
      <c r="AO334" s="1">
        <v>16710.0</v>
      </c>
      <c r="AP334" s="1">
        <v>29.9</v>
      </c>
      <c r="AQ334" s="1">
        <v>8.3</v>
      </c>
      <c r="AR334" s="1">
        <v>29.5</v>
      </c>
      <c r="AS334" s="1">
        <v>19.4</v>
      </c>
      <c r="AT334" s="1">
        <v>20.7</v>
      </c>
      <c r="AU334" s="1">
        <v>14.7</v>
      </c>
      <c r="AV334" s="1">
        <v>45.0</v>
      </c>
      <c r="AW334" s="1">
        <v>10.8</v>
      </c>
      <c r="AX334" s="1">
        <v>0.9901</v>
      </c>
      <c r="AY334" s="1">
        <v>21.8</v>
      </c>
      <c r="AZ334" s="1">
        <v>16.4</v>
      </c>
      <c r="BA334" s="1">
        <v>24.0</v>
      </c>
      <c r="BB334" s="1">
        <v>3.19</v>
      </c>
      <c r="BC334" s="1" t="s">
        <v>681</v>
      </c>
      <c r="BD334" s="1">
        <v>26.5</v>
      </c>
      <c r="BE334" s="1">
        <v>43.8</v>
      </c>
      <c r="BF334" s="1">
        <v>18.2</v>
      </c>
      <c r="BG334" s="1">
        <v>11.5</v>
      </c>
      <c r="BH334" s="1" t="s">
        <v>702</v>
      </c>
    </row>
    <row r="335">
      <c r="A335" s="1">
        <v>12029.0</v>
      </c>
      <c r="B335" s="2" t="str">
        <f>IFERROR(__xludf.DUMMYFUNCTION("TO_TEXT(A335)"),"12029")</f>
        <v>12029</v>
      </c>
      <c r="C335" s="1">
        <v>16084.0</v>
      </c>
      <c r="D335" s="1">
        <v>705.104208327131</v>
      </c>
      <c r="E335" s="1" t="s">
        <v>703</v>
      </c>
      <c r="F335" s="1" t="s">
        <v>704</v>
      </c>
      <c r="G335" s="1">
        <v>22.8108126572658</v>
      </c>
      <c r="H335" s="1">
        <v>24.45111594</v>
      </c>
      <c r="I335" s="1">
        <v>5.1917979069</v>
      </c>
      <c r="J335" s="1">
        <v>9.26784059309999</v>
      </c>
      <c r="K335" s="1">
        <v>24.651650474</v>
      </c>
      <c r="L335" s="1">
        <v>34.2</v>
      </c>
      <c r="M335" s="1">
        <v>7.3</v>
      </c>
      <c r="N335" s="1">
        <v>44.9</v>
      </c>
      <c r="O335" s="1">
        <v>34.770429911</v>
      </c>
      <c r="P335" s="1">
        <v>15.82024114</v>
      </c>
      <c r="Q335" s="1">
        <v>5.99771999999999</v>
      </c>
      <c r="R335" s="1">
        <v>89.473684211</v>
      </c>
      <c r="S335" s="1">
        <v>31.1</v>
      </c>
      <c r="T335" s="1">
        <v>2936.0</v>
      </c>
      <c r="U335" s="1">
        <v>44.2098092639999</v>
      </c>
      <c r="V335" s="1">
        <v>499.22816698</v>
      </c>
      <c r="W335" s="1">
        <v>14.308681672</v>
      </c>
      <c r="X335" s="1">
        <v>10.923824959</v>
      </c>
      <c r="Y335" s="1">
        <v>75.110643606</v>
      </c>
      <c r="Z335" s="1">
        <v>15.4</v>
      </c>
      <c r="AA335" s="1">
        <v>3.5756214229</v>
      </c>
      <c r="AB335" s="1">
        <v>37148.0</v>
      </c>
      <c r="AC335" s="1">
        <v>73.590096286</v>
      </c>
      <c r="AD335" s="1">
        <v>77.162576687</v>
      </c>
      <c r="AE335" s="1">
        <v>8.0882352941</v>
      </c>
      <c r="AF335" s="1">
        <v>9.56886227539999</v>
      </c>
      <c r="AG335" s="1">
        <v>0.5808383234</v>
      </c>
      <c r="AH335" s="1">
        <v>0.4131736527</v>
      </c>
      <c r="AI335" s="1">
        <v>0.0179640719</v>
      </c>
      <c r="AJ335" s="1">
        <v>4.0179640719</v>
      </c>
      <c r="AK335" s="1">
        <v>83.856287425</v>
      </c>
      <c r="AL335" s="1">
        <v>0.2801833928</v>
      </c>
      <c r="AM335" s="1">
        <v>44.646706587</v>
      </c>
      <c r="AN335" s="1">
        <v>77.024722933</v>
      </c>
      <c r="AO335" s="1">
        <v>18490.0</v>
      </c>
      <c r="AP335" s="1">
        <v>21.5</v>
      </c>
      <c r="AQ335" s="1">
        <v>5.3</v>
      </c>
      <c r="AR335" s="1">
        <v>22.2</v>
      </c>
      <c r="AS335" s="1">
        <v>21.7</v>
      </c>
      <c r="AT335" s="1">
        <v>18.7</v>
      </c>
      <c r="AU335" s="1">
        <v>25.0</v>
      </c>
      <c r="AV335" s="1">
        <v>15.0</v>
      </c>
      <c r="AW335" s="1">
        <v>0.2</v>
      </c>
      <c r="AX335" s="1">
        <v>0.8453</v>
      </c>
      <c r="AY335" s="1">
        <v>22.2</v>
      </c>
      <c r="AZ335" s="1">
        <v>18.1</v>
      </c>
      <c r="BA335" s="1">
        <v>27.6</v>
      </c>
      <c r="BB335" s="1">
        <v>3.05</v>
      </c>
      <c r="BC335" s="1" t="s">
        <v>681</v>
      </c>
      <c r="BD335" s="1">
        <v>21.6</v>
      </c>
      <c r="BE335" s="1">
        <v>43.3</v>
      </c>
      <c r="BF335" s="1">
        <v>24.8</v>
      </c>
      <c r="BG335" s="1">
        <v>10.4</v>
      </c>
      <c r="BH335" s="1" t="s">
        <v>704</v>
      </c>
    </row>
    <row r="336">
      <c r="A336" s="1">
        <v>12031.0</v>
      </c>
      <c r="B336" s="2" t="str">
        <f>IFERROR(__xludf.DUMMYFUNCTION("TO_TEXT(A336)"),"12031")</f>
        <v>12031</v>
      </c>
      <c r="C336" s="1">
        <v>900890.0</v>
      </c>
      <c r="D336" s="1">
        <v>762.63429976716</v>
      </c>
      <c r="E336" s="1" t="s">
        <v>705</v>
      </c>
      <c r="F336" s="1" t="s">
        <v>706</v>
      </c>
      <c r="G336" s="1">
        <v>1181.28702088937</v>
      </c>
      <c r="H336" s="1">
        <v>19.448976994</v>
      </c>
      <c r="I336" s="1">
        <v>4.2720324586</v>
      </c>
      <c r="J336" s="1">
        <v>9.837140064</v>
      </c>
      <c r="K336" s="1">
        <v>19.790158358</v>
      </c>
      <c r="L336" s="1">
        <v>31.4</v>
      </c>
      <c r="M336" s="1">
        <v>6.6</v>
      </c>
      <c r="N336" s="1">
        <v>26.4</v>
      </c>
      <c r="O336" s="1">
        <v>92.078568676</v>
      </c>
      <c r="P336" s="1">
        <v>13.234188986</v>
      </c>
      <c r="Q336" s="1">
        <v>86.0401699999999</v>
      </c>
      <c r="R336" s="1">
        <v>79.79020979</v>
      </c>
      <c r="S336" s="1">
        <v>21.8</v>
      </c>
      <c r="T336" s="1">
        <v>207653.0</v>
      </c>
      <c r="U336" s="1">
        <v>42.325417885</v>
      </c>
      <c r="V336" s="1">
        <v>654.10290188</v>
      </c>
      <c r="W336" s="1">
        <v>18.389611149</v>
      </c>
      <c r="X336" s="1">
        <v>16.573134328</v>
      </c>
      <c r="Y336" s="1">
        <v>76.227375354</v>
      </c>
      <c r="Z336" s="1">
        <v>11.9</v>
      </c>
      <c r="AA336" s="1">
        <v>8.6308739184</v>
      </c>
      <c r="AB336" s="1">
        <v>55733.0</v>
      </c>
      <c r="AC336" s="1">
        <v>53.293467981</v>
      </c>
      <c r="AD336" s="1">
        <v>56.6860522539999</v>
      </c>
      <c r="AE336" s="1">
        <v>15.879539157</v>
      </c>
      <c r="AF336" s="1">
        <v>29.46543869</v>
      </c>
      <c r="AG336" s="1">
        <v>0.4526506003</v>
      </c>
      <c r="AH336" s="1">
        <v>5.0642982758</v>
      </c>
      <c r="AI336" s="1">
        <v>0.1218715171</v>
      </c>
      <c r="AJ336" s="1">
        <v>10.136595028</v>
      </c>
      <c r="AK336" s="1">
        <v>52.564511393</v>
      </c>
      <c r="AL336" s="1">
        <v>2.6884010124</v>
      </c>
      <c r="AM336" s="1">
        <v>51.542495588</v>
      </c>
      <c r="AN336" s="1">
        <v>2.9114980047</v>
      </c>
      <c r="AO336" s="1">
        <v>27235.0</v>
      </c>
      <c r="AP336" s="1">
        <v>16.6</v>
      </c>
      <c r="AQ336" s="1">
        <v>8.6</v>
      </c>
      <c r="AR336" s="1">
        <v>11.1</v>
      </c>
      <c r="AS336" s="1">
        <v>12.7</v>
      </c>
      <c r="AT336" s="1">
        <v>22.9</v>
      </c>
      <c r="AU336" s="1">
        <v>13.5</v>
      </c>
      <c r="AV336" s="1">
        <v>45.3</v>
      </c>
      <c r="AW336" s="1">
        <v>2.4</v>
      </c>
      <c r="AX336" s="1">
        <v>0.6708</v>
      </c>
      <c r="AY336" s="1">
        <v>13.5</v>
      </c>
      <c r="AZ336" s="1">
        <v>14.1</v>
      </c>
      <c r="BA336" s="1">
        <v>20.6</v>
      </c>
      <c r="BB336" s="1">
        <v>3.27</v>
      </c>
      <c r="BC336" s="1" t="s">
        <v>681</v>
      </c>
      <c r="BD336" s="1">
        <v>10.2</v>
      </c>
      <c r="BE336" s="1">
        <v>27.8</v>
      </c>
      <c r="BF336" s="1">
        <v>31.9</v>
      </c>
      <c r="BG336" s="1">
        <v>30.0</v>
      </c>
      <c r="BH336" s="1" t="s">
        <v>706</v>
      </c>
    </row>
    <row r="337">
      <c r="A337" s="1">
        <v>12033.0</v>
      </c>
      <c r="B337" s="2" t="str">
        <f>IFERROR(__xludf.DUMMYFUNCTION("TO_TEXT(A337)"),"12033")</f>
        <v>12033</v>
      </c>
      <c r="C337" s="1">
        <v>309574.0</v>
      </c>
      <c r="D337" s="1">
        <v>656.88801025917</v>
      </c>
      <c r="E337" s="1" t="s">
        <v>112</v>
      </c>
      <c r="F337" s="1" t="s">
        <v>707</v>
      </c>
      <c r="G337" s="1">
        <v>471.273634417319</v>
      </c>
      <c r="H337" s="1">
        <v>18.826302309</v>
      </c>
      <c r="I337" s="1">
        <v>4.3645832212</v>
      </c>
      <c r="J337" s="1">
        <v>10.160821404</v>
      </c>
      <c r="K337" s="1">
        <v>20.245830172</v>
      </c>
      <c r="L337" s="1">
        <v>29.3</v>
      </c>
      <c r="M337" s="1">
        <v>6.5</v>
      </c>
      <c r="N337" s="1">
        <v>29.5</v>
      </c>
      <c r="O337" s="1">
        <v>73.199291712</v>
      </c>
      <c r="P337" s="1">
        <v>11.383121915</v>
      </c>
      <c r="Q337" s="1">
        <v>67.93998</v>
      </c>
      <c r="R337" s="1">
        <v>79.885263535</v>
      </c>
      <c r="S337" s="1">
        <v>24.4</v>
      </c>
      <c r="T337" s="1">
        <v>64149.0</v>
      </c>
      <c r="U337" s="1">
        <v>38.396545542</v>
      </c>
      <c r="V337" s="1">
        <v>659.72144383</v>
      </c>
      <c r="W337" s="1">
        <v>12.635254559</v>
      </c>
      <c r="X337" s="1">
        <v>11.502880084</v>
      </c>
      <c r="Y337" s="1">
        <v>75.738253218</v>
      </c>
      <c r="Z337" s="1">
        <v>13.1</v>
      </c>
      <c r="AA337" s="1">
        <v>11.99025068</v>
      </c>
      <c r="AB337" s="1">
        <v>50644.0</v>
      </c>
      <c r="AC337" s="1">
        <v>55.599126377</v>
      </c>
      <c r="AD337" s="1">
        <v>61.140306552</v>
      </c>
      <c r="AE337" s="1">
        <v>11.846874647</v>
      </c>
      <c r="AF337" s="1">
        <v>22.718312448</v>
      </c>
      <c r="AG337" s="1">
        <v>0.899427637</v>
      </c>
      <c r="AH337" s="1">
        <v>3.40755671339999</v>
      </c>
      <c r="AI337" s="1">
        <v>0.1796953736</v>
      </c>
      <c r="AJ337" s="1">
        <v>5.8196581034</v>
      </c>
      <c r="AK337" s="1">
        <v>64.1807222039999</v>
      </c>
      <c r="AL337" s="1">
        <v>1.0704596861</v>
      </c>
      <c r="AM337" s="1">
        <v>50.503273815</v>
      </c>
      <c r="AN337" s="1">
        <v>8.3022253284</v>
      </c>
      <c r="AO337" s="1">
        <v>24532.0</v>
      </c>
      <c r="AP337" s="1">
        <v>14.7</v>
      </c>
      <c r="AQ337" s="1">
        <v>8.3</v>
      </c>
      <c r="AR337" s="1">
        <v>10.1</v>
      </c>
      <c r="AS337" s="1">
        <v>15.8</v>
      </c>
      <c r="AT337" s="1">
        <v>21.0</v>
      </c>
      <c r="AU337" s="1">
        <v>14.9</v>
      </c>
      <c r="AV337" s="1">
        <v>34.8</v>
      </c>
      <c r="AW337" s="1">
        <v>1.0</v>
      </c>
      <c r="AX337" s="1">
        <v>0.4906</v>
      </c>
      <c r="AY337" s="1">
        <v>15.5</v>
      </c>
      <c r="AZ337" s="1">
        <v>13.6</v>
      </c>
      <c r="BA337" s="1">
        <v>21.0</v>
      </c>
      <c r="BB337" s="1">
        <v>3.24</v>
      </c>
      <c r="BC337" s="1" t="s">
        <v>681</v>
      </c>
      <c r="BD337" s="1">
        <v>9.5</v>
      </c>
      <c r="BE337" s="1">
        <v>27.2</v>
      </c>
      <c r="BF337" s="1">
        <v>36.7</v>
      </c>
      <c r="BG337" s="1">
        <v>26.5</v>
      </c>
      <c r="BH337" s="1" t="s">
        <v>707</v>
      </c>
    </row>
    <row r="338">
      <c r="A338" s="1">
        <v>12035.0</v>
      </c>
      <c r="B338" s="2" t="str">
        <f>IFERROR(__xludf.DUMMYFUNCTION("TO_TEXT(A338)"),"12035")</f>
        <v>12035</v>
      </c>
      <c r="C338" s="1">
        <v>102917.0</v>
      </c>
      <c r="D338" s="1">
        <v>485.471389107483</v>
      </c>
      <c r="E338" s="1" t="s">
        <v>708</v>
      </c>
      <c r="F338" s="1" t="s">
        <v>709</v>
      </c>
      <c r="G338" s="1">
        <v>211.99395537852</v>
      </c>
      <c r="H338" s="1">
        <v>17.306801593</v>
      </c>
      <c r="I338" s="1">
        <v>4.6267228582</v>
      </c>
      <c r="J338" s="1">
        <v>7.7087033748</v>
      </c>
      <c r="K338" s="1">
        <v>17.427531782</v>
      </c>
      <c r="L338" s="1">
        <v>25.9</v>
      </c>
      <c r="M338" s="1">
        <v>7.1</v>
      </c>
      <c r="N338" s="1">
        <v>26.3</v>
      </c>
      <c r="O338" s="1">
        <v>75.432619963</v>
      </c>
      <c r="P338" s="1">
        <v>14.721592538</v>
      </c>
      <c r="Q338" s="1">
        <v>50.67415</v>
      </c>
      <c r="R338" s="1">
        <v>81.094527363</v>
      </c>
      <c r="S338" s="1">
        <v>18.4</v>
      </c>
      <c r="T338" s="1">
        <v>18336.0</v>
      </c>
      <c r="U338" s="1">
        <v>37.341841187</v>
      </c>
      <c r="V338" s="1">
        <v>242.67206787</v>
      </c>
      <c r="W338" s="1">
        <v>16.566186107</v>
      </c>
      <c r="X338" s="1">
        <v>14.623770274</v>
      </c>
      <c r="Y338" s="1">
        <v>79.985405788</v>
      </c>
      <c r="Z338" s="1">
        <v>12.1</v>
      </c>
      <c r="AA338" s="1">
        <v>12.7292940579999</v>
      </c>
      <c r="AB338" s="1">
        <v>58975.0</v>
      </c>
      <c r="AC338" s="1">
        <v>57.937970213</v>
      </c>
      <c r="AD338" s="1">
        <v>75.798075266</v>
      </c>
      <c r="AE338" s="1">
        <v>14.35769544</v>
      </c>
      <c r="AF338" s="1">
        <v>9.96279011659999</v>
      </c>
      <c r="AG338" s="1">
        <v>0.3997608573</v>
      </c>
      <c r="AH338" s="1">
        <v>2.6037995128</v>
      </c>
      <c r="AI338" s="1">
        <v>0.0910169809</v>
      </c>
      <c r="AJ338" s="1">
        <v>10.542800289</v>
      </c>
      <c r="AK338" s="1">
        <v>74.820419927</v>
      </c>
      <c r="AL338" s="1">
        <v>2.5474671232</v>
      </c>
      <c r="AM338" s="1">
        <v>51.879679121</v>
      </c>
      <c r="AN338" s="1">
        <v>10.321225548</v>
      </c>
      <c r="AO338" s="1">
        <v>25314.0</v>
      </c>
      <c r="AP338" s="1">
        <v>13.2</v>
      </c>
      <c r="AQ338" s="1">
        <v>7.6</v>
      </c>
      <c r="AR338" s="1">
        <v>8.9</v>
      </c>
      <c r="AS338" s="1">
        <v>28.3</v>
      </c>
      <c r="AT338" s="1">
        <v>18.2</v>
      </c>
      <c r="AU338" s="1">
        <v>16.4</v>
      </c>
      <c r="AV338" s="1">
        <v>25.0</v>
      </c>
      <c r="AW338" s="1">
        <v>2.2</v>
      </c>
      <c r="AX338" s="1">
        <v>0.3352</v>
      </c>
      <c r="AY338" s="1">
        <v>9.7</v>
      </c>
      <c r="AZ338" s="1">
        <v>12.4</v>
      </c>
      <c r="BA338" s="1">
        <v>20.1</v>
      </c>
      <c r="BB338" s="1">
        <v>3.44</v>
      </c>
      <c r="BC338" s="1" t="s">
        <v>681</v>
      </c>
      <c r="BD338" s="1">
        <v>7.8</v>
      </c>
      <c r="BE338" s="1">
        <v>34.3</v>
      </c>
      <c r="BF338" s="1">
        <v>32.8</v>
      </c>
      <c r="BG338" s="1">
        <v>25.1</v>
      </c>
      <c r="BH338" s="1" t="s">
        <v>709</v>
      </c>
    </row>
    <row r="339">
      <c r="A339" s="1">
        <v>12037.0</v>
      </c>
      <c r="B339" s="2" t="str">
        <f>IFERROR(__xludf.DUMMYFUNCTION("TO_TEXT(A339)"),"12037")</f>
        <v>12037</v>
      </c>
      <c r="C339" s="1">
        <v>11705.0</v>
      </c>
      <c r="D339" s="1">
        <v>545.144675992518</v>
      </c>
      <c r="E339" s="1" t="s">
        <v>118</v>
      </c>
      <c r="F339" s="1" t="s">
        <v>710</v>
      </c>
      <c r="G339" s="1">
        <v>21.4713644202601</v>
      </c>
      <c r="H339" s="1">
        <v>19.378118399</v>
      </c>
      <c r="I339" s="1">
        <v>4.2626727395</v>
      </c>
      <c r="J339" s="1">
        <v>8.60366713679999</v>
      </c>
      <c r="K339" s="1">
        <v>19.523046263</v>
      </c>
      <c r="L339" s="1">
        <v>35.5</v>
      </c>
      <c r="M339" s="1">
        <v>7.6</v>
      </c>
      <c r="N339" s="1">
        <v>31.8</v>
      </c>
      <c r="O339" s="1">
        <v>88.353970041</v>
      </c>
      <c r="P339" s="1">
        <v>17.72597913</v>
      </c>
      <c r="Q339" s="1">
        <v>25.58199</v>
      </c>
      <c r="R339" s="1">
        <v>79.032258065</v>
      </c>
      <c r="S339" s="1">
        <v>36.6</v>
      </c>
      <c r="T339" s="1">
        <v>1906.0</v>
      </c>
      <c r="U339" s="1">
        <v>34.365162644</v>
      </c>
      <c r="V339" s="1">
        <v>267.65230691</v>
      </c>
      <c r="W339" s="1">
        <v>16.117647059</v>
      </c>
      <c r="X339" s="1">
        <v>12.965186074</v>
      </c>
      <c r="Y339" s="1">
        <v>77.370527385</v>
      </c>
      <c r="Z339" s="1">
        <v>12.0</v>
      </c>
      <c r="AA339" s="1">
        <v>1.0101497707</v>
      </c>
      <c r="AB339" s="1">
        <v>40297.0</v>
      </c>
      <c r="AC339" s="1">
        <v>64.904214559</v>
      </c>
      <c r="AD339" s="1">
        <v>75.65743542</v>
      </c>
      <c r="AE339" s="1">
        <v>11.674499134</v>
      </c>
      <c r="AF339" s="1">
        <v>12.159168371</v>
      </c>
      <c r="AG339" s="1">
        <v>0.9969325153</v>
      </c>
      <c r="AH339" s="1">
        <v>0.4856850716</v>
      </c>
      <c r="AI339" s="1">
        <v>0.0766871166</v>
      </c>
      <c r="AJ339" s="1">
        <v>5.59815950919999</v>
      </c>
      <c r="AK339" s="1">
        <v>79.371165644</v>
      </c>
      <c r="AL339" s="1">
        <v>0.9536541889</v>
      </c>
      <c r="AM339" s="1">
        <v>44.231424676</v>
      </c>
      <c r="AN339" s="1">
        <v>68.040522989</v>
      </c>
      <c r="AO339" s="1">
        <v>21515.0</v>
      </c>
      <c r="AP339" s="1">
        <v>20.7</v>
      </c>
      <c r="AQ339" s="1">
        <v>9.2</v>
      </c>
      <c r="AR339" s="1">
        <v>20.4</v>
      </c>
      <c r="AS339" s="1">
        <v>19.9</v>
      </c>
      <c r="AT339" s="1">
        <v>16.5</v>
      </c>
      <c r="AU339" s="1">
        <v>22.3</v>
      </c>
      <c r="AV339" s="1">
        <v>21.7</v>
      </c>
      <c r="AW339" s="1">
        <v>1.1</v>
      </c>
      <c r="AX339" s="1">
        <v>0.815</v>
      </c>
      <c r="AY339" s="1">
        <v>19.2</v>
      </c>
      <c r="AZ339" s="1">
        <v>16.3</v>
      </c>
      <c r="BA339" s="1">
        <v>28.0</v>
      </c>
      <c r="BB339" s="1">
        <v>2.98</v>
      </c>
      <c r="BC339" s="1" t="s">
        <v>681</v>
      </c>
      <c r="BD339" s="1">
        <v>19.3</v>
      </c>
      <c r="BE339" s="1">
        <v>34.6</v>
      </c>
      <c r="BF339" s="1">
        <v>27.3</v>
      </c>
      <c r="BG339" s="1">
        <v>18.8</v>
      </c>
      <c r="BH339" s="1" t="s">
        <v>710</v>
      </c>
    </row>
    <row r="340">
      <c r="A340" s="1">
        <v>12039.0</v>
      </c>
      <c r="B340" s="2" t="str">
        <f>IFERROR(__xludf.DUMMYFUNCTION("TO_TEXT(A340)"),"12039")</f>
        <v>12039</v>
      </c>
      <c r="C340" s="1">
        <v>46153.0</v>
      </c>
      <c r="D340" s="1">
        <v>516.292979717256</v>
      </c>
      <c r="E340" s="1" t="s">
        <v>711</v>
      </c>
      <c r="F340" s="1" t="s">
        <v>712</v>
      </c>
      <c r="G340" s="1">
        <v>89.3930419609334</v>
      </c>
      <c r="H340" s="1">
        <v>25.833465071</v>
      </c>
      <c r="I340" s="1">
        <v>4.6988261038</v>
      </c>
      <c r="J340" s="1">
        <v>12.072593372</v>
      </c>
      <c r="K340" s="1">
        <v>20.373594507</v>
      </c>
      <c r="L340" s="1">
        <v>42.8</v>
      </c>
      <c r="M340" s="1">
        <v>6.0</v>
      </c>
      <c r="N340" s="1">
        <v>35.4</v>
      </c>
      <c r="O340" s="1">
        <v>59.768479596</v>
      </c>
      <c r="P340" s="1">
        <v>16.312016223</v>
      </c>
      <c r="Q340" s="1">
        <v>19.53507</v>
      </c>
      <c r="R340" s="1">
        <v>52.5641025639999</v>
      </c>
      <c r="S340" s="1">
        <v>38.2</v>
      </c>
      <c r="T340" s="1">
        <v>10018.0</v>
      </c>
      <c r="U340" s="1">
        <v>58.9239369139999</v>
      </c>
      <c r="V340" s="1">
        <v>361.3650505</v>
      </c>
      <c r="W340" s="1">
        <v>15.042937519</v>
      </c>
      <c r="X340" s="1">
        <v>10.9016650959999</v>
      </c>
      <c r="Y340" s="1">
        <v>76.4498659739999</v>
      </c>
      <c r="Z340" s="1">
        <v>20.0</v>
      </c>
      <c r="AA340" s="1">
        <v>5.5838155596</v>
      </c>
      <c r="AB340" s="1">
        <v>42259.0</v>
      </c>
      <c r="AC340" s="1">
        <v>80.629950962</v>
      </c>
      <c r="AD340" s="1">
        <v>71.042154567</v>
      </c>
      <c r="AE340" s="1">
        <v>11.197389886</v>
      </c>
      <c r="AF340" s="1">
        <v>55.122673988</v>
      </c>
      <c r="AG340" s="1">
        <v>0.5839543295</v>
      </c>
      <c r="AH340" s="1">
        <v>0.729942911899999</v>
      </c>
      <c r="AI340" s="1">
        <v>0.1350939121</v>
      </c>
      <c r="AJ340" s="1">
        <v>10.508998998</v>
      </c>
      <c r="AK340" s="1">
        <v>32.561990674</v>
      </c>
      <c r="AL340" s="1">
        <v>2.830232236</v>
      </c>
      <c r="AM340" s="1">
        <v>52.5210267139999</v>
      </c>
      <c r="AN340" s="1">
        <v>65.379723641</v>
      </c>
      <c r="AO340" s="1">
        <v>18187.0</v>
      </c>
      <c r="AP340" s="1">
        <v>25.6</v>
      </c>
      <c r="AQ340" s="1">
        <v>9.6</v>
      </c>
      <c r="AR340" s="1">
        <v>21.2</v>
      </c>
      <c r="AS340" s="1">
        <v>15.3</v>
      </c>
      <c r="AT340" s="1">
        <v>22.3</v>
      </c>
      <c r="AU340" s="1">
        <v>18.7</v>
      </c>
      <c r="AV340" s="1">
        <v>67.1</v>
      </c>
      <c r="AW340" s="1">
        <v>2.5</v>
      </c>
      <c r="AX340" s="1">
        <v>0.9876</v>
      </c>
      <c r="AY340" s="1">
        <v>19.7</v>
      </c>
      <c r="AZ340" s="1">
        <v>18.0</v>
      </c>
      <c r="BA340" s="1">
        <v>29.1</v>
      </c>
      <c r="BB340" s="1">
        <v>2.95</v>
      </c>
      <c r="BC340" s="1" t="s">
        <v>681</v>
      </c>
      <c r="BD340" s="1">
        <v>20.2</v>
      </c>
      <c r="BE340" s="1">
        <v>36.2</v>
      </c>
      <c r="BF340" s="1">
        <v>27.4</v>
      </c>
      <c r="BG340" s="1">
        <v>16.2</v>
      </c>
      <c r="BH340" s="1" t="s">
        <v>712</v>
      </c>
    </row>
    <row r="341">
      <c r="A341" s="1">
        <v>12041.0</v>
      </c>
      <c r="B341" s="2" t="str">
        <f>IFERROR(__xludf.DUMMYFUNCTION("TO_TEXT(A341)"),"12041")</f>
        <v>12041</v>
      </c>
      <c r="C341" s="1">
        <v>17033.0</v>
      </c>
      <c r="D341" s="1">
        <v>349.694713069142</v>
      </c>
      <c r="E341" s="1" t="s">
        <v>713</v>
      </c>
      <c r="F341" s="1" t="s">
        <v>714</v>
      </c>
      <c r="G341" s="1">
        <v>48.7081999339013</v>
      </c>
      <c r="H341" s="1">
        <v>21.12675716</v>
      </c>
      <c r="I341" s="1">
        <v>4.8470690011</v>
      </c>
      <c r="J341" s="1">
        <v>7.6691729323</v>
      </c>
      <c r="K341" s="1">
        <v>21.253157716</v>
      </c>
      <c r="L341" s="1">
        <v>37.7</v>
      </c>
      <c r="M341" s="1">
        <v>7.9</v>
      </c>
      <c r="N341" s="1">
        <v>35.9</v>
      </c>
      <c r="O341" s="1">
        <v>22.439341165</v>
      </c>
      <c r="P341" s="1">
        <v>15.529126581</v>
      </c>
      <c r="Q341" s="1">
        <v>39.45218</v>
      </c>
      <c r="R341" s="1">
        <v>93.4131736529999</v>
      </c>
      <c r="S341" s="1">
        <v>23.8</v>
      </c>
      <c r="T341" s="1">
        <v>3322.0</v>
      </c>
      <c r="U341" s="1">
        <v>34.708007225</v>
      </c>
      <c r="V341" s="1">
        <v>322.52389609</v>
      </c>
      <c r="W341" s="1">
        <v>12.549960032</v>
      </c>
      <c r="X341" s="1">
        <v>9.7701149425</v>
      </c>
      <c r="Y341" s="1">
        <v>77.43241115</v>
      </c>
      <c r="Z341" s="1">
        <v>15.1</v>
      </c>
      <c r="AA341" s="1">
        <v>0.2694309258</v>
      </c>
      <c r="AB341" s="1">
        <v>42186.0</v>
      </c>
      <c r="AC341" s="1">
        <v>57.442819648</v>
      </c>
      <c r="AD341" s="1">
        <v>83.566272462</v>
      </c>
      <c r="AE341" s="1">
        <v>9.2455858748</v>
      </c>
      <c r="AF341" s="1">
        <v>5.4173970202</v>
      </c>
      <c r="AG341" s="1">
        <v>0.6847063979</v>
      </c>
      <c r="AH341" s="1">
        <v>0.5806310254</v>
      </c>
      <c r="AI341" s="1">
        <v>0.120508326</v>
      </c>
      <c r="AJ341" s="1">
        <v>6.1021034181</v>
      </c>
      <c r="AK341" s="1">
        <v>85.790972831</v>
      </c>
      <c r="AL341" s="1">
        <v>1.5330470055</v>
      </c>
      <c r="AM341" s="1">
        <v>48.3512269939999</v>
      </c>
      <c r="AN341" s="1">
        <v>83.918767342</v>
      </c>
      <c r="AO341" s="1">
        <v>21620.0</v>
      </c>
      <c r="AP341" s="1">
        <v>23.8</v>
      </c>
      <c r="AQ341" s="1">
        <v>9.7</v>
      </c>
      <c r="AR341" s="1">
        <v>17.3</v>
      </c>
      <c r="AS341" s="1">
        <v>19.6</v>
      </c>
      <c r="AT341" s="1">
        <v>20.7</v>
      </c>
      <c r="AU341" s="1">
        <v>20.6</v>
      </c>
      <c r="AV341" s="1">
        <v>12.7</v>
      </c>
      <c r="AW341" s="1">
        <v>1.0</v>
      </c>
      <c r="AX341" s="1">
        <v>0.7746</v>
      </c>
      <c r="AY341" s="1">
        <v>15.0</v>
      </c>
      <c r="AZ341" s="1">
        <v>15.1</v>
      </c>
      <c r="BA341" s="1">
        <v>25.3</v>
      </c>
      <c r="BB341" s="1">
        <v>3.31</v>
      </c>
      <c r="BC341" s="1" t="s">
        <v>681</v>
      </c>
      <c r="BD341" s="1">
        <v>14.6</v>
      </c>
      <c r="BE341" s="1">
        <v>42.1</v>
      </c>
      <c r="BF341" s="1">
        <v>29.9</v>
      </c>
      <c r="BG341" s="1">
        <v>13.4</v>
      </c>
      <c r="BH341" s="1" t="s">
        <v>714</v>
      </c>
    </row>
    <row r="342">
      <c r="A342" s="1">
        <v>12043.0</v>
      </c>
      <c r="B342" s="2" t="str">
        <f>IFERROR(__xludf.DUMMYFUNCTION("TO_TEXT(A342)"),"12043")</f>
        <v>12043</v>
      </c>
      <c r="C342" s="1">
        <v>13420.0</v>
      </c>
      <c r="D342" s="1">
        <v>806.674701615888</v>
      </c>
      <c r="E342" s="1" t="s">
        <v>715</v>
      </c>
      <c r="F342" s="1" t="s">
        <v>716</v>
      </c>
      <c r="G342" s="1">
        <v>16.6361979285055</v>
      </c>
      <c r="H342" s="1">
        <v>21.102866773</v>
      </c>
      <c r="I342" s="1">
        <v>4.3043335779</v>
      </c>
      <c r="J342" s="1">
        <v>7.93991416309999</v>
      </c>
      <c r="K342" s="1">
        <v>20.431303854</v>
      </c>
      <c r="L342" s="1">
        <v>36.4</v>
      </c>
      <c r="M342" s="1">
        <v>5.3</v>
      </c>
      <c r="N342" s="1">
        <v>34.4</v>
      </c>
      <c r="O342" s="1">
        <v>9.6786712201</v>
      </c>
      <c r="P342" s="1">
        <v>25.8836003769999</v>
      </c>
      <c r="Q342" s="1">
        <v>48.31939</v>
      </c>
      <c r="R342" s="1">
        <v>84.615384615</v>
      </c>
      <c r="S342" s="1">
        <v>27.6</v>
      </c>
      <c r="T342" s="1">
        <v>2081.0</v>
      </c>
      <c r="U342" s="1">
        <v>34.262373859</v>
      </c>
      <c r="V342" s="1">
        <v>233.54254853</v>
      </c>
      <c r="W342" s="1">
        <v>15.92039801</v>
      </c>
      <c r="X342" s="1">
        <v>13.2561132559999</v>
      </c>
      <c r="Y342" s="1">
        <v>84.492029382</v>
      </c>
      <c r="Z342" s="1">
        <v>20.8</v>
      </c>
      <c r="AA342" s="1">
        <v>31.09607927</v>
      </c>
      <c r="AB342" s="1">
        <v>38680.0</v>
      </c>
      <c r="AC342" s="1">
        <v>53.804347826</v>
      </c>
      <c r="AD342" s="1">
        <v>79.449582675</v>
      </c>
      <c r="AE342" s="1">
        <v>11.684719982</v>
      </c>
      <c r="AF342" s="1">
        <v>13.028271641</v>
      </c>
      <c r="AG342" s="1">
        <v>5.1879918391</v>
      </c>
      <c r="AH342" s="1">
        <v>0.706791023</v>
      </c>
      <c r="AI342" s="1">
        <v>0.1020110755</v>
      </c>
      <c r="AJ342" s="1">
        <v>21.145438648</v>
      </c>
      <c r="AK342" s="1">
        <v>60.077236957</v>
      </c>
      <c r="AL342" s="1">
        <v>5.1067780873</v>
      </c>
      <c r="AM342" s="1">
        <v>43.7554648789999</v>
      </c>
      <c r="AN342" s="1">
        <v>70.638000621</v>
      </c>
      <c r="AO342" s="1">
        <v>17798.0</v>
      </c>
      <c r="AP342" s="1">
        <v>20.7</v>
      </c>
      <c r="AQ342" s="1">
        <v>13.3</v>
      </c>
      <c r="AR342" s="1">
        <v>25.6</v>
      </c>
      <c r="AS342" s="1">
        <v>25.9</v>
      </c>
      <c r="AT342" s="1">
        <v>16.7</v>
      </c>
      <c r="AU342" s="1">
        <v>23.1</v>
      </c>
      <c r="AV342" s="1">
        <v>39.1</v>
      </c>
      <c r="AW342" s="1">
        <v>4.5</v>
      </c>
      <c r="AX342" s="1">
        <v>0.9538</v>
      </c>
      <c r="AY342" s="1">
        <v>19.3</v>
      </c>
      <c r="AZ342" s="1">
        <v>14.3</v>
      </c>
      <c r="BA342" s="1">
        <v>21.8</v>
      </c>
      <c r="BB342" s="1">
        <v>3.53</v>
      </c>
      <c r="BC342" s="1" t="s">
        <v>681</v>
      </c>
      <c r="BD342" s="1">
        <v>25.5</v>
      </c>
      <c r="BE342" s="1">
        <v>38.2</v>
      </c>
      <c r="BF342" s="1">
        <v>25.1</v>
      </c>
      <c r="BG342" s="1">
        <v>11.2</v>
      </c>
      <c r="BH342" s="1" t="s">
        <v>716</v>
      </c>
    </row>
    <row r="343">
      <c r="A343" s="1">
        <v>12045.0</v>
      </c>
      <c r="B343" s="2" t="str">
        <f>IFERROR(__xludf.DUMMYFUNCTION("TO_TEXT(A343)"),"12045")</f>
        <v>12045</v>
      </c>
      <c r="C343" s="1">
        <v>15851.0</v>
      </c>
      <c r="D343" s="1">
        <v>553.587288116466</v>
      </c>
      <c r="E343" s="1" t="s">
        <v>717</v>
      </c>
      <c r="F343" s="1" t="s">
        <v>718</v>
      </c>
      <c r="G343" s="1">
        <v>28.6332441879793</v>
      </c>
      <c r="H343" s="1">
        <v>20.911351246</v>
      </c>
      <c r="I343" s="1">
        <v>4.3308064151</v>
      </c>
      <c r="J343" s="1">
        <v>6.2052505967</v>
      </c>
      <c r="K343" s="1">
        <v>20.209306763</v>
      </c>
      <c r="L343" s="1">
        <v>33.1</v>
      </c>
      <c r="M343" s="1">
        <v>7.2</v>
      </c>
      <c r="N343" s="1">
        <v>34.9</v>
      </c>
      <c r="O343" s="1">
        <v>54.0313938089999</v>
      </c>
      <c r="P343" s="1">
        <v>13.465447154</v>
      </c>
      <c r="Q343" s="1">
        <v>43.31683</v>
      </c>
      <c r="R343" s="1">
        <v>84.713375796</v>
      </c>
      <c r="S343" s="1">
        <v>26.3</v>
      </c>
      <c r="T343" s="1">
        <v>2619.0</v>
      </c>
      <c r="U343" s="1">
        <v>29.0187094309999</v>
      </c>
      <c r="V343" s="1">
        <v>392.16916609</v>
      </c>
      <c r="W343" s="1">
        <v>15.700934579</v>
      </c>
      <c r="X343" s="1">
        <v>14.385898408</v>
      </c>
      <c r="Y343" s="1">
        <v>75.959517843</v>
      </c>
      <c r="Z343" s="1">
        <v>12.7</v>
      </c>
      <c r="AA343" s="1">
        <v>6.6778796873</v>
      </c>
      <c r="AB343" s="1">
        <v>45426.0</v>
      </c>
      <c r="AC343" s="1">
        <v>58.877086495</v>
      </c>
      <c r="AD343" s="1">
        <v>75.331218511</v>
      </c>
      <c r="AE343" s="1">
        <v>14.046162951</v>
      </c>
      <c r="AF343" s="1">
        <v>16.827517941</v>
      </c>
      <c r="AG343" s="1">
        <v>0.6619648602</v>
      </c>
      <c r="AH343" s="1">
        <v>0.4763672358</v>
      </c>
      <c r="AI343" s="1">
        <v>0.0247463499</v>
      </c>
      <c r="AJ343" s="1">
        <v>4.6213808463</v>
      </c>
      <c r="AK343" s="1">
        <v>75.692897798</v>
      </c>
      <c r="AL343" s="1">
        <v>0.4910305094</v>
      </c>
      <c r="AM343" s="1">
        <v>41.468695867</v>
      </c>
      <c r="AN343" s="1">
        <v>77.085040661</v>
      </c>
      <c r="AO343" s="1">
        <v>20050.0</v>
      </c>
      <c r="AP343" s="1">
        <v>15.3</v>
      </c>
      <c r="AQ343" s="1">
        <v>9.2</v>
      </c>
      <c r="AR343" s="1">
        <v>17.5</v>
      </c>
      <c r="AS343" s="1">
        <v>17.9</v>
      </c>
      <c r="AT343" s="1">
        <v>15.9</v>
      </c>
      <c r="AU343" s="1">
        <v>19.2</v>
      </c>
      <c r="AV343" s="1">
        <v>26.2</v>
      </c>
      <c r="AW343" s="1">
        <v>0.7</v>
      </c>
      <c r="AX343" s="1">
        <v>0.6651</v>
      </c>
      <c r="AY343" s="1">
        <v>14.0</v>
      </c>
      <c r="AZ343" s="1">
        <v>14.2</v>
      </c>
      <c r="BA343" s="1">
        <v>22.4</v>
      </c>
      <c r="BB343" s="1">
        <v>3.36</v>
      </c>
      <c r="BC343" s="1" t="s">
        <v>681</v>
      </c>
      <c r="BD343" s="1">
        <v>14.5</v>
      </c>
      <c r="BE343" s="1">
        <v>35.8</v>
      </c>
      <c r="BF343" s="1">
        <v>30.4</v>
      </c>
      <c r="BG343" s="1">
        <v>19.2</v>
      </c>
      <c r="BH343" s="1" t="s">
        <v>718</v>
      </c>
    </row>
    <row r="344">
      <c r="A344" s="1">
        <v>12047.0</v>
      </c>
      <c r="B344" s="2" t="str">
        <f>IFERROR(__xludf.DUMMYFUNCTION("TO_TEXT(A344)"),"12047")</f>
        <v>12047</v>
      </c>
      <c r="C344" s="1">
        <v>14362.0</v>
      </c>
      <c r="D344" s="1">
        <v>513.781907444956</v>
      </c>
      <c r="E344" s="1" t="s">
        <v>719</v>
      </c>
      <c r="F344" s="1" t="s">
        <v>720</v>
      </c>
      <c r="G344" s="1">
        <v>27.9534950372667</v>
      </c>
      <c r="H344" s="1">
        <v>25.742660067</v>
      </c>
      <c r="I344" s="1">
        <v>4.634579934</v>
      </c>
      <c r="J344" s="1">
        <v>9.5628415301</v>
      </c>
      <c r="K344" s="1">
        <v>22.128517406</v>
      </c>
      <c r="L344" s="1">
        <v>41.3</v>
      </c>
      <c r="M344" s="1">
        <v>6.0</v>
      </c>
      <c r="N344" s="1">
        <v>38.6</v>
      </c>
      <c r="O344" s="1">
        <v>45.347658626</v>
      </c>
      <c r="P344" s="1">
        <v>15.1031997379999</v>
      </c>
      <c r="Q344" s="1">
        <v>7.0502</v>
      </c>
      <c r="R344" s="1">
        <v>68.421052632</v>
      </c>
      <c r="S344" s="1">
        <v>35.9</v>
      </c>
      <c r="T344" s="1">
        <v>2684.0</v>
      </c>
      <c r="U344" s="1">
        <v>40.722801788</v>
      </c>
      <c r="V344" s="1">
        <v>331.69232918</v>
      </c>
      <c r="W344" s="1">
        <v>13.1495228</v>
      </c>
      <c r="X344" s="1">
        <v>10.387096774</v>
      </c>
      <c r="Y344" s="1">
        <v>76.168511307</v>
      </c>
      <c r="Z344" s="1">
        <v>15.2</v>
      </c>
      <c r="AA344" s="1">
        <v>10.813933485</v>
      </c>
      <c r="AB344" s="1">
        <v>36299.0</v>
      </c>
      <c r="AC344" s="1">
        <v>71.897810219</v>
      </c>
      <c r="AD344" s="1">
        <v>70.011148272</v>
      </c>
      <c r="AE344" s="1">
        <v>16.623191843</v>
      </c>
      <c r="AF344" s="1">
        <v>32.124388539</v>
      </c>
      <c r="AG344" s="1">
        <v>1.0552061495</v>
      </c>
      <c r="AH344" s="1">
        <v>0.8176100629</v>
      </c>
      <c r="AI344" s="1">
        <v>0.0279524808</v>
      </c>
      <c r="AJ344" s="1">
        <v>9.79734451429999</v>
      </c>
      <c r="AK344" s="1">
        <v>55.024458421</v>
      </c>
      <c r="AL344" s="1">
        <v>2.3088235294</v>
      </c>
      <c r="AM344" s="1">
        <v>42.117400419</v>
      </c>
      <c r="AN344" s="1">
        <v>63.48401919</v>
      </c>
      <c r="AO344" s="1">
        <v>15970.0</v>
      </c>
      <c r="AP344" s="1">
        <v>27.0</v>
      </c>
      <c r="AQ344" s="1">
        <v>14.0</v>
      </c>
      <c r="AR344" s="1">
        <v>25.0</v>
      </c>
      <c r="AS344" s="1">
        <v>15.4</v>
      </c>
      <c r="AT344" s="1">
        <v>18.9</v>
      </c>
      <c r="AU344" s="1">
        <v>23.3</v>
      </c>
      <c r="AV344" s="1">
        <v>45.3</v>
      </c>
      <c r="AW344" s="1">
        <v>2.0</v>
      </c>
      <c r="AX344" s="1">
        <v>0.9844</v>
      </c>
      <c r="AY344" s="1">
        <v>32.5</v>
      </c>
      <c r="AZ344" s="1">
        <v>19.8</v>
      </c>
      <c r="BA344" s="1">
        <v>29.1</v>
      </c>
      <c r="BB344" s="1">
        <v>2.96</v>
      </c>
      <c r="BC344" s="1" t="s">
        <v>681</v>
      </c>
      <c r="BD344" s="1">
        <v>27.0</v>
      </c>
      <c r="BE344" s="1">
        <v>45.4</v>
      </c>
      <c r="BF344" s="1">
        <v>19.8</v>
      </c>
      <c r="BG344" s="1">
        <v>7.9</v>
      </c>
      <c r="BH344" s="1" t="s">
        <v>720</v>
      </c>
    </row>
    <row r="345">
      <c r="A345" s="1">
        <v>12049.0</v>
      </c>
      <c r="B345" s="2" t="str">
        <f>IFERROR(__xludf.DUMMYFUNCTION("TO_TEXT(A345)"),"12049")</f>
        <v>12049</v>
      </c>
      <c r="C345" s="1">
        <v>27302.0</v>
      </c>
      <c r="D345" s="1">
        <v>637.7894999258</v>
      </c>
      <c r="E345" s="1" t="s">
        <v>721</v>
      </c>
      <c r="F345" s="1" t="s">
        <v>722</v>
      </c>
      <c r="G345" s="1">
        <v>42.8072271543766</v>
      </c>
      <c r="H345" s="1">
        <v>27.1790698519999</v>
      </c>
      <c r="I345" s="1">
        <v>4.4037667903</v>
      </c>
      <c r="J345" s="1">
        <v>7.2583678074</v>
      </c>
      <c r="K345" s="1">
        <v>19.168882474</v>
      </c>
      <c r="L345" s="1">
        <v>38.5</v>
      </c>
      <c r="M345" s="1">
        <v>6.4</v>
      </c>
      <c r="N345" s="1">
        <v>35.3</v>
      </c>
      <c r="O345" s="1">
        <v>59.539865133</v>
      </c>
      <c r="P345" s="1">
        <v>20.037532254</v>
      </c>
      <c r="Q345" s="1">
        <v>10.94451</v>
      </c>
      <c r="R345" s="1">
        <v>72.753623188</v>
      </c>
      <c r="S345" s="1">
        <v>38.2</v>
      </c>
      <c r="T345" s="1">
        <v>7195.0</v>
      </c>
      <c r="U345" s="1">
        <v>41.153578874</v>
      </c>
      <c r="V345" s="1">
        <v>269.38096616</v>
      </c>
      <c r="W345" s="1">
        <v>17.526455026</v>
      </c>
      <c r="X345" s="1">
        <v>11.38047138</v>
      </c>
      <c r="Y345" s="1">
        <v>79.839042987</v>
      </c>
      <c r="Z345" s="1">
        <v>16.3</v>
      </c>
      <c r="AA345" s="1">
        <v>22.056473914</v>
      </c>
      <c r="AB345" s="1">
        <v>39169.0</v>
      </c>
      <c r="AC345" s="1">
        <v>67.39046887</v>
      </c>
      <c r="AD345" s="1">
        <v>66.1734431289999</v>
      </c>
      <c r="AE345" s="1">
        <v>8.0638502821</v>
      </c>
      <c r="AF345" s="1">
        <v>6.6617728023</v>
      </c>
      <c r="AG345" s="1">
        <v>1.1745274362</v>
      </c>
      <c r="AH345" s="1">
        <v>1.1304826574</v>
      </c>
      <c r="AI345" s="1">
        <v>0.1101119471</v>
      </c>
      <c r="AJ345" s="1">
        <v>43.975041292</v>
      </c>
      <c r="AK345" s="1">
        <v>46.74986236</v>
      </c>
      <c r="AL345" s="1">
        <v>6.9119899462</v>
      </c>
      <c r="AM345" s="1">
        <v>47.234354928</v>
      </c>
      <c r="AN345" s="1">
        <v>47.80931088</v>
      </c>
      <c r="AO345" s="1">
        <v>17179.0</v>
      </c>
      <c r="AP345" s="1">
        <v>26.4</v>
      </c>
      <c r="AQ345" s="1">
        <v>11.3</v>
      </c>
      <c r="AR345" s="1">
        <v>31.1</v>
      </c>
      <c r="AS345" s="1">
        <v>14.5</v>
      </c>
      <c r="AT345" s="1">
        <v>27.0</v>
      </c>
      <c r="AU345" s="1">
        <v>10.7</v>
      </c>
      <c r="AV345" s="1">
        <v>52.4</v>
      </c>
      <c r="AW345" s="1">
        <v>9.8</v>
      </c>
      <c r="AX345" s="1">
        <v>0.9949</v>
      </c>
      <c r="AY345" s="1">
        <v>22.1</v>
      </c>
      <c r="AZ345" s="1">
        <v>15.2</v>
      </c>
      <c r="BA345" s="1">
        <v>24.2</v>
      </c>
      <c r="BB345" s="1">
        <v>2.92</v>
      </c>
      <c r="BC345" s="1" t="s">
        <v>681</v>
      </c>
      <c r="BD345" s="1">
        <v>22.8</v>
      </c>
      <c r="BE345" s="1">
        <v>49.1</v>
      </c>
      <c r="BF345" s="1">
        <v>17.8</v>
      </c>
      <c r="BG345" s="1">
        <v>10.2</v>
      </c>
      <c r="BH345" s="1" t="s">
        <v>722</v>
      </c>
    </row>
    <row r="346">
      <c r="A346" s="1">
        <v>12051.0</v>
      </c>
      <c r="B346" s="2" t="str">
        <f>IFERROR(__xludf.DUMMYFUNCTION("TO_TEXT(A346)"),"12051")</f>
        <v>12051</v>
      </c>
      <c r="C346" s="1">
        <v>38376.0</v>
      </c>
      <c r="D346" s="1">
        <v>1156.30290552671</v>
      </c>
      <c r="E346" s="1" t="s">
        <v>723</v>
      </c>
      <c r="F346" s="1" t="s">
        <v>724</v>
      </c>
      <c r="G346" s="1">
        <v>33.1885354750702</v>
      </c>
      <c r="H346" s="1">
        <v>28.6763781369999</v>
      </c>
      <c r="I346" s="1">
        <v>4.6837448963</v>
      </c>
      <c r="J346" s="1">
        <v>7.3856688677</v>
      </c>
      <c r="K346" s="1">
        <v>19.793274032</v>
      </c>
      <c r="L346" s="1">
        <v>34.5</v>
      </c>
      <c r="M346" s="1">
        <v>6.9</v>
      </c>
      <c r="N346" s="1">
        <v>35.1</v>
      </c>
      <c r="O346" s="1">
        <v>62.475728155</v>
      </c>
      <c r="P346" s="1">
        <v>26.854294928</v>
      </c>
      <c r="Q346" s="1">
        <v>32.22049</v>
      </c>
      <c r="R346" s="1">
        <v>85.860655738</v>
      </c>
      <c r="S346" s="1">
        <v>33.5</v>
      </c>
      <c r="T346" s="1">
        <v>10729.0</v>
      </c>
      <c r="U346" s="1">
        <v>49.6691210739999</v>
      </c>
      <c r="V346" s="1">
        <v>559.98642457</v>
      </c>
      <c r="W346" s="1">
        <v>21.328819298</v>
      </c>
      <c r="X346" s="1">
        <v>14.991408935</v>
      </c>
      <c r="Y346" s="1">
        <v>78.132554066</v>
      </c>
      <c r="Z346" s="1">
        <v>11.2</v>
      </c>
      <c r="AA346" s="1">
        <v>15.003728132</v>
      </c>
      <c r="AB346" s="1">
        <v>44391.0</v>
      </c>
      <c r="AC346" s="1">
        <v>71.056222707</v>
      </c>
      <c r="AD346" s="1">
        <v>66.209362268</v>
      </c>
      <c r="AE346" s="1">
        <v>15.68954909</v>
      </c>
      <c r="AF346" s="1">
        <v>10.8215420159999</v>
      </c>
      <c r="AG346" s="1">
        <v>2.0334007123</v>
      </c>
      <c r="AH346" s="1">
        <v>0.9769948985</v>
      </c>
      <c r="AI346" s="1">
        <v>0.1997304842</v>
      </c>
      <c r="AJ346" s="1">
        <v>54.302627779</v>
      </c>
      <c r="AK346" s="1">
        <v>32.055539513</v>
      </c>
      <c r="AL346" s="1">
        <v>15.978759353</v>
      </c>
      <c r="AM346" s="1">
        <v>46.667147945</v>
      </c>
      <c r="AN346" s="1">
        <v>37.892181911</v>
      </c>
      <c r="AO346" s="1">
        <v>18027.0</v>
      </c>
      <c r="AP346" s="1">
        <v>26.3</v>
      </c>
      <c r="AQ346" s="1">
        <v>10.1</v>
      </c>
      <c r="AR346" s="1">
        <v>37.1</v>
      </c>
      <c r="AS346" s="1">
        <v>12.8</v>
      </c>
      <c r="AT346" s="1">
        <v>27.7</v>
      </c>
      <c r="AU346" s="1">
        <v>14.3</v>
      </c>
      <c r="AV346" s="1">
        <v>66.1</v>
      </c>
      <c r="AW346" s="1">
        <v>15.6</v>
      </c>
      <c r="AX346" s="1">
        <v>0.9955</v>
      </c>
      <c r="AY346" s="1">
        <v>19.5</v>
      </c>
      <c r="AZ346" s="1">
        <v>16.2</v>
      </c>
      <c r="BA346" s="1">
        <v>22.8</v>
      </c>
      <c r="BB346" s="1">
        <v>3.06</v>
      </c>
      <c r="BC346" s="1" t="s">
        <v>681</v>
      </c>
      <c r="BD346" s="1">
        <v>33.7</v>
      </c>
      <c r="BE346" s="1">
        <v>33.7</v>
      </c>
      <c r="BF346" s="1">
        <v>24.3</v>
      </c>
      <c r="BG346" s="1">
        <v>8.3</v>
      </c>
      <c r="BH346" s="1" t="s">
        <v>724</v>
      </c>
    </row>
    <row r="347">
      <c r="A347" s="1">
        <v>12053.0</v>
      </c>
      <c r="B347" s="2" t="str">
        <f>IFERROR(__xludf.DUMMYFUNCTION("TO_TEXT(A347)"),"12053")</f>
        <v>12053</v>
      </c>
      <c r="C347" s="1">
        <v>176797.0</v>
      </c>
      <c r="D347" s="1">
        <v>472.825213466768</v>
      </c>
      <c r="E347" s="1" t="s">
        <v>725</v>
      </c>
      <c r="F347" s="1" t="s">
        <v>726</v>
      </c>
      <c r="G347" s="1">
        <v>373.916185018389</v>
      </c>
      <c r="H347" s="1">
        <v>18.530978125</v>
      </c>
      <c r="I347" s="1">
        <v>4.5536746195</v>
      </c>
      <c r="J347" s="1">
        <v>8.6412840612</v>
      </c>
      <c r="K347" s="1">
        <v>19.215223075</v>
      </c>
      <c r="L347" s="1">
        <v>31.8</v>
      </c>
      <c r="M347" s="1">
        <v>7.0</v>
      </c>
      <c r="N347" s="1">
        <v>31.5</v>
      </c>
      <c r="O347" s="1">
        <v>82.272048525</v>
      </c>
      <c r="P347" s="1">
        <v>15.7973230209999</v>
      </c>
      <c r="Q347" s="1">
        <v>56.82031</v>
      </c>
      <c r="R347" s="1">
        <v>86.537295331</v>
      </c>
      <c r="S347" s="1">
        <v>19.3</v>
      </c>
      <c r="T347" s="1">
        <v>33057.0</v>
      </c>
      <c r="U347" s="1">
        <v>34.918474151</v>
      </c>
      <c r="V347" s="1">
        <v>257.5032574</v>
      </c>
      <c r="W347" s="1">
        <v>15.016920474</v>
      </c>
      <c r="X347" s="1">
        <v>13.401839609</v>
      </c>
      <c r="Y347" s="1">
        <v>77.2504971669999</v>
      </c>
      <c r="Z347" s="1">
        <v>15.8</v>
      </c>
      <c r="AA347" s="1">
        <v>14.311963758</v>
      </c>
      <c r="AB347" s="1">
        <v>45884.0</v>
      </c>
      <c r="AC347" s="1">
        <v>62.750678109</v>
      </c>
      <c r="AD347" s="1">
        <v>77.781101698</v>
      </c>
      <c r="AE347" s="1">
        <v>12.535026825</v>
      </c>
      <c r="AF347" s="1">
        <v>5.1560003144</v>
      </c>
      <c r="AG347" s="1">
        <v>0.4862075289</v>
      </c>
      <c r="AH347" s="1">
        <v>1.4444764624</v>
      </c>
      <c r="AI347" s="1">
        <v>0.0869724675</v>
      </c>
      <c r="AJ347" s="1">
        <v>14.18227543</v>
      </c>
      <c r="AK347" s="1">
        <v>77.23521861</v>
      </c>
      <c r="AL347" s="1">
        <v>1.3451938122</v>
      </c>
      <c r="AM347" s="1">
        <v>51.811489796</v>
      </c>
      <c r="AN347" s="1">
        <v>19.375151929</v>
      </c>
      <c r="AO347" s="1">
        <v>22435.0</v>
      </c>
      <c r="AP347" s="1">
        <v>15.6</v>
      </c>
      <c r="AQ347" s="1">
        <v>11.2</v>
      </c>
      <c r="AR347" s="1">
        <v>13.0</v>
      </c>
      <c r="AS347" s="1">
        <v>27.4</v>
      </c>
      <c r="AT347" s="1">
        <v>18.8</v>
      </c>
      <c r="AU347" s="1">
        <v>19.2</v>
      </c>
      <c r="AV347" s="1">
        <v>19.9</v>
      </c>
      <c r="AW347" s="1">
        <v>1.6</v>
      </c>
      <c r="AX347" s="1">
        <v>0.6157</v>
      </c>
      <c r="AY347" s="1">
        <v>12.4</v>
      </c>
      <c r="AZ347" s="1">
        <v>13.8</v>
      </c>
      <c r="BA347" s="1">
        <v>21.6</v>
      </c>
      <c r="BB347" s="1">
        <v>3.23</v>
      </c>
      <c r="BC347" s="1" t="s">
        <v>681</v>
      </c>
      <c r="BD347" s="1">
        <v>12.1</v>
      </c>
      <c r="BE347" s="1">
        <v>35.2</v>
      </c>
      <c r="BF347" s="1">
        <v>34.2</v>
      </c>
      <c r="BG347" s="1">
        <v>18.4</v>
      </c>
      <c r="BH347" s="1" t="s">
        <v>726</v>
      </c>
    </row>
    <row r="348">
      <c r="A348" s="1">
        <v>12055.0</v>
      </c>
      <c r="B348" s="2" t="str">
        <f>IFERROR(__xludf.DUMMYFUNCTION("TO_TEXT(A348)"),"12055")</f>
        <v>12055</v>
      </c>
      <c r="C348" s="1">
        <v>98862.0</v>
      </c>
      <c r="D348" s="1">
        <v>1016.58583116429</v>
      </c>
      <c r="E348" s="1" t="s">
        <v>727</v>
      </c>
      <c r="F348" s="1" t="s">
        <v>728</v>
      </c>
      <c r="G348" s="1">
        <v>97.249043778993</v>
      </c>
      <c r="H348" s="1">
        <v>20.937252905</v>
      </c>
      <c r="I348" s="1">
        <v>4.84607955649999</v>
      </c>
      <c r="J348" s="1">
        <v>8.4197097752</v>
      </c>
      <c r="K348" s="1">
        <v>18.734961392</v>
      </c>
      <c r="L348" s="1">
        <v>30.5</v>
      </c>
      <c r="M348" s="1">
        <v>6.7</v>
      </c>
      <c r="N348" s="1">
        <v>33.3</v>
      </c>
      <c r="O348" s="1">
        <v>80.950742008</v>
      </c>
      <c r="P348" s="1">
        <v>18.486193894</v>
      </c>
      <c r="Q348" s="1">
        <v>59.29065</v>
      </c>
      <c r="R348" s="1">
        <v>72.877618523</v>
      </c>
      <c r="S348" s="1">
        <v>38.5</v>
      </c>
      <c r="T348" s="1">
        <v>17614.0</v>
      </c>
      <c r="U348" s="1">
        <v>35.505847621</v>
      </c>
      <c r="V348" s="1">
        <v>318.26592651</v>
      </c>
      <c r="W348" s="1">
        <v>15.271604938</v>
      </c>
      <c r="X348" s="1">
        <v>12.8395372229999</v>
      </c>
      <c r="Y348" s="1">
        <v>78.375228005</v>
      </c>
      <c r="Z348" s="1">
        <v>15.6</v>
      </c>
      <c r="AA348" s="1">
        <v>14.1906784059999</v>
      </c>
      <c r="AB348" s="1">
        <v>39994.0</v>
      </c>
      <c r="AC348" s="1">
        <v>71.898428053</v>
      </c>
      <c r="AD348" s="1">
        <v>75.3497781889999</v>
      </c>
      <c r="AE348" s="1">
        <v>12.253125797</v>
      </c>
      <c r="AF348" s="1">
        <v>9.5983836698</v>
      </c>
      <c r="AG348" s="1">
        <v>0.6630368796</v>
      </c>
      <c r="AH348" s="1">
        <v>1.5594172105</v>
      </c>
      <c r="AI348" s="1">
        <v>0.0958036121</v>
      </c>
      <c r="AJ348" s="1">
        <v>20.810251935</v>
      </c>
      <c r="AK348" s="1">
        <v>66.378623463</v>
      </c>
      <c r="AL348" s="1">
        <v>4.2347788539</v>
      </c>
      <c r="AM348" s="1">
        <v>51.135415086</v>
      </c>
      <c r="AN348" s="1">
        <v>21.06573806</v>
      </c>
      <c r="AO348" s="1">
        <v>21916.0</v>
      </c>
      <c r="AP348" s="1">
        <v>19.4</v>
      </c>
      <c r="AQ348" s="1">
        <v>12.3</v>
      </c>
      <c r="AR348" s="1">
        <v>16.7</v>
      </c>
      <c r="AS348" s="1">
        <v>33.9</v>
      </c>
      <c r="AT348" s="1">
        <v>17.7</v>
      </c>
      <c r="AU348" s="1">
        <v>18.4</v>
      </c>
      <c r="AV348" s="1">
        <v>31.1</v>
      </c>
      <c r="AW348" s="1">
        <v>5.0</v>
      </c>
      <c r="AX348" s="1">
        <v>0.8516</v>
      </c>
      <c r="AY348" s="1">
        <v>15.8</v>
      </c>
      <c r="AZ348" s="1">
        <v>15.6</v>
      </c>
      <c r="BA348" s="1">
        <v>25.9</v>
      </c>
      <c r="BB348" s="1">
        <v>3.14</v>
      </c>
      <c r="BC348" s="1" t="s">
        <v>681</v>
      </c>
      <c r="BD348" s="1">
        <v>14.3</v>
      </c>
      <c r="BE348" s="1">
        <v>38.8</v>
      </c>
      <c r="BF348" s="1">
        <v>29.8</v>
      </c>
      <c r="BG348" s="1">
        <v>17.2</v>
      </c>
      <c r="BH348" s="1" t="s">
        <v>728</v>
      </c>
    </row>
    <row r="349">
      <c r="A349" s="1">
        <v>12057.0</v>
      </c>
      <c r="B349" s="2" t="str">
        <f>IFERROR(__xludf.DUMMYFUNCTION("TO_TEXT(A349)"),"12057")</f>
        <v>12057</v>
      </c>
      <c r="C349" s="1">
        <v>1323059.0</v>
      </c>
      <c r="D349" s="1">
        <v>1020.31353786573</v>
      </c>
      <c r="E349" s="1" t="s">
        <v>729</v>
      </c>
      <c r="F349" s="1" t="s">
        <v>730</v>
      </c>
      <c r="G349" s="1">
        <v>1296.71806841604</v>
      </c>
      <c r="H349" s="1">
        <v>19.551459223</v>
      </c>
      <c r="I349" s="1">
        <v>4.4083136767</v>
      </c>
      <c r="J349" s="1">
        <v>8.9293799997</v>
      </c>
      <c r="K349" s="1">
        <v>17.455544372</v>
      </c>
      <c r="L349" s="1">
        <v>24.4</v>
      </c>
      <c r="M349" s="1">
        <v>7.5</v>
      </c>
      <c r="N349" s="1">
        <v>23.1</v>
      </c>
      <c r="O349" s="1">
        <v>93.650801399</v>
      </c>
      <c r="P349" s="1">
        <v>14.2895389709999</v>
      </c>
      <c r="Q349" s="1">
        <v>83.0632</v>
      </c>
      <c r="R349" s="1">
        <v>83.27455236</v>
      </c>
      <c r="S349" s="1">
        <v>20.1</v>
      </c>
      <c r="T349" s="1">
        <v>312046.0</v>
      </c>
      <c r="U349" s="1">
        <v>39.5226985759999</v>
      </c>
      <c r="V349" s="1">
        <v>311.50704576</v>
      </c>
      <c r="W349" s="1">
        <v>19.164448209</v>
      </c>
      <c r="X349" s="1">
        <v>16.234551454</v>
      </c>
      <c r="Y349" s="1">
        <v>79.273951547</v>
      </c>
      <c r="Z349" s="1">
        <v>9.8</v>
      </c>
      <c r="AA349" s="1">
        <v>7.4627275595</v>
      </c>
      <c r="AB349" s="1">
        <v>58361.0</v>
      </c>
      <c r="AC349" s="1">
        <v>60.070944856</v>
      </c>
      <c r="AD349" s="1">
        <v>58.054554115</v>
      </c>
      <c r="AE349" s="1">
        <v>16.202863139</v>
      </c>
      <c r="AF349" s="1">
        <v>15.907085312</v>
      </c>
      <c r="AG349" s="1">
        <v>0.5249539282</v>
      </c>
      <c r="AH349" s="1">
        <v>4.4294336093</v>
      </c>
      <c r="AI349" s="1">
        <v>0.1307687168</v>
      </c>
      <c r="AJ349" s="1">
        <v>29.2377694019999</v>
      </c>
      <c r="AK349" s="1">
        <v>48.244609183</v>
      </c>
      <c r="AL349" s="1">
        <v>6.2500338662</v>
      </c>
      <c r="AM349" s="1">
        <v>51.078998502</v>
      </c>
      <c r="AN349" s="1">
        <v>3.5128609385</v>
      </c>
      <c r="AO349" s="1">
        <v>28727.0</v>
      </c>
      <c r="AP349" s="1">
        <v>16.4</v>
      </c>
      <c r="AQ349" s="1">
        <v>7.9</v>
      </c>
      <c r="AR349" s="1">
        <v>12.2</v>
      </c>
      <c r="AS349" s="1">
        <v>13.1</v>
      </c>
      <c r="AT349" s="1">
        <v>23.2</v>
      </c>
      <c r="AU349" s="1">
        <v>11.7</v>
      </c>
      <c r="AV349" s="1">
        <v>48.8</v>
      </c>
      <c r="AW349" s="1">
        <v>5.8</v>
      </c>
      <c r="AX349" s="1">
        <v>0.6905</v>
      </c>
      <c r="AY349" s="1">
        <v>13.5</v>
      </c>
      <c r="AZ349" s="1">
        <v>12.3</v>
      </c>
      <c r="BA349" s="1">
        <v>17.0</v>
      </c>
      <c r="BB349" s="1">
        <v>3.4</v>
      </c>
      <c r="BC349" s="1" t="s">
        <v>681</v>
      </c>
      <c r="BD349" s="1">
        <v>11.3</v>
      </c>
      <c r="BE349" s="1">
        <v>27.1</v>
      </c>
      <c r="BF349" s="1">
        <v>28.0</v>
      </c>
      <c r="BG349" s="1">
        <v>33.5</v>
      </c>
      <c r="BH349" s="1" t="s">
        <v>730</v>
      </c>
    </row>
    <row r="350">
      <c r="A350" s="1">
        <v>12059.0</v>
      </c>
      <c r="B350" s="2" t="str">
        <f>IFERROR(__xludf.DUMMYFUNCTION("TO_TEXT(A350)"),"12059")</f>
        <v>12059</v>
      </c>
      <c r="C350" s="1">
        <v>19569.0</v>
      </c>
      <c r="D350" s="1">
        <v>478.754978021419</v>
      </c>
      <c r="E350" s="1" t="s">
        <v>731</v>
      </c>
      <c r="F350" s="1" t="s">
        <v>732</v>
      </c>
      <c r="G350" s="1">
        <v>40.8747708083872</v>
      </c>
      <c r="H350" s="1">
        <v>23.773558654</v>
      </c>
      <c r="I350" s="1">
        <v>4.8611530945</v>
      </c>
      <c r="J350" s="1">
        <v>7.5090252708</v>
      </c>
      <c r="K350" s="1">
        <v>20.857747225</v>
      </c>
      <c r="L350" s="1">
        <v>33.4</v>
      </c>
      <c r="M350" s="1">
        <v>6.6</v>
      </c>
      <c r="N350" s="1">
        <v>37.6</v>
      </c>
      <c r="O350" s="1">
        <v>20.670447132</v>
      </c>
      <c r="P350" s="1">
        <v>15.6796430879999</v>
      </c>
      <c r="Q350" s="1">
        <v>35.79098</v>
      </c>
      <c r="R350" s="1">
        <v>69.803921569</v>
      </c>
      <c r="S350" s="1">
        <v>30.6</v>
      </c>
      <c r="T350" s="1">
        <v>3732.0</v>
      </c>
      <c r="U350" s="1">
        <v>41.639871383</v>
      </c>
      <c r="V350" s="1">
        <v>335.32144133</v>
      </c>
      <c r="W350" s="1">
        <v>14.464023495</v>
      </c>
      <c r="X350" s="1">
        <v>12.686567164</v>
      </c>
      <c r="Y350" s="1">
        <v>74.805072876</v>
      </c>
      <c r="Z350" s="1">
        <v>14.4</v>
      </c>
      <c r="AA350" s="1">
        <v>8.8925198278</v>
      </c>
      <c r="AB350" s="1">
        <v>38040.0</v>
      </c>
      <c r="AC350" s="1">
        <v>51.800976801</v>
      </c>
      <c r="AD350" s="1">
        <v>76.496579247</v>
      </c>
      <c r="AE350" s="1">
        <v>12.534393152</v>
      </c>
      <c r="AF350" s="1">
        <v>6.6591364173</v>
      </c>
      <c r="AG350" s="1">
        <v>1.0422549674</v>
      </c>
      <c r="AH350" s="1">
        <v>0.66745392</v>
      </c>
      <c r="AI350" s="1">
        <v>0.1796991323</v>
      </c>
      <c r="AJ350" s="1">
        <v>2.9676028136</v>
      </c>
      <c r="AK350" s="1">
        <v>86.455819685</v>
      </c>
      <c r="AL350" s="1">
        <v>0.6367364559</v>
      </c>
      <c r="AM350" s="1">
        <v>46.932279098</v>
      </c>
      <c r="AN350" s="1">
        <v>78.7725196969999</v>
      </c>
      <c r="AO350" s="1">
        <v>17854.0</v>
      </c>
      <c r="AP350" s="1">
        <v>26.0</v>
      </c>
      <c r="AQ350" s="1">
        <v>13.1</v>
      </c>
      <c r="AR350" s="1">
        <v>21.7</v>
      </c>
      <c r="AS350" s="1">
        <v>18.9</v>
      </c>
      <c r="AT350" s="1">
        <v>20.1</v>
      </c>
      <c r="AU350" s="1">
        <v>22.5</v>
      </c>
      <c r="AV350" s="1">
        <v>12.6</v>
      </c>
      <c r="AW350" s="1">
        <v>0.5</v>
      </c>
      <c r="AX350" s="1">
        <v>0.8727</v>
      </c>
      <c r="AY350" s="1">
        <v>20.1</v>
      </c>
      <c r="AZ350" s="1">
        <v>18.6</v>
      </c>
      <c r="BA350" s="1">
        <v>28.3</v>
      </c>
      <c r="BB350" s="1">
        <v>3.52</v>
      </c>
      <c r="BC350" s="1" t="s">
        <v>681</v>
      </c>
      <c r="BD350" s="1">
        <v>21.3</v>
      </c>
      <c r="BE350" s="1">
        <v>40.7</v>
      </c>
      <c r="BF350" s="1">
        <v>27.3</v>
      </c>
      <c r="BG350" s="1">
        <v>10.7</v>
      </c>
      <c r="BH350" s="1" t="s">
        <v>732</v>
      </c>
    </row>
    <row r="351">
      <c r="A351" s="1">
        <v>12061.0</v>
      </c>
      <c r="B351" s="2" t="str">
        <f>IFERROR(__xludf.DUMMYFUNCTION("TO_TEXT(A351)"),"12061")</f>
        <v>12061</v>
      </c>
      <c r="C351" s="1">
        <v>145342.0</v>
      </c>
      <c r="D351" s="1">
        <v>502.781136751502</v>
      </c>
      <c r="E351" s="1" t="s">
        <v>733</v>
      </c>
      <c r="F351" s="1" t="s">
        <v>734</v>
      </c>
      <c r="G351" s="1">
        <v>289.076079781081</v>
      </c>
      <c r="H351" s="1">
        <v>17.091300747</v>
      </c>
      <c r="I351" s="1">
        <v>4.5335817089</v>
      </c>
      <c r="J351" s="1">
        <v>8.0949137148</v>
      </c>
      <c r="K351" s="1">
        <v>15.4872155909999</v>
      </c>
      <c r="L351" s="1">
        <v>26.3</v>
      </c>
      <c r="M351" s="1">
        <v>7.0</v>
      </c>
      <c r="N351" s="1">
        <v>25.6</v>
      </c>
      <c r="O351" s="1">
        <v>84.006143681</v>
      </c>
      <c r="P351" s="1">
        <v>16.920089648</v>
      </c>
      <c r="Q351" s="1">
        <v>61.53527</v>
      </c>
      <c r="R351" s="1">
        <v>87.642276423</v>
      </c>
      <c r="S351" s="1">
        <v>17.9</v>
      </c>
      <c r="T351" s="1">
        <v>25004.0</v>
      </c>
      <c r="U351" s="1">
        <v>31.278995361</v>
      </c>
      <c r="V351" s="1">
        <v>255.15837827</v>
      </c>
      <c r="W351" s="1">
        <v>16.211309009</v>
      </c>
      <c r="X351" s="1">
        <v>14.886702969</v>
      </c>
      <c r="Y351" s="1">
        <v>81.218766478</v>
      </c>
      <c r="Z351" s="1">
        <v>12.3</v>
      </c>
      <c r="AA351" s="1">
        <v>13.596072966</v>
      </c>
      <c r="AB351" s="1">
        <v>58228.0</v>
      </c>
      <c r="AC351" s="1">
        <v>56.187798707</v>
      </c>
      <c r="AD351" s="1">
        <v>78.110900127</v>
      </c>
      <c r="AE351" s="1">
        <v>13.508743783</v>
      </c>
      <c r="AF351" s="1">
        <v>9.03038503809999</v>
      </c>
      <c r="AG351" s="1">
        <v>0.4370668242</v>
      </c>
      <c r="AH351" s="1">
        <v>1.5780145223</v>
      </c>
      <c r="AI351" s="1">
        <v>0.0501864522</v>
      </c>
      <c r="AJ351" s="1">
        <v>12.681925889</v>
      </c>
      <c r="AK351" s="1">
        <v>75.191375553</v>
      </c>
      <c r="AL351" s="1">
        <v>2.1060351329</v>
      </c>
      <c r="AM351" s="1">
        <v>52.0871846669999</v>
      </c>
      <c r="AN351" s="1">
        <v>4.9678326137</v>
      </c>
      <c r="AO351" s="1">
        <v>32208.0</v>
      </c>
      <c r="AP351" s="1">
        <v>14.1</v>
      </c>
      <c r="AQ351" s="1">
        <v>10.3</v>
      </c>
      <c r="AR351" s="1">
        <v>12.4</v>
      </c>
      <c r="AS351" s="1">
        <v>30.2</v>
      </c>
      <c r="AT351" s="1">
        <v>17.5</v>
      </c>
      <c r="AU351" s="1">
        <v>16.9</v>
      </c>
      <c r="AV351" s="1">
        <v>23.6</v>
      </c>
      <c r="AW351" s="1">
        <v>2.4</v>
      </c>
      <c r="AX351" s="1">
        <v>0.4769</v>
      </c>
      <c r="AY351" s="1">
        <v>11.5</v>
      </c>
      <c r="AZ351" s="1">
        <v>12.6</v>
      </c>
      <c r="BA351" s="1">
        <v>20.2</v>
      </c>
      <c r="BB351" s="1">
        <v>3.78</v>
      </c>
      <c r="BC351" s="1" t="s">
        <v>681</v>
      </c>
      <c r="BD351" s="1">
        <v>10.6</v>
      </c>
      <c r="BE351" s="1">
        <v>30.4</v>
      </c>
      <c r="BF351" s="1">
        <v>29.8</v>
      </c>
      <c r="BG351" s="1">
        <v>29.1</v>
      </c>
      <c r="BH351" s="1" t="s">
        <v>734</v>
      </c>
    </row>
    <row r="352">
      <c r="A352" s="1">
        <v>12063.0</v>
      </c>
      <c r="B352" s="2" t="str">
        <f>IFERROR(__xludf.DUMMYFUNCTION("TO_TEXT(A352)"),"12063")</f>
        <v>12063</v>
      </c>
      <c r="C352" s="1">
        <v>48721.0</v>
      </c>
      <c r="D352" s="1">
        <v>918.176369621414</v>
      </c>
      <c r="E352" s="1" t="s">
        <v>130</v>
      </c>
      <c r="F352" s="1" t="s">
        <v>735</v>
      </c>
      <c r="G352" s="1">
        <v>53.0627901261376</v>
      </c>
      <c r="H352" s="1">
        <v>22.69921073</v>
      </c>
      <c r="I352" s="1">
        <v>4.2945151239</v>
      </c>
      <c r="J352" s="1">
        <v>8.9164785553</v>
      </c>
      <c r="K352" s="1">
        <v>23.055297094</v>
      </c>
      <c r="L352" s="1">
        <v>36.7</v>
      </c>
      <c r="M352" s="1">
        <v>7.0</v>
      </c>
      <c r="N352" s="1">
        <v>37.2</v>
      </c>
      <c r="O352" s="1">
        <v>29.178225385</v>
      </c>
      <c r="P352" s="1">
        <v>15.176675646</v>
      </c>
      <c r="Q352" s="1">
        <v>41.38216</v>
      </c>
      <c r="R352" s="1">
        <v>72.708333333</v>
      </c>
      <c r="S352" s="1">
        <v>33.5</v>
      </c>
      <c r="T352" s="1">
        <v>8743.0</v>
      </c>
      <c r="U352" s="1">
        <v>44.218231728</v>
      </c>
      <c r="V352" s="1">
        <v>359.68495065</v>
      </c>
      <c r="W352" s="1">
        <v>12.809793968</v>
      </c>
      <c r="X352" s="1">
        <v>10.295021512</v>
      </c>
      <c r="Y352" s="1">
        <v>74.736815638</v>
      </c>
      <c r="Z352" s="1">
        <v>15.9</v>
      </c>
      <c r="AA352" s="1">
        <v>2.4806461539</v>
      </c>
      <c r="AB352" s="1">
        <v>39545.0</v>
      </c>
      <c r="AC352" s="1">
        <v>54.574179958</v>
      </c>
      <c r="AD352" s="1">
        <v>71.3093405939999</v>
      </c>
      <c r="AE352" s="1">
        <v>10.756075608</v>
      </c>
      <c r="AF352" s="1">
        <v>26.456888521</v>
      </c>
      <c r="AG352" s="1">
        <v>0.8756857468</v>
      </c>
      <c r="AH352" s="1">
        <v>0.755615360699999</v>
      </c>
      <c r="AI352" s="1">
        <v>0.293965428</v>
      </c>
      <c r="AJ352" s="1">
        <v>5.0119035297</v>
      </c>
      <c r="AK352" s="1">
        <v>65.086429976</v>
      </c>
      <c r="AL352" s="1">
        <v>1.28196785319999</v>
      </c>
      <c r="AM352" s="1">
        <v>44.902184039</v>
      </c>
      <c r="AN352" s="1">
        <v>75.3628432439999</v>
      </c>
      <c r="AO352" s="1">
        <v>17222.0</v>
      </c>
      <c r="AP352" s="1">
        <v>22.9</v>
      </c>
      <c r="AQ352" s="1">
        <v>12.3</v>
      </c>
      <c r="AR352" s="1">
        <v>21.6</v>
      </c>
      <c r="AS352" s="1">
        <v>17.7</v>
      </c>
      <c r="AT352" s="1">
        <v>18.7</v>
      </c>
      <c r="AU352" s="1">
        <v>21.0</v>
      </c>
      <c r="AV352" s="1">
        <v>34.3</v>
      </c>
      <c r="AW352" s="1">
        <v>1.4</v>
      </c>
      <c r="AX352" s="1">
        <v>0.9672</v>
      </c>
      <c r="AY352" s="1">
        <v>19.4</v>
      </c>
      <c r="AZ352" s="1">
        <v>16.6</v>
      </c>
      <c r="BA352" s="1">
        <v>25.2</v>
      </c>
      <c r="BB352" s="1">
        <v>3.22</v>
      </c>
      <c r="BC352" s="1" t="s">
        <v>681</v>
      </c>
      <c r="BD352" s="1">
        <v>19.5</v>
      </c>
      <c r="BE352" s="1">
        <v>38.4</v>
      </c>
      <c r="BF352" s="1">
        <v>29.5</v>
      </c>
      <c r="BG352" s="1">
        <v>12.6</v>
      </c>
      <c r="BH352" s="1" t="s">
        <v>735</v>
      </c>
    </row>
    <row r="353">
      <c r="A353" s="1">
        <v>12065.0</v>
      </c>
      <c r="B353" s="2" t="str">
        <f>IFERROR(__xludf.DUMMYFUNCTION("TO_TEXT(A353)"),"12065")</f>
        <v>12065</v>
      </c>
      <c r="C353" s="1">
        <v>14082.0</v>
      </c>
      <c r="D353" s="1">
        <v>598.093796160614</v>
      </c>
      <c r="E353" s="1" t="s">
        <v>132</v>
      </c>
      <c r="F353" s="1" t="s">
        <v>736</v>
      </c>
      <c r="G353" s="1">
        <v>23.544801986574</v>
      </c>
      <c r="H353" s="1">
        <v>20.145540148</v>
      </c>
      <c r="I353" s="1">
        <v>4.5786606578</v>
      </c>
      <c r="J353" s="1">
        <v>11.0244988859999</v>
      </c>
      <c r="K353" s="1">
        <v>19.575053118</v>
      </c>
      <c r="L353" s="1">
        <v>34.0</v>
      </c>
      <c r="M353" s="1">
        <v>6.9</v>
      </c>
      <c r="N353" s="1">
        <v>26.6</v>
      </c>
      <c r="O353" s="1">
        <v>52.245782806</v>
      </c>
      <c r="P353" s="1">
        <v>13.591035263</v>
      </c>
      <c r="Q353" s="1">
        <v>21.21041</v>
      </c>
      <c r="R353" s="1">
        <v>55.813953488</v>
      </c>
      <c r="S353" s="1">
        <v>28.6</v>
      </c>
      <c r="T353" s="1">
        <v>2320.0</v>
      </c>
      <c r="U353" s="1">
        <v>29.698275862</v>
      </c>
      <c r="V353" s="1">
        <v>873.79675345</v>
      </c>
      <c r="W353" s="1">
        <v>14.555256065</v>
      </c>
      <c r="X353" s="1">
        <v>13.229927007</v>
      </c>
      <c r="Y353" s="1">
        <v>76.642323623</v>
      </c>
      <c r="Z353" s="1">
        <v>13.3</v>
      </c>
      <c r="AA353" s="1">
        <v>7.19403178909999</v>
      </c>
      <c r="AB353" s="1">
        <v>46332.0</v>
      </c>
      <c r="AC353" s="1">
        <v>85.24137931</v>
      </c>
      <c r="AD353" s="1">
        <v>77.733495062</v>
      </c>
      <c r="AE353" s="1">
        <v>11.238872404</v>
      </c>
      <c r="AF353" s="1">
        <v>33.748600224</v>
      </c>
      <c r="AG353" s="1">
        <v>0.4129339306</v>
      </c>
      <c r="AH353" s="1">
        <v>0.6368980963</v>
      </c>
      <c r="AI353" s="1">
        <v>0.0349944009</v>
      </c>
      <c r="AJ353" s="1">
        <v>3.8563829787</v>
      </c>
      <c r="AK353" s="1">
        <v>60.120380739</v>
      </c>
      <c r="AL353" s="1">
        <v>0.5780346821</v>
      </c>
      <c r="AM353" s="1">
        <v>47.571388578</v>
      </c>
      <c r="AN353" s="1">
        <v>100.0</v>
      </c>
      <c r="AO353" s="1">
        <v>21311.0</v>
      </c>
      <c r="AP353" s="1">
        <v>15.8</v>
      </c>
      <c r="AQ353" s="1">
        <v>8.4</v>
      </c>
      <c r="AR353" s="1">
        <v>20.2</v>
      </c>
      <c r="AS353" s="1">
        <v>20.1</v>
      </c>
      <c r="AT353" s="1">
        <v>17.0</v>
      </c>
      <c r="AU353" s="1">
        <v>18.3</v>
      </c>
      <c r="AV353" s="1">
        <v>42.0</v>
      </c>
      <c r="AW353" s="1">
        <v>0.8</v>
      </c>
      <c r="AX353" s="1">
        <v>0.7558</v>
      </c>
      <c r="AY353" s="1">
        <v>17.6</v>
      </c>
      <c r="AZ353" s="1">
        <v>13.6</v>
      </c>
      <c r="BA353" s="1">
        <v>20.8</v>
      </c>
      <c r="BB353" s="1">
        <v>3.29</v>
      </c>
      <c r="BC353" s="1" t="s">
        <v>681</v>
      </c>
      <c r="BD353" s="1">
        <v>18.0</v>
      </c>
      <c r="BE353" s="1">
        <v>34.7</v>
      </c>
      <c r="BF353" s="1">
        <v>25.0</v>
      </c>
      <c r="BG353" s="1">
        <v>22.3</v>
      </c>
      <c r="BH353" s="1" t="s">
        <v>736</v>
      </c>
    </row>
    <row r="354">
      <c r="A354" s="1">
        <v>12067.0</v>
      </c>
      <c r="B354" s="2" t="str">
        <f>IFERROR(__xludf.DUMMYFUNCTION("TO_TEXT(A354)"),"12067")</f>
        <v>12067</v>
      </c>
      <c r="C354" s="1">
        <v>8742.0</v>
      </c>
      <c r="D354" s="1">
        <v>543.410737470554</v>
      </c>
      <c r="E354" s="1" t="s">
        <v>349</v>
      </c>
      <c r="F354" s="1" t="s">
        <v>737</v>
      </c>
      <c r="G354" s="1">
        <v>16.0872787326432</v>
      </c>
      <c r="H354" s="1">
        <v>20.869941251</v>
      </c>
      <c r="I354" s="1">
        <v>4.4218872542</v>
      </c>
      <c r="J354" s="1">
        <v>7.8512396694</v>
      </c>
      <c r="K354" s="1">
        <v>22.301956406</v>
      </c>
      <c r="L354" s="1">
        <v>32.5</v>
      </c>
      <c r="M354" s="1">
        <v>7.8</v>
      </c>
      <c r="N354" s="1">
        <v>33.6</v>
      </c>
      <c r="O354" s="1">
        <v>13.585118377</v>
      </c>
      <c r="P354" s="1">
        <v>19.768270945</v>
      </c>
      <c r="Q354" s="1">
        <v>11.83292</v>
      </c>
      <c r="R354" s="1">
        <v>88.235294118</v>
      </c>
      <c r="S354" s="1">
        <v>26.1</v>
      </c>
      <c r="T354" s="1">
        <v>1957.0</v>
      </c>
      <c r="U354" s="1">
        <v>23.0454777719999</v>
      </c>
      <c r="V354" s="1">
        <v>199.11252702</v>
      </c>
      <c r="W354" s="1">
        <v>16.8103448279999</v>
      </c>
      <c r="X354" s="1">
        <v>11.8534482759999</v>
      </c>
      <c r="Y354" s="1">
        <v>76.359612788</v>
      </c>
      <c r="Z354" s="1">
        <v>14.7</v>
      </c>
      <c r="AA354" s="1">
        <v>3.1587880298</v>
      </c>
      <c r="AB354" s="1">
        <v>42689.0</v>
      </c>
      <c r="AC354" s="1">
        <v>58.9108910889999</v>
      </c>
      <c r="AD354" s="1">
        <v>78.902147971</v>
      </c>
      <c r="AE354" s="1">
        <v>11.515151515</v>
      </c>
      <c r="AF354" s="1">
        <v>13.06688044</v>
      </c>
      <c r="AG354" s="1">
        <v>0.8131012368</v>
      </c>
      <c r="AH354" s="1">
        <v>0.2977553825</v>
      </c>
      <c r="AI354" s="1">
        <v>0.114521301</v>
      </c>
      <c r="AJ354" s="1">
        <v>14.24644984</v>
      </c>
      <c r="AK354" s="1">
        <v>70.751259734</v>
      </c>
      <c r="AL354" s="1">
        <v>3.9141568101</v>
      </c>
      <c r="AM354" s="1">
        <v>42.89967934</v>
      </c>
      <c r="AN354" s="1">
        <v>100.0</v>
      </c>
      <c r="AO354" s="1">
        <v>19341.0</v>
      </c>
      <c r="AP354" s="1">
        <v>18.0</v>
      </c>
      <c r="AQ354" s="1">
        <v>15.0</v>
      </c>
      <c r="AR354" s="1">
        <v>25.2</v>
      </c>
      <c r="AS354" s="1">
        <v>13.8</v>
      </c>
      <c r="AT354" s="1">
        <v>20.8</v>
      </c>
      <c r="AU354" s="1">
        <v>18.9</v>
      </c>
      <c r="AV354" s="1">
        <v>30.7</v>
      </c>
      <c r="AW354" s="1">
        <v>4.7</v>
      </c>
      <c r="AX354" s="1">
        <v>0.9449</v>
      </c>
      <c r="AY354" s="1">
        <v>18.0</v>
      </c>
      <c r="AZ354" s="1">
        <v>14.7</v>
      </c>
      <c r="BA354" s="1">
        <v>20.1</v>
      </c>
      <c r="BB354" s="1">
        <v>2.91</v>
      </c>
      <c r="BC354" s="1" t="s">
        <v>681</v>
      </c>
      <c r="BD354" s="1">
        <v>24.7</v>
      </c>
      <c r="BE354" s="1">
        <v>38.9</v>
      </c>
      <c r="BF354" s="1">
        <v>24.6</v>
      </c>
      <c r="BG354" s="1">
        <v>11.8</v>
      </c>
      <c r="BH354" s="1" t="s">
        <v>737</v>
      </c>
    </row>
    <row r="355">
      <c r="A355" s="1">
        <v>12069.0</v>
      </c>
      <c r="B355" s="2" t="str">
        <f>IFERROR(__xludf.DUMMYFUNCTION("TO_TEXT(A355)"),"12069")</f>
        <v>12069</v>
      </c>
      <c r="C355" s="1">
        <v>317586.0</v>
      </c>
      <c r="D355" s="1">
        <v>940.875556009408</v>
      </c>
      <c r="E355" s="1" t="s">
        <v>450</v>
      </c>
      <c r="F355" s="1" t="s">
        <v>738</v>
      </c>
      <c r="G355" s="1">
        <v>337.543044849626</v>
      </c>
      <c r="H355" s="1">
        <v>17.367122453</v>
      </c>
      <c r="I355" s="1">
        <v>4.1417108122</v>
      </c>
      <c r="J355" s="1">
        <v>8.6675002233</v>
      </c>
      <c r="K355" s="1">
        <v>16.845825454</v>
      </c>
      <c r="L355" s="1">
        <v>30.3</v>
      </c>
      <c r="M355" s="1">
        <v>7.4</v>
      </c>
      <c r="N355" s="1">
        <v>29.0</v>
      </c>
      <c r="O355" s="1">
        <v>85.6523436969999</v>
      </c>
      <c r="P355" s="1">
        <v>15.534541111</v>
      </c>
      <c r="Q355" s="1">
        <v>70.22776</v>
      </c>
      <c r="R355" s="1">
        <v>77.956815985</v>
      </c>
      <c r="S355" s="1">
        <v>19.5</v>
      </c>
      <c r="T355" s="1">
        <v>65013.0</v>
      </c>
      <c r="U355" s="1">
        <v>36.606524849</v>
      </c>
      <c r="V355" s="1">
        <v>306.3644643</v>
      </c>
      <c r="W355" s="1">
        <v>15.856106855</v>
      </c>
      <c r="X355" s="1">
        <v>13.46999751</v>
      </c>
      <c r="Y355" s="1">
        <v>79.084255565</v>
      </c>
      <c r="Z355" s="1">
        <v>12.6</v>
      </c>
      <c r="AA355" s="1">
        <v>10.79236923</v>
      </c>
      <c r="AB355" s="1">
        <v>52447.0</v>
      </c>
      <c r="AC355" s="1">
        <v>60.207532311</v>
      </c>
      <c r="AD355" s="1">
        <v>74.322912666</v>
      </c>
      <c r="AE355" s="1">
        <v>12.8888083109999</v>
      </c>
      <c r="AF355" s="1">
        <v>10.33815341</v>
      </c>
      <c r="AG355" s="1">
        <v>0.6073016452</v>
      </c>
      <c r="AH355" s="1">
        <v>2.2614622926</v>
      </c>
      <c r="AI355" s="1">
        <v>0.1859773629</v>
      </c>
      <c r="AJ355" s="1">
        <v>16.047349893</v>
      </c>
      <c r="AK355" s="1">
        <v>69.397046242</v>
      </c>
      <c r="AL355" s="1">
        <v>1.8098525259</v>
      </c>
      <c r="AM355" s="1">
        <v>51.608016943</v>
      </c>
      <c r="AN355" s="1">
        <v>19.25386801</v>
      </c>
      <c r="AO355" s="1">
        <v>24760.0</v>
      </c>
      <c r="AP355" s="1">
        <v>13.5</v>
      </c>
      <c r="AQ355" s="1">
        <v>8.2</v>
      </c>
      <c r="AR355" s="1">
        <v>12.2</v>
      </c>
      <c r="AS355" s="1">
        <v>25.9</v>
      </c>
      <c r="AT355" s="1">
        <v>19.9</v>
      </c>
      <c r="AU355" s="1">
        <v>16.0</v>
      </c>
      <c r="AV355" s="1">
        <v>28.1</v>
      </c>
      <c r="AW355" s="1">
        <v>1.8</v>
      </c>
      <c r="AX355" s="1">
        <v>0.6517</v>
      </c>
      <c r="AY355" s="1">
        <v>10.9</v>
      </c>
      <c r="AZ355" s="1">
        <v>12.4</v>
      </c>
      <c r="BA355" s="1">
        <v>19.3</v>
      </c>
      <c r="BB355" s="1">
        <v>3.32</v>
      </c>
      <c r="BC355" s="1" t="s">
        <v>681</v>
      </c>
      <c r="BD355" s="1">
        <v>10.5</v>
      </c>
      <c r="BE355" s="1">
        <v>32.1</v>
      </c>
      <c r="BF355" s="1">
        <v>33.4</v>
      </c>
      <c r="BG355" s="1">
        <v>24.0</v>
      </c>
      <c r="BH355" s="1" t="s">
        <v>738</v>
      </c>
    </row>
    <row r="356">
      <c r="A356" s="1">
        <v>12071.0</v>
      </c>
      <c r="B356" s="2" t="str">
        <f>IFERROR(__xludf.DUMMYFUNCTION("TO_TEXT(A356)"),"12071")</f>
        <v>12071</v>
      </c>
      <c r="C356" s="1">
        <v>680970.0</v>
      </c>
      <c r="D356" s="1">
        <v>784.08309598646</v>
      </c>
      <c r="E356" s="1" t="s">
        <v>140</v>
      </c>
      <c r="F356" s="1" t="s">
        <v>739</v>
      </c>
      <c r="G356" s="1">
        <v>868.4921323846</v>
      </c>
      <c r="H356" s="1">
        <v>17.938049762</v>
      </c>
      <c r="I356" s="1">
        <v>4.3462110116</v>
      </c>
      <c r="J356" s="1">
        <v>8.2112834734</v>
      </c>
      <c r="K356" s="1">
        <v>14.343887724</v>
      </c>
      <c r="L356" s="1">
        <v>25.9</v>
      </c>
      <c r="M356" s="1">
        <v>7.5</v>
      </c>
      <c r="N356" s="1">
        <v>24.8</v>
      </c>
      <c r="O356" s="1">
        <v>88.4632665</v>
      </c>
      <c r="P356" s="1">
        <v>18.616852934</v>
      </c>
      <c r="Q356" s="1">
        <v>64.79768</v>
      </c>
      <c r="R356" s="1">
        <v>79.054579381</v>
      </c>
      <c r="S356" s="1">
        <v>18.4</v>
      </c>
      <c r="T356" s="1">
        <v>128628.0</v>
      </c>
      <c r="U356" s="1">
        <v>38.9969524519999</v>
      </c>
      <c r="V356" s="1">
        <v>347.84984732</v>
      </c>
      <c r="W356" s="1">
        <v>17.877830947</v>
      </c>
      <c r="X356" s="1">
        <v>15.71987666</v>
      </c>
      <c r="Y356" s="1">
        <v>82.2597871219999</v>
      </c>
      <c r="Z356" s="1">
        <v>11.0</v>
      </c>
      <c r="AA356" s="1">
        <v>9.6593305628</v>
      </c>
      <c r="AB356" s="1">
        <v>56343.0</v>
      </c>
      <c r="AC356" s="1">
        <v>54.752684481</v>
      </c>
      <c r="AD356" s="1">
        <v>70.607405991</v>
      </c>
      <c r="AE356" s="1">
        <v>15.728806854</v>
      </c>
      <c r="AF356" s="1">
        <v>8.08364585679999</v>
      </c>
      <c r="AG356" s="1">
        <v>0.502511231</v>
      </c>
      <c r="AH356" s="1">
        <v>1.7586567896</v>
      </c>
      <c r="AI356" s="1">
        <v>0.1127734856</v>
      </c>
      <c r="AJ356" s="1">
        <v>21.896476326</v>
      </c>
      <c r="AK356" s="1">
        <v>66.818489021</v>
      </c>
      <c r="AL356" s="1">
        <v>5.5753423257</v>
      </c>
      <c r="AM356" s="1">
        <v>51.051271518</v>
      </c>
      <c r="AN356" s="1">
        <v>5.8202452025</v>
      </c>
      <c r="AO356" s="1">
        <v>28949.0</v>
      </c>
      <c r="AP356" s="1">
        <v>15.5</v>
      </c>
      <c r="AQ356" s="1">
        <v>8.5</v>
      </c>
      <c r="AR356" s="1">
        <v>13.0</v>
      </c>
      <c r="AS356" s="1">
        <v>26.3</v>
      </c>
      <c r="AT356" s="1">
        <v>18.6</v>
      </c>
      <c r="AU356" s="1">
        <v>14.0</v>
      </c>
      <c r="AV356" s="1">
        <v>30.9</v>
      </c>
      <c r="AW356" s="1">
        <v>5.6</v>
      </c>
      <c r="AX356" s="1">
        <v>0.6364</v>
      </c>
      <c r="AY356" s="1">
        <v>11.2</v>
      </c>
      <c r="AZ356" s="1">
        <v>12.0</v>
      </c>
      <c r="BA356" s="1">
        <v>18.7</v>
      </c>
      <c r="BB356" s="1">
        <v>3.44</v>
      </c>
      <c r="BC356" s="1" t="s">
        <v>681</v>
      </c>
      <c r="BD356" s="1">
        <v>11.6</v>
      </c>
      <c r="BE356" s="1">
        <v>31.0</v>
      </c>
      <c r="BF356" s="1">
        <v>29.2</v>
      </c>
      <c r="BG356" s="1">
        <v>28.2</v>
      </c>
      <c r="BH356" s="1" t="s">
        <v>739</v>
      </c>
    </row>
    <row r="357">
      <c r="A357" s="1">
        <v>12073.0</v>
      </c>
      <c r="B357" s="2" t="str">
        <f>IFERROR(__xludf.DUMMYFUNCTION("TO_TEXT(A357)"),"12073")</f>
        <v>12073</v>
      </c>
      <c r="C357" s="1">
        <v>284788.0</v>
      </c>
      <c r="D357" s="1">
        <v>666.86438014555</v>
      </c>
      <c r="E357" s="1" t="s">
        <v>740</v>
      </c>
      <c r="F357" s="1" t="s">
        <v>741</v>
      </c>
      <c r="G357" s="1">
        <v>427.055348102177</v>
      </c>
      <c r="H357" s="1">
        <v>15.800833796</v>
      </c>
      <c r="I357" s="1">
        <v>4.0509145963</v>
      </c>
      <c r="J357" s="1">
        <v>9.5420207743</v>
      </c>
      <c r="K357" s="1">
        <v>17.327578634</v>
      </c>
      <c r="L357" s="1">
        <v>30.7</v>
      </c>
      <c r="M357" s="1">
        <v>6.3</v>
      </c>
      <c r="N357" s="1">
        <v>21.8</v>
      </c>
      <c r="O357" s="1">
        <v>83.1981182419999</v>
      </c>
      <c r="P357" s="1">
        <v>10.804434125</v>
      </c>
      <c r="Q357" s="1">
        <v>86.46466</v>
      </c>
      <c r="R357" s="1">
        <v>90.033500838</v>
      </c>
      <c r="S357" s="1">
        <v>20.1</v>
      </c>
      <c r="T357" s="1">
        <v>53401.0</v>
      </c>
      <c r="U357" s="1">
        <v>39.377539746</v>
      </c>
      <c r="V357" s="1">
        <v>739.04143923</v>
      </c>
      <c r="W357" s="1">
        <v>21.681216812</v>
      </c>
      <c r="X357" s="1">
        <v>20.104161866</v>
      </c>
      <c r="Y357" s="1">
        <v>79.758837145</v>
      </c>
      <c r="Z357" s="1">
        <v>8.4</v>
      </c>
      <c r="AA357" s="1">
        <v>8.3841244639</v>
      </c>
      <c r="AB357" s="1">
        <v>51046.0</v>
      </c>
      <c r="AC357" s="1">
        <v>41.929661434</v>
      </c>
      <c r="AD357" s="1">
        <v>53.0562000739999</v>
      </c>
      <c r="AE357" s="1">
        <v>18.8913964879999</v>
      </c>
      <c r="AF357" s="1">
        <v>31.030557056</v>
      </c>
      <c r="AG357" s="1">
        <v>0.342219882299999</v>
      </c>
      <c r="AH357" s="1">
        <v>3.7579230227</v>
      </c>
      <c r="AI357" s="1">
        <v>0.0690593569</v>
      </c>
      <c r="AJ357" s="1">
        <v>6.5801259479</v>
      </c>
      <c r="AK357" s="1">
        <v>56.344572003</v>
      </c>
      <c r="AL357" s="1">
        <v>0.74465943</v>
      </c>
      <c r="AM357" s="1">
        <v>52.6013497339999</v>
      </c>
      <c r="AN357" s="1">
        <v>12.309473768</v>
      </c>
      <c r="AO357" s="1">
        <v>27190.0</v>
      </c>
      <c r="AP357" s="1">
        <v>21.3</v>
      </c>
      <c r="AQ357" s="1">
        <v>9.6</v>
      </c>
      <c r="AR357" s="1">
        <v>7.4</v>
      </c>
      <c r="AS357" s="1">
        <v>11.3</v>
      </c>
      <c r="AT357" s="1">
        <v>18.8</v>
      </c>
      <c r="AU357" s="1">
        <v>10.8</v>
      </c>
      <c r="AV357" s="1">
        <v>42.6</v>
      </c>
      <c r="AW357" s="1">
        <v>0.8</v>
      </c>
      <c r="AX357" s="1">
        <v>0.5037</v>
      </c>
      <c r="AY357" s="1">
        <v>20.8</v>
      </c>
      <c r="AZ357" s="1">
        <v>13.7</v>
      </c>
      <c r="BA357" s="1">
        <v>18.1</v>
      </c>
      <c r="BB357" s="1">
        <v>3.48</v>
      </c>
      <c r="BC357" s="1" t="s">
        <v>681</v>
      </c>
      <c r="BD357" s="1">
        <v>6.5</v>
      </c>
      <c r="BE357" s="1">
        <v>19.0</v>
      </c>
      <c r="BF357" s="1">
        <v>28.3</v>
      </c>
      <c r="BG357" s="1">
        <v>46.2</v>
      </c>
      <c r="BH357" s="1" t="s">
        <v>741</v>
      </c>
    </row>
    <row r="358">
      <c r="A358" s="1">
        <v>12075.0</v>
      </c>
      <c r="B358" s="2" t="str">
        <f>IFERROR(__xludf.DUMMYFUNCTION("TO_TEXT(A358)"),"12075")</f>
        <v>12075</v>
      </c>
      <c r="C358" s="1">
        <v>39707.0</v>
      </c>
      <c r="D358" s="1">
        <v>1118.23103364564</v>
      </c>
      <c r="E358" s="1" t="s">
        <v>742</v>
      </c>
      <c r="F358" s="1" t="s">
        <v>743</v>
      </c>
      <c r="G358" s="1">
        <v>35.5087623266436</v>
      </c>
      <c r="H358" s="1">
        <v>22.997053492</v>
      </c>
      <c r="I358" s="1">
        <v>4.9558888976</v>
      </c>
      <c r="J358" s="1">
        <v>8.6847748392</v>
      </c>
      <c r="K358" s="1">
        <v>23.61738764</v>
      </c>
      <c r="L358" s="1">
        <v>32.0</v>
      </c>
      <c r="M358" s="1">
        <v>7.4</v>
      </c>
      <c r="N358" s="1">
        <v>36.9</v>
      </c>
      <c r="O358" s="1">
        <v>46.596897135</v>
      </c>
      <c r="P358" s="1">
        <v>18.018528392</v>
      </c>
      <c r="Q358" s="1">
        <v>17.34605</v>
      </c>
      <c r="R358" s="1">
        <v>79.421221865</v>
      </c>
      <c r="S358" s="1">
        <v>26.3</v>
      </c>
      <c r="T358" s="1">
        <v>7928.0</v>
      </c>
      <c r="U358" s="1">
        <v>41.120080727</v>
      </c>
      <c r="V358" s="1">
        <v>1075.9850387</v>
      </c>
      <c r="W358" s="1">
        <v>14.866623292</v>
      </c>
      <c r="X358" s="1">
        <v>12.462612164</v>
      </c>
      <c r="Y358" s="1">
        <v>75.215879692</v>
      </c>
      <c r="Z358" s="1">
        <v>14.9</v>
      </c>
      <c r="AA358" s="1">
        <v>3.6382734286</v>
      </c>
      <c r="AB358" s="1">
        <v>39037.0</v>
      </c>
      <c r="AC358" s="1">
        <v>66.846264368</v>
      </c>
      <c r="AD358" s="1">
        <v>77.192235137</v>
      </c>
      <c r="AE358" s="1">
        <v>12.02457956</v>
      </c>
      <c r="AF358" s="1">
        <v>8.9551140545</v>
      </c>
      <c r="AG358" s="1">
        <v>0.7309296051</v>
      </c>
      <c r="AH358" s="1">
        <v>0.7480990925</v>
      </c>
      <c r="AI358" s="1">
        <v>0.0907530047</v>
      </c>
      <c r="AJ358" s="1">
        <v>8.587196468</v>
      </c>
      <c r="AK358" s="1">
        <v>79.533971057</v>
      </c>
      <c r="AL358" s="1">
        <v>1.3043821972</v>
      </c>
      <c r="AM358" s="1">
        <v>51.1822418439999</v>
      </c>
      <c r="AN358" s="1">
        <v>92.04921448</v>
      </c>
      <c r="AO358" s="1">
        <v>20555.0</v>
      </c>
      <c r="AP358" s="1">
        <v>22.2</v>
      </c>
      <c r="AQ358" s="1">
        <v>9.9</v>
      </c>
      <c r="AR358" s="1">
        <v>18.1</v>
      </c>
      <c r="AS358" s="1">
        <v>22.6</v>
      </c>
      <c r="AT358" s="1">
        <v>20.2</v>
      </c>
      <c r="AU358" s="1">
        <v>21.1</v>
      </c>
      <c r="AV358" s="1">
        <v>19.5</v>
      </c>
      <c r="AW358" s="1">
        <v>1.3</v>
      </c>
      <c r="AX358" s="1">
        <v>0.8497</v>
      </c>
      <c r="AY358" s="1">
        <v>18.2</v>
      </c>
      <c r="AZ358" s="1">
        <v>15.9</v>
      </c>
      <c r="BA358" s="1">
        <v>26.3</v>
      </c>
      <c r="BB358" s="1">
        <v>3.09</v>
      </c>
      <c r="BC358" s="1" t="s">
        <v>681</v>
      </c>
      <c r="BD358" s="1">
        <v>15.1</v>
      </c>
      <c r="BE358" s="1">
        <v>41.1</v>
      </c>
      <c r="BF358" s="1">
        <v>31.6</v>
      </c>
      <c r="BG358" s="1">
        <v>12.2</v>
      </c>
      <c r="BH358" s="1" t="s">
        <v>743</v>
      </c>
    </row>
    <row r="359">
      <c r="A359" s="1">
        <v>12077.0</v>
      </c>
      <c r="B359" s="2" t="str">
        <f>IFERROR(__xludf.DUMMYFUNCTION("TO_TEXT(A359)"),"12077")</f>
        <v>12077</v>
      </c>
      <c r="C359" s="1">
        <v>8285.0</v>
      </c>
      <c r="D359" s="1">
        <v>835.562989549893</v>
      </c>
      <c r="E359" s="1" t="s">
        <v>744</v>
      </c>
      <c r="F359" s="1" t="s">
        <v>745</v>
      </c>
      <c r="G359" s="1">
        <v>9.91547029202791</v>
      </c>
      <c r="H359" s="1">
        <v>24.9912872709999</v>
      </c>
      <c r="I359" s="1">
        <v>4.5743175383</v>
      </c>
      <c r="J359" s="1">
        <v>7.182320442</v>
      </c>
      <c r="K359" s="1">
        <v>23.553017404</v>
      </c>
      <c r="L359" s="1">
        <v>39.3</v>
      </c>
      <c r="M359" s="1">
        <v>6.8</v>
      </c>
      <c r="N359" s="1">
        <v>36.0</v>
      </c>
      <c r="O359" s="1">
        <v>19.521817095</v>
      </c>
      <c r="P359" s="1">
        <v>14.697236919</v>
      </c>
      <c r="Q359" s="1">
        <v>48.31939</v>
      </c>
      <c r="R359" s="1">
        <v>90.666666667</v>
      </c>
      <c r="S359" s="1">
        <v>27.1</v>
      </c>
      <c r="T359" s="1">
        <v>1320.0</v>
      </c>
      <c r="U359" s="1">
        <v>42.954545455</v>
      </c>
      <c r="V359" s="1">
        <v>53.683268715</v>
      </c>
      <c r="W359" s="1">
        <v>10.5708245239999</v>
      </c>
      <c r="X359" s="1">
        <v>7.0205479452</v>
      </c>
      <c r="Y359" s="1">
        <v>76.84969326</v>
      </c>
      <c r="Z359" s="1">
        <v>13.3</v>
      </c>
      <c r="AA359" s="1">
        <v>8.6437270994</v>
      </c>
      <c r="AB359" s="1">
        <v>40814.0</v>
      </c>
      <c r="AC359" s="1">
        <v>54.225352113</v>
      </c>
      <c r="AD359" s="1">
        <v>75.30449391</v>
      </c>
      <c r="AE359" s="1">
        <v>10.7491856679999</v>
      </c>
      <c r="AF359" s="1">
        <v>18.907413977</v>
      </c>
      <c r="AG359" s="1">
        <v>1.1942769304</v>
      </c>
      <c r="AH359" s="1">
        <v>0.4493319144</v>
      </c>
      <c r="AI359" s="1">
        <v>0.0472980963</v>
      </c>
      <c r="AJ359" s="1">
        <v>7.1774861062</v>
      </c>
      <c r="AK359" s="1">
        <v>71.195459383</v>
      </c>
      <c r="AL359" s="1">
        <v>1.7521902378</v>
      </c>
      <c r="AM359" s="1">
        <v>38.3351070119999</v>
      </c>
      <c r="AN359" s="1">
        <v>100.0</v>
      </c>
      <c r="AO359" s="1">
        <v>17218.0</v>
      </c>
      <c r="AP359" s="1">
        <v>16.9</v>
      </c>
      <c r="AQ359" s="1">
        <v>9.1</v>
      </c>
      <c r="AR359" s="1">
        <v>20.9</v>
      </c>
      <c r="AS359" s="1">
        <v>11.9</v>
      </c>
      <c r="AT359" s="1">
        <v>19.1</v>
      </c>
      <c r="AU359" s="1">
        <v>20.8</v>
      </c>
      <c r="AV359" s="1">
        <v>26.3</v>
      </c>
      <c r="AW359" s="1">
        <v>3.0</v>
      </c>
      <c r="AX359" s="1">
        <v>0.8698</v>
      </c>
      <c r="AY359" s="1">
        <v>23.0</v>
      </c>
      <c r="AZ359" s="1">
        <v>14.7</v>
      </c>
      <c r="BA359" s="1">
        <v>21.2</v>
      </c>
      <c r="BB359" s="1">
        <v>3.38</v>
      </c>
      <c r="BC359" s="1" t="s">
        <v>681</v>
      </c>
      <c r="BD359" s="1">
        <v>18.6</v>
      </c>
      <c r="BE359" s="1">
        <v>45.8</v>
      </c>
      <c r="BF359" s="1">
        <v>21.2</v>
      </c>
      <c r="BG359" s="1">
        <v>14.4</v>
      </c>
      <c r="BH359" s="1" t="s">
        <v>745</v>
      </c>
    </row>
    <row r="360">
      <c r="A360" s="1">
        <v>12079.0</v>
      </c>
      <c r="B360" s="2" t="str">
        <f>IFERROR(__xludf.DUMMYFUNCTION("TO_TEXT(A360)"),"12079")</f>
        <v>12079</v>
      </c>
      <c r="C360" s="1">
        <v>18560.0</v>
      </c>
      <c r="D360" s="1">
        <v>696.106148321575</v>
      </c>
      <c r="E360" s="1" t="s">
        <v>148</v>
      </c>
      <c r="F360" s="1" t="s">
        <v>746</v>
      </c>
      <c r="G360" s="1">
        <v>26.662600301335</v>
      </c>
      <c r="H360" s="1">
        <v>24.4797822309999</v>
      </c>
      <c r="I360" s="1">
        <v>4.600840583</v>
      </c>
      <c r="J360" s="1">
        <v>12.212643678</v>
      </c>
      <c r="K360" s="1">
        <v>20.686696695</v>
      </c>
      <c r="L360" s="1">
        <v>35.2</v>
      </c>
      <c r="M360" s="1">
        <v>5.7</v>
      </c>
      <c r="N360" s="1">
        <v>33.1</v>
      </c>
      <c r="O360" s="1">
        <v>49.776321265</v>
      </c>
      <c r="P360" s="1">
        <v>14.182616881</v>
      </c>
      <c r="Q360" s="1">
        <v>10.8407</v>
      </c>
      <c r="R360" s="1">
        <v>80.5369127519999</v>
      </c>
      <c r="S360" s="1">
        <v>32.5</v>
      </c>
      <c r="T360" s="1">
        <v>3441.0</v>
      </c>
      <c r="U360" s="1">
        <v>48.8811392039999</v>
      </c>
      <c r="V360" s="1">
        <v>872.24217547</v>
      </c>
      <c r="W360" s="1">
        <v>20.030007502</v>
      </c>
      <c r="X360" s="1">
        <v>16.491777604</v>
      </c>
      <c r="Y360" s="1">
        <v>75.868538954</v>
      </c>
      <c r="Z360" s="1">
        <v>17.2</v>
      </c>
      <c r="AA360" s="1">
        <v>9.5627009507</v>
      </c>
      <c r="AB360" s="1">
        <v>38249.0</v>
      </c>
      <c r="AC360" s="1">
        <v>51.763858891</v>
      </c>
      <c r="AD360" s="1">
        <v>76.893145765</v>
      </c>
      <c r="AE360" s="1">
        <v>16.338709677</v>
      </c>
      <c r="AF360" s="1">
        <v>37.292892223</v>
      </c>
      <c r="AG360" s="1">
        <v>0.7069998381</v>
      </c>
      <c r="AH360" s="1">
        <v>0.4911220249</v>
      </c>
      <c r="AI360" s="1">
        <v>0.0269847266</v>
      </c>
      <c r="AJ360" s="1">
        <v>5.6128231421</v>
      </c>
      <c r="AK360" s="1">
        <v>54.735819526</v>
      </c>
      <c r="AL360" s="1">
        <v>0.8089785222</v>
      </c>
      <c r="AM360" s="1">
        <v>47.115332722</v>
      </c>
      <c r="AN360" s="1">
        <v>80.009363296</v>
      </c>
      <c r="AO360" s="1">
        <v>16486.0</v>
      </c>
      <c r="AP360" s="1">
        <v>28.5</v>
      </c>
      <c r="AQ360" s="1">
        <v>12.4</v>
      </c>
      <c r="AR360" s="1">
        <v>17.3</v>
      </c>
      <c r="AS360" s="1">
        <v>18.1</v>
      </c>
      <c r="AT360" s="1">
        <v>20.0</v>
      </c>
      <c r="AU360" s="1">
        <v>21.6</v>
      </c>
      <c r="AV360" s="1">
        <v>45.5</v>
      </c>
      <c r="AW360" s="1">
        <v>0.9</v>
      </c>
      <c r="AX360" s="1">
        <v>0.978</v>
      </c>
      <c r="AY360" s="1">
        <v>22.7</v>
      </c>
      <c r="AZ360" s="1">
        <v>18.5</v>
      </c>
      <c r="BA360" s="1">
        <v>29.5</v>
      </c>
      <c r="BB360" s="1">
        <v>3.24</v>
      </c>
      <c r="BC360" s="1" t="s">
        <v>681</v>
      </c>
      <c r="BD360" s="1">
        <v>19.0</v>
      </c>
      <c r="BE360" s="1">
        <v>39.7</v>
      </c>
      <c r="BF360" s="1">
        <v>27.3</v>
      </c>
      <c r="BG360" s="1">
        <v>14.0</v>
      </c>
      <c r="BH360" s="1" t="s">
        <v>746</v>
      </c>
    </row>
    <row r="361">
      <c r="A361" s="1">
        <v>12081.0</v>
      </c>
      <c r="B361" s="2" t="str">
        <f>IFERROR(__xludf.DUMMYFUNCTION("TO_TEXT(A361)"),"12081")</f>
        <v>12081</v>
      </c>
      <c r="C361" s="1">
        <v>353411.0</v>
      </c>
      <c r="D361" s="1">
        <v>743.15612954566</v>
      </c>
      <c r="E361" s="1" t="s">
        <v>747</v>
      </c>
      <c r="F361" s="1" t="s">
        <v>748</v>
      </c>
      <c r="G361" s="1">
        <v>475.554174889283</v>
      </c>
      <c r="H361" s="1">
        <v>16.724621365</v>
      </c>
      <c r="I361" s="1">
        <v>4.4406893032</v>
      </c>
      <c r="J361" s="1">
        <v>7.3282632058</v>
      </c>
      <c r="K361" s="1">
        <v>15.218624112</v>
      </c>
      <c r="L361" s="1">
        <v>26.5</v>
      </c>
      <c r="M361" s="1">
        <v>7.8</v>
      </c>
      <c r="N361" s="1">
        <v>24.4</v>
      </c>
      <c r="O361" s="1">
        <v>91.1077863789999</v>
      </c>
      <c r="P361" s="1">
        <v>16.054229912</v>
      </c>
      <c r="Q361" s="1">
        <v>55.5021</v>
      </c>
      <c r="R361" s="1">
        <v>82.052916799</v>
      </c>
      <c r="S361" s="1">
        <v>17.3</v>
      </c>
      <c r="T361" s="1">
        <v>69683.0</v>
      </c>
      <c r="U361" s="1">
        <v>38.281933901</v>
      </c>
      <c r="V361" s="1">
        <v>518.70063208</v>
      </c>
      <c r="W361" s="1">
        <v>16.743878226</v>
      </c>
      <c r="X361" s="1">
        <v>14.552127022</v>
      </c>
      <c r="Y361" s="1">
        <v>81.247671672</v>
      </c>
      <c r="Z361" s="1">
        <v>10.3</v>
      </c>
      <c r="AA361" s="1">
        <v>6.3701617721</v>
      </c>
      <c r="AB361" s="1">
        <v>59587.0</v>
      </c>
      <c r="AC361" s="1">
        <v>55.213909206</v>
      </c>
      <c r="AD361" s="1">
        <v>71.591763428</v>
      </c>
      <c r="AE361" s="1">
        <v>14.699175834</v>
      </c>
      <c r="AF361" s="1">
        <v>8.4468982285</v>
      </c>
      <c r="AG361" s="1">
        <v>0.5060085348</v>
      </c>
      <c r="AH361" s="1">
        <v>2.2676678781</v>
      </c>
      <c r="AI361" s="1">
        <v>0.0934520267</v>
      </c>
      <c r="AJ361" s="1">
        <v>16.734244216</v>
      </c>
      <c r="AK361" s="1">
        <v>70.911853718</v>
      </c>
      <c r="AL361" s="1">
        <v>3.0672293716</v>
      </c>
      <c r="AM361" s="1">
        <v>51.717212648</v>
      </c>
      <c r="AN361" s="1">
        <v>5.79030024809999</v>
      </c>
      <c r="AO361" s="1">
        <v>29140.0</v>
      </c>
      <c r="AP361" s="1">
        <v>14.3</v>
      </c>
      <c r="AQ361" s="1">
        <v>7.5</v>
      </c>
      <c r="AR361" s="1">
        <v>11.5</v>
      </c>
      <c r="AS361" s="1">
        <v>25.5</v>
      </c>
      <c r="AT361" s="1">
        <v>19.5</v>
      </c>
      <c r="AU361" s="1">
        <v>14.0</v>
      </c>
      <c r="AV361" s="1">
        <v>27.9</v>
      </c>
      <c r="AW361" s="1">
        <v>3.2</v>
      </c>
      <c r="AX361" s="1">
        <v>0.5546</v>
      </c>
      <c r="AY361" s="1">
        <v>11.3</v>
      </c>
      <c r="AZ361" s="1">
        <v>11.9</v>
      </c>
      <c r="BA361" s="1">
        <v>18.1</v>
      </c>
      <c r="BB361" s="1">
        <v>3.47</v>
      </c>
      <c r="BC361" s="1" t="s">
        <v>681</v>
      </c>
      <c r="BD361" s="1">
        <v>10.3</v>
      </c>
      <c r="BE361" s="1">
        <v>30.1</v>
      </c>
      <c r="BF361" s="1">
        <v>29.9</v>
      </c>
      <c r="BG361" s="1">
        <v>29.8</v>
      </c>
      <c r="BH361" s="1" t="s">
        <v>748</v>
      </c>
    </row>
    <row r="362">
      <c r="A362" s="1">
        <v>12083.0</v>
      </c>
      <c r="B362" s="2" t="str">
        <f>IFERROR(__xludf.DUMMYFUNCTION("TO_TEXT(A362)"),"12083")</f>
        <v>12083</v>
      </c>
      <c r="C362" s="1">
        <v>340341.0</v>
      </c>
      <c r="D362" s="1">
        <v>1588.03071477462</v>
      </c>
      <c r="E362" s="1" t="s">
        <v>152</v>
      </c>
      <c r="F362" s="1" t="s">
        <v>749</v>
      </c>
      <c r="G362" s="1">
        <v>214.316383703134</v>
      </c>
      <c r="H362" s="1">
        <v>21.229587906</v>
      </c>
      <c r="I362" s="1">
        <v>4.5523098666</v>
      </c>
      <c r="J362" s="1">
        <v>8.8046913991</v>
      </c>
      <c r="K362" s="1">
        <v>18.665004178</v>
      </c>
      <c r="L362" s="1">
        <v>30.4</v>
      </c>
      <c r="M362" s="1">
        <v>7.0</v>
      </c>
      <c r="N362" s="1">
        <v>33.0</v>
      </c>
      <c r="O362" s="1">
        <v>75.644283998</v>
      </c>
      <c r="P362" s="1">
        <v>15.3584122009999</v>
      </c>
      <c r="Q362" s="1">
        <v>57.56971</v>
      </c>
      <c r="R362" s="1">
        <v>77.355527638</v>
      </c>
      <c r="S362" s="1">
        <v>25.9</v>
      </c>
      <c r="T362" s="1">
        <v>64232.0</v>
      </c>
      <c r="U362" s="1">
        <v>41.043405156</v>
      </c>
      <c r="V362" s="1">
        <v>376.79895334</v>
      </c>
      <c r="W362" s="1">
        <v>14.571914572</v>
      </c>
      <c r="X362" s="1">
        <v>12.799010704</v>
      </c>
      <c r="Y362" s="1">
        <v>76.1032389339999</v>
      </c>
      <c r="Z362" s="1">
        <v>15.1</v>
      </c>
      <c r="AA362" s="1">
        <v>10.420021397</v>
      </c>
      <c r="AB362" s="1">
        <v>44517.0</v>
      </c>
      <c r="AC362" s="1">
        <v>66.3380118319999</v>
      </c>
      <c r="AD362" s="1">
        <v>75.841305654</v>
      </c>
      <c r="AE362" s="1">
        <v>12.701465201</v>
      </c>
      <c r="AF362" s="1">
        <v>12.508854732</v>
      </c>
      <c r="AG362" s="1">
        <v>0.5205888154</v>
      </c>
      <c r="AH362" s="1">
        <v>1.80039280289999</v>
      </c>
      <c r="AI362" s="1">
        <v>0.0875055906</v>
      </c>
      <c r="AJ362" s="1">
        <v>13.637815749</v>
      </c>
      <c r="AK362" s="1">
        <v>70.084755415</v>
      </c>
      <c r="AL362" s="1">
        <v>1.1877855399</v>
      </c>
      <c r="AM362" s="1">
        <v>52.04082483</v>
      </c>
      <c r="AN362" s="1">
        <v>31.0282585469999</v>
      </c>
      <c r="AO362" s="1">
        <v>22390.0</v>
      </c>
      <c r="AP362" s="1">
        <v>18.2</v>
      </c>
      <c r="AQ362" s="1">
        <v>10.1</v>
      </c>
      <c r="AR362" s="1">
        <v>13.6</v>
      </c>
      <c r="AS362" s="1">
        <v>27.8</v>
      </c>
      <c r="AT362" s="1">
        <v>18.8</v>
      </c>
      <c r="AU362" s="1">
        <v>18.1</v>
      </c>
      <c r="AV362" s="1">
        <v>28.0</v>
      </c>
      <c r="AW362" s="1">
        <v>1.3</v>
      </c>
      <c r="AX362" s="1">
        <v>0.765</v>
      </c>
      <c r="AY362" s="1">
        <v>14.9</v>
      </c>
      <c r="AZ362" s="1">
        <v>14.4</v>
      </c>
      <c r="BA362" s="1">
        <v>23.9</v>
      </c>
      <c r="BB362" s="1">
        <v>3.14</v>
      </c>
      <c r="BC362" s="1" t="s">
        <v>681</v>
      </c>
      <c r="BD362" s="1">
        <v>12.4</v>
      </c>
      <c r="BE362" s="1">
        <v>36.9</v>
      </c>
      <c r="BF362" s="1">
        <v>30.6</v>
      </c>
      <c r="BG362" s="1">
        <v>20.1</v>
      </c>
      <c r="BH362" s="1" t="s">
        <v>749</v>
      </c>
    </row>
    <row r="363">
      <c r="A363" s="1">
        <v>12085.0</v>
      </c>
      <c r="B363" s="2" t="str">
        <f>IFERROR(__xludf.DUMMYFUNCTION("TO_TEXT(A363)"),"12085")</f>
        <v>12085</v>
      </c>
      <c r="C363" s="1">
        <v>153592.0</v>
      </c>
      <c r="D363" s="1">
        <v>543.726283963278</v>
      </c>
      <c r="E363" s="1" t="s">
        <v>750</v>
      </c>
      <c r="F363" s="1" t="s">
        <v>751</v>
      </c>
      <c r="G363" s="1">
        <v>282.480366555856</v>
      </c>
      <c r="H363" s="1">
        <v>14.975334514</v>
      </c>
      <c r="I363" s="1">
        <v>4.0047429879</v>
      </c>
      <c r="J363" s="1">
        <v>7.05336426909999</v>
      </c>
      <c r="K363" s="1">
        <v>14.321281404</v>
      </c>
      <c r="L363" s="1">
        <v>19.4</v>
      </c>
      <c r="M363" s="1">
        <v>7.9</v>
      </c>
      <c r="N363" s="1">
        <v>22.5</v>
      </c>
      <c r="O363" s="1">
        <v>96.559548381</v>
      </c>
      <c r="P363" s="1">
        <v>16.991320052</v>
      </c>
      <c r="Q363" s="1">
        <v>66.2819</v>
      </c>
      <c r="R363" s="1">
        <v>83.945239577</v>
      </c>
      <c r="S363" s="1">
        <v>16.4</v>
      </c>
      <c r="T363" s="1">
        <v>26024.0</v>
      </c>
      <c r="U363" s="1">
        <v>30.567937289</v>
      </c>
      <c r="V363" s="1">
        <v>240.199077</v>
      </c>
      <c r="W363" s="1">
        <v>17.751667196</v>
      </c>
      <c r="X363" s="1">
        <v>16.054750403</v>
      </c>
      <c r="Y363" s="1">
        <v>81.884451044</v>
      </c>
      <c r="Z363" s="1">
        <v>9.2</v>
      </c>
      <c r="AA363" s="1">
        <v>8.2637032934</v>
      </c>
      <c r="AB363" s="1">
        <v>61592.0</v>
      </c>
      <c r="AC363" s="1">
        <v>47.7644205419999</v>
      </c>
      <c r="AD363" s="1">
        <v>78.138260393</v>
      </c>
      <c r="AE363" s="1">
        <v>15.149259769</v>
      </c>
      <c r="AF363" s="1">
        <v>5.2221089788</v>
      </c>
      <c r="AG363" s="1">
        <v>0.9340509098</v>
      </c>
      <c r="AH363" s="1">
        <v>1.4753405588</v>
      </c>
      <c r="AI363" s="1">
        <v>0.177736899699999</v>
      </c>
      <c r="AJ363" s="1">
        <v>13.9411603859999</v>
      </c>
      <c r="AK363" s="1">
        <v>77.981754002</v>
      </c>
      <c r="AL363" s="1">
        <v>3.0640060341</v>
      </c>
      <c r="AM363" s="1">
        <v>50.5829273139999</v>
      </c>
      <c r="AN363" s="1">
        <v>8.4767424377</v>
      </c>
      <c r="AO363" s="1">
        <v>35892.0</v>
      </c>
      <c r="AP363" s="1">
        <v>11.8</v>
      </c>
      <c r="AQ363" s="1">
        <v>8.4</v>
      </c>
      <c r="AR363" s="1">
        <v>10.0</v>
      </c>
      <c r="AS363" s="1">
        <v>29.4</v>
      </c>
      <c r="AT363" s="1">
        <v>16.9</v>
      </c>
      <c r="AU363" s="1">
        <v>15.2</v>
      </c>
      <c r="AV363" s="1">
        <v>20.6</v>
      </c>
      <c r="AW363" s="1">
        <v>3.3</v>
      </c>
      <c r="AX363" s="1">
        <v>0.4416</v>
      </c>
      <c r="AY363" s="1">
        <v>8.9</v>
      </c>
      <c r="AZ363" s="1">
        <v>11.2</v>
      </c>
      <c r="BA363" s="1">
        <v>16.9</v>
      </c>
      <c r="BB363" s="1">
        <v>3.69</v>
      </c>
      <c r="BC363" s="1" t="s">
        <v>681</v>
      </c>
      <c r="BD363" s="1">
        <v>9.0</v>
      </c>
      <c r="BE363" s="1">
        <v>24.9</v>
      </c>
      <c r="BF363" s="1">
        <v>32.0</v>
      </c>
      <c r="BG363" s="1">
        <v>34.1</v>
      </c>
      <c r="BH363" s="1" t="s">
        <v>751</v>
      </c>
    </row>
    <row r="364">
      <c r="A364" s="1">
        <v>12086.0</v>
      </c>
      <c r="B364" s="2" t="str">
        <f>IFERROR(__xludf.DUMMYFUNCTION("TO_TEXT(A364)"),"12086")</f>
        <v>12086</v>
      </c>
      <c r="C364" s="1">
        <v>2664418.0</v>
      </c>
      <c r="D364" s="1">
        <v>1898.66231050656</v>
      </c>
      <c r="E364" s="1" t="s">
        <v>752</v>
      </c>
      <c r="F364" s="1" t="s">
        <v>753</v>
      </c>
      <c r="G364" s="1">
        <v>1403.31326179279</v>
      </c>
      <c r="H364" s="1">
        <v>23.6480698369999</v>
      </c>
      <c r="I364" s="1">
        <v>4.2285599655</v>
      </c>
      <c r="J364" s="1">
        <v>8.5227144552</v>
      </c>
      <c r="K364" s="1">
        <v>16.479410011</v>
      </c>
      <c r="L364" s="1">
        <v>22.2</v>
      </c>
      <c r="M364" s="1">
        <v>8.8</v>
      </c>
      <c r="N364" s="1">
        <v>24.5</v>
      </c>
      <c r="O364" s="1">
        <v>97.8377165839999</v>
      </c>
      <c r="P364" s="1">
        <v>20.017799721</v>
      </c>
      <c r="Q364" s="1">
        <v>79.25733</v>
      </c>
      <c r="R364" s="1">
        <v>80.84618514</v>
      </c>
      <c r="S364" s="1">
        <v>22.6</v>
      </c>
      <c r="T364" s="1">
        <v>550794.0</v>
      </c>
      <c r="U364" s="1">
        <v>40.800734939</v>
      </c>
      <c r="V364" s="1">
        <v>601.83692932</v>
      </c>
      <c r="W364" s="1">
        <v>30.542099868</v>
      </c>
      <c r="X364" s="1">
        <v>26.229458876</v>
      </c>
      <c r="Y364" s="1">
        <v>82.214618629</v>
      </c>
      <c r="Z364" s="1">
        <v>7.5</v>
      </c>
      <c r="AA364" s="1">
        <v>1.7469897148</v>
      </c>
      <c r="AB364" s="1">
        <v>52043.0</v>
      </c>
      <c r="AC364" s="1">
        <v>66.093960942</v>
      </c>
      <c r="AD364" s="1">
        <v>51.612606617</v>
      </c>
      <c r="AE364" s="1">
        <v>26.233152719</v>
      </c>
      <c r="AF364" s="1">
        <v>15.579662519</v>
      </c>
      <c r="AG364" s="1">
        <v>0.2790792666</v>
      </c>
      <c r="AH364" s="1">
        <v>1.6573115183</v>
      </c>
      <c r="AI364" s="1">
        <v>0.0466399501</v>
      </c>
      <c r="AJ364" s="1">
        <v>69.059354044</v>
      </c>
      <c r="AK364" s="1">
        <v>13.0284789759999</v>
      </c>
      <c r="AL364" s="1">
        <v>21.728226914</v>
      </c>
      <c r="AM364" s="1">
        <v>51.451070963</v>
      </c>
      <c r="AN364" s="1">
        <v>0.4043766411</v>
      </c>
      <c r="AO364" s="1">
        <v>24515.0</v>
      </c>
      <c r="AP364" s="1">
        <v>19.9</v>
      </c>
      <c r="AQ364" s="1">
        <v>8.5</v>
      </c>
      <c r="AR364" s="1">
        <v>19.4</v>
      </c>
      <c r="AS364" s="1">
        <v>15.2</v>
      </c>
      <c r="AT364" s="1">
        <v>20.6</v>
      </c>
      <c r="AU364" s="1">
        <v>10.3</v>
      </c>
      <c r="AV364" s="1">
        <v>85.5</v>
      </c>
      <c r="AW364" s="1">
        <v>21.7</v>
      </c>
      <c r="AX364" s="1">
        <v>0.8344</v>
      </c>
      <c r="AY364" s="1">
        <v>15.7</v>
      </c>
      <c r="AZ364" s="1">
        <v>11.8</v>
      </c>
      <c r="BA364" s="1">
        <v>16.2</v>
      </c>
      <c r="BB364" s="1">
        <v>3.61</v>
      </c>
      <c r="BC364" s="1" t="s">
        <v>681</v>
      </c>
      <c r="BD364" s="1">
        <v>18.6</v>
      </c>
      <c r="BE364" s="1">
        <v>27.3</v>
      </c>
      <c r="BF364" s="1">
        <v>24.4</v>
      </c>
      <c r="BG364" s="1">
        <v>29.8</v>
      </c>
      <c r="BH364" s="1" t="s">
        <v>753</v>
      </c>
    </row>
    <row r="365">
      <c r="A365" s="1">
        <v>12087.0</v>
      </c>
      <c r="B365" s="2" t="str">
        <f>IFERROR(__xludf.DUMMYFUNCTION("TO_TEXT(A365)"),"12087")</f>
        <v>12087</v>
      </c>
      <c r="C365" s="1">
        <v>77150.0</v>
      </c>
      <c r="D365" s="1">
        <v>983.014602034054</v>
      </c>
      <c r="E365" s="1" t="s">
        <v>158</v>
      </c>
      <c r="F365" s="1" t="s">
        <v>754</v>
      </c>
      <c r="G365" s="1">
        <v>78.4830661114913</v>
      </c>
      <c r="H365" s="1">
        <v>16.403822903</v>
      </c>
      <c r="I365" s="1">
        <v>4.2750892994</v>
      </c>
      <c r="J365" s="1">
        <v>6.7146749708</v>
      </c>
      <c r="K365" s="1">
        <v>17.172898463</v>
      </c>
      <c r="L365" s="1">
        <v>21.5</v>
      </c>
      <c r="M365" s="1">
        <v>7.8</v>
      </c>
      <c r="N365" s="1">
        <v>23.0</v>
      </c>
      <c r="O365" s="1">
        <v>100.0</v>
      </c>
      <c r="P365" s="1">
        <v>20.271794958</v>
      </c>
      <c r="Q365" s="1">
        <v>76.61044</v>
      </c>
      <c r="R365" s="1">
        <v>80.0</v>
      </c>
      <c r="S365" s="1">
        <v>19.2</v>
      </c>
      <c r="T365" s="1">
        <v>11431.0</v>
      </c>
      <c r="U365" s="1">
        <v>38.780509142</v>
      </c>
      <c r="V365" s="1">
        <v>431.23304499</v>
      </c>
      <c r="W365" s="1">
        <v>25.922165821</v>
      </c>
      <c r="X365" s="1">
        <v>23.325873644</v>
      </c>
      <c r="Y365" s="1">
        <v>80.374171198</v>
      </c>
      <c r="Z365" s="1">
        <v>6.3</v>
      </c>
      <c r="AA365" s="1">
        <v>8.2787728779</v>
      </c>
      <c r="AB365" s="1">
        <v>67094.0</v>
      </c>
      <c r="AC365" s="1">
        <v>60.294117647</v>
      </c>
      <c r="AD365" s="1">
        <v>59.599122071</v>
      </c>
      <c r="AE365" s="1">
        <v>22.226664002</v>
      </c>
      <c r="AF365" s="1">
        <v>6.1324589814</v>
      </c>
      <c r="AG365" s="1">
        <v>0.5171471604</v>
      </c>
      <c r="AH365" s="1">
        <v>1.4261532515</v>
      </c>
      <c r="AI365" s="1">
        <v>0.10262972</v>
      </c>
      <c r="AJ365" s="1">
        <v>24.9483519269999</v>
      </c>
      <c r="AK365" s="1">
        <v>65.756327722</v>
      </c>
      <c r="AL365" s="1">
        <v>4.6499484713</v>
      </c>
      <c r="AM365" s="1">
        <v>48.012048996</v>
      </c>
      <c r="AN365" s="1">
        <v>8.7139143522</v>
      </c>
      <c r="AO365" s="1">
        <v>36771.0</v>
      </c>
      <c r="AP365" s="1">
        <v>13.0</v>
      </c>
      <c r="AQ365" s="1">
        <v>4.9</v>
      </c>
      <c r="AR365" s="1">
        <v>9.0</v>
      </c>
      <c r="AS365" s="1">
        <v>20.4</v>
      </c>
      <c r="AT365" s="1">
        <v>15.0</v>
      </c>
      <c r="AU365" s="1">
        <v>12.2</v>
      </c>
      <c r="AV365" s="1">
        <v>31.7</v>
      </c>
      <c r="AW365" s="1">
        <v>4.9</v>
      </c>
      <c r="AX365" s="1">
        <v>0.4728</v>
      </c>
      <c r="AY365" s="1">
        <v>9.9</v>
      </c>
      <c r="AZ365" s="1">
        <v>10.9</v>
      </c>
      <c r="BA365" s="1">
        <v>15.1</v>
      </c>
      <c r="BB365" s="1">
        <v>4.48</v>
      </c>
      <c r="BC365" s="1" t="s">
        <v>681</v>
      </c>
      <c r="BD365" s="1">
        <v>8.6</v>
      </c>
      <c r="BE365" s="1">
        <v>26.7</v>
      </c>
      <c r="BF365" s="1">
        <v>30.3</v>
      </c>
      <c r="BG365" s="1">
        <v>34.4</v>
      </c>
      <c r="BH365" s="1" t="s">
        <v>754</v>
      </c>
    </row>
    <row r="366">
      <c r="A366" s="1">
        <v>12089.0</v>
      </c>
      <c r="B366" s="2" t="str">
        <f>IFERROR(__xludf.DUMMYFUNCTION("TO_TEXT(A366)"),"12089")</f>
        <v>12089</v>
      </c>
      <c r="C366" s="1">
        <v>77187.0</v>
      </c>
      <c r="D366" s="1">
        <v>648.63844874912</v>
      </c>
      <c r="E366" s="1" t="s">
        <v>755</v>
      </c>
      <c r="F366" s="1" t="s">
        <v>756</v>
      </c>
      <c r="G366" s="1">
        <v>118.998496232921</v>
      </c>
      <c r="H366" s="1">
        <v>15.150678049</v>
      </c>
      <c r="I366" s="1">
        <v>4.3663488418</v>
      </c>
      <c r="J366" s="1">
        <v>8.1393250316</v>
      </c>
      <c r="K366" s="1">
        <v>19.388869012</v>
      </c>
      <c r="L366" s="1">
        <v>28.3</v>
      </c>
      <c r="M366" s="1">
        <v>7.7</v>
      </c>
      <c r="N366" s="1">
        <v>24.6</v>
      </c>
      <c r="O366" s="1">
        <v>71.765283575</v>
      </c>
      <c r="P366" s="1">
        <v>12.484949523</v>
      </c>
      <c r="Q366" s="1">
        <v>47.14643</v>
      </c>
      <c r="R366" s="1">
        <v>91.136600626</v>
      </c>
      <c r="S366" s="1">
        <v>13.7</v>
      </c>
      <c r="T366" s="1">
        <v>16111.0</v>
      </c>
      <c r="U366" s="1">
        <v>29.9174477069999</v>
      </c>
      <c r="V366" s="1">
        <v>166.13843165</v>
      </c>
      <c r="W366" s="1">
        <v>14.0167722059999</v>
      </c>
      <c r="X366" s="1">
        <v>12.415232134</v>
      </c>
      <c r="Y366" s="1">
        <v>77.266690348</v>
      </c>
      <c r="Z366" s="1">
        <v>11.1</v>
      </c>
      <c r="AA366" s="1">
        <v>7.4277843721</v>
      </c>
      <c r="AB366" s="1">
        <v>66898.0</v>
      </c>
      <c r="AC366" s="1">
        <v>48.504507541</v>
      </c>
      <c r="AD366" s="1">
        <v>78.477001376</v>
      </c>
      <c r="AE366" s="1">
        <v>11.0483261609999</v>
      </c>
      <c r="AF366" s="1">
        <v>5.73678814429999</v>
      </c>
      <c r="AG366" s="1">
        <v>0.4998135893</v>
      </c>
      <c r="AH366" s="1">
        <v>1.0240935782</v>
      </c>
      <c r="AI366" s="1">
        <v>0.0838847982</v>
      </c>
      <c r="AJ366" s="1">
        <v>4.4785161711</v>
      </c>
      <c r="AK366" s="1">
        <v>86.8568832139999</v>
      </c>
      <c r="AL366" s="1">
        <v>0.5824811608</v>
      </c>
      <c r="AM366" s="1">
        <v>50.771274117</v>
      </c>
      <c r="AN366" s="1">
        <v>48.1463294869999</v>
      </c>
      <c r="AO366" s="1">
        <v>31141.0</v>
      </c>
      <c r="AP366" s="1">
        <v>12.7</v>
      </c>
      <c r="AQ366" s="1">
        <v>7.6</v>
      </c>
      <c r="AR366" s="1">
        <v>9.1</v>
      </c>
      <c r="AS366" s="1">
        <v>19.9</v>
      </c>
      <c r="AT366" s="1">
        <v>20.5</v>
      </c>
      <c r="AU366" s="1">
        <v>16.3</v>
      </c>
      <c r="AV366" s="1">
        <v>12.5</v>
      </c>
      <c r="AW366" s="1">
        <v>0.4</v>
      </c>
      <c r="AX366" s="1">
        <v>0.3286</v>
      </c>
      <c r="AY366" s="1">
        <v>9.0</v>
      </c>
      <c r="AZ366" s="1">
        <v>11.5</v>
      </c>
      <c r="BA366" s="1">
        <v>17.9</v>
      </c>
      <c r="BB366" s="1">
        <v>3.75</v>
      </c>
      <c r="BC366" s="1" t="s">
        <v>681</v>
      </c>
      <c r="BD366" s="1">
        <v>8.7</v>
      </c>
      <c r="BE366" s="1">
        <v>31.7</v>
      </c>
      <c r="BF366" s="1">
        <v>30.0</v>
      </c>
      <c r="BG366" s="1">
        <v>29.6</v>
      </c>
      <c r="BH366" s="1" t="s">
        <v>756</v>
      </c>
    </row>
    <row r="367">
      <c r="A367" s="1">
        <v>12091.0</v>
      </c>
      <c r="B367" s="2" t="str">
        <f>IFERROR(__xludf.DUMMYFUNCTION("TO_TEXT(A367)"),"12091")</f>
        <v>12091</v>
      </c>
      <c r="C367" s="1">
        <v>195798.0</v>
      </c>
      <c r="D367" s="1">
        <v>930.261600446348</v>
      </c>
      <c r="E367" s="1" t="s">
        <v>757</v>
      </c>
      <c r="F367" s="1" t="s">
        <v>758</v>
      </c>
      <c r="G367" s="1">
        <v>210.476278829583</v>
      </c>
      <c r="H367" s="1">
        <v>15.2662457359999</v>
      </c>
      <c r="I367" s="1">
        <v>3.87553777</v>
      </c>
      <c r="J367" s="1">
        <v>7.8728275575</v>
      </c>
      <c r="K367" s="1">
        <v>18.468031092</v>
      </c>
      <c r="L367" s="1">
        <v>27.0</v>
      </c>
      <c r="M367" s="1">
        <v>7.3</v>
      </c>
      <c r="N367" s="1">
        <v>28.1</v>
      </c>
      <c r="O367" s="1">
        <v>75.280662751</v>
      </c>
      <c r="P367" s="1">
        <v>13.452469892</v>
      </c>
      <c r="Q367" s="1">
        <v>79.32207</v>
      </c>
      <c r="R367" s="1">
        <v>86.800373134</v>
      </c>
      <c r="S367" s="1">
        <v>18.1</v>
      </c>
      <c r="T367" s="1">
        <v>44109.0</v>
      </c>
      <c r="U367" s="1">
        <v>30.23872679</v>
      </c>
      <c r="V367" s="1">
        <v>394.67797127</v>
      </c>
      <c r="W367" s="1">
        <v>15.464933018</v>
      </c>
      <c r="X367" s="1">
        <v>13.437001595</v>
      </c>
      <c r="Y367" s="1">
        <v>77.958049244</v>
      </c>
      <c r="Z367" s="1">
        <v>11.1</v>
      </c>
      <c r="AA367" s="1">
        <v>10.15244652</v>
      </c>
      <c r="AB367" s="1">
        <v>62779.0</v>
      </c>
      <c r="AC367" s="1">
        <v>45.31767825</v>
      </c>
      <c r="AD367" s="1">
        <v>63.002725993</v>
      </c>
      <c r="AE367" s="1">
        <v>12.7409678709999</v>
      </c>
      <c r="AF367" s="1">
        <v>9.6111816046</v>
      </c>
      <c r="AG367" s="1">
        <v>0.7261095485</v>
      </c>
      <c r="AH367" s="1">
        <v>3.2556725801</v>
      </c>
      <c r="AI367" s="1">
        <v>0.2301357174</v>
      </c>
      <c r="AJ367" s="1">
        <v>9.694165553</v>
      </c>
      <c r="AK367" s="1">
        <v>73.148420651</v>
      </c>
      <c r="AL367" s="1">
        <v>1.5414988128</v>
      </c>
      <c r="AM367" s="1">
        <v>49.342641688</v>
      </c>
      <c r="AN367" s="1">
        <v>12.09919147</v>
      </c>
      <c r="AO367" s="1">
        <v>29603.0</v>
      </c>
      <c r="AP367" s="1">
        <v>12.0</v>
      </c>
      <c r="AQ367" s="1">
        <v>6.5</v>
      </c>
      <c r="AR367" s="1">
        <v>8.7</v>
      </c>
      <c r="AS367" s="1">
        <v>15.1</v>
      </c>
      <c r="AT367" s="1">
        <v>22.2</v>
      </c>
      <c r="AU367" s="1">
        <v>13.9</v>
      </c>
      <c r="AV367" s="1">
        <v>25.1</v>
      </c>
      <c r="AW367" s="1">
        <v>1.7</v>
      </c>
      <c r="AX367" s="1">
        <v>0.3528</v>
      </c>
      <c r="AY367" s="1">
        <v>10.6</v>
      </c>
      <c r="AZ367" s="1">
        <v>12.3</v>
      </c>
      <c r="BA367" s="1">
        <v>18.0</v>
      </c>
      <c r="BB367" s="1">
        <v>3.47</v>
      </c>
      <c r="BC367" s="1" t="s">
        <v>681</v>
      </c>
      <c r="BD367" s="1">
        <v>7.6</v>
      </c>
      <c r="BE367" s="1">
        <v>24.7</v>
      </c>
      <c r="BF367" s="1">
        <v>36.5</v>
      </c>
      <c r="BG367" s="1">
        <v>31.1</v>
      </c>
      <c r="BH367" s="1" t="s">
        <v>758</v>
      </c>
    </row>
    <row r="368">
      <c r="A368" s="1">
        <v>12093.0</v>
      </c>
      <c r="B368" s="2" t="str">
        <f>IFERROR(__xludf.DUMMYFUNCTION("TO_TEXT(A368)"),"12093")</f>
        <v>12093</v>
      </c>
      <c r="C368" s="1">
        <v>39420.0</v>
      </c>
      <c r="D368" s="1">
        <v>768.90331245801</v>
      </c>
      <c r="E368" s="1" t="s">
        <v>759</v>
      </c>
      <c r="F368" s="1" t="s">
        <v>760</v>
      </c>
      <c r="G368" s="1">
        <v>51.2678243952197</v>
      </c>
      <c r="H368" s="1">
        <v>23.5814444259999</v>
      </c>
      <c r="I368" s="1">
        <v>4.9423149238</v>
      </c>
      <c r="J368" s="1">
        <v>7.5242718447</v>
      </c>
      <c r="K368" s="1">
        <v>21.460209258</v>
      </c>
      <c r="L368" s="1">
        <v>33.0</v>
      </c>
      <c r="M368" s="1">
        <v>5.6</v>
      </c>
      <c r="N368" s="1">
        <v>37.5</v>
      </c>
      <c r="O368" s="1">
        <v>77.085208521</v>
      </c>
      <c r="P368" s="1">
        <v>22.455109806</v>
      </c>
      <c r="Q368" s="1">
        <v>48.07115</v>
      </c>
      <c r="R368" s="1">
        <v>72.026431718</v>
      </c>
      <c r="S368" s="1">
        <v>34.4</v>
      </c>
      <c r="T368" s="1">
        <v>8230.0</v>
      </c>
      <c r="U368" s="1">
        <v>40.279465371</v>
      </c>
      <c r="V368" s="1">
        <v>390.34281731</v>
      </c>
      <c r="W368" s="1">
        <v>16.653696498</v>
      </c>
      <c r="X368" s="1">
        <v>12.275089964</v>
      </c>
      <c r="Y368" s="1">
        <v>76.242083138</v>
      </c>
      <c r="Z368" s="1">
        <v>14.3</v>
      </c>
      <c r="AA368" s="1">
        <v>28.771103711</v>
      </c>
      <c r="AB368" s="1">
        <v>42258.0</v>
      </c>
      <c r="AC368" s="1">
        <v>83.742940009</v>
      </c>
      <c r="AD368" s="1">
        <v>71.763936333</v>
      </c>
      <c r="AE368" s="1">
        <v>10.158875649</v>
      </c>
      <c r="AF368" s="1">
        <v>8.5249295809</v>
      </c>
      <c r="AG368" s="1">
        <v>1.5576473987</v>
      </c>
      <c r="AH368" s="1">
        <v>1.0231841491</v>
      </c>
      <c r="AI368" s="1">
        <v>0.1420420348</v>
      </c>
      <c r="AJ368" s="1">
        <v>25.4544141369999</v>
      </c>
      <c r="AK368" s="1">
        <v>63.020921106</v>
      </c>
      <c r="AL368" s="1">
        <v>5.9727677402</v>
      </c>
      <c r="AM368" s="1">
        <v>46.339408238</v>
      </c>
      <c r="AN368" s="1">
        <v>36.548654865</v>
      </c>
      <c r="AO368" s="1">
        <v>17173.0</v>
      </c>
      <c r="AP368" s="1">
        <v>25.3</v>
      </c>
      <c r="AQ368" s="1">
        <v>11.2</v>
      </c>
      <c r="AR368" s="1">
        <v>28.1</v>
      </c>
      <c r="AS368" s="1">
        <v>17.8</v>
      </c>
      <c r="AT368" s="1">
        <v>22.8</v>
      </c>
      <c r="AU368" s="1">
        <v>14.9</v>
      </c>
      <c r="AV368" s="1">
        <v>36.2</v>
      </c>
      <c r="AW368" s="1">
        <v>6.3</v>
      </c>
      <c r="AX368" s="1">
        <v>0.9698</v>
      </c>
      <c r="AY368" s="1">
        <v>18.4</v>
      </c>
      <c r="AZ368" s="1">
        <v>14.9</v>
      </c>
      <c r="BA368" s="1">
        <v>24.2</v>
      </c>
      <c r="BB368" s="1">
        <v>2.83</v>
      </c>
      <c r="BC368" s="1" t="s">
        <v>681</v>
      </c>
      <c r="BD368" s="1">
        <v>22.8</v>
      </c>
      <c r="BE368" s="1">
        <v>39.5</v>
      </c>
      <c r="BF368" s="1">
        <v>26.3</v>
      </c>
      <c r="BG368" s="1">
        <v>11.3</v>
      </c>
      <c r="BH368" s="1" t="s">
        <v>760</v>
      </c>
    </row>
    <row r="369">
      <c r="A369" s="1">
        <v>12095.0</v>
      </c>
      <c r="B369" s="2" t="str">
        <f>IFERROR(__xludf.DUMMYFUNCTION("TO_TEXT(A369)"),"12095")</f>
        <v>12095</v>
      </c>
      <c r="C369" s="1">
        <v>1256055.0</v>
      </c>
      <c r="D369" s="1">
        <v>903.314431050894</v>
      </c>
      <c r="E369" s="1" t="s">
        <v>475</v>
      </c>
      <c r="F369" s="1" t="s">
        <v>761</v>
      </c>
      <c r="G369" s="1">
        <v>1390.49588584424</v>
      </c>
      <c r="H369" s="1">
        <v>19.45418537</v>
      </c>
      <c r="I369" s="1">
        <v>4.0279547975</v>
      </c>
      <c r="J369" s="1">
        <v>8.7093124456</v>
      </c>
      <c r="K369" s="1">
        <v>15.599881132</v>
      </c>
      <c r="L369" s="1">
        <v>25.2</v>
      </c>
      <c r="M369" s="1">
        <v>7.5</v>
      </c>
      <c r="N369" s="1">
        <v>24.6</v>
      </c>
      <c r="O369" s="1">
        <v>93.721050372</v>
      </c>
      <c r="P369" s="1">
        <v>15.652447107</v>
      </c>
      <c r="Q369" s="1">
        <v>87.39969</v>
      </c>
      <c r="R369" s="1">
        <v>84.486006459</v>
      </c>
      <c r="S369" s="1">
        <v>22.8</v>
      </c>
      <c r="T369" s="1">
        <v>293977.0</v>
      </c>
      <c r="U369" s="1">
        <v>37.584572943</v>
      </c>
      <c r="V369" s="1">
        <v>647.96862419</v>
      </c>
      <c r="W369" s="1">
        <v>21.479150275</v>
      </c>
      <c r="X369" s="1">
        <v>19.324580013</v>
      </c>
      <c r="Y369" s="1">
        <v>80.323594344</v>
      </c>
      <c r="Z369" s="1">
        <v>9.2</v>
      </c>
      <c r="AA369" s="1">
        <v>6.8793634595</v>
      </c>
      <c r="AB369" s="1">
        <v>58037.0</v>
      </c>
      <c r="AC369" s="1">
        <v>55.327485325</v>
      </c>
      <c r="AD369" s="1">
        <v>54.668969262</v>
      </c>
      <c r="AE369" s="1">
        <v>18.978949523</v>
      </c>
      <c r="AF369" s="1">
        <v>20.235469654</v>
      </c>
      <c r="AG369" s="1">
        <v>0.5672710943</v>
      </c>
      <c r="AH369" s="1">
        <v>5.7044352458</v>
      </c>
      <c r="AI369" s="1">
        <v>0.2007757244</v>
      </c>
      <c r="AJ369" s="1">
        <v>32.330106581</v>
      </c>
      <c r="AK369" s="1">
        <v>39.745046699</v>
      </c>
      <c r="AL369" s="1">
        <v>6.88353138179999</v>
      </c>
      <c r="AM369" s="1">
        <v>50.939959222</v>
      </c>
      <c r="AN369" s="1">
        <v>2.0421377435</v>
      </c>
      <c r="AO369" s="1">
        <v>26210.0</v>
      </c>
      <c r="AP369" s="1">
        <v>17.3</v>
      </c>
      <c r="AQ369" s="1">
        <v>8.1</v>
      </c>
      <c r="AR369" s="1">
        <v>12.3</v>
      </c>
      <c r="AS369" s="1">
        <v>10.7</v>
      </c>
      <c r="AT369" s="1">
        <v>22.8</v>
      </c>
      <c r="AU369" s="1">
        <v>10.4</v>
      </c>
      <c r="AV369" s="1">
        <v>57.3</v>
      </c>
      <c r="AW369" s="1">
        <v>6.3</v>
      </c>
      <c r="AX369" s="1">
        <v>0.6909</v>
      </c>
      <c r="AY369" s="1">
        <v>12.6</v>
      </c>
      <c r="AZ369" s="1">
        <v>12.3</v>
      </c>
      <c r="BA369" s="1">
        <v>17.2</v>
      </c>
      <c r="BB369" s="1">
        <v>3.39</v>
      </c>
      <c r="BC369" s="1" t="s">
        <v>681</v>
      </c>
      <c r="BD369" s="1">
        <v>11.5</v>
      </c>
      <c r="BE369" s="1">
        <v>24.4</v>
      </c>
      <c r="BF369" s="1">
        <v>29.6</v>
      </c>
      <c r="BG369" s="1">
        <v>34.6</v>
      </c>
      <c r="BH369" s="1" t="s">
        <v>761</v>
      </c>
    </row>
    <row r="370">
      <c r="A370" s="1">
        <v>12097.0</v>
      </c>
      <c r="B370" s="2" t="str">
        <f>IFERROR(__xludf.DUMMYFUNCTION("TO_TEXT(A370)"),"12097")</f>
        <v>12097</v>
      </c>
      <c r="C370" s="1">
        <v>311962.0</v>
      </c>
      <c r="D370" s="1">
        <v>1327.66417316517</v>
      </c>
      <c r="E370" s="1" t="s">
        <v>762</v>
      </c>
      <c r="F370" s="1" t="s">
        <v>763</v>
      </c>
      <c r="G370" s="1">
        <v>234.970564322962</v>
      </c>
      <c r="H370" s="1">
        <v>24.098193617</v>
      </c>
      <c r="I370" s="1">
        <v>4.32597478</v>
      </c>
      <c r="J370" s="1">
        <v>8.2282590125</v>
      </c>
      <c r="K370" s="1">
        <v>17.791410063</v>
      </c>
      <c r="L370" s="1">
        <v>30.1</v>
      </c>
      <c r="M370" s="1">
        <v>8.0</v>
      </c>
      <c r="N370" s="1">
        <v>30.9</v>
      </c>
      <c r="O370" s="1">
        <v>77.927684835</v>
      </c>
      <c r="P370" s="1">
        <v>16.152249365</v>
      </c>
      <c r="Q370" s="1">
        <v>40.88818</v>
      </c>
      <c r="R370" s="1">
        <v>86.639857015</v>
      </c>
      <c r="S370" s="1">
        <v>20.2</v>
      </c>
      <c r="T370" s="1">
        <v>83342.0</v>
      </c>
      <c r="U370" s="1">
        <v>35.15394399</v>
      </c>
      <c r="V370" s="1">
        <v>425.63477221</v>
      </c>
      <c r="W370" s="1">
        <v>23.2252879719999</v>
      </c>
      <c r="X370" s="1">
        <v>20.73543875</v>
      </c>
      <c r="Y370" s="1">
        <v>79.799673247</v>
      </c>
      <c r="Z370" s="1">
        <v>11.4</v>
      </c>
      <c r="AA370" s="1">
        <v>10.177950029</v>
      </c>
      <c r="AB370" s="1">
        <v>50473.0</v>
      </c>
      <c r="AC370" s="1">
        <v>49.377912431</v>
      </c>
      <c r="AD370" s="1">
        <v>61.1145848039999</v>
      </c>
      <c r="AE370" s="1">
        <v>19.811843992</v>
      </c>
      <c r="AF370" s="1">
        <v>9.5600423925</v>
      </c>
      <c r="AG370" s="1">
        <v>0.814967798</v>
      </c>
      <c r="AH370" s="1">
        <v>2.8987200739</v>
      </c>
      <c r="AI370" s="1">
        <v>0.257072203</v>
      </c>
      <c r="AJ370" s="1">
        <v>55.2854697139999</v>
      </c>
      <c r="AK370" s="1">
        <v>30.7788255119999</v>
      </c>
      <c r="AL370" s="1">
        <v>9.80009843639999</v>
      </c>
      <c r="AM370" s="1">
        <v>50.688062176</v>
      </c>
      <c r="AN370" s="1">
        <v>7.8210543946</v>
      </c>
      <c r="AO370" s="1">
        <v>19482.0</v>
      </c>
      <c r="AP370" s="1">
        <v>19.5</v>
      </c>
      <c r="AQ370" s="1">
        <v>8.3</v>
      </c>
      <c r="AR370" s="1">
        <v>14.3</v>
      </c>
      <c r="AS370" s="1">
        <v>12.6</v>
      </c>
      <c r="AT370" s="1">
        <v>25.1</v>
      </c>
      <c r="AU370" s="1">
        <v>14.5</v>
      </c>
      <c r="AV370" s="1">
        <v>64.5</v>
      </c>
      <c r="AW370" s="1">
        <v>9.7</v>
      </c>
      <c r="AX370" s="1">
        <v>0.8551</v>
      </c>
      <c r="AY370" s="1">
        <v>13.4</v>
      </c>
      <c r="AZ370" s="1">
        <v>12.1</v>
      </c>
      <c r="BA370" s="1">
        <v>17.5</v>
      </c>
      <c r="BB370" s="1">
        <v>3.18</v>
      </c>
      <c r="BC370" s="1" t="s">
        <v>681</v>
      </c>
      <c r="BD370" s="1">
        <v>13.3</v>
      </c>
      <c r="BE370" s="1">
        <v>31.3</v>
      </c>
      <c r="BF370" s="1">
        <v>33.7</v>
      </c>
      <c r="BG370" s="1">
        <v>21.8</v>
      </c>
      <c r="BH370" s="1" t="s">
        <v>763</v>
      </c>
    </row>
    <row r="371">
      <c r="A371" s="1">
        <v>12099.0</v>
      </c>
      <c r="B371" s="2" t="str">
        <f>IFERROR(__xludf.DUMMYFUNCTION("TO_TEXT(A371)"),"12099")</f>
        <v>12099</v>
      </c>
      <c r="C371" s="1">
        <v>1398757.0</v>
      </c>
      <c r="D371" s="1">
        <v>1969.89213913403</v>
      </c>
      <c r="E371" s="1" t="s">
        <v>764</v>
      </c>
      <c r="F371" s="1" t="s">
        <v>765</v>
      </c>
      <c r="G371" s="1">
        <v>710.06781143606</v>
      </c>
      <c r="H371" s="1">
        <v>17.401196261</v>
      </c>
      <c r="I371" s="1">
        <v>4.1516750525</v>
      </c>
      <c r="J371" s="1">
        <v>8.4748242132</v>
      </c>
      <c r="K371" s="1">
        <v>15.916105958</v>
      </c>
      <c r="L371" s="1">
        <v>21.2</v>
      </c>
      <c r="M371" s="1">
        <v>7.9</v>
      </c>
      <c r="N371" s="1">
        <v>23.4</v>
      </c>
      <c r="O371" s="1">
        <v>93.807977069</v>
      </c>
      <c r="P371" s="1">
        <v>17.4462929159999</v>
      </c>
      <c r="Q371" s="1">
        <v>79.18975</v>
      </c>
      <c r="R371" s="1">
        <v>86.2532763139999</v>
      </c>
      <c r="S371" s="1">
        <v>18.5</v>
      </c>
      <c r="T371" s="1">
        <v>277433.0</v>
      </c>
      <c r="U371" s="1">
        <v>36.1258393919999</v>
      </c>
      <c r="V371" s="1">
        <v>451.78936953</v>
      </c>
      <c r="W371" s="1">
        <v>22.056447869</v>
      </c>
      <c r="X371" s="1">
        <v>19.496386588</v>
      </c>
      <c r="Y371" s="1">
        <v>82.286989505</v>
      </c>
      <c r="Z371" s="1">
        <v>9.9</v>
      </c>
      <c r="AA371" s="1">
        <v>4.6543735034</v>
      </c>
      <c r="AB371" s="1">
        <v>61735.0</v>
      </c>
      <c r="AC371" s="1">
        <v>58.075075152</v>
      </c>
      <c r="AD371" s="1">
        <v>68.611459717</v>
      </c>
      <c r="AE371" s="1">
        <v>19.713010336</v>
      </c>
      <c r="AF371" s="1">
        <v>18.594883646</v>
      </c>
      <c r="AG371" s="1">
        <v>0.5864970413</v>
      </c>
      <c r="AH371" s="1">
        <v>2.9308700682</v>
      </c>
      <c r="AI371" s="1">
        <v>0.1092237175</v>
      </c>
      <c r="AJ371" s="1">
        <v>22.919483344</v>
      </c>
      <c r="AK371" s="1">
        <v>54.0826318139999</v>
      </c>
      <c r="AL371" s="1">
        <v>6.8025123607</v>
      </c>
      <c r="AM371" s="1">
        <v>51.494574818</v>
      </c>
      <c r="AN371" s="1">
        <v>1.042545681</v>
      </c>
      <c r="AO371" s="1">
        <v>34846.0</v>
      </c>
      <c r="AP371" s="1">
        <v>13.9</v>
      </c>
      <c r="AQ371" s="1">
        <v>8.2</v>
      </c>
      <c r="AR371" s="1">
        <v>12.1</v>
      </c>
      <c r="AS371" s="1">
        <v>22.7</v>
      </c>
      <c r="AT371" s="1">
        <v>19.6</v>
      </c>
      <c r="AU371" s="1">
        <v>12.0</v>
      </c>
      <c r="AV371" s="1">
        <v>43.1</v>
      </c>
      <c r="AW371" s="1">
        <v>6.5</v>
      </c>
      <c r="AX371" s="1">
        <v>0.5718</v>
      </c>
      <c r="AY371" s="1">
        <v>11.4</v>
      </c>
      <c r="AZ371" s="1">
        <v>11.6</v>
      </c>
      <c r="BA371" s="1">
        <v>17.1</v>
      </c>
      <c r="BB371" s="1">
        <v>3.7</v>
      </c>
      <c r="BC371" s="1" t="s">
        <v>681</v>
      </c>
      <c r="BD371" s="1">
        <v>11.5</v>
      </c>
      <c r="BE371" s="1">
        <v>24.0</v>
      </c>
      <c r="BF371" s="1">
        <v>27.8</v>
      </c>
      <c r="BG371" s="1">
        <v>36.7</v>
      </c>
      <c r="BH371" s="1" t="s">
        <v>765</v>
      </c>
    </row>
    <row r="372">
      <c r="A372" s="1">
        <v>12101.0</v>
      </c>
      <c r="B372" s="2" t="str">
        <f>IFERROR(__xludf.DUMMYFUNCTION("TO_TEXT(A372)"),"12101")</f>
        <v>12101</v>
      </c>
      <c r="C372" s="1">
        <v>488310.0</v>
      </c>
      <c r="D372" s="1">
        <v>747.64356143046</v>
      </c>
      <c r="E372" s="1" t="s">
        <v>766</v>
      </c>
      <c r="F372" s="1" t="s">
        <v>767</v>
      </c>
      <c r="G372" s="1">
        <v>653.132087522724</v>
      </c>
      <c r="H372" s="1">
        <v>18.363890598</v>
      </c>
      <c r="I372" s="1">
        <v>4.7031779949</v>
      </c>
      <c r="J372" s="1">
        <v>8.2437482035</v>
      </c>
      <c r="K372" s="1">
        <v>18.629613172</v>
      </c>
      <c r="L372" s="1">
        <v>31.6</v>
      </c>
      <c r="M372" s="1">
        <v>7.6</v>
      </c>
      <c r="N372" s="1">
        <v>29.9</v>
      </c>
      <c r="O372" s="1">
        <v>86.349169459</v>
      </c>
      <c r="P372" s="1">
        <v>14.948817639</v>
      </c>
      <c r="Q372" s="1">
        <v>58.5949</v>
      </c>
      <c r="R372" s="1">
        <v>81.830417227</v>
      </c>
      <c r="S372" s="1">
        <v>17.4</v>
      </c>
      <c r="T372" s="1">
        <v>102815.0</v>
      </c>
      <c r="U372" s="1">
        <v>33.3959052669999</v>
      </c>
      <c r="V372" s="1">
        <v>304.19575463</v>
      </c>
      <c r="W372" s="1">
        <v>15.17776956</v>
      </c>
      <c r="X372" s="1">
        <v>13.404198062</v>
      </c>
      <c r="Y372" s="1">
        <v>77.862033422</v>
      </c>
      <c r="Z372" s="1">
        <v>13.0</v>
      </c>
      <c r="AA372" s="1">
        <v>8.2592758058</v>
      </c>
      <c r="AB372" s="1">
        <v>53788.0</v>
      </c>
      <c r="AC372" s="1">
        <v>58.32014624</v>
      </c>
      <c r="AD372" s="1">
        <v>72.006304366</v>
      </c>
      <c r="AE372" s="1">
        <v>13.3029798759999</v>
      </c>
      <c r="AF372" s="1">
        <v>5.5745603469</v>
      </c>
      <c r="AG372" s="1">
        <v>0.4777347442</v>
      </c>
      <c r="AH372" s="1">
        <v>2.7024072049</v>
      </c>
      <c r="AI372" s="1">
        <v>0.104145433</v>
      </c>
      <c r="AJ372" s="1">
        <v>15.7908196359999</v>
      </c>
      <c r="AK372" s="1">
        <v>73.832440746</v>
      </c>
      <c r="AL372" s="1">
        <v>1.8586385271</v>
      </c>
      <c r="AM372" s="1">
        <v>51.372977781</v>
      </c>
      <c r="AN372" s="1">
        <v>9.4663834714</v>
      </c>
      <c r="AO372" s="1">
        <v>25225.0</v>
      </c>
      <c r="AP372" s="1">
        <v>13.6</v>
      </c>
      <c r="AQ372" s="1">
        <v>8.2</v>
      </c>
      <c r="AR372" s="1">
        <v>11.7</v>
      </c>
      <c r="AS372" s="1">
        <v>22.4</v>
      </c>
      <c r="AT372" s="1">
        <v>20.5</v>
      </c>
      <c r="AU372" s="1">
        <v>16.7</v>
      </c>
      <c r="AV372" s="1">
        <v>22.7</v>
      </c>
      <c r="AW372" s="1">
        <v>2.1</v>
      </c>
      <c r="AX372" s="1">
        <v>0.6367</v>
      </c>
      <c r="AY372" s="1">
        <v>11.3</v>
      </c>
      <c r="AZ372" s="1">
        <v>12.9</v>
      </c>
      <c r="BA372" s="1">
        <v>19.2</v>
      </c>
      <c r="BB372" s="1">
        <v>3.37</v>
      </c>
      <c r="BC372" s="1" t="s">
        <v>681</v>
      </c>
      <c r="BD372" s="1">
        <v>10.5</v>
      </c>
      <c r="BE372" s="1">
        <v>33.2</v>
      </c>
      <c r="BF372" s="1">
        <v>32.2</v>
      </c>
      <c r="BG372" s="1">
        <v>24.0</v>
      </c>
      <c r="BH372" s="1" t="s">
        <v>767</v>
      </c>
    </row>
    <row r="373">
      <c r="A373" s="1">
        <v>12103.0</v>
      </c>
      <c r="B373" s="2" t="str">
        <f>IFERROR(__xludf.DUMMYFUNCTION("TO_TEXT(A373)"),"12103")</f>
        <v>12103</v>
      </c>
      <c r="C373" s="1">
        <v>939548.0</v>
      </c>
      <c r="D373" s="1">
        <v>273.793346381906</v>
      </c>
      <c r="E373" s="1" t="s">
        <v>768</v>
      </c>
      <c r="F373" s="1" t="s">
        <v>769</v>
      </c>
      <c r="G373" s="1">
        <v>3431.59544384783</v>
      </c>
      <c r="H373" s="1">
        <v>16.918983111</v>
      </c>
      <c r="I373" s="1">
        <v>4.3511481407</v>
      </c>
      <c r="J373" s="1">
        <v>8.3209308619</v>
      </c>
      <c r="K373" s="1">
        <v>16.411541985</v>
      </c>
      <c r="L373" s="1">
        <v>25.4</v>
      </c>
      <c r="M373" s="1">
        <v>7.7</v>
      </c>
      <c r="N373" s="1">
        <v>24.4</v>
      </c>
      <c r="O373" s="1">
        <v>97.193145541</v>
      </c>
      <c r="P373" s="1">
        <v>14.335398909</v>
      </c>
      <c r="Q373" s="1">
        <v>88.18951</v>
      </c>
      <c r="R373" s="1">
        <v>83.1515310819999</v>
      </c>
      <c r="S373" s="1">
        <v>16.2</v>
      </c>
      <c r="T373" s="1">
        <v>157189.0</v>
      </c>
      <c r="U373" s="1">
        <v>40.830465236</v>
      </c>
      <c r="V373" s="1">
        <v>464.86022321</v>
      </c>
      <c r="W373" s="1">
        <v>18.133763769</v>
      </c>
      <c r="X373" s="1">
        <v>16.560975302</v>
      </c>
      <c r="Y373" s="1">
        <v>79.109106814</v>
      </c>
      <c r="Z373" s="1">
        <v>10.5</v>
      </c>
      <c r="AA373" s="1">
        <v>3.9365689189</v>
      </c>
      <c r="AB373" s="1">
        <v>52226.0</v>
      </c>
      <c r="AC373" s="1">
        <v>53.8951465469999</v>
      </c>
      <c r="AD373" s="1">
        <v>65.735063279</v>
      </c>
      <c r="AE373" s="1">
        <v>16.395903501</v>
      </c>
      <c r="AF373" s="1">
        <v>10.459355262</v>
      </c>
      <c r="AG373" s="1">
        <v>0.3874784677</v>
      </c>
      <c r="AH373" s="1">
        <v>3.5917890247</v>
      </c>
      <c r="AI373" s="1">
        <v>0.1166844393</v>
      </c>
      <c r="AJ373" s="1">
        <v>10.006562218</v>
      </c>
      <c r="AK373" s="1">
        <v>73.828439012</v>
      </c>
      <c r="AL373" s="1">
        <v>2.3469253966</v>
      </c>
      <c r="AM373" s="1">
        <v>52.031416619</v>
      </c>
      <c r="AN373" s="1">
        <v>0.2840022607</v>
      </c>
      <c r="AO373" s="1">
        <v>31035.0</v>
      </c>
      <c r="AP373" s="1">
        <v>14.1</v>
      </c>
      <c r="AQ373" s="1">
        <v>7.3</v>
      </c>
      <c r="AR373" s="1">
        <v>9.6</v>
      </c>
      <c r="AS373" s="1">
        <v>23.0</v>
      </c>
      <c r="AT373" s="1">
        <v>17.0</v>
      </c>
      <c r="AU373" s="1">
        <v>15.0</v>
      </c>
      <c r="AV373" s="1">
        <v>24.7</v>
      </c>
      <c r="AW373" s="1">
        <v>2.5</v>
      </c>
      <c r="AX373" s="1">
        <v>0.5174</v>
      </c>
      <c r="AY373" s="1">
        <v>11.4</v>
      </c>
      <c r="AZ373" s="1">
        <v>12.9</v>
      </c>
      <c r="BA373" s="1">
        <v>19.0</v>
      </c>
      <c r="BB373" s="1">
        <v>3.5</v>
      </c>
      <c r="BC373" s="1" t="s">
        <v>681</v>
      </c>
      <c r="BD373" s="1">
        <v>8.7</v>
      </c>
      <c r="BE373" s="1">
        <v>28.0</v>
      </c>
      <c r="BF373" s="1">
        <v>31.6</v>
      </c>
      <c r="BG373" s="1">
        <v>31.7</v>
      </c>
      <c r="BH373" s="1" t="s">
        <v>769</v>
      </c>
    </row>
    <row r="374">
      <c r="A374" s="1">
        <v>12105.0</v>
      </c>
      <c r="B374" s="2" t="str">
        <f>IFERROR(__xludf.DUMMYFUNCTION("TO_TEXT(A374)"),"12105")</f>
        <v>12105</v>
      </c>
      <c r="C374" s="1">
        <v>637691.0</v>
      </c>
      <c r="D374" s="1">
        <v>1796.75632971508</v>
      </c>
      <c r="E374" s="1" t="s">
        <v>381</v>
      </c>
      <c r="F374" s="1" t="s">
        <v>770</v>
      </c>
      <c r="G374" s="1">
        <v>354.912343679412</v>
      </c>
      <c r="H374" s="1">
        <v>20.6951569529999</v>
      </c>
      <c r="I374" s="1">
        <v>4.7733571618</v>
      </c>
      <c r="J374" s="1">
        <v>8.41653166559999</v>
      </c>
      <c r="K374" s="1">
        <v>19.135508961</v>
      </c>
      <c r="L374" s="1">
        <v>37.1</v>
      </c>
      <c r="M374" s="1">
        <v>6.9</v>
      </c>
      <c r="N374" s="1">
        <v>28.8</v>
      </c>
      <c r="O374" s="1">
        <v>78.919771797</v>
      </c>
      <c r="P374" s="1">
        <v>15.757248537</v>
      </c>
      <c r="Q374" s="1">
        <v>48.94513</v>
      </c>
      <c r="R374" s="1">
        <v>78.027357811</v>
      </c>
      <c r="S374" s="1">
        <v>24.0</v>
      </c>
      <c r="T374" s="1">
        <v>148298.0</v>
      </c>
      <c r="U374" s="1">
        <v>40.2453168619999</v>
      </c>
      <c r="V374" s="1">
        <v>340.51055722</v>
      </c>
      <c r="W374" s="1">
        <v>16.946113153</v>
      </c>
      <c r="X374" s="1">
        <v>13.793497123</v>
      </c>
      <c r="Y374" s="1">
        <v>78.497148438</v>
      </c>
      <c r="Z374" s="1">
        <v>14.9</v>
      </c>
      <c r="AA374" s="1">
        <v>12.813452775</v>
      </c>
      <c r="AB374" s="1">
        <v>51354.0</v>
      </c>
      <c r="AC374" s="1">
        <v>52.223482591</v>
      </c>
      <c r="AD374" s="1">
        <v>68.52676641</v>
      </c>
      <c r="AE374" s="1">
        <v>14.02307396</v>
      </c>
      <c r="AF374" s="1">
        <v>14.631876148</v>
      </c>
      <c r="AG374" s="1">
        <v>0.6673643979</v>
      </c>
      <c r="AH374" s="1">
        <v>1.9402295734</v>
      </c>
      <c r="AI374" s="1">
        <v>0.1101680911</v>
      </c>
      <c r="AJ374" s="1">
        <v>23.619615005</v>
      </c>
      <c r="AK374" s="1">
        <v>57.948839633</v>
      </c>
      <c r="AL374" s="1">
        <v>4.45184318</v>
      </c>
      <c r="AM374" s="1">
        <v>50.999351703</v>
      </c>
      <c r="AN374" s="1">
        <v>13.51049253</v>
      </c>
      <c r="AO374" s="1">
        <v>21669.0</v>
      </c>
      <c r="AP374" s="1">
        <v>17.7</v>
      </c>
      <c r="AQ374" s="1">
        <v>9.6</v>
      </c>
      <c r="AR374" s="1">
        <v>16.0</v>
      </c>
      <c r="AS374" s="1">
        <v>19.5</v>
      </c>
      <c r="AT374" s="1">
        <v>22.7</v>
      </c>
      <c r="AU374" s="1">
        <v>15.4</v>
      </c>
      <c r="AV374" s="1">
        <v>38.1</v>
      </c>
      <c r="AW374" s="1">
        <v>4.5</v>
      </c>
      <c r="AX374" s="1">
        <v>0.9277</v>
      </c>
      <c r="AY374" s="1">
        <v>14.0</v>
      </c>
      <c r="AZ374" s="1">
        <v>13.7</v>
      </c>
      <c r="BA374" s="1">
        <v>21.1</v>
      </c>
      <c r="BB374" s="1">
        <v>3.19</v>
      </c>
      <c r="BC374" s="1" t="s">
        <v>681</v>
      </c>
      <c r="BD374" s="1">
        <v>15.0</v>
      </c>
      <c r="BE374" s="1">
        <v>34.7</v>
      </c>
      <c r="BF374" s="1">
        <v>30.1</v>
      </c>
      <c r="BG374" s="1">
        <v>20.2</v>
      </c>
      <c r="BH374" s="1" t="s">
        <v>770</v>
      </c>
    </row>
    <row r="375">
      <c r="A375" s="1">
        <v>12107.0</v>
      </c>
      <c r="B375" s="2" t="str">
        <f>IFERROR(__xludf.DUMMYFUNCTION("TO_TEXT(A375)"),"12107")</f>
        <v>12107</v>
      </c>
      <c r="C375" s="1">
        <v>72304.0</v>
      </c>
      <c r="D375" s="1">
        <v>727.879223603518</v>
      </c>
      <c r="E375" s="1" t="s">
        <v>771</v>
      </c>
      <c r="F375" s="1" t="s">
        <v>772</v>
      </c>
      <c r="G375" s="1">
        <v>99.3351611851811</v>
      </c>
      <c r="H375" s="1">
        <v>24.952601208</v>
      </c>
      <c r="I375" s="1">
        <v>4.9377448113</v>
      </c>
      <c r="J375" s="1">
        <v>10.43956044</v>
      </c>
      <c r="K375" s="1">
        <v>23.620471789</v>
      </c>
      <c r="L375" s="1">
        <v>38.7</v>
      </c>
      <c r="M375" s="1">
        <v>6.0</v>
      </c>
      <c r="N375" s="1">
        <v>36.8</v>
      </c>
      <c r="O375" s="1">
        <v>51.040826206</v>
      </c>
      <c r="P375" s="1">
        <v>17.168019716</v>
      </c>
      <c r="Q375" s="1">
        <v>43.55875</v>
      </c>
      <c r="R375" s="1">
        <v>72.056737589</v>
      </c>
      <c r="S375" s="1">
        <v>33.3</v>
      </c>
      <c r="T375" s="1">
        <v>15359.0</v>
      </c>
      <c r="U375" s="1">
        <v>46.389738915</v>
      </c>
      <c r="V375" s="1">
        <v>537.1134306</v>
      </c>
      <c r="W375" s="1">
        <v>19.227247757</v>
      </c>
      <c r="X375" s="1">
        <v>17.014084507</v>
      </c>
      <c r="Y375" s="1">
        <v>73.948960121</v>
      </c>
      <c r="Z375" s="1">
        <v>17.3</v>
      </c>
      <c r="AA375" s="1">
        <v>13.310322497</v>
      </c>
      <c r="AB375" s="1">
        <v>39578.0</v>
      </c>
      <c r="AC375" s="1">
        <v>63.744054563</v>
      </c>
      <c r="AD375" s="1">
        <v>73.029295217</v>
      </c>
      <c r="AE375" s="1">
        <v>15.0062384209999</v>
      </c>
      <c r="AF375" s="1">
        <v>15.844828284</v>
      </c>
      <c r="AG375" s="1">
        <v>0.718687216</v>
      </c>
      <c r="AH375" s="1">
        <v>0.666100346499999</v>
      </c>
      <c r="AI375" s="1">
        <v>0.1361865081</v>
      </c>
      <c r="AJ375" s="1">
        <v>10.218033251</v>
      </c>
      <c r="AK375" s="1">
        <v>71.290266036</v>
      </c>
      <c r="AL375" s="1">
        <v>2.0834244558</v>
      </c>
      <c r="AM375" s="1">
        <v>50.515755835</v>
      </c>
      <c r="AN375" s="1">
        <v>56.1629282989999</v>
      </c>
      <c r="AO375" s="1">
        <v>18561.0</v>
      </c>
      <c r="AP375" s="1">
        <v>27.0</v>
      </c>
      <c r="AQ375" s="1">
        <v>11.4</v>
      </c>
      <c r="AR375" s="1">
        <v>21.6</v>
      </c>
      <c r="AS375" s="1">
        <v>21.1</v>
      </c>
      <c r="AT375" s="1">
        <v>21.8</v>
      </c>
      <c r="AU375" s="1">
        <v>16.9</v>
      </c>
      <c r="AV375" s="1">
        <v>28.1</v>
      </c>
      <c r="AW375" s="1">
        <v>1.9</v>
      </c>
      <c r="AX375" s="1">
        <v>0.9516</v>
      </c>
      <c r="AY375" s="1">
        <v>22.4</v>
      </c>
      <c r="AZ375" s="1">
        <v>17.3</v>
      </c>
      <c r="BA375" s="1">
        <v>27.7</v>
      </c>
      <c r="BB375" s="1">
        <v>3.1</v>
      </c>
      <c r="BC375" s="1" t="s">
        <v>681</v>
      </c>
      <c r="BD375" s="1">
        <v>18.2</v>
      </c>
      <c r="BE375" s="1">
        <v>41.2</v>
      </c>
      <c r="BF375" s="1">
        <v>28.3</v>
      </c>
      <c r="BG375" s="1">
        <v>12.3</v>
      </c>
      <c r="BH375" s="1" t="s">
        <v>772</v>
      </c>
    </row>
    <row r="376">
      <c r="A376" s="1">
        <v>12109.0</v>
      </c>
      <c r="B376" s="2" t="str">
        <f>IFERROR(__xludf.DUMMYFUNCTION("TO_TEXT(A376)"),"12109")</f>
        <v>12109</v>
      </c>
      <c r="C376" s="1">
        <v>218362.0</v>
      </c>
      <c r="D376" s="1">
        <v>600.694826337894</v>
      </c>
      <c r="E376" s="1" t="s">
        <v>773</v>
      </c>
      <c r="F376" s="1" t="s">
        <v>774</v>
      </c>
      <c r="G376" s="1">
        <v>363.515699529548</v>
      </c>
      <c r="H376" s="1">
        <v>12.686897</v>
      </c>
      <c r="I376" s="1">
        <v>3.901437624</v>
      </c>
      <c r="J376" s="1">
        <v>6.9639210347</v>
      </c>
      <c r="K376" s="1">
        <v>15.059046719</v>
      </c>
      <c r="L376" s="1">
        <v>23.1</v>
      </c>
      <c r="M376" s="1">
        <v>8.1</v>
      </c>
      <c r="N376" s="1">
        <v>21.1</v>
      </c>
      <c r="O376" s="1">
        <v>93.733917775</v>
      </c>
      <c r="P376" s="1">
        <v>10.647598378</v>
      </c>
      <c r="Q376" s="1">
        <v>95.56544</v>
      </c>
      <c r="R376" s="1">
        <v>90.402802102</v>
      </c>
      <c r="S376" s="1">
        <v>7.3</v>
      </c>
      <c r="T376" s="1">
        <v>50452.0</v>
      </c>
      <c r="U376" s="1">
        <v>21.529374455</v>
      </c>
      <c r="V376" s="1">
        <v>225.4094273</v>
      </c>
      <c r="W376" s="1">
        <v>14.610748985</v>
      </c>
      <c r="X376" s="1">
        <v>13.596463923</v>
      </c>
      <c r="Y376" s="1">
        <v>81.503100354</v>
      </c>
      <c r="Z376" s="1">
        <v>7.9</v>
      </c>
      <c r="AA376" s="1">
        <v>6.5713733959</v>
      </c>
      <c r="AB376" s="1">
        <v>81925.0</v>
      </c>
      <c r="AC376" s="1">
        <v>21.497851443</v>
      </c>
      <c r="AD376" s="1">
        <v>78.496081977</v>
      </c>
      <c r="AE376" s="1">
        <v>11.993174713</v>
      </c>
      <c r="AF376" s="1">
        <v>5.2233728334</v>
      </c>
      <c r="AG376" s="1">
        <v>0.3158172114</v>
      </c>
      <c r="AH376" s="1">
        <v>3.1896358466</v>
      </c>
      <c r="AI376" s="1">
        <v>0.0857386701</v>
      </c>
      <c r="AJ376" s="1">
        <v>7.2028348823</v>
      </c>
      <c r="AK376" s="1">
        <v>82.331934508</v>
      </c>
      <c r="AL376" s="1">
        <v>0.644139671</v>
      </c>
      <c r="AM376" s="1">
        <v>51.224529126</v>
      </c>
      <c r="AN376" s="1">
        <v>23.77354122</v>
      </c>
      <c r="AO376" s="1">
        <v>38362.0</v>
      </c>
      <c r="AP376" s="1">
        <v>9.0</v>
      </c>
      <c r="AQ376" s="1">
        <v>6.0</v>
      </c>
      <c r="AR376" s="1">
        <v>5.3</v>
      </c>
      <c r="AS376" s="1">
        <v>18.1</v>
      </c>
      <c r="AT376" s="1">
        <v>22.1</v>
      </c>
      <c r="AU376" s="1">
        <v>11.5</v>
      </c>
      <c r="AV376" s="1">
        <v>15.9</v>
      </c>
      <c r="AW376" s="1">
        <v>0.7</v>
      </c>
      <c r="AX376" s="1">
        <v>0.0882</v>
      </c>
      <c r="AY376" s="1">
        <v>6.4</v>
      </c>
      <c r="AZ376" s="1">
        <v>9.5</v>
      </c>
      <c r="BA376" s="1">
        <v>13.7</v>
      </c>
      <c r="BB376" s="1">
        <v>3.99</v>
      </c>
      <c r="BC376" s="1" t="s">
        <v>681</v>
      </c>
      <c r="BD376" s="1">
        <v>5.2</v>
      </c>
      <c r="BE376" s="1">
        <v>21.4</v>
      </c>
      <c r="BF376" s="1">
        <v>28.7</v>
      </c>
      <c r="BG376" s="1">
        <v>44.7</v>
      </c>
      <c r="BH376" s="1" t="s">
        <v>774</v>
      </c>
    </row>
    <row r="377">
      <c r="A377" s="1">
        <v>12111.0</v>
      </c>
      <c r="B377" s="2" t="str">
        <f>IFERROR(__xludf.DUMMYFUNCTION("TO_TEXT(A377)"),"12111")</f>
        <v>12111</v>
      </c>
      <c r="C377" s="1">
        <v>293136.0</v>
      </c>
      <c r="D377" s="1">
        <v>571.676965661504</v>
      </c>
      <c r="E377" s="1" t="s">
        <v>775</v>
      </c>
      <c r="F377" s="1" t="s">
        <v>776</v>
      </c>
      <c r="G377" s="1">
        <v>512.765106183356</v>
      </c>
      <c r="H377" s="1">
        <v>19.318883102</v>
      </c>
      <c r="I377" s="1">
        <v>4.4114632001</v>
      </c>
      <c r="J377" s="1">
        <v>8.6915401712</v>
      </c>
      <c r="K377" s="1">
        <v>18.069282607</v>
      </c>
      <c r="L377" s="1">
        <v>29.8</v>
      </c>
      <c r="M377" s="1">
        <v>6.8</v>
      </c>
      <c r="N377" s="1">
        <v>29.8</v>
      </c>
      <c r="O377" s="1">
        <v>77.739579321</v>
      </c>
      <c r="P377" s="1">
        <v>16.924197757</v>
      </c>
      <c r="Q377" s="1">
        <v>38.27678</v>
      </c>
      <c r="R377" s="1">
        <v>91.470295387</v>
      </c>
      <c r="S377" s="1">
        <v>18.5</v>
      </c>
      <c r="T377" s="1">
        <v>61576.0</v>
      </c>
      <c r="U377" s="1">
        <v>35.314083409</v>
      </c>
      <c r="V377" s="1">
        <v>298.69371953</v>
      </c>
      <c r="W377" s="1">
        <v>20.019302358</v>
      </c>
      <c r="X377" s="1">
        <v>18.757635561</v>
      </c>
      <c r="Y377" s="1">
        <v>80.2674021489999</v>
      </c>
      <c r="Z377" s="1">
        <v>11.6</v>
      </c>
      <c r="AA377" s="1">
        <v>12.966776105</v>
      </c>
      <c r="AB377" s="1">
        <v>53377.0</v>
      </c>
      <c r="AC377" s="1">
        <v>64.223505467</v>
      </c>
      <c r="AD377" s="1">
        <v>73.194414912</v>
      </c>
      <c r="AE377" s="1">
        <v>16.8503088109999</v>
      </c>
      <c r="AF377" s="1">
        <v>19.818577016</v>
      </c>
      <c r="AG377" s="1">
        <v>0.5620811639</v>
      </c>
      <c r="AH377" s="1">
        <v>1.9814528786</v>
      </c>
      <c r="AI377" s="1">
        <v>0.1074337959</v>
      </c>
      <c r="AJ377" s="1">
        <v>19.548902618</v>
      </c>
      <c r="AK377" s="1">
        <v>56.686430333</v>
      </c>
      <c r="AL377" s="1">
        <v>3.8243386463</v>
      </c>
      <c r="AM377" s="1">
        <v>51.1176228789999</v>
      </c>
      <c r="AN377" s="1">
        <v>3.3572243681</v>
      </c>
      <c r="AO377" s="1">
        <v>24104.0</v>
      </c>
      <c r="AP377" s="1">
        <v>17.9</v>
      </c>
      <c r="AQ377" s="1">
        <v>9.9</v>
      </c>
      <c r="AR377" s="1">
        <v>14.2</v>
      </c>
      <c r="AS377" s="1">
        <v>22.6</v>
      </c>
      <c r="AT377" s="1">
        <v>20.8</v>
      </c>
      <c r="AU377" s="1">
        <v>15.5</v>
      </c>
      <c r="AV377" s="1">
        <v>40.7</v>
      </c>
      <c r="AW377" s="1">
        <v>4.3</v>
      </c>
      <c r="AX377" s="1">
        <v>0.7676</v>
      </c>
      <c r="AY377" s="1">
        <v>10.5</v>
      </c>
      <c r="AZ377" s="1">
        <v>13.3</v>
      </c>
      <c r="BA377" s="1">
        <v>20.3</v>
      </c>
      <c r="BB377" s="1">
        <v>3.18</v>
      </c>
      <c r="BC377" s="1" t="s">
        <v>681</v>
      </c>
      <c r="BD377" s="1">
        <v>13.7</v>
      </c>
      <c r="BE377" s="1">
        <v>33.2</v>
      </c>
      <c r="BF377" s="1">
        <v>31.5</v>
      </c>
      <c r="BG377" s="1">
        <v>21.6</v>
      </c>
      <c r="BH377" s="1" t="s">
        <v>776</v>
      </c>
    </row>
    <row r="378">
      <c r="A378" s="1">
        <v>12113.0</v>
      </c>
      <c r="B378" s="2" t="str">
        <f>IFERROR(__xludf.DUMMYFUNCTION("TO_TEXT(A378)"),"12113")</f>
        <v>12113</v>
      </c>
      <c r="C378" s="1">
        <v>163903.0</v>
      </c>
      <c r="D378" s="1">
        <v>1011.75952025681</v>
      </c>
      <c r="E378" s="1" t="s">
        <v>777</v>
      </c>
      <c r="F378" s="1" t="s">
        <v>778</v>
      </c>
      <c r="G378" s="1">
        <v>161.997981455512</v>
      </c>
      <c r="H378" s="1">
        <v>16.818103932</v>
      </c>
      <c r="I378" s="1">
        <v>4.4137185302</v>
      </c>
      <c r="J378" s="1">
        <v>7.7261021057</v>
      </c>
      <c r="K378" s="1">
        <v>19.218047737</v>
      </c>
      <c r="L378" s="1">
        <v>30.1</v>
      </c>
      <c r="M378" s="1">
        <v>7.3</v>
      </c>
      <c r="N378" s="1">
        <v>29.7</v>
      </c>
      <c r="O378" s="1">
        <v>77.0558623789999</v>
      </c>
      <c r="P378" s="1">
        <v>12.5145267959999</v>
      </c>
      <c r="Q378" s="1">
        <v>71.15314</v>
      </c>
      <c r="R378" s="1">
        <v>86.5439093479999</v>
      </c>
      <c r="S378" s="1">
        <v>12.2</v>
      </c>
      <c r="T378" s="1">
        <v>37465.0</v>
      </c>
      <c r="U378" s="1">
        <v>27.049245963</v>
      </c>
      <c r="V378" s="1">
        <v>145.43043826</v>
      </c>
      <c r="W378" s="1">
        <v>12.791186612</v>
      </c>
      <c r="X378" s="1">
        <v>10.5661339679999</v>
      </c>
      <c r="Y378" s="1">
        <v>77.847643427</v>
      </c>
      <c r="Z378" s="1">
        <v>11.2</v>
      </c>
      <c r="AA378" s="1">
        <v>11.467946487</v>
      </c>
      <c r="AB378" s="1">
        <v>69541.0</v>
      </c>
      <c r="AC378" s="1">
        <v>44.143597071</v>
      </c>
      <c r="AD378" s="1">
        <v>75.417719456</v>
      </c>
      <c r="AE378" s="1">
        <v>9.9607294995</v>
      </c>
      <c r="AF378" s="1">
        <v>6.1338507602</v>
      </c>
      <c r="AG378" s="1">
        <v>0.877618498</v>
      </c>
      <c r="AH378" s="1">
        <v>2.1522283369</v>
      </c>
      <c r="AI378" s="1">
        <v>0.1700594929</v>
      </c>
      <c r="AJ378" s="1">
        <v>5.7011748044</v>
      </c>
      <c r="AK378" s="1">
        <v>82.298200715</v>
      </c>
      <c r="AL378" s="1">
        <v>0.7373346442</v>
      </c>
      <c r="AM378" s="1">
        <v>49.0356790389999</v>
      </c>
      <c r="AN378" s="1">
        <v>20.989350739</v>
      </c>
      <c r="AO378" s="1">
        <v>28219.0</v>
      </c>
      <c r="AP378" s="1">
        <v>12.3</v>
      </c>
      <c r="AQ378" s="1">
        <v>7.1</v>
      </c>
      <c r="AR378" s="1">
        <v>9.8</v>
      </c>
      <c r="AS378" s="1">
        <v>14.4</v>
      </c>
      <c r="AT378" s="1">
        <v>22.6</v>
      </c>
      <c r="AU378" s="1">
        <v>15.5</v>
      </c>
      <c r="AV378" s="1">
        <v>16.9</v>
      </c>
      <c r="AW378" s="1">
        <v>0.7</v>
      </c>
      <c r="AX378" s="1">
        <v>0.341</v>
      </c>
      <c r="AY378" s="1">
        <v>9.8</v>
      </c>
      <c r="AZ378" s="1">
        <v>11.6</v>
      </c>
      <c r="BA378" s="1">
        <v>18.3</v>
      </c>
      <c r="BB378" s="1">
        <v>3.58</v>
      </c>
      <c r="BC378" s="1" t="s">
        <v>681</v>
      </c>
      <c r="BD378" s="1">
        <v>8.7</v>
      </c>
      <c r="BE378" s="1">
        <v>26.8</v>
      </c>
      <c r="BF378" s="1">
        <v>36.8</v>
      </c>
      <c r="BG378" s="1">
        <v>27.7</v>
      </c>
      <c r="BH378" s="1" t="s">
        <v>778</v>
      </c>
    </row>
    <row r="379">
      <c r="A379" s="1">
        <v>12115.0</v>
      </c>
      <c r="B379" s="2" t="str">
        <f>IFERROR(__xludf.DUMMYFUNCTION("TO_TEXT(A379)"),"12115")</f>
        <v>12115</v>
      </c>
      <c r="C379" s="1">
        <v>398011.0</v>
      </c>
      <c r="D379" s="1">
        <v>555.790079177376</v>
      </c>
      <c r="E379" s="1" t="s">
        <v>779</v>
      </c>
      <c r="F379" s="1" t="s">
        <v>780</v>
      </c>
      <c r="G379" s="1">
        <v>716.117496355989</v>
      </c>
      <c r="H379" s="1">
        <v>13.060282648</v>
      </c>
      <c r="I379" s="1">
        <v>4.0210102724</v>
      </c>
      <c r="J379" s="1">
        <v>7.00747265799999</v>
      </c>
      <c r="K379" s="1">
        <v>15.030472177</v>
      </c>
      <c r="L379" s="1">
        <v>21.4</v>
      </c>
      <c r="M379" s="1">
        <v>7.9</v>
      </c>
      <c r="N379" s="1">
        <v>22.0</v>
      </c>
      <c r="O379" s="1">
        <v>92.223967447</v>
      </c>
      <c r="P379" s="1">
        <v>16.300588488</v>
      </c>
      <c r="Q379" s="1">
        <v>76.11204</v>
      </c>
      <c r="R379" s="1">
        <v>85.857664234</v>
      </c>
      <c r="S379" s="1">
        <v>16.7</v>
      </c>
      <c r="T379" s="1">
        <v>59364.0</v>
      </c>
      <c r="U379" s="1">
        <v>33.692136648</v>
      </c>
      <c r="V379" s="1">
        <v>238.88888201</v>
      </c>
      <c r="W379" s="1">
        <v>16.73643742</v>
      </c>
      <c r="X379" s="1">
        <v>15.3066820609999</v>
      </c>
      <c r="Y379" s="1">
        <v>81.888685397</v>
      </c>
      <c r="Z379" s="1">
        <v>9.0</v>
      </c>
      <c r="AA379" s="1">
        <v>6.9465087177</v>
      </c>
      <c r="AB379" s="1">
        <v>61652.0</v>
      </c>
      <c r="AC379" s="1">
        <v>53.91196904</v>
      </c>
      <c r="AD379" s="1">
        <v>73.785246274</v>
      </c>
      <c r="AE379" s="1">
        <v>15.2963072579999</v>
      </c>
      <c r="AF379" s="1">
        <v>4.3914247817</v>
      </c>
      <c r="AG379" s="1">
        <v>0.3191803486</v>
      </c>
      <c r="AH379" s="1">
        <v>1.7819731064</v>
      </c>
      <c r="AI379" s="1">
        <v>0.0618675566</v>
      </c>
      <c r="AJ379" s="1">
        <v>9.3382514916</v>
      </c>
      <c r="AK379" s="1">
        <v>83.015715297</v>
      </c>
      <c r="AL379" s="1">
        <v>2.0923219437</v>
      </c>
      <c r="AM379" s="1">
        <v>52.3474519469999</v>
      </c>
      <c r="AN379" s="1">
        <v>4.3204866016</v>
      </c>
      <c r="AO379" s="1">
        <v>35210.0</v>
      </c>
      <c r="AP379" s="1">
        <v>11.0</v>
      </c>
      <c r="AQ379" s="1">
        <v>7.1</v>
      </c>
      <c r="AR379" s="1">
        <v>7.4</v>
      </c>
      <c r="AS379" s="1">
        <v>34.0</v>
      </c>
      <c r="AT379" s="1">
        <v>14.9</v>
      </c>
      <c r="AU379" s="1">
        <v>15.8</v>
      </c>
      <c r="AV379" s="1">
        <v>16.3</v>
      </c>
      <c r="AW379" s="1">
        <v>2.0</v>
      </c>
      <c r="AX379" s="1">
        <v>0.2827</v>
      </c>
      <c r="AY379" s="1">
        <v>7.8</v>
      </c>
      <c r="AZ379" s="1">
        <v>11.4</v>
      </c>
      <c r="BA379" s="1">
        <v>17.8</v>
      </c>
      <c r="BB379" s="1">
        <v>3.69</v>
      </c>
      <c r="BC379" s="1" t="s">
        <v>681</v>
      </c>
      <c r="BD379" s="1">
        <v>6.9</v>
      </c>
      <c r="BE379" s="1">
        <v>28.9</v>
      </c>
      <c r="BF379" s="1">
        <v>28.8</v>
      </c>
      <c r="BG379" s="1">
        <v>35.4</v>
      </c>
      <c r="BH379" s="1" t="s">
        <v>780</v>
      </c>
    </row>
    <row r="380">
      <c r="A380" s="1">
        <v>12117.0</v>
      </c>
      <c r="B380" s="2" t="str">
        <f>IFERROR(__xludf.DUMMYFUNCTION("TO_TEXT(A380)"),"12117")</f>
        <v>12117</v>
      </c>
      <c r="C380" s="1">
        <v>442905.0</v>
      </c>
      <c r="D380" s="1">
        <v>309.479571997582</v>
      </c>
      <c r="E380" s="1" t="s">
        <v>781</v>
      </c>
      <c r="F380" s="1" t="s">
        <v>782</v>
      </c>
      <c r="G380" s="1">
        <v>1431.12838479517</v>
      </c>
      <c r="H380" s="1">
        <v>16.051029717</v>
      </c>
      <c r="I380" s="1">
        <v>4.0586436951</v>
      </c>
      <c r="J380" s="1">
        <v>7.7917627266</v>
      </c>
      <c r="K380" s="1">
        <v>15.642006468</v>
      </c>
      <c r="L380" s="1">
        <v>26.6</v>
      </c>
      <c r="M380" s="1">
        <v>7.8</v>
      </c>
      <c r="N380" s="1">
        <v>20.3</v>
      </c>
      <c r="O380" s="1">
        <v>90.78700221</v>
      </c>
      <c r="P380" s="1">
        <v>10.133157964</v>
      </c>
      <c r="Q380" s="1">
        <v>75.64967</v>
      </c>
      <c r="R380" s="1">
        <v>88.821408237</v>
      </c>
      <c r="S380" s="1">
        <v>13.4</v>
      </c>
      <c r="T380" s="1">
        <v>95961.0</v>
      </c>
      <c r="U380" s="1">
        <v>29.652671398</v>
      </c>
      <c r="V380" s="1">
        <v>356.8931814</v>
      </c>
      <c r="W380" s="1">
        <v>17.28067087</v>
      </c>
      <c r="X380" s="1">
        <v>16.158258376</v>
      </c>
      <c r="Y380" s="1">
        <v>80.590877859</v>
      </c>
      <c r="Z380" s="1">
        <v>9.3</v>
      </c>
      <c r="AA380" s="1">
        <v>7.1562641956</v>
      </c>
      <c r="AB380" s="1">
        <v>67187.0</v>
      </c>
      <c r="AC380" s="1">
        <v>45.029455081</v>
      </c>
      <c r="AD380" s="1">
        <v>65.1921053889999</v>
      </c>
      <c r="AE380" s="1">
        <v>15.624555523</v>
      </c>
      <c r="AF380" s="1">
        <v>11.391482412</v>
      </c>
      <c r="AG380" s="1">
        <v>0.4379777356</v>
      </c>
      <c r="AH380" s="1">
        <v>4.8729030934</v>
      </c>
      <c r="AI380" s="1">
        <v>0.1214111048</v>
      </c>
      <c r="AJ380" s="1">
        <v>21.981181279</v>
      </c>
      <c r="AK380" s="1">
        <v>59.578224662</v>
      </c>
      <c r="AL380" s="1">
        <v>2.7642231148</v>
      </c>
      <c r="AM380" s="1">
        <v>51.689922878</v>
      </c>
      <c r="AN380" s="1">
        <v>3.1576606627</v>
      </c>
      <c r="AO380" s="1">
        <v>30097.0</v>
      </c>
      <c r="AP380" s="1">
        <v>12.1</v>
      </c>
      <c r="AQ380" s="1">
        <v>8.0</v>
      </c>
      <c r="AR380" s="1">
        <v>6.6</v>
      </c>
      <c r="AS380" s="1">
        <v>14.3</v>
      </c>
      <c r="AT380" s="1">
        <v>21.6</v>
      </c>
      <c r="AU380" s="1">
        <v>10.4</v>
      </c>
      <c r="AV380" s="1">
        <v>36.6</v>
      </c>
      <c r="AW380" s="1">
        <v>2.5</v>
      </c>
      <c r="AX380" s="1">
        <v>0.1786</v>
      </c>
      <c r="AY380" s="1">
        <v>9.3</v>
      </c>
      <c r="AZ380" s="1">
        <v>10.5</v>
      </c>
      <c r="BA380" s="1">
        <v>15.0</v>
      </c>
      <c r="BB380" s="1">
        <v>3.48</v>
      </c>
      <c r="BC380" s="1" t="s">
        <v>681</v>
      </c>
      <c r="BD380" s="1">
        <v>5.7</v>
      </c>
      <c r="BE380" s="1">
        <v>21.1</v>
      </c>
      <c r="BF380" s="1">
        <v>33.6</v>
      </c>
      <c r="BG380" s="1">
        <v>39.6</v>
      </c>
      <c r="BH380" s="1" t="s">
        <v>782</v>
      </c>
    </row>
    <row r="381">
      <c r="A381" s="1">
        <v>12119.0</v>
      </c>
      <c r="B381" s="2" t="str">
        <f>IFERROR(__xludf.DUMMYFUNCTION("TO_TEXT(A381)"),"12119")</f>
        <v>12119</v>
      </c>
      <c r="C381" s="1">
        <v>113589.0</v>
      </c>
      <c r="D381" s="1">
        <v>547.644537407146</v>
      </c>
      <c r="E381" s="1" t="s">
        <v>178</v>
      </c>
      <c r="F381" s="1" t="s">
        <v>783</v>
      </c>
      <c r="G381" s="1">
        <v>207.413736906413</v>
      </c>
      <c r="H381" s="1">
        <v>14.491041177</v>
      </c>
      <c r="I381" s="1">
        <v>4.0869706639</v>
      </c>
      <c r="J381" s="1">
        <v>9.05808004809999</v>
      </c>
      <c r="K381" s="1">
        <v>12.2047154059999</v>
      </c>
      <c r="L381" s="1">
        <v>29.3</v>
      </c>
      <c r="M381" s="1">
        <v>8.1</v>
      </c>
      <c r="N381" s="1">
        <v>21.9</v>
      </c>
      <c r="O381" s="1">
        <v>82.090558767</v>
      </c>
      <c r="P381" s="1">
        <v>11.9044533709999</v>
      </c>
      <c r="Q381" s="1">
        <v>37.55043</v>
      </c>
      <c r="R381" s="1">
        <v>85.483870968</v>
      </c>
      <c r="S381" s="1">
        <v>26.6</v>
      </c>
      <c r="T381" s="1">
        <v>8739.0</v>
      </c>
      <c r="U381" s="1">
        <v>34.855246596</v>
      </c>
      <c r="V381" s="1">
        <v>212.45766781</v>
      </c>
      <c r="W381" s="1">
        <v>11.770664506</v>
      </c>
      <c r="X381" s="1">
        <v>10.533880903</v>
      </c>
      <c r="Y381" s="1">
        <v>80.735538018</v>
      </c>
      <c r="Z381" s="1">
        <v>16.1</v>
      </c>
      <c r="AA381" s="1">
        <v>4.2840258556</v>
      </c>
      <c r="AB381" s="1">
        <v>55324.0</v>
      </c>
      <c r="AC381" s="1">
        <v>59.5070015039999</v>
      </c>
      <c r="AD381" s="1">
        <v>89.759499231</v>
      </c>
      <c r="AE381" s="1">
        <v>10.097284685</v>
      </c>
      <c r="AF381" s="1">
        <v>7.0335678892</v>
      </c>
      <c r="AG381" s="1">
        <v>0.4030942728</v>
      </c>
      <c r="AH381" s="1">
        <v>0.9537567765</v>
      </c>
      <c r="AI381" s="1">
        <v>0.0683473911</v>
      </c>
      <c r="AJ381" s="1">
        <v>5.7497242804</v>
      </c>
      <c r="AK381" s="1">
        <v>85.09871538</v>
      </c>
      <c r="AL381" s="1">
        <v>0.9616598097</v>
      </c>
      <c r="AM381" s="1">
        <v>50.1421315069999</v>
      </c>
      <c r="AN381" s="1">
        <v>34.964675658</v>
      </c>
      <c r="AO381" s="1">
        <v>31591.0</v>
      </c>
      <c r="AP381" s="1">
        <v>9.9</v>
      </c>
      <c r="AQ381" s="1">
        <v>7.9</v>
      </c>
      <c r="AR381" s="1">
        <v>9.5</v>
      </c>
      <c r="AS381" s="1">
        <v>53.1</v>
      </c>
      <c r="AT381" s="1">
        <v>7.5</v>
      </c>
      <c r="AU381" s="1">
        <v>20.4</v>
      </c>
      <c r="AV381" s="1">
        <v>15.3</v>
      </c>
      <c r="AW381" s="1">
        <v>1.1</v>
      </c>
      <c r="AX381" s="1">
        <v>0.2881</v>
      </c>
      <c r="AY381" s="1">
        <v>8.9</v>
      </c>
      <c r="AZ381" s="1">
        <v>12.1</v>
      </c>
      <c r="BA381" s="1">
        <v>23.5</v>
      </c>
      <c r="BB381" s="1">
        <v>3.45</v>
      </c>
      <c r="BC381" s="1" t="s">
        <v>681</v>
      </c>
      <c r="BD381" s="1">
        <v>7.9</v>
      </c>
      <c r="BE381" s="1">
        <v>30.4</v>
      </c>
      <c r="BF381" s="1">
        <v>30.0</v>
      </c>
      <c r="BG381" s="1">
        <v>31.8</v>
      </c>
      <c r="BH381" s="1" t="s">
        <v>783</v>
      </c>
    </row>
    <row r="382">
      <c r="A382" s="1">
        <v>12121.0</v>
      </c>
      <c r="B382" s="2" t="str">
        <f>IFERROR(__xludf.DUMMYFUNCTION("TO_TEXT(A382)"),"12121")</f>
        <v>12121</v>
      </c>
      <c r="C382" s="1">
        <v>43653.0</v>
      </c>
      <c r="D382" s="1">
        <v>688.55156732271</v>
      </c>
      <c r="E382" s="1" t="s">
        <v>784</v>
      </c>
      <c r="F382" s="1" t="s">
        <v>785</v>
      </c>
      <c r="G382" s="1">
        <v>63.3983016983545</v>
      </c>
      <c r="H382" s="1">
        <v>24.346214834</v>
      </c>
      <c r="I382" s="1">
        <v>5.0820509641</v>
      </c>
      <c r="J382" s="1">
        <v>8.951486698</v>
      </c>
      <c r="K382" s="1">
        <v>22.567956415</v>
      </c>
      <c r="L382" s="1">
        <v>38.4</v>
      </c>
      <c r="M382" s="1">
        <v>6.9</v>
      </c>
      <c r="N382" s="1">
        <v>37.0</v>
      </c>
      <c r="O382" s="1">
        <v>49.206998628</v>
      </c>
      <c r="P382" s="1">
        <v>17.20233977</v>
      </c>
      <c r="Q382" s="1">
        <v>15.84069</v>
      </c>
      <c r="R382" s="1">
        <v>92.915531335</v>
      </c>
      <c r="S382" s="1">
        <v>28.2</v>
      </c>
      <c r="T382" s="1">
        <v>9385.0</v>
      </c>
      <c r="U382" s="1">
        <v>38.582844965</v>
      </c>
      <c r="V382" s="1">
        <v>513.58459472</v>
      </c>
      <c r="W382" s="1">
        <v>16.389160953</v>
      </c>
      <c r="X382" s="1">
        <v>12.690628149</v>
      </c>
      <c r="Y382" s="1">
        <v>75.8954161189999</v>
      </c>
      <c r="Z382" s="1">
        <v>14.0</v>
      </c>
      <c r="AA382" s="1">
        <v>9.1673775135</v>
      </c>
      <c r="AB382" s="1">
        <v>38525.0</v>
      </c>
      <c r="AC382" s="1">
        <v>78.0627246</v>
      </c>
      <c r="AD382" s="1">
        <v>71.875621561</v>
      </c>
      <c r="AE382" s="1">
        <v>13.495082909</v>
      </c>
      <c r="AF382" s="1">
        <v>12.396189269</v>
      </c>
      <c r="AG382" s="1">
        <v>0.7467583897</v>
      </c>
      <c r="AH382" s="1">
        <v>0.685659976</v>
      </c>
      <c r="AI382" s="1">
        <v>0.08599036</v>
      </c>
      <c r="AJ382" s="1">
        <v>9.6309203231</v>
      </c>
      <c r="AK382" s="1">
        <v>75.5063248169999</v>
      </c>
      <c r="AL382" s="1">
        <v>1.8100414203</v>
      </c>
      <c r="AM382" s="1">
        <v>48.534769523</v>
      </c>
      <c r="AN382" s="1">
        <v>83.167673462</v>
      </c>
      <c r="AO382" s="1">
        <v>19322.0</v>
      </c>
      <c r="AP382" s="1">
        <v>22.7</v>
      </c>
      <c r="AQ382" s="1">
        <v>10.3</v>
      </c>
      <c r="AR382" s="1">
        <v>20.9</v>
      </c>
      <c r="AS382" s="1">
        <v>20.1</v>
      </c>
      <c r="AT382" s="1">
        <v>21.4</v>
      </c>
      <c r="AU382" s="1">
        <v>18.7</v>
      </c>
      <c r="AV382" s="1">
        <v>24.4</v>
      </c>
      <c r="AW382" s="1">
        <v>2.3</v>
      </c>
      <c r="AX382" s="1">
        <v>0.9643</v>
      </c>
      <c r="AY382" s="1">
        <v>17.1</v>
      </c>
      <c r="AZ382" s="1">
        <v>15.2</v>
      </c>
      <c r="BA382" s="1">
        <v>24.9</v>
      </c>
      <c r="BB382" s="1">
        <v>2.9</v>
      </c>
      <c r="BC382" s="1" t="s">
        <v>681</v>
      </c>
      <c r="BD382" s="1">
        <v>17.7</v>
      </c>
      <c r="BE382" s="1">
        <v>38.9</v>
      </c>
      <c r="BF382" s="1">
        <v>27.9</v>
      </c>
      <c r="BG382" s="1">
        <v>15.5</v>
      </c>
      <c r="BH382" s="1" t="s">
        <v>785</v>
      </c>
    </row>
    <row r="383">
      <c r="A383" s="1">
        <v>12123.0</v>
      </c>
      <c r="B383" s="2" t="str">
        <f>IFERROR(__xludf.DUMMYFUNCTION("TO_TEXT(A383)"),"12123")</f>
        <v>12123</v>
      </c>
      <c r="C383" s="1">
        <v>22582.0</v>
      </c>
      <c r="D383" s="1">
        <v>1043.30126677257</v>
      </c>
      <c r="E383" s="1" t="s">
        <v>786</v>
      </c>
      <c r="F383" s="1" t="s">
        <v>787</v>
      </c>
      <c r="G383" s="1">
        <v>21.6447547024043</v>
      </c>
      <c r="H383" s="1">
        <v>23.831960993</v>
      </c>
      <c r="I383" s="1">
        <v>4.7450017087</v>
      </c>
      <c r="J383" s="1">
        <v>9.7725875845</v>
      </c>
      <c r="K383" s="1">
        <v>23.787929353</v>
      </c>
      <c r="L383" s="1">
        <v>34.5</v>
      </c>
      <c r="M383" s="1">
        <v>6.6</v>
      </c>
      <c r="N383" s="1">
        <v>34.6</v>
      </c>
      <c r="O383" s="1">
        <v>68.068232167</v>
      </c>
      <c r="P383" s="1">
        <v>14.918054809</v>
      </c>
      <c r="Q383" s="1">
        <v>36.64178</v>
      </c>
      <c r="R383" s="1">
        <v>70.303030303</v>
      </c>
      <c r="S383" s="1">
        <v>29.8</v>
      </c>
      <c r="T383" s="1">
        <v>4205.0</v>
      </c>
      <c r="U383" s="1">
        <v>33.579072533</v>
      </c>
      <c r="V383" s="1">
        <v>915.96362441</v>
      </c>
      <c r="W383" s="1">
        <v>10.404241219</v>
      </c>
      <c r="X383" s="1">
        <v>7.4224021592</v>
      </c>
      <c r="Y383" s="1">
        <v>75.399222077</v>
      </c>
      <c r="Z383" s="1">
        <v>13.3</v>
      </c>
      <c r="AA383" s="1">
        <v>12.107335082</v>
      </c>
      <c r="AB383" s="1">
        <v>42307.0</v>
      </c>
      <c r="AC383" s="1">
        <v>65.354884048</v>
      </c>
      <c r="AD383" s="1">
        <v>81.498096792</v>
      </c>
      <c r="AE383" s="1">
        <v>8.6001164144</v>
      </c>
      <c r="AF383" s="1">
        <v>19.280395875</v>
      </c>
      <c r="AG383" s="1">
        <v>0.9758127919</v>
      </c>
      <c r="AH383" s="1">
        <v>0.846321047</v>
      </c>
      <c r="AI383" s="1">
        <v>0.0554964621</v>
      </c>
      <c r="AJ383" s="1">
        <v>4.5044628405</v>
      </c>
      <c r="AK383" s="1">
        <v>72.436757157</v>
      </c>
      <c r="AL383" s="1">
        <v>0.711912672</v>
      </c>
      <c r="AM383" s="1">
        <v>45.437728345</v>
      </c>
      <c r="AN383" s="1">
        <v>69.282233053</v>
      </c>
      <c r="AO383" s="1">
        <v>16081.0</v>
      </c>
      <c r="AP383" s="1">
        <v>14.8</v>
      </c>
      <c r="AQ383" s="1">
        <v>7.7</v>
      </c>
      <c r="AR383" s="1">
        <v>21.3</v>
      </c>
      <c r="AS383" s="1">
        <v>17.8</v>
      </c>
      <c r="AT383" s="1">
        <v>19.3</v>
      </c>
      <c r="AU383" s="1">
        <v>21.4</v>
      </c>
      <c r="AV383" s="1">
        <v>27.8</v>
      </c>
      <c r="AW383" s="1">
        <v>1.0</v>
      </c>
      <c r="AX383" s="1">
        <v>0.843</v>
      </c>
      <c r="AY383" s="1">
        <v>19.9</v>
      </c>
      <c r="AZ383" s="1">
        <v>16.4</v>
      </c>
      <c r="BA383" s="1">
        <v>26.0</v>
      </c>
      <c r="BB383" s="1">
        <v>2.99</v>
      </c>
      <c r="BC383" s="1" t="s">
        <v>681</v>
      </c>
      <c r="BD383" s="1">
        <v>21.2</v>
      </c>
      <c r="BE383" s="1">
        <v>43.8</v>
      </c>
      <c r="BF383" s="1">
        <v>26.6</v>
      </c>
      <c r="BG383" s="1">
        <v>8.3</v>
      </c>
      <c r="BH383" s="1" t="s">
        <v>787</v>
      </c>
    </row>
    <row r="384">
      <c r="A384" s="1">
        <v>12125.0</v>
      </c>
      <c r="B384" s="2" t="str">
        <f>IFERROR(__xludf.DUMMYFUNCTION("TO_TEXT(A384)"),"12125")</f>
        <v>12125</v>
      </c>
      <c r="C384" s="1">
        <v>15159.0</v>
      </c>
      <c r="D384" s="1">
        <v>243.555935820174</v>
      </c>
      <c r="E384" s="1" t="s">
        <v>406</v>
      </c>
      <c r="F384" s="1" t="s">
        <v>788</v>
      </c>
      <c r="G384" s="1">
        <v>62.2403225318738</v>
      </c>
      <c r="H384" s="1">
        <v>22.1254726319999</v>
      </c>
      <c r="I384" s="1">
        <v>4.5709973461</v>
      </c>
      <c r="J384" s="1">
        <v>10.301953819</v>
      </c>
      <c r="K384" s="1">
        <v>23.264138474</v>
      </c>
      <c r="L384" s="1">
        <v>36.9</v>
      </c>
      <c r="M384" s="1">
        <v>6.5</v>
      </c>
      <c r="N384" s="1">
        <v>32.2</v>
      </c>
      <c r="O384" s="1">
        <v>21.6221435469999</v>
      </c>
      <c r="P384" s="1">
        <v>12.6760563379999</v>
      </c>
      <c r="Q384" s="1">
        <v>25.77818</v>
      </c>
      <c r="R384" s="1">
        <v>81.012658228</v>
      </c>
      <c r="S384" s="1">
        <v>21.0</v>
      </c>
      <c r="T384" s="1">
        <v>2868.0</v>
      </c>
      <c r="U384" s="1">
        <v>36.471408647</v>
      </c>
      <c r="V384" s="1">
        <v>273.35001976</v>
      </c>
      <c r="W384" s="1">
        <v>16.0668380459999</v>
      </c>
      <c r="X384" s="1">
        <v>12.610966057</v>
      </c>
      <c r="Y384" s="1">
        <v>68.510900608</v>
      </c>
      <c r="Z384" s="1">
        <v>13.8</v>
      </c>
      <c r="AA384" s="1">
        <v>9.5417443885</v>
      </c>
      <c r="AB384" s="1">
        <v>45906.0</v>
      </c>
      <c r="AC384" s="1">
        <v>66.939655172</v>
      </c>
      <c r="AD384" s="1">
        <v>69.116135663</v>
      </c>
      <c r="AE384" s="1">
        <v>14.481830417</v>
      </c>
      <c r="AF384" s="1">
        <v>21.941097724</v>
      </c>
      <c r="AG384" s="1">
        <v>0.5287817938</v>
      </c>
      <c r="AH384" s="1">
        <v>0.7429718876</v>
      </c>
      <c r="AI384" s="1">
        <v>0.0401606426</v>
      </c>
      <c r="AJ384" s="1">
        <v>5.7095046854</v>
      </c>
      <c r="AK384" s="1">
        <v>69.605087015</v>
      </c>
      <c r="AL384" s="1">
        <v>0.2640722724</v>
      </c>
      <c r="AM384" s="1">
        <v>35.589022758</v>
      </c>
      <c r="AN384" s="1">
        <v>67.447698745</v>
      </c>
      <c r="AO384" s="1">
        <v>12943.0</v>
      </c>
      <c r="AP384" s="1">
        <v>22.4</v>
      </c>
      <c r="AQ384" s="1">
        <v>10.5</v>
      </c>
      <c r="AR384" s="1">
        <v>25.6</v>
      </c>
      <c r="AS384" s="1">
        <v>12.8</v>
      </c>
      <c r="AT384" s="1">
        <v>19.1</v>
      </c>
      <c r="AU384" s="1">
        <v>15.0</v>
      </c>
      <c r="AV384" s="1">
        <v>29.8</v>
      </c>
      <c r="AW384" s="1">
        <v>0.5</v>
      </c>
      <c r="AX384" s="1">
        <v>0.8921</v>
      </c>
      <c r="AY384" s="1">
        <v>19.9</v>
      </c>
      <c r="AZ384" s="1">
        <v>15.5</v>
      </c>
      <c r="BA384" s="1">
        <v>25.1</v>
      </c>
      <c r="BB384" s="1">
        <v>3.33</v>
      </c>
      <c r="BC384" s="1" t="s">
        <v>681</v>
      </c>
      <c r="BD384" s="1">
        <v>23.5</v>
      </c>
      <c r="BE384" s="1">
        <v>37.4</v>
      </c>
      <c r="BF384" s="1">
        <v>29.9</v>
      </c>
      <c r="BG384" s="1">
        <v>9.2</v>
      </c>
      <c r="BH384" s="1" t="s">
        <v>788</v>
      </c>
    </row>
    <row r="385">
      <c r="A385" s="1">
        <v>12127.0</v>
      </c>
      <c r="B385" s="2" t="str">
        <f>IFERROR(__xludf.DUMMYFUNCTION("TO_TEXT(A385)"),"12127")</f>
        <v>12127</v>
      </c>
      <c r="C385" s="1">
        <v>510806.0</v>
      </c>
      <c r="D385" s="1">
        <v>1101.17855503067</v>
      </c>
      <c r="E385" s="1" t="s">
        <v>789</v>
      </c>
      <c r="F385" s="1" t="s">
        <v>790</v>
      </c>
      <c r="G385" s="1">
        <v>463.872092011248</v>
      </c>
      <c r="H385" s="1">
        <v>18.067422973</v>
      </c>
      <c r="I385" s="1">
        <v>4.5627292802</v>
      </c>
      <c r="J385" s="1">
        <v>8.6428487207</v>
      </c>
      <c r="K385" s="1">
        <v>18.360185779</v>
      </c>
      <c r="L385" s="1">
        <v>29.8</v>
      </c>
      <c r="M385" s="1">
        <v>6.8</v>
      </c>
      <c r="N385" s="1">
        <v>28.9</v>
      </c>
      <c r="O385" s="1">
        <v>88.785526686</v>
      </c>
      <c r="P385" s="1">
        <v>14.622956269</v>
      </c>
      <c r="Q385" s="1">
        <v>68.68489</v>
      </c>
      <c r="R385" s="1">
        <v>77.072235244</v>
      </c>
      <c r="S385" s="1">
        <v>17.5</v>
      </c>
      <c r="T385" s="1">
        <v>92998.0</v>
      </c>
      <c r="U385" s="1">
        <v>39.977203811</v>
      </c>
      <c r="V385" s="1">
        <v>428.08435654</v>
      </c>
      <c r="W385" s="1">
        <v>18.201743705</v>
      </c>
      <c r="X385" s="1">
        <v>16.725374104</v>
      </c>
      <c r="Y385" s="1">
        <v>76.904578722</v>
      </c>
      <c r="Z385" s="1">
        <v>12.9</v>
      </c>
      <c r="AA385" s="1">
        <v>13.267241129</v>
      </c>
      <c r="AB385" s="1">
        <v>50285.0</v>
      </c>
      <c r="AC385" s="1">
        <v>64.6721519789999</v>
      </c>
      <c r="AD385" s="1">
        <v>70.11291875</v>
      </c>
      <c r="AE385" s="1">
        <v>16.186313479</v>
      </c>
      <c r="AF385" s="1">
        <v>10.366221157</v>
      </c>
      <c r="AG385" s="1">
        <v>0.4733918011</v>
      </c>
      <c r="AH385" s="1">
        <v>2.0068013544</v>
      </c>
      <c r="AI385" s="1">
        <v>0.0781680905999999</v>
      </c>
      <c r="AJ385" s="1">
        <v>14.528124075</v>
      </c>
      <c r="AK385" s="1">
        <v>71.178256121</v>
      </c>
      <c r="AL385" s="1">
        <v>1.3435704395</v>
      </c>
      <c r="AM385" s="1">
        <v>51.196629275</v>
      </c>
      <c r="AN385" s="1">
        <v>9.9433271397</v>
      </c>
      <c r="AO385" s="1">
        <v>24834.0</v>
      </c>
      <c r="AP385" s="1">
        <v>16.7</v>
      </c>
      <c r="AQ385" s="1">
        <v>7.8</v>
      </c>
      <c r="AR385" s="1">
        <v>10.7</v>
      </c>
      <c r="AS385" s="1">
        <v>23.2</v>
      </c>
      <c r="AT385" s="1">
        <v>18.0</v>
      </c>
      <c r="AU385" s="1">
        <v>16.3</v>
      </c>
      <c r="AV385" s="1">
        <v>26.4</v>
      </c>
      <c r="AW385" s="1">
        <v>1.6</v>
      </c>
      <c r="AX385" s="1">
        <v>0.5896</v>
      </c>
      <c r="AY385" s="1">
        <v>13.1</v>
      </c>
      <c r="AZ385" s="1">
        <v>13.6</v>
      </c>
      <c r="BA385" s="1">
        <v>20.7</v>
      </c>
      <c r="BB385" s="1">
        <v>3.51</v>
      </c>
      <c r="BC385" s="1" t="s">
        <v>681</v>
      </c>
      <c r="BD385" s="1">
        <v>9.5</v>
      </c>
      <c r="BE385" s="1">
        <v>31.8</v>
      </c>
      <c r="BF385" s="1">
        <v>35.0</v>
      </c>
      <c r="BG385" s="1">
        <v>23.7</v>
      </c>
      <c r="BH385" s="1" t="s">
        <v>790</v>
      </c>
    </row>
    <row r="386">
      <c r="A386" s="1">
        <v>12129.0</v>
      </c>
      <c r="B386" s="2" t="str">
        <f>IFERROR(__xludf.DUMMYFUNCTION("TO_TEXT(A386)"),"12129")</f>
        <v>12129</v>
      </c>
      <c r="C386" s="1">
        <v>31314.0</v>
      </c>
      <c r="D386" s="1">
        <v>606.421561086356</v>
      </c>
      <c r="E386" s="1" t="s">
        <v>791</v>
      </c>
      <c r="F386" s="1" t="s">
        <v>792</v>
      </c>
      <c r="G386" s="1">
        <v>51.6373460467063</v>
      </c>
      <c r="H386" s="1">
        <v>17.086575875</v>
      </c>
      <c r="I386" s="1">
        <v>4.2311721894</v>
      </c>
      <c r="J386" s="1">
        <v>7.9413034096</v>
      </c>
      <c r="K386" s="1">
        <v>19.240291999</v>
      </c>
      <c r="L386" s="1">
        <v>39.5</v>
      </c>
      <c r="M386" s="1">
        <v>8.2</v>
      </c>
      <c r="N386" s="1">
        <v>29.9</v>
      </c>
      <c r="O386" s="1">
        <v>83.8705484789999</v>
      </c>
      <c r="P386" s="1">
        <v>12.397440105</v>
      </c>
      <c r="Q386" s="1">
        <v>31.13325</v>
      </c>
      <c r="R386" s="1">
        <v>87.536231884</v>
      </c>
      <c r="S386" s="1">
        <v>16.2</v>
      </c>
      <c r="T386" s="1">
        <v>6825.0</v>
      </c>
      <c r="U386" s="1">
        <v>23.7362637359999</v>
      </c>
      <c r="V386" s="1">
        <v>218.86349579</v>
      </c>
      <c r="W386" s="1">
        <v>11.515151515</v>
      </c>
      <c r="X386" s="1">
        <v>9.4766619519</v>
      </c>
      <c r="Y386" s="1">
        <v>76.539180953</v>
      </c>
      <c r="Z386" s="1">
        <v>8.4</v>
      </c>
      <c r="AA386" s="1">
        <v>0.2599341168</v>
      </c>
      <c r="AB386" s="1">
        <v>58203.0</v>
      </c>
      <c r="AC386" s="1">
        <v>43.275529865</v>
      </c>
      <c r="AD386" s="1">
        <v>80.655945067</v>
      </c>
      <c r="AE386" s="1">
        <v>7.7535349752</v>
      </c>
      <c r="AF386" s="1">
        <v>12.803055975</v>
      </c>
      <c r="AG386" s="1">
        <v>0.739348757</v>
      </c>
      <c r="AH386" s="1">
        <v>0.739348757</v>
      </c>
      <c r="AI386" s="1">
        <v>0.0924185946</v>
      </c>
      <c r="AJ386" s="1">
        <v>3.7675980407</v>
      </c>
      <c r="AK386" s="1">
        <v>80.059147901</v>
      </c>
      <c r="AL386" s="1">
        <v>0.1912676428</v>
      </c>
      <c r="AM386" s="1">
        <v>46.622100367</v>
      </c>
      <c r="AN386" s="1">
        <v>61.677930855</v>
      </c>
      <c r="AO386" s="1">
        <v>22129.0</v>
      </c>
      <c r="AP386" s="1">
        <v>14.3</v>
      </c>
      <c r="AQ386" s="1">
        <v>7.1</v>
      </c>
      <c r="AR386" s="1">
        <v>12.3</v>
      </c>
      <c r="AS386" s="1">
        <v>12.9</v>
      </c>
      <c r="AT386" s="1">
        <v>21.0</v>
      </c>
      <c r="AU386" s="1">
        <v>15.9</v>
      </c>
      <c r="AV386" s="1">
        <v>20.9</v>
      </c>
      <c r="AW386" s="1">
        <v>0.5</v>
      </c>
      <c r="AX386" s="1">
        <v>0.5591</v>
      </c>
      <c r="AY386" s="1">
        <v>12.0</v>
      </c>
      <c r="AZ386" s="1">
        <v>12.1</v>
      </c>
      <c r="BA386" s="1">
        <v>18.5</v>
      </c>
      <c r="BB386" s="1">
        <v>3.1</v>
      </c>
      <c r="BC386" s="1" t="s">
        <v>681</v>
      </c>
      <c r="BD386" s="1">
        <v>12.3</v>
      </c>
      <c r="BE386" s="1">
        <v>36.2</v>
      </c>
      <c r="BF386" s="1">
        <v>33.2</v>
      </c>
      <c r="BG386" s="1">
        <v>18.3</v>
      </c>
      <c r="BH386" s="1" t="s">
        <v>792</v>
      </c>
    </row>
    <row r="387">
      <c r="A387" s="1">
        <v>12131.0</v>
      </c>
      <c r="B387" s="2" t="str">
        <f>IFERROR(__xludf.DUMMYFUNCTION("TO_TEXT(A387)"),"12131")</f>
        <v>12131</v>
      </c>
      <c r="C387" s="1">
        <v>61528.0</v>
      </c>
      <c r="D387" s="1">
        <v>1037.71937317008</v>
      </c>
      <c r="E387" s="1" t="s">
        <v>793</v>
      </c>
      <c r="F387" s="1" t="s">
        <v>794</v>
      </c>
      <c r="G387" s="1">
        <v>59.2915595398792</v>
      </c>
      <c r="H387" s="1">
        <v>21.58574772</v>
      </c>
      <c r="I387" s="1">
        <v>4.452088544</v>
      </c>
      <c r="J387" s="1">
        <v>7.38280508639999</v>
      </c>
      <c r="K387" s="1">
        <v>21.240024187</v>
      </c>
      <c r="L387" s="1">
        <v>31.8</v>
      </c>
      <c r="M387" s="1">
        <v>7.6</v>
      </c>
      <c r="N387" s="1">
        <v>31.7</v>
      </c>
      <c r="O387" s="1">
        <v>66.091964464</v>
      </c>
      <c r="P387" s="1">
        <v>17.641723356</v>
      </c>
      <c r="Q387" s="1">
        <v>52.65005</v>
      </c>
      <c r="R387" s="1">
        <v>82.722513089</v>
      </c>
      <c r="S387" s="1">
        <v>18.6</v>
      </c>
      <c r="T387" s="1">
        <v>13306.0</v>
      </c>
      <c r="U387" s="1">
        <v>28.498421765</v>
      </c>
      <c r="V387" s="1">
        <v>361.62518613</v>
      </c>
      <c r="W387" s="1">
        <v>18.762844225</v>
      </c>
      <c r="X387" s="1">
        <v>13.536201469</v>
      </c>
      <c r="Y387" s="1">
        <v>78.6684459539999</v>
      </c>
      <c r="Z387" s="1">
        <v>12.8</v>
      </c>
      <c r="AA387" s="1">
        <v>5.5328784198</v>
      </c>
      <c r="AB387" s="1">
        <v>60973.0</v>
      </c>
      <c r="AC387" s="1">
        <v>52.41663149</v>
      </c>
      <c r="AD387" s="1">
        <v>73.967161017</v>
      </c>
      <c r="AE387" s="1">
        <v>14.295296717</v>
      </c>
      <c r="AF387" s="1">
        <v>5.0395796848</v>
      </c>
      <c r="AG387" s="1">
        <v>0.805604203199999</v>
      </c>
      <c r="AH387" s="1">
        <v>1.3842381786</v>
      </c>
      <c r="AI387" s="1">
        <v>0.1611208406</v>
      </c>
      <c r="AJ387" s="1">
        <v>6.380385289</v>
      </c>
      <c r="AK387" s="1">
        <v>84.205954466</v>
      </c>
      <c r="AL387" s="1">
        <v>1.1067729341</v>
      </c>
      <c r="AM387" s="1">
        <v>49.450087566</v>
      </c>
      <c r="AN387" s="1">
        <v>63.125193031</v>
      </c>
      <c r="AO387" s="1">
        <v>28475.0</v>
      </c>
      <c r="AP387" s="1">
        <v>17.4</v>
      </c>
      <c r="AQ387" s="1">
        <v>7.3</v>
      </c>
      <c r="AR387" s="1">
        <v>15.1</v>
      </c>
      <c r="AS387" s="1">
        <v>18.8</v>
      </c>
      <c r="AT387" s="1">
        <v>20.5</v>
      </c>
      <c r="AU387" s="1">
        <v>16.5</v>
      </c>
      <c r="AV387" s="1">
        <v>15.6</v>
      </c>
      <c r="AW387" s="1">
        <v>1.5</v>
      </c>
      <c r="AX387" s="1">
        <v>0.6934</v>
      </c>
      <c r="AY387" s="1">
        <v>10.8</v>
      </c>
      <c r="AZ387" s="1">
        <v>13.2</v>
      </c>
      <c r="BA387" s="1">
        <v>22.1</v>
      </c>
      <c r="BB387" s="1">
        <v>3.83</v>
      </c>
      <c r="BC387" s="1" t="s">
        <v>681</v>
      </c>
      <c r="BD387" s="1">
        <v>10.9</v>
      </c>
      <c r="BE387" s="1">
        <v>28.5</v>
      </c>
      <c r="BF387" s="1">
        <v>32.1</v>
      </c>
      <c r="BG387" s="1">
        <v>28.5</v>
      </c>
      <c r="BH387" s="1" t="s">
        <v>794</v>
      </c>
    </row>
    <row r="388">
      <c r="A388" s="1">
        <v>12133.0</v>
      </c>
      <c r="B388" s="2" t="str">
        <f>IFERROR(__xludf.DUMMYFUNCTION("TO_TEXT(A388)"),"12133")</f>
        <v>12133</v>
      </c>
      <c r="C388" s="1">
        <v>24627.0</v>
      </c>
      <c r="D388" s="1">
        <v>584.183417552154</v>
      </c>
      <c r="E388" s="1" t="s">
        <v>188</v>
      </c>
      <c r="F388" s="1" t="s">
        <v>795</v>
      </c>
      <c r="G388" s="1">
        <v>42.1562804764163</v>
      </c>
      <c r="H388" s="1">
        <v>23.479047638</v>
      </c>
      <c r="I388" s="1">
        <v>4.8605458786</v>
      </c>
      <c r="J388" s="1">
        <v>7.82352941179999</v>
      </c>
      <c r="K388" s="1">
        <v>22.898720423</v>
      </c>
      <c r="L388" s="1">
        <v>37.8</v>
      </c>
      <c r="M388" s="1">
        <v>5.6</v>
      </c>
      <c r="N388" s="1">
        <v>35.6</v>
      </c>
      <c r="O388" s="1">
        <v>33.366805913</v>
      </c>
      <c r="P388" s="1">
        <v>16.570491061</v>
      </c>
      <c r="Q388" s="1">
        <v>24.42301</v>
      </c>
      <c r="R388" s="1">
        <v>77.821011673</v>
      </c>
      <c r="S388" s="1">
        <v>32.0</v>
      </c>
      <c r="T388" s="1">
        <v>4838.0</v>
      </c>
      <c r="U388" s="1">
        <v>35.758577925</v>
      </c>
      <c r="V388" s="1">
        <v>189.85296494</v>
      </c>
      <c r="W388" s="1">
        <v>11.887694146</v>
      </c>
      <c r="X388" s="1">
        <v>10.313460356</v>
      </c>
      <c r="Y388" s="1">
        <v>73.7374682069999</v>
      </c>
      <c r="Z388" s="1">
        <v>14.8</v>
      </c>
      <c r="AA388" s="1">
        <v>22.140621168</v>
      </c>
      <c r="AB388" s="1">
        <v>39225.0</v>
      </c>
      <c r="AC388" s="1">
        <v>61.206627071</v>
      </c>
      <c r="AD388" s="1">
        <v>77.451673739</v>
      </c>
      <c r="AE388" s="1">
        <v>11.225144323</v>
      </c>
      <c r="AF388" s="1">
        <v>14.501607717</v>
      </c>
      <c r="AG388" s="1">
        <v>1.36254019289999</v>
      </c>
      <c r="AH388" s="1">
        <v>0.5948553055</v>
      </c>
      <c r="AI388" s="1">
        <v>0.3416398714</v>
      </c>
      <c r="AJ388" s="1">
        <v>3.7017684887</v>
      </c>
      <c r="AK388" s="1">
        <v>77.540192926</v>
      </c>
      <c r="AL388" s="1">
        <v>0.8151008151</v>
      </c>
      <c r="AM388" s="1">
        <v>46.34244373</v>
      </c>
      <c r="AN388" s="1">
        <v>84.551735219</v>
      </c>
      <c r="AO388" s="1">
        <v>18239.0</v>
      </c>
      <c r="AP388" s="1">
        <v>20.5</v>
      </c>
      <c r="AQ388" s="1">
        <v>9.8</v>
      </c>
      <c r="AR388" s="1">
        <v>20.2</v>
      </c>
      <c r="AS388" s="1">
        <v>17.5</v>
      </c>
      <c r="AT388" s="1">
        <v>20.0</v>
      </c>
      <c r="AU388" s="1">
        <v>20.3</v>
      </c>
      <c r="AV388" s="1">
        <v>22.4</v>
      </c>
      <c r="AW388" s="1">
        <v>0.7</v>
      </c>
      <c r="AX388" s="1">
        <v>0.8287</v>
      </c>
      <c r="AY388" s="1">
        <v>20.1</v>
      </c>
      <c r="AZ388" s="1">
        <v>16.9</v>
      </c>
      <c r="BA388" s="1">
        <v>25.5</v>
      </c>
      <c r="BB388" s="1">
        <v>2.87</v>
      </c>
      <c r="BC388" s="1" t="s">
        <v>681</v>
      </c>
      <c r="BD388" s="1">
        <v>18.7</v>
      </c>
      <c r="BE388" s="1">
        <v>40.1</v>
      </c>
      <c r="BF388" s="1">
        <v>28.6</v>
      </c>
      <c r="BG388" s="1">
        <v>12.5</v>
      </c>
      <c r="BH388" s="1" t="s">
        <v>795</v>
      </c>
    </row>
    <row r="389">
      <c r="A389" s="1">
        <v>13001.0</v>
      </c>
      <c r="B389" s="2" t="str">
        <f>IFERROR(__xludf.DUMMYFUNCTION("TO_TEXT(A389)"),"13001")</f>
        <v>13001</v>
      </c>
      <c r="C389" s="1">
        <v>18410.0</v>
      </c>
      <c r="D389" s="1">
        <v>507.123610501422</v>
      </c>
      <c r="E389" s="1" t="s">
        <v>796</v>
      </c>
      <c r="F389" s="1" t="s">
        <v>797</v>
      </c>
      <c r="G389" s="1">
        <v>36.3027861822426</v>
      </c>
      <c r="H389" s="1">
        <v>22.395262135</v>
      </c>
      <c r="I389" s="1">
        <v>4.2975712831</v>
      </c>
      <c r="J389" s="1">
        <v>9.7064110246</v>
      </c>
      <c r="K389" s="1">
        <v>20.18941483</v>
      </c>
      <c r="L389" s="1">
        <v>38.8</v>
      </c>
      <c r="M389" s="1">
        <v>7.3</v>
      </c>
      <c r="N389" s="1">
        <v>37.9</v>
      </c>
      <c r="O389" s="1">
        <v>19.960517657</v>
      </c>
      <c r="P389" s="1">
        <v>19.145356662</v>
      </c>
      <c r="Q389" s="1">
        <v>37.79494</v>
      </c>
      <c r="R389" s="1">
        <v>88.75502008</v>
      </c>
      <c r="S389" s="1">
        <v>34.0</v>
      </c>
      <c r="T389" s="1">
        <v>4560.0</v>
      </c>
      <c r="U389" s="1">
        <v>40.131578947</v>
      </c>
      <c r="V389" s="1">
        <v>379.19826652</v>
      </c>
      <c r="W389" s="1">
        <v>11.102831595</v>
      </c>
      <c r="X389" s="1">
        <v>8.2737642586</v>
      </c>
      <c r="Y389" s="1">
        <v>75.209436817</v>
      </c>
      <c r="Z389" s="1">
        <v>17.7</v>
      </c>
      <c r="AA389" s="1">
        <v>6.7730413641</v>
      </c>
      <c r="AB389" s="1">
        <v>42781.0</v>
      </c>
      <c r="AC389" s="1">
        <v>90.38197307</v>
      </c>
      <c r="AD389" s="1">
        <v>73.0469919189999</v>
      </c>
      <c r="AE389" s="1">
        <v>8.8159171789</v>
      </c>
      <c r="AF389" s="1">
        <v>18.87393959</v>
      </c>
      <c r="AG389" s="1">
        <v>0.5619495326</v>
      </c>
      <c r="AH389" s="1">
        <v>0.837520937999999</v>
      </c>
      <c r="AI389" s="1">
        <v>0.2053277138</v>
      </c>
      <c r="AJ389" s="1">
        <v>10.244772248</v>
      </c>
      <c r="AK389" s="1">
        <v>68.617279948</v>
      </c>
      <c r="AL389" s="1">
        <v>2.5974025974</v>
      </c>
      <c r="AM389" s="1">
        <v>50.072945372</v>
      </c>
      <c r="AN389" s="1">
        <v>71.441105506</v>
      </c>
      <c r="AO389" s="1">
        <v>19607.0</v>
      </c>
      <c r="AP389" s="1">
        <v>20.6</v>
      </c>
      <c r="AQ389" s="1">
        <v>8.5</v>
      </c>
      <c r="AR389" s="1">
        <v>23.6</v>
      </c>
      <c r="AS389" s="1">
        <v>15.5</v>
      </c>
      <c r="AT389" s="1">
        <v>25.3</v>
      </c>
      <c r="AU389" s="1">
        <v>19.2</v>
      </c>
      <c r="AV389" s="1">
        <v>30.0</v>
      </c>
      <c r="AW389" s="1">
        <v>1.8</v>
      </c>
      <c r="AX389" s="1">
        <v>0.9433</v>
      </c>
      <c r="AY389" s="1">
        <v>20.9</v>
      </c>
      <c r="AZ389" s="1">
        <v>15.7</v>
      </c>
      <c r="BA389" s="1">
        <v>21.9</v>
      </c>
      <c r="BB389" s="1">
        <v>2.88</v>
      </c>
      <c r="BC389" s="1" t="s">
        <v>798</v>
      </c>
      <c r="BD389" s="1">
        <v>25.1</v>
      </c>
      <c r="BE389" s="1">
        <v>38.7</v>
      </c>
      <c r="BF389" s="1">
        <v>26.4</v>
      </c>
      <c r="BG389" s="1">
        <v>9.8</v>
      </c>
      <c r="BH389" s="1" t="s">
        <v>797</v>
      </c>
    </row>
    <row r="390">
      <c r="A390" s="1">
        <v>13003.0</v>
      </c>
      <c r="B390" s="2" t="str">
        <f>IFERROR(__xludf.DUMMYFUNCTION("TO_TEXT(A390)"),"13003")</f>
        <v>13003</v>
      </c>
      <c r="C390" s="1">
        <v>8268.0</v>
      </c>
      <c r="D390" s="1">
        <v>339.301002442146</v>
      </c>
      <c r="E390" s="1" t="s">
        <v>799</v>
      </c>
      <c r="F390" s="1" t="s">
        <v>800</v>
      </c>
      <c r="G390" s="1">
        <v>24.3677440988692</v>
      </c>
      <c r="H390" s="1">
        <v>26.527487503</v>
      </c>
      <c r="I390" s="1">
        <v>4.6174046313</v>
      </c>
      <c r="J390" s="1">
        <v>7.1129707113</v>
      </c>
      <c r="K390" s="1">
        <v>21.822200509</v>
      </c>
      <c r="L390" s="1">
        <v>34.8</v>
      </c>
      <c r="M390" s="1">
        <v>7.2</v>
      </c>
      <c r="N390" s="1">
        <v>33.7</v>
      </c>
      <c r="O390" s="1">
        <v>0.0</v>
      </c>
      <c r="P390" s="1">
        <v>22.387419585</v>
      </c>
      <c r="Q390" s="1">
        <v>48.31939</v>
      </c>
      <c r="R390" s="1">
        <v>88.495575221</v>
      </c>
      <c r="S390" s="1">
        <v>42.2</v>
      </c>
      <c r="T390" s="1">
        <v>2264.0</v>
      </c>
      <c r="U390" s="1">
        <v>44.9204947</v>
      </c>
      <c r="V390" s="1">
        <v>204.509002055</v>
      </c>
      <c r="W390" s="1">
        <v>13.627992634</v>
      </c>
      <c r="X390" s="1">
        <v>11.028037383</v>
      </c>
      <c r="Y390" s="1">
        <v>73.972711279</v>
      </c>
      <c r="Z390" s="1">
        <v>13.3</v>
      </c>
      <c r="AA390" s="1">
        <v>12.267062994</v>
      </c>
      <c r="AB390" s="1">
        <v>36779.0</v>
      </c>
      <c r="AC390" s="1">
        <v>89.758681577</v>
      </c>
      <c r="AD390" s="1">
        <v>75.152603232</v>
      </c>
      <c r="AE390" s="1">
        <v>9.938366718</v>
      </c>
      <c r="AF390" s="1">
        <v>16.05399542</v>
      </c>
      <c r="AG390" s="1">
        <v>1.4945160902</v>
      </c>
      <c r="AH390" s="1">
        <v>0.8918886344</v>
      </c>
      <c r="AI390" s="1">
        <v>1.0365192238</v>
      </c>
      <c r="AJ390" s="1">
        <v>24.972881764</v>
      </c>
      <c r="AK390" s="1">
        <v>56.586718091</v>
      </c>
      <c r="AL390" s="1">
        <v>9.0074954769</v>
      </c>
      <c r="AM390" s="1">
        <v>49.52392431</v>
      </c>
      <c r="AN390" s="1">
        <v>100.0</v>
      </c>
      <c r="AO390" s="1">
        <v>19002.0</v>
      </c>
      <c r="AP390" s="1">
        <v>27.6</v>
      </c>
      <c r="AQ390" s="1">
        <v>5.9</v>
      </c>
      <c r="AR390" s="1">
        <v>32.1</v>
      </c>
      <c r="AS390" s="1">
        <v>11.5</v>
      </c>
      <c r="AT390" s="1">
        <v>28.6</v>
      </c>
      <c r="AU390" s="1">
        <v>14.9</v>
      </c>
      <c r="AV390" s="1">
        <v>43.6</v>
      </c>
      <c r="AW390" s="1">
        <v>7.5</v>
      </c>
      <c r="AX390" s="1">
        <v>0.8844</v>
      </c>
      <c r="AY390" s="1">
        <v>23.2</v>
      </c>
      <c r="AZ390" s="1">
        <v>15.8</v>
      </c>
      <c r="BA390" s="1">
        <v>24.4</v>
      </c>
      <c r="BB390" s="1">
        <v>2.84</v>
      </c>
      <c r="BC390" s="1" t="s">
        <v>798</v>
      </c>
      <c r="BD390" s="1">
        <v>32.8</v>
      </c>
      <c r="BE390" s="1">
        <v>34.7</v>
      </c>
      <c r="BF390" s="1">
        <v>20.3</v>
      </c>
      <c r="BG390" s="1">
        <v>12.2</v>
      </c>
      <c r="BH390" s="1" t="s">
        <v>800</v>
      </c>
    </row>
    <row r="391">
      <c r="A391" s="1">
        <v>13005.0</v>
      </c>
      <c r="B391" s="2" t="str">
        <f>IFERROR(__xludf.DUMMYFUNCTION("TO_TEXT(A391)"),"13005")</f>
        <v>13005</v>
      </c>
      <c r="C391" s="1">
        <v>11251.0</v>
      </c>
      <c r="D391" s="1">
        <v>284.036195374442</v>
      </c>
      <c r="E391" s="1" t="s">
        <v>801</v>
      </c>
      <c r="F391" s="1" t="s">
        <v>802</v>
      </c>
      <c r="G391" s="1">
        <v>39.6111488015388</v>
      </c>
      <c r="H391" s="1">
        <v>20.004145373</v>
      </c>
      <c r="I391" s="1">
        <v>4.2980054941</v>
      </c>
      <c r="J391" s="1">
        <v>9.5238095238</v>
      </c>
      <c r="K391" s="1">
        <v>19.37887099</v>
      </c>
      <c r="L391" s="1">
        <v>37.4</v>
      </c>
      <c r="M391" s="1">
        <v>7.6</v>
      </c>
      <c r="N391" s="1">
        <v>34.4</v>
      </c>
      <c r="O391" s="1">
        <v>60.724585436</v>
      </c>
      <c r="P391" s="1">
        <v>19.383212075</v>
      </c>
      <c r="Q391" s="1">
        <v>61.8429199999999</v>
      </c>
      <c r="R391" s="1">
        <v>94.326241135</v>
      </c>
      <c r="S391" s="1">
        <v>33.6</v>
      </c>
      <c r="T391" s="1">
        <v>2869.0</v>
      </c>
      <c r="U391" s="1">
        <v>43.046357616</v>
      </c>
      <c r="V391" s="1">
        <v>204.509002055</v>
      </c>
      <c r="W391" s="1">
        <v>10.335917313</v>
      </c>
      <c r="X391" s="1">
        <v>8.1009296149</v>
      </c>
      <c r="Y391" s="1">
        <v>73.169691896</v>
      </c>
      <c r="Z391" s="1">
        <v>18.4</v>
      </c>
      <c r="AA391" s="1">
        <v>5.4763518652</v>
      </c>
      <c r="AB391" s="1">
        <v>38775.0</v>
      </c>
      <c r="AC391" s="1">
        <v>73.971962617</v>
      </c>
      <c r="AD391" s="1">
        <v>68.356026223</v>
      </c>
      <c r="AE391" s="1">
        <v>10.912537233</v>
      </c>
      <c r="AF391" s="1">
        <v>16.092981672</v>
      </c>
      <c r="AG391" s="1">
        <v>0.4112650872</v>
      </c>
      <c r="AH391" s="1">
        <v>0.670540903</v>
      </c>
      <c r="AI391" s="1">
        <v>0.1788109075</v>
      </c>
      <c r="AJ391" s="1">
        <v>8.7080911936</v>
      </c>
      <c r="AK391" s="1">
        <v>72.990612427</v>
      </c>
      <c r="AL391" s="1">
        <v>2.8121700739</v>
      </c>
      <c r="AM391" s="1">
        <v>51.1130978989999</v>
      </c>
      <c r="AN391" s="1">
        <v>69.286229272</v>
      </c>
      <c r="AO391" s="1">
        <v>18299.0</v>
      </c>
      <c r="AP391" s="1">
        <v>18.3</v>
      </c>
      <c r="AQ391" s="1">
        <v>5.3</v>
      </c>
      <c r="AR391" s="1">
        <v>19.9</v>
      </c>
      <c r="AS391" s="1">
        <v>14.3</v>
      </c>
      <c r="AT391" s="1">
        <v>25.8</v>
      </c>
      <c r="AU391" s="1">
        <v>19.0</v>
      </c>
      <c r="AV391" s="1">
        <v>25.9</v>
      </c>
      <c r="AW391" s="1">
        <v>1.9</v>
      </c>
      <c r="AX391" s="1">
        <v>0.8389</v>
      </c>
      <c r="AY391" s="1">
        <v>19.2</v>
      </c>
      <c r="AZ391" s="1">
        <v>16.8</v>
      </c>
      <c r="BA391" s="1">
        <v>23.7</v>
      </c>
      <c r="BB391" s="1">
        <v>2.81</v>
      </c>
      <c r="BC391" s="1" t="s">
        <v>798</v>
      </c>
      <c r="BD391" s="1">
        <v>17.9</v>
      </c>
      <c r="BE391" s="1">
        <v>42.4</v>
      </c>
      <c r="BF391" s="1">
        <v>29.2</v>
      </c>
      <c r="BG391" s="1">
        <v>10.5</v>
      </c>
      <c r="BH391" s="1" t="s">
        <v>802</v>
      </c>
    </row>
    <row r="392">
      <c r="A392" s="1">
        <v>13007.0</v>
      </c>
      <c r="B392" s="2" t="str">
        <f>IFERROR(__xludf.DUMMYFUNCTION("TO_TEXT(A392)"),"13007")</f>
        <v>13007</v>
      </c>
      <c r="C392" s="1">
        <v>3250.0</v>
      </c>
      <c r="D392" s="1">
        <v>341.945060984612</v>
      </c>
      <c r="E392" s="1" t="s">
        <v>682</v>
      </c>
      <c r="F392" s="1" t="s">
        <v>803</v>
      </c>
      <c r="G392" s="1">
        <v>9.50445077534328</v>
      </c>
      <c r="H392" s="1">
        <v>20.323393348</v>
      </c>
      <c r="I392" s="1">
        <v>3.9801754647</v>
      </c>
      <c r="J392" s="1">
        <v>12.807881773</v>
      </c>
      <c r="K392" s="1">
        <v>17.1184045909999</v>
      </c>
      <c r="L392" s="1">
        <v>35.2</v>
      </c>
      <c r="M392" s="1">
        <v>4.8</v>
      </c>
      <c r="N392" s="1">
        <v>26.6</v>
      </c>
      <c r="O392" s="1">
        <v>5.824398725</v>
      </c>
      <c r="P392" s="1">
        <v>19.1636216</v>
      </c>
      <c r="Q392" s="1">
        <v>48.31939</v>
      </c>
      <c r="R392" s="1">
        <v>77.777777778</v>
      </c>
      <c r="S392" s="1">
        <v>43.2</v>
      </c>
      <c r="T392" s="1">
        <v>630.0</v>
      </c>
      <c r="U392" s="1">
        <v>34.603174603</v>
      </c>
      <c r="V392" s="1">
        <v>204.509002055</v>
      </c>
      <c r="W392" s="1">
        <v>10.526315789</v>
      </c>
      <c r="X392" s="1">
        <v>7.0967741935</v>
      </c>
      <c r="Y392" s="1">
        <v>77.457131807</v>
      </c>
      <c r="Z392" s="1">
        <v>20.6</v>
      </c>
      <c r="AA392" s="1">
        <v>30.546437141</v>
      </c>
      <c r="AB392" s="1">
        <v>38288.0</v>
      </c>
      <c r="AC392" s="1">
        <v>100.0</v>
      </c>
      <c r="AD392" s="1">
        <v>67.797833935</v>
      </c>
      <c r="AE392" s="1">
        <v>13.7687555159999</v>
      </c>
      <c r="AF392" s="1">
        <v>43.952134541</v>
      </c>
      <c r="AG392" s="1">
        <v>0.4851228978</v>
      </c>
      <c r="AH392" s="1">
        <v>1.0996119017</v>
      </c>
      <c r="AI392" s="1">
        <v>0.064683053</v>
      </c>
      <c r="AJ392" s="1">
        <v>6.0478654592</v>
      </c>
      <c r="AK392" s="1">
        <v>47.509702458</v>
      </c>
      <c r="AL392" s="1">
        <v>0.590163934399999</v>
      </c>
      <c r="AM392" s="1">
        <v>50.549805951</v>
      </c>
      <c r="AN392" s="1">
        <v>100.0</v>
      </c>
      <c r="AO392" s="1">
        <v>23001.0</v>
      </c>
      <c r="AP392" s="1">
        <v>15.7</v>
      </c>
      <c r="AQ392" s="1">
        <v>3.2</v>
      </c>
      <c r="AR392" s="1">
        <v>21.2</v>
      </c>
      <c r="AS392" s="1">
        <v>19.5</v>
      </c>
      <c r="AT392" s="1">
        <v>17.5</v>
      </c>
      <c r="AU392" s="1">
        <v>20.1</v>
      </c>
      <c r="AV392" s="1">
        <v>49.8</v>
      </c>
      <c r="AW392" s="1">
        <v>1.1</v>
      </c>
      <c r="AX392" s="1">
        <v>0.5543</v>
      </c>
      <c r="AY392" s="1">
        <v>24.8</v>
      </c>
      <c r="AZ392" s="1">
        <v>17.3</v>
      </c>
      <c r="BA392" s="1">
        <v>20.2</v>
      </c>
      <c r="BB392" s="1">
        <v>3.05</v>
      </c>
      <c r="BC392" s="1" t="s">
        <v>798</v>
      </c>
      <c r="BD392" s="1">
        <v>19.4</v>
      </c>
      <c r="BE392" s="1">
        <v>37.9</v>
      </c>
      <c r="BF392" s="1">
        <v>29.8</v>
      </c>
      <c r="BG392" s="1">
        <v>12.9</v>
      </c>
      <c r="BH392" s="1" t="s">
        <v>803</v>
      </c>
    </row>
    <row r="393">
      <c r="A393" s="1">
        <v>13009.0</v>
      </c>
      <c r="B393" s="2" t="str">
        <f>IFERROR(__xludf.DUMMYFUNCTION("TO_TEXT(A393)"),"13009")</f>
        <v>13009</v>
      </c>
      <c r="C393" s="1">
        <v>45808.0</v>
      </c>
      <c r="D393" s="1">
        <v>258.619749365802</v>
      </c>
      <c r="E393" s="1" t="s">
        <v>62</v>
      </c>
      <c r="F393" s="1" t="s">
        <v>804</v>
      </c>
      <c r="G393" s="1">
        <v>177.12491065486</v>
      </c>
      <c r="H393" s="1">
        <v>23.518849376</v>
      </c>
      <c r="I393" s="1">
        <v>4.2515303365</v>
      </c>
      <c r="J393" s="1">
        <v>12.6242544729999</v>
      </c>
      <c r="K393" s="1">
        <v>19.817938403</v>
      </c>
      <c r="L393" s="1">
        <v>37.1</v>
      </c>
      <c r="M393" s="1">
        <v>6.0</v>
      </c>
      <c r="N393" s="1">
        <v>26.2</v>
      </c>
      <c r="O393" s="1">
        <v>63.8451443569999</v>
      </c>
      <c r="P393" s="1">
        <v>15.912636505</v>
      </c>
      <c r="Q393" s="1">
        <v>55.67185</v>
      </c>
      <c r="R393" s="1">
        <v>92.335766423</v>
      </c>
      <c r="S393" s="1">
        <v>31.3</v>
      </c>
      <c r="T393" s="1">
        <v>8496.0</v>
      </c>
      <c r="U393" s="1">
        <v>49.058380414</v>
      </c>
      <c r="V393" s="1">
        <v>689.41443407</v>
      </c>
      <c r="W393" s="1">
        <v>20.7178841309999</v>
      </c>
      <c r="X393" s="1">
        <v>19.383697813</v>
      </c>
      <c r="Y393" s="1">
        <v>74.864320886</v>
      </c>
      <c r="Z393" s="1">
        <v>11.6</v>
      </c>
      <c r="AA393" s="1">
        <v>9.319845124</v>
      </c>
      <c r="AB393" s="1">
        <v>42727.0</v>
      </c>
      <c r="AC393" s="1">
        <v>73.799961752</v>
      </c>
      <c r="AD393" s="1">
        <v>55.861555638</v>
      </c>
      <c r="AE393" s="1">
        <v>20.974562051</v>
      </c>
      <c r="AF393" s="1">
        <v>42.20377931</v>
      </c>
      <c r="AG393" s="1">
        <v>0.3301876269</v>
      </c>
      <c r="AH393" s="1">
        <v>1.6866340941</v>
      </c>
      <c r="AI393" s="1">
        <v>0.0803159092</v>
      </c>
      <c r="AJ393" s="1">
        <v>2.226535484</v>
      </c>
      <c r="AK393" s="1">
        <v>52.446288736</v>
      </c>
      <c r="AL393" s="1">
        <v>0.675534507999999</v>
      </c>
      <c r="AM393" s="1">
        <v>49.262655333</v>
      </c>
      <c r="AN393" s="1">
        <v>35.1399825019999</v>
      </c>
      <c r="AO393" s="1">
        <v>19147.0</v>
      </c>
      <c r="AP393" s="1">
        <v>29.7</v>
      </c>
      <c r="AQ393" s="1">
        <v>8.2</v>
      </c>
      <c r="AR393" s="1">
        <v>18.3</v>
      </c>
      <c r="AS393" s="1">
        <v>13.8</v>
      </c>
      <c r="AT393" s="1">
        <v>19.4</v>
      </c>
      <c r="AU393" s="1">
        <v>14.2</v>
      </c>
      <c r="AV393" s="1">
        <v>46.9</v>
      </c>
      <c r="AW393" s="1">
        <v>0.6</v>
      </c>
      <c r="AX393" s="1">
        <v>0.8418</v>
      </c>
      <c r="AY393" s="1">
        <v>22.9</v>
      </c>
      <c r="AZ393" s="1">
        <v>16.7</v>
      </c>
      <c r="BA393" s="1">
        <v>22.9</v>
      </c>
      <c r="BB393" s="1">
        <v>2.82</v>
      </c>
      <c r="BC393" s="1" t="s">
        <v>798</v>
      </c>
      <c r="BD393" s="1">
        <v>14.2</v>
      </c>
      <c r="BE393" s="1">
        <v>35.0</v>
      </c>
      <c r="BF393" s="1">
        <v>27.5</v>
      </c>
      <c r="BG393" s="1">
        <v>23.3</v>
      </c>
      <c r="BH393" s="1" t="s">
        <v>804</v>
      </c>
    </row>
    <row r="394">
      <c r="A394" s="1">
        <v>13011.0</v>
      </c>
      <c r="B394" s="2" t="str">
        <f>IFERROR(__xludf.DUMMYFUNCTION("TO_TEXT(A394)"),"13011")</f>
        <v>13011</v>
      </c>
      <c r="C394" s="1">
        <v>18336.0</v>
      </c>
      <c r="D394" s="1">
        <v>232.090651215948</v>
      </c>
      <c r="E394" s="1" t="s">
        <v>805</v>
      </c>
      <c r="F394" s="1" t="s">
        <v>806</v>
      </c>
      <c r="G394" s="1">
        <v>79.0036130448845</v>
      </c>
      <c r="H394" s="1">
        <v>17.236689605</v>
      </c>
      <c r="I394" s="1">
        <v>3.9671325351</v>
      </c>
      <c r="J394" s="1">
        <v>7.5498575499</v>
      </c>
      <c r="K394" s="1">
        <v>17.722278257</v>
      </c>
      <c r="L394" s="1">
        <v>34.1</v>
      </c>
      <c r="M394" s="1">
        <v>8.7</v>
      </c>
      <c r="N394" s="1">
        <v>35.7</v>
      </c>
      <c r="O394" s="1">
        <v>36.711062789</v>
      </c>
      <c r="P394" s="1">
        <v>19.340388236</v>
      </c>
      <c r="Q394" s="1">
        <v>21.46614</v>
      </c>
      <c r="R394" s="1">
        <v>92.703862661</v>
      </c>
      <c r="S394" s="1">
        <v>19.5</v>
      </c>
      <c r="T394" s="1">
        <v>4257.0</v>
      </c>
      <c r="U394" s="1">
        <v>26.0512097719999</v>
      </c>
      <c r="V394" s="1">
        <v>194.75777002</v>
      </c>
      <c r="W394" s="1">
        <v>13.3384734</v>
      </c>
      <c r="X394" s="1">
        <v>10.299684543</v>
      </c>
      <c r="Y394" s="1">
        <v>76.1053715999999</v>
      </c>
      <c r="Z394" s="1">
        <v>11.0</v>
      </c>
      <c r="AA394" s="1">
        <v>1.4446703779</v>
      </c>
      <c r="AB394" s="1">
        <v>55384.0</v>
      </c>
      <c r="AC394" s="1">
        <v>63.33018571</v>
      </c>
      <c r="AD394" s="1">
        <v>75.814023929</v>
      </c>
      <c r="AE394" s="1">
        <v>10.157016683</v>
      </c>
      <c r="AF394" s="1">
        <v>2.5963766589</v>
      </c>
      <c r="AG394" s="1">
        <v>0.6583105119</v>
      </c>
      <c r="AH394" s="1">
        <v>1.10596166</v>
      </c>
      <c r="AI394" s="1">
        <v>0.110596166</v>
      </c>
      <c r="AJ394" s="1">
        <v>7.1150200126</v>
      </c>
      <c r="AK394" s="1">
        <v>87.471034337</v>
      </c>
      <c r="AL394" s="1">
        <v>2.0410490308</v>
      </c>
      <c r="AM394" s="1">
        <v>49.204760902</v>
      </c>
      <c r="AN394" s="1">
        <v>93.829845067</v>
      </c>
      <c r="AO394" s="1">
        <v>18890.0</v>
      </c>
      <c r="AP394" s="1">
        <v>15.5</v>
      </c>
      <c r="AQ394" s="1">
        <v>7.7</v>
      </c>
      <c r="AR394" s="1">
        <v>24.6</v>
      </c>
      <c r="AS394" s="1">
        <v>16.2</v>
      </c>
      <c r="AT394" s="1">
        <v>23.6</v>
      </c>
      <c r="AU394" s="1">
        <v>16.3</v>
      </c>
      <c r="AV394" s="1">
        <v>11.6</v>
      </c>
      <c r="AW394" s="1">
        <v>2.4</v>
      </c>
      <c r="AX394" s="1">
        <v>0.6635</v>
      </c>
      <c r="AY394" s="1">
        <v>12.8</v>
      </c>
      <c r="AZ394" s="1">
        <v>11.6</v>
      </c>
      <c r="BA394" s="1">
        <v>15.2</v>
      </c>
      <c r="BB394" s="1">
        <v>3.08</v>
      </c>
      <c r="BC394" s="1" t="s">
        <v>798</v>
      </c>
      <c r="BD394" s="1">
        <v>24.1</v>
      </c>
      <c r="BE394" s="1">
        <v>38.0</v>
      </c>
      <c r="BF394" s="1">
        <v>24.5</v>
      </c>
      <c r="BG394" s="1">
        <v>13.4</v>
      </c>
      <c r="BH394" s="1" t="s">
        <v>806</v>
      </c>
    </row>
    <row r="395">
      <c r="A395" s="1">
        <v>13013.0</v>
      </c>
      <c r="B395" s="2" t="str">
        <f>IFERROR(__xludf.DUMMYFUNCTION("TO_TEXT(A395)"),"13013")</f>
        <v>13013</v>
      </c>
      <c r="C395" s="1">
        <v>73340.0</v>
      </c>
      <c r="D395" s="1">
        <v>160.367218980822</v>
      </c>
      <c r="E395" s="1" t="s">
        <v>807</v>
      </c>
      <c r="F395" s="1" t="s">
        <v>808</v>
      </c>
      <c r="G395" s="1">
        <v>457.325383991167</v>
      </c>
      <c r="H395" s="1">
        <v>17.056110801</v>
      </c>
      <c r="I395" s="1">
        <v>3.8172886435</v>
      </c>
      <c r="J395" s="1">
        <v>7.3134728932</v>
      </c>
      <c r="K395" s="1">
        <v>17.083548591</v>
      </c>
      <c r="L395" s="1">
        <v>38.4</v>
      </c>
      <c r="M395" s="1">
        <v>8.4</v>
      </c>
      <c r="N395" s="1">
        <v>28.8</v>
      </c>
      <c r="O395" s="1">
        <v>65.255813283</v>
      </c>
      <c r="P395" s="1">
        <v>16.872808094</v>
      </c>
      <c r="Q395" s="1">
        <v>21.50238</v>
      </c>
      <c r="R395" s="1">
        <v>86.288416076</v>
      </c>
      <c r="S395" s="1">
        <v>15.0</v>
      </c>
      <c r="T395" s="1">
        <v>20373.0</v>
      </c>
      <c r="U395" s="1">
        <v>33.426594021</v>
      </c>
      <c r="V395" s="1">
        <v>497.24463225</v>
      </c>
      <c r="W395" s="1">
        <v>13.6875</v>
      </c>
      <c r="X395" s="1">
        <v>11.567635904</v>
      </c>
      <c r="Y395" s="1">
        <v>76.6202987</v>
      </c>
      <c r="Z395" s="1">
        <v>17.5</v>
      </c>
      <c r="AA395" s="1">
        <v>5.1055513539</v>
      </c>
      <c r="AB395" s="1">
        <v>61413.0</v>
      </c>
      <c r="AC395" s="1">
        <v>58.071294015</v>
      </c>
      <c r="AD395" s="1">
        <v>72.700343615</v>
      </c>
      <c r="AE395" s="1">
        <v>11.506250759</v>
      </c>
      <c r="AF395" s="1">
        <v>11.876152409</v>
      </c>
      <c r="AG395" s="1">
        <v>0.5259315175</v>
      </c>
      <c r="AH395" s="1">
        <v>3.9438676385</v>
      </c>
      <c r="AI395" s="1">
        <v>0.1027113317</v>
      </c>
      <c r="AJ395" s="1">
        <v>11.52965635</v>
      </c>
      <c r="AK395" s="1">
        <v>70.524322786</v>
      </c>
      <c r="AL395" s="1">
        <v>2.4764249937</v>
      </c>
      <c r="AM395" s="1">
        <v>50.999269883</v>
      </c>
      <c r="AN395" s="1">
        <v>30.06184497</v>
      </c>
      <c r="AO395" s="1">
        <v>21978.0</v>
      </c>
      <c r="AP395" s="1">
        <v>14.5</v>
      </c>
      <c r="AQ395" s="1">
        <v>8.6</v>
      </c>
      <c r="AR395" s="1">
        <v>18.0</v>
      </c>
      <c r="AS395" s="1">
        <v>11.2</v>
      </c>
      <c r="AT395" s="1">
        <v>27.1</v>
      </c>
      <c r="AU395" s="1">
        <v>13.5</v>
      </c>
      <c r="AV395" s="1">
        <v>26.3</v>
      </c>
      <c r="AW395" s="1">
        <v>2.6</v>
      </c>
      <c r="AX395" s="1">
        <v>0.5068</v>
      </c>
      <c r="AY395" s="1">
        <v>9.7</v>
      </c>
      <c r="AZ395" s="1">
        <v>10.6</v>
      </c>
      <c r="BA395" s="1">
        <v>14.3</v>
      </c>
      <c r="BB395" s="1">
        <v>3.09</v>
      </c>
      <c r="BC395" s="1" t="s">
        <v>798</v>
      </c>
      <c r="BD395" s="1">
        <v>15.5</v>
      </c>
      <c r="BE395" s="1">
        <v>34.1</v>
      </c>
      <c r="BF395" s="1">
        <v>31.4</v>
      </c>
      <c r="BG395" s="1">
        <v>19.0</v>
      </c>
      <c r="BH395" s="1" t="s">
        <v>808</v>
      </c>
    </row>
    <row r="396">
      <c r="A396" s="1">
        <v>13015.0</v>
      </c>
      <c r="B396" s="2" t="str">
        <f>IFERROR(__xludf.DUMMYFUNCTION("TO_TEXT(A396)"),"13015")</f>
        <v>13015</v>
      </c>
      <c r="C396" s="1">
        <v>101942.0</v>
      </c>
      <c r="D396" s="1">
        <v>459.545944832244</v>
      </c>
      <c r="E396" s="1" t="s">
        <v>809</v>
      </c>
      <c r="F396" s="1" t="s">
        <v>810</v>
      </c>
      <c r="G396" s="1">
        <v>221.832008630201</v>
      </c>
      <c r="H396" s="1">
        <v>16.631131657</v>
      </c>
      <c r="I396" s="1">
        <v>3.8149371178</v>
      </c>
      <c r="J396" s="1">
        <v>7.9554317549</v>
      </c>
      <c r="K396" s="1">
        <v>19.176366416</v>
      </c>
      <c r="L396" s="1">
        <v>31.4</v>
      </c>
      <c r="M396" s="1">
        <v>7.3</v>
      </c>
      <c r="N396" s="1">
        <v>32.1</v>
      </c>
      <c r="O396" s="1">
        <v>66.62340126</v>
      </c>
      <c r="P396" s="1">
        <v>17.924706667</v>
      </c>
      <c r="Q396" s="1">
        <v>41.88322</v>
      </c>
      <c r="R396" s="1">
        <v>88.127853881</v>
      </c>
      <c r="S396" s="1">
        <v>17.1</v>
      </c>
      <c r="T396" s="1">
        <v>25383.0</v>
      </c>
      <c r="U396" s="1">
        <v>31.142890911</v>
      </c>
      <c r="V396" s="1">
        <v>467.95743699</v>
      </c>
      <c r="W396" s="1">
        <v>15.5385036999999</v>
      </c>
      <c r="X396" s="1">
        <v>12.135049121</v>
      </c>
      <c r="Y396" s="1">
        <v>76.632297258</v>
      </c>
      <c r="Z396" s="1">
        <v>13.8</v>
      </c>
      <c r="AA396" s="1">
        <v>14.1054317009999</v>
      </c>
      <c r="AB396" s="1">
        <v>57409.0</v>
      </c>
      <c r="AC396" s="1">
        <v>54.949069973</v>
      </c>
      <c r="AD396" s="1">
        <v>66.011619501</v>
      </c>
      <c r="AE396" s="1">
        <v>12.196193667</v>
      </c>
      <c r="AF396" s="1">
        <v>10.8102774229999</v>
      </c>
      <c r="AG396" s="1">
        <v>0.5779640629</v>
      </c>
      <c r="AH396" s="1">
        <v>1.0732275769</v>
      </c>
      <c r="AI396" s="1">
        <v>0.0977370123</v>
      </c>
      <c r="AJ396" s="1">
        <v>8.794451545</v>
      </c>
      <c r="AK396" s="1">
        <v>77.289301556</v>
      </c>
      <c r="AL396" s="1">
        <v>1.894330429</v>
      </c>
      <c r="AM396" s="1">
        <v>50.682279528</v>
      </c>
      <c r="AN396" s="1">
        <v>35.227692523</v>
      </c>
      <c r="AO396" s="1">
        <v>23376.0</v>
      </c>
      <c r="AP396" s="1">
        <v>14.8</v>
      </c>
      <c r="AQ396" s="1">
        <v>7.7</v>
      </c>
      <c r="AR396" s="1">
        <v>18.4</v>
      </c>
      <c r="AS396" s="1">
        <v>12.8</v>
      </c>
      <c r="AT396" s="1">
        <v>25.3</v>
      </c>
      <c r="AU396" s="1">
        <v>14.8</v>
      </c>
      <c r="AV396" s="1">
        <v>21.2</v>
      </c>
      <c r="AW396" s="1">
        <v>2.0</v>
      </c>
      <c r="AX396" s="1">
        <v>0.6164</v>
      </c>
      <c r="AY396" s="1">
        <v>12.5</v>
      </c>
      <c r="AZ396" s="1">
        <v>11.9</v>
      </c>
      <c r="BA396" s="1">
        <v>15.2</v>
      </c>
      <c r="BB396" s="1">
        <v>2.92</v>
      </c>
      <c r="BC396" s="1" t="s">
        <v>798</v>
      </c>
      <c r="BD396" s="1">
        <v>16.4</v>
      </c>
      <c r="BE396" s="1">
        <v>33.4</v>
      </c>
      <c r="BF396" s="1">
        <v>31.6</v>
      </c>
      <c r="BG396" s="1">
        <v>18.6</v>
      </c>
      <c r="BH396" s="1" t="s">
        <v>810</v>
      </c>
    </row>
    <row r="397">
      <c r="A397" s="1">
        <v>13017.0</v>
      </c>
      <c r="B397" s="2" t="str">
        <f>IFERROR(__xludf.DUMMYFUNCTION("TO_TEXT(A397)"),"13017")</f>
        <v>13017</v>
      </c>
      <c r="C397" s="1">
        <v>17405.0</v>
      </c>
      <c r="D397" s="1">
        <v>250.120526966614</v>
      </c>
      <c r="E397" s="1" t="s">
        <v>811</v>
      </c>
      <c r="F397" s="1" t="s">
        <v>812</v>
      </c>
      <c r="G397" s="1">
        <v>69.5864518241767</v>
      </c>
      <c r="H397" s="1">
        <v>23.965407268</v>
      </c>
      <c r="I397" s="1">
        <v>4.3699526895</v>
      </c>
      <c r="J397" s="1">
        <v>13.625</v>
      </c>
      <c r="K397" s="1">
        <v>20.562497546</v>
      </c>
      <c r="L397" s="1">
        <v>39.6</v>
      </c>
      <c r="M397" s="1">
        <v>5.6</v>
      </c>
      <c r="N397" s="1">
        <v>38.5</v>
      </c>
      <c r="O397" s="1">
        <v>39.287739594</v>
      </c>
      <c r="P397" s="1">
        <v>16.268255468</v>
      </c>
      <c r="Q397" s="1">
        <v>47.0699</v>
      </c>
      <c r="R397" s="1">
        <v>79.807692308</v>
      </c>
      <c r="S397" s="1">
        <v>40.9</v>
      </c>
      <c r="T397" s="1">
        <v>4334.0</v>
      </c>
      <c r="U397" s="1">
        <v>50.299953853</v>
      </c>
      <c r="V397" s="1">
        <v>361.24888902</v>
      </c>
      <c r="W397" s="1">
        <v>20.465116279</v>
      </c>
      <c r="X397" s="1">
        <v>20.306122449</v>
      </c>
      <c r="Y397" s="1">
        <v>73.911810764</v>
      </c>
      <c r="Z397" s="1">
        <v>13.3</v>
      </c>
      <c r="AA397" s="1">
        <v>13.377035904</v>
      </c>
      <c r="AB397" s="1">
        <v>35020.0</v>
      </c>
      <c r="AC397" s="1">
        <v>98.488188976</v>
      </c>
      <c r="AD397" s="1">
        <v>59.445882174</v>
      </c>
      <c r="AE397" s="1">
        <v>13.817998657</v>
      </c>
      <c r="AF397" s="1">
        <v>35.724072199</v>
      </c>
      <c r="AG397" s="1">
        <v>0.6373979865</v>
      </c>
      <c r="AH397" s="1">
        <v>0.881634598199999</v>
      </c>
      <c r="AI397" s="1">
        <v>0.0536129148</v>
      </c>
      <c r="AJ397" s="1">
        <v>6.2250551022</v>
      </c>
      <c r="AK397" s="1">
        <v>55.7693453269999</v>
      </c>
      <c r="AL397" s="1">
        <v>0.7593203461</v>
      </c>
      <c r="AM397" s="1">
        <v>52.552570441</v>
      </c>
      <c r="AN397" s="1">
        <v>34.00249518</v>
      </c>
      <c r="AO397" s="1">
        <v>15311.0</v>
      </c>
      <c r="AP397" s="1">
        <v>35.0</v>
      </c>
      <c r="AQ397" s="1">
        <v>7.8</v>
      </c>
      <c r="AR397" s="1">
        <v>18.8</v>
      </c>
      <c r="AS397" s="1">
        <v>15.3</v>
      </c>
      <c r="AT397" s="1">
        <v>26.0</v>
      </c>
      <c r="AU397" s="1">
        <v>20.4</v>
      </c>
      <c r="AV397" s="1">
        <v>43.2</v>
      </c>
      <c r="AW397" s="1">
        <v>0.6</v>
      </c>
      <c r="AX397" s="1">
        <v>0.9265</v>
      </c>
      <c r="AY397" s="1">
        <v>22.8</v>
      </c>
      <c r="AZ397" s="1">
        <v>19.7</v>
      </c>
      <c r="BA397" s="1">
        <v>28.3</v>
      </c>
      <c r="BB397" s="1">
        <v>2.96</v>
      </c>
      <c r="BC397" s="1" t="s">
        <v>798</v>
      </c>
      <c r="BD397" s="1">
        <v>16.5</v>
      </c>
      <c r="BE397" s="1">
        <v>45.3</v>
      </c>
      <c r="BF397" s="1">
        <v>27.0</v>
      </c>
      <c r="BG397" s="1">
        <v>11.2</v>
      </c>
      <c r="BH397" s="1" t="s">
        <v>812</v>
      </c>
    </row>
    <row r="398">
      <c r="A398" s="1">
        <v>13019.0</v>
      </c>
      <c r="B398" s="2" t="str">
        <f>IFERROR(__xludf.DUMMYFUNCTION("TO_TEXT(A398)"),"13019")</f>
        <v>13019</v>
      </c>
      <c r="C398" s="1">
        <v>18986.0</v>
      </c>
      <c r="D398" s="1">
        <v>451.945802639072</v>
      </c>
      <c r="E398" s="1" t="s">
        <v>813</v>
      </c>
      <c r="F398" s="1" t="s">
        <v>814</v>
      </c>
      <c r="G398" s="1">
        <v>42.009461951265</v>
      </c>
      <c r="H398" s="1">
        <v>19.463769844</v>
      </c>
      <c r="I398" s="1">
        <v>4.2234426415</v>
      </c>
      <c r="J398" s="1">
        <v>12.2018857459999</v>
      </c>
      <c r="K398" s="1">
        <v>20.009497322</v>
      </c>
      <c r="L398" s="1">
        <v>39.4</v>
      </c>
      <c r="M398" s="1">
        <v>7.1</v>
      </c>
      <c r="N398" s="1">
        <v>29.8</v>
      </c>
      <c r="O398" s="1">
        <v>42.009748004</v>
      </c>
      <c r="P398" s="1">
        <v>18.943405857</v>
      </c>
      <c r="Q398" s="1">
        <v>15.6364</v>
      </c>
      <c r="R398" s="1">
        <v>79.399141631</v>
      </c>
      <c r="S398" s="1">
        <v>31.1</v>
      </c>
      <c r="T398" s="1">
        <v>4560.0</v>
      </c>
      <c r="U398" s="1">
        <v>29.978070175</v>
      </c>
      <c r="V398" s="1">
        <v>224.23890677</v>
      </c>
      <c r="W398" s="1">
        <v>13.009845288</v>
      </c>
      <c r="X398" s="1">
        <v>11.30369254</v>
      </c>
      <c r="Y398" s="1">
        <v>74.088262434</v>
      </c>
      <c r="Z398" s="1">
        <v>13.9</v>
      </c>
      <c r="AA398" s="1">
        <v>9.9191604048</v>
      </c>
      <c r="AB398" s="1">
        <v>39412.0</v>
      </c>
      <c r="AC398" s="1">
        <v>83.492063492</v>
      </c>
      <c r="AD398" s="1">
        <v>66.866976236</v>
      </c>
      <c r="AE398" s="1">
        <v>12.41879438</v>
      </c>
      <c r="AF398" s="1">
        <v>10.726158321</v>
      </c>
      <c r="AG398" s="1">
        <v>0.3999584459</v>
      </c>
      <c r="AH398" s="1">
        <v>1.2206523998</v>
      </c>
      <c r="AI398" s="1">
        <v>0.0727197174</v>
      </c>
      <c r="AJ398" s="1">
        <v>4.91896945769999</v>
      </c>
      <c r="AK398" s="1">
        <v>81.742156659</v>
      </c>
      <c r="AL398" s="1">
        <v>0.7378836156</v>
      </c>
      <c r="AM398" s="1">
        <v>50.893413671</v>
      </c>
      <c r="AN398" s="1">
        <v>76.143316395</v>
      </c>
      <c r="AO398" s="1">
        <v>17007.0</v>
      </c>
      <c r="AP398" s="1">
        <v>25.6</v>
      </c>
      <c r="AQ398" s="1">
        <v>10.4</v>
      </c>
      <c r="AR398" s="1">
        <v>19.7</v>
      </c>
      <c r="AS398" s="1">
        <v>16.1</v>
      </c>
      <c r="AT398" s="1">
        <v>24.4</v>
      </c>
      <c r="AU398" s="1">
        <v>20.5</v>
      </c>
      <c r="AV398" s="1">
        <v>17.6</v>
      </c>
      <c r="AW398" s="1">
        <v>1.1</v>
      </c>
      <c r="AX398" s="1">
        <v>0.8103</v>
      </c>
      <c r="AY398" s="1">
        <v>20.1</v>
      </c>
      <c r="AZ398" s="1">
        <v>17.2</v>
      </c>
      <c r="BA398" s="1">
        <v>23.3</v>
      </c>
      <c r="BB398" s="1">
        <v>3.05</v>
      </c>
      <c r="BC398" s="1" t="s">
        <v>798</v>
      </c>
      <c r="BD398" s="1">
        <v>21.0</v>
      </c>
      <c r="BE398" s="1">
        <v>42.4</v>
      </c>
      <c r="BF398" s="1">
        <v>25.2</v>
      </c>
      <c r="BG398" s="1">
        <v>11.4</v>
      </c>
      <c r="BH398" s="1" t="s">
        <v>814</v>
      </c>
    </row>
    <row r="399">
      <c r="A399" s="1">
        <v>13021.0</v>
      </c>
      <c r="B399" s="2" t="str">
        <f>IFERROR(__xludf.DUMMYFUNCTION("TO_TEXT(A399)"),"13021")</f>
        <v>13021</v>
      </c>
      <c r="C399" s="1">
        <v>154194.0</v>
      </c>
      <c r="D399" s="1">
        <v>249.311762582132</v>
      </c>
      <c r="E399" s="1" t="s">
        <v>66</v>
      </c>
      <c r="F399" s="1" t="s">
        <v>815</v>
      </c>
      <c r="G399" s="1">
        <v>618.478640570371</v>
      </c>
      <c r="H399" s="1">
        <v>21.372593722</v>
      </c>
      <c r="I399" s="1">
        <v>4.0743929951</v>
      </c>
      <c r="J399" s="1">
        <v>13.270980789</v>
      </c>
      <c r="K399" s="1">
        <v>19.066923251</v>
      </c>
      <c r="L399" s="1">
        <v>36.6</v>
      </c>
      <c r="M399" s="1">
        <v>5.7</v>
      </c>
      <c r="N399" s="1">
        <v>31.2</v>
      </c>
      <c r="O399" s="1">
        <v>75.117488605</v>
      </c>
      <c r="P399" s="1">
        <v>14.403617403</v>
      </c>
      <c r="Q399" s="1">
        <v>131.49115</v>
      </c>
      <c r="R399" s="1">
        <v>78.786020846</v>
      </c>
      <c r="S399" s="1">
        <v>36.6</v>
      </c>
      <c r="T399" s="1">
        <v>37588.0</v>
      </c>
      <c r="U399" s="1">
        <v>54.0677875919999</v>
      </c>
      <c r="V399" s="1">
        <v>500.68215496</v>
      </c>
      <c r="W399" s="1">
        <v>21.084337349</v>
      </c>
      <c r="X399" s="1">
        <v>19.100920744</v>
      </c>
      <c r="Y399" s="1">
        <v>74.324891381</v>
      </c>
      <c r="Z399" s="1">
        <v>13.7</v>
      </c>
      <c r="AA399" s="1">
        <v>10.866359674</v>
      </c>
      <c r="AB399" s="1">
        <v>41390.0</v>
      </c>
      <c r="AC399" s="1">
        <v>98.897580351</v>
      </c>
      <c r="AD399" s="1">
        <v>52.597827961</v>
      </c>
      <c r="AE399" s="1">
        <v>18.793986514</v>
      </c>
      <c r="AF399" s="1">
        <v>54.956726216</v>
      </c>
      <c r="AG399" s="1">
        <v>0.282830922</v>
      </c>
      <c r="AH399" s="1">
        <v>2.1992880238</v>
      </c>
      <c r="AI399" s="1">
        <v>0.1247591365</v>
      </c>
      <c r="AJ399" s="1">
        <v>3.4070348476</v>
      </c>
      <c r="AK399" s="1">
        <v>37.834677814</v>
      </c>
      <c r="AL399" s="1">
        <v>0.9534009534</v>
      </c>
      <c r="AM399" s="1">
        <v>53.070315817</v>
      </c>
      <c r="AN399" s="1">
        <v>14.410435431</v>
      </c>
      <c r="AO399" s="1">
        <v>22175.0</v>
      </c>
      <c r="AP399" s="1">
        <v>27.8</v>
      </c>
      <c r="AQ399" s="1">
        <v>11.3</v>
      </c>
      <c r="AR399" s="1">
        <v>15.7</v>
      </c>
      <c r="AS399" s="1">
        <v>13.9</v>
      </c>
      <c r="AT399" s="1">
        <v>25.1</v>
      </c>
      <c r="AU399" s="1">
        <v>15.0</v>
      </c>
      <c r="AV399" s="1">
        <v>60.1</v>
      </c>
      <c r="AW399" s="1">
        <v>0.8</v>
      </c>
      <c r="AX399" s="1">
        <v>0.9172</v>
      </c>
      <c r="AY399" s="1">
        <v>23.2</v>
      </c>
      <c r="AZ399" s="1">
        <v>17.5</v>
      </c>
      <c r="BA399" s="1">
        <v>23.7</v>
      </c>
      <c r="BB399" s="1">
        <v>2.97</v>
      </c>
      <c r="BC399" s="1" t="s">
        <v>798</v>
      </c>
      <c r="BD399" s="1">
        <v>14.0</v>
      </c>
      <c r="BE399" s="1">
        <v>30.5</v>
      </c>
      <c r="BF399" s="1">
        <v>30.1</v>
      </c>
      <c r="BG399" s="1">
        <v>25.4</v>
      </c>
      <c r="BH399" s="1" t="s">
        <v>815</v>
      </c>
    </row>
    <row r="400">
      <c r="A400" s="1">
        <v>13023.0</v>
      </c>
      <c r="B400" s="2" t="str">
        <f>IFERROR(__xludf.DUMMYFUNCTION("TO_TEXT(A400)"),"13023")</f>
        <v>13023</v>
      </c>
      <c r="C400" s="1">
        <v>12835.0</v>
      </c>
      <c r="D400" s="1">
        <v>215.869704648195</v>
      </c>
      <c r="E400" s="1" t="s">
        <v>816</v>
      </c>
      <c r="F400" s="1" t="s">
        <v>817</v>
      </c>
      <c r="G400" s="1">
        <v>59.4571619992591</v>
      </c>
      <c r="H400" s="1">
        <v>19.1200804729999</v>
      </c>
      <c r="I400" s="1">
        <v>4.1049235232</v>
      </c>
      <c r="J400" s="1">
        <v>6.9886947585</v>
      </c>
      <c r="K400" s="1">
        <v>18.0191736829999</v>
      </c>
      <c r="L400" s="1">
        <v>42.7</v>
      </c>
      <c r="M400" s="1">
        <v>7.2</v>
      </c>
      <c r="N400" s="1">
        <v>32.2</v>
      </c>
      <c r="O400" s="1">
        <v>79.529970145</v>
      </c>
      <c r="P400" s="1">
        <v>13.774426508</v>
      </c>
      <c r="Q400" s="1">
        <v>31.17693</v>
      </c>
      <c r="R400" s="1">
        <v>91.978609626</v>
      </c>
      <c r="S400" s="1">
        <v>28.0</v>
      </c>
      <c r="T400" s="1">
        <v>2644.0</v>
      </c>
      <c r="U400" s="1">
        <v>44.8940998489999</v>
      </c>
      <c r="V400" s="1">
        <v>354.53849563</v>
      </c>
      <c r="W400" s="1">
        <v>13.480392157</v>
      </c>
      <c r="X400" s="1">
        <v>11.1959287529999</v>
      </c>
      <c r="Y400" s="1">
        <v>76.069766915</v>
      </c>
      <c r="Z400" s="1">
        <v>8.3</v>
      </c>
      <c r="AA400" s="1">
        <v>3.0866772041</v>
      </c>
      <c r="AB400" s="1">
        <v>46019.0</v>
      </c>
      <c r="AC400" s="1">
        <v>71.882352941</v>
      </c>
      <c r="AD400" s="1">
        <v>71.593090211</v>
      </c>
      <c r="AE400" s="1">
        <v>12.323662497</v>
      </c>
      <c r="AF400" s="1">
        <v>26.3047203609999</v>
      </c>
      <c r="AG400" s="1">
        <v>0.2181025082</v>
      </c>
      <c r="AH400" s="1">
        <v>1.0437762891</v>
      </c>
      <c r="AI400" s="1">
        <v>0.0155787506</v>
      </c>
      <c r="AJ400" s="1">
        <v>3.1157501168</v>
      </c>
      <c r="AK400" s="1">
        <v>68.219348808</v>
      </c>
      <c r="AL400" s="1">
        <v>0.4886937795</v>
      </c>
      <c r="AM400" s="1">
        <v>52.297865711</v>
      </c>
      <c r="AN400" s="1">
        <v>51.5884559439999</v>
      </c>
      <c r="AO400" s="1">
        <v>19511.0</v>
      </c>
      <c r="AP400" s="1">
        <v>23.0</v>
      </c>
      <c r="AQ400" s="1">
        <v>6.6</v>
      </c>
      <c r="AR400" s="1">
        <v>14.8</v>
      </c>
      <c r="AS400" s="1">
        <v>16.9</v>
      </c>
      <c r="AT400" s="1">
        <v>22.3</v>
      </c>
      <c r="AU400" s="1">
        <v>18.7</v>
      </c>
      <c r="AV400" s="1">
        <v>31.0</v>
      </c>
      <c r="AW400" s="1">
        <v>0.3</v>
      </c>
      <c r="AX400" s="1">
        <v>0.773</v>
      </c>
      <c r="AY400" s="1">
        <v>18.5</v>
      </c>
      <c r="AZ400" s="1">
        <v>15.9</v>
      </c>
      <c r="BA400" s="1">
        <v>22.8</v>
      </c>
      <c r="BB400" s="1">
        <v>3.06</v>
      </c>
      <c r="BC400" s="1" t="s">
        <v>798</v>
      </c>
      <c r="BD400" s="1">
        <v>11.4</v>
      </c>
      <c r="BE400" s="1">
        <v>40.9</v>
      </c>
      <c r="BF400" s="1">
        <v>28.9</v>
      </c>
      <c r="BG400" s="1">
        <v>18.7</v>
      </c>
      <c r="BH400" s="1" t="s">
        <v>817</v>
      </c>
    </row>
    <row r="401">
      <c r="A401" s="1">
        <v>13025.0</v>
      </c>
      <c r="B401" s="2" t="str">
        <f>IFERROR(__xludf.DUMMYFUNCTION("TO_TEXT(A401)"),"13025")</f>
        <v>13025</v>
      </c>
      <c r="C401" s="1">
        <v>18403.0</v>
      </c>
      <c r="D401" s="1">
        <v>442.363340190724</v>
      </c>
      <c r="E401" s="1" t="s">
        <v>818</v>
      </c>
      <c r="F401" s="1" t="s">
        <v>819</v>
      </c>
      <c r="G401" s="1">
        <v>41.6015486094883</v>
      </c>
      <c r="H401" s="1">
        <v>19.780695475</v>
      </c>
      <c r="I401" s="1">
        <v>4.3603699761</v>
      </c>
      <c r="J401" s="1">
        <v>9.5174262735</v>
      </c>
      <c r="K401" s="1">
        <v>19.729357472</v>
      </c>
      <c r="L401" s="1">
        <v>32.9</v>
      </c>
      <c r="M401" s="1">
        <v>8.0</v>
      </c>
      <c r="N401" s="1">
        <v>31.1</v>
      </c>
      <c r="O401" s="1">
        <v>30.286241921</v>
      </c>
      <c r="P401" s="1">
        <v>18.204584858</v>
      </c>
      <c r="Q401" s="1">
        <v>16.01623</v>
      </c>
      <c r="R401" s="1">
        <v>82.8</v>
      </c>
      <c r="S401" s="1">
        <v>29.3</v>
      </c>
      <c r="T401" s="1">
        <v>4408.0</v>
      </c>
      <c r="U401" s="1">
        <v>34.709618875</v>
      </c>
      <c r="V401" s="1">
        <v>198.66648524</v>
      </c>
      <c r="W401" s="1">
        <v>11.6731517509999</v>
      </c>
      <c r="X401" s="1">
        <v>8.6991221069</v>
      </c>
      <c r="Y401" s="1">
        <v>74.068613234</v>
      </c>
      <c r="Z401" s="1">
        <v>7.0</v>
      </c>
      <c r="AA401" s="1">
        <v>2.3657703384</v>
      </c>
      <c r="AB401" s="1">
        <v>41874.0</v>
      </c>
      <c r="AC401" s="1">
        <v>82.575757576</v>
      </c>
      <c r="AD401" s="1">
        <v>80.301645338</v>
      </c>
      <c r="AE401" s="1">
        <v>10.237483954</v>
      </c>
      <c r="AF401" s="1">
        <v>3.4979097211</v>
      </c>
      <c r="AG401" s="1">
        <v>0.497433455</v>
      </c>
      <c r="AH401" s="1">
        <v>0.2857596444</v>
      </c>
      <c r="AI401" s="1">
        <v>0.0158755358</v>
      </c>
      <c r="AJ401" s="1">
        <v>1.9897338202</v>
      </c>
      <c r="AK401" s="1">
        <v>92.078107636</v>
      </c>
      <c r="AL401" s="1">
        <v>0.2979089086</v>
      </c>
      <c r="AM401" s="1">
        <v>50.722336879</v>
      </c>
      <c r="AN401" s="1">
        <v>99.44598338</v>
      </c>
      <c r="AO401" s="1">
        <v>17320.0</v>
      </c>
      <c r="AP401" s="1">
        <v>21.2</v>
      </c>
      <c r="AQ401" s="1">
        <v>9.2</v>
      </c>
      <c r="AR401" s="1">
        <v>19.8</v>
      </c>
      <c r="AS401" s="1">
        <v>14.4</v>
      </c>
      <c r="AT401" s="1">
        <v>25.5</v>
      </c>
      <c r="AU401" s="1">
        <v>24.8</v>
      </c>
      <c r="AV401" s="1">
        <v>7.2</v>
      </c>
      <c r="AW401" s="1">
        <v>0.2</v>
      </c>
      <c r="AX401" s="1">
        <v>0.61</v>
      </c>
      <c r="AY401" s="1">
        <v>16.1</v>
      </c>
      <c r="AZ401" s="1">
        <v>16.5</v>
      </c>
      <c r="BA401" s="1">
        <v>23.7</v>
      </c>
      <c r="BB401" s="1">
        <v>3.2</v>
      </c>
      <c r="BC401" s="1" t="s">
        <v>798</v>
      </c>
      <c r="BD401" s="1">
        <v>21.1</v>
      </c>
      <c r="BE401" s="1">
        <v>44.6</v>
      </c>
      <c r="BF401" s="1">
        <v>25.4</v>
      </c>
      <c r="BG401" s="1">
        <v>8.9</v>
      </c>
      <c r="BH401" s="1" t="s">
        <v>819</v>
      </c>
    </row>
    <row r="402">
      <c r="A402" s="1">
        <v>13027.0</v>
      </c>
      <c r="B402" s="2" t="str">
        <f>IFERROR(__xludf.DUMMYFUNCTION("TO_TEXT(A402)"),"13027")</f>
        <v>13027</v>
      </c>
      <c r="C402" s="1">
        <v>15645.0</v>
      </c>
      <c r="D402" s="1">
        <v>493.094149155815</v>
      </c>
      <c r="E402" s="1" t="s">
        <v>820</v>
      </c>
      <c r="F402" s="1" t="s">
        <v>821</v>
      </c>
      <c r="G402" s="1">
        <v>31.7282207196829</v>
      </c>
      <c r="H402" s="1">
        <v>21.641199359</v>
      </c>
      <c r="I402" s="1">
        <v>4.127222148</v>
      </c>
      <c r="J402" s="1">
        <v>9.1743119266</v>
      </c>
      <c r="K402" s="1">
        <v>18.906866407</v>
      </c>
      <c r="L402" s="1">
        <v>33.1</v>
      </c>
      <c r="M402" s="1">
        <v>7.3</v>
      </c>
      <c r="N402" s="1">
        <v>30.0</v>
      </c>
      <c r="O402" s="1">
        <v>21.129101767</v>
      </c>
      <c r="P402" s="1">
        <v>19.429778247</v>
      </c>
      <c r="Q402" s="1">
        <v>19.24681</v>
      </c>
      <c r="R402" s="1">
        <v>87.2483221479999</v>
      </c>
      <c r="S402" s="1">
        <v>33.7</v>
      </c>
      <c r="T402" s="1">
        <v>3407.0</v>
      </c>
      <c r="U402" s="1">
        <v>40.446140299</v>
      </c>
      <c r="V402" s="1">
        <v>527.20513687</v>
      </c>
      <c r="W402" s="1">
        <v>19.598765432</v>
      </c>
      <c r="X402" s="1">
        <v>15.113547377</v>
      </c>
      <c r="Y402" s="1">
        <v>74.873547977</v>
      </c>
      <c r="Z402" s="1">
        <v>12.8</v>
      </c>
      <c r="AA402" s="1">
        <v>3.6598132906</v>
      </c>
      <c r="AB402" s="1">
        <v>36354.0</v>
      </c>
      <c r="AC402" s="1">
        <v>98.789007918</v>
      </c>
      <c r="AD402" s="1">
        <v>74.771653543</v>
      </c>
      <c r="AE402" s="1">
        <v>17.950903512</v>
      </c>
      <c r="AF402" s="1">
        <v>34.396957391</v>
      </c>
      <c r="AG402" s="1">
        <v>0.3996647973</v>
      </c>
      <c r="AH402" s="1">
        <v>1.0571778508</v>
      </c>
      <c r="AI402" s="1">
        <v>0.2256172243</v>
      </c>
      <c r="AJ402" s="1">
        <v>5.8660478309</v>
      </c>
      <c r="AK402" s="1">
        <v>56.81041707</v>
      </c>
      <c r="AL402" s="1">
        <v>2.0567472169</v>
      </c>
      <c r="AM402" s="1">
        <v>51.208663701</v>
      </c>
      <c r="AN402" s="1">
        <v>71.039832543</v>
      </c>
      <c r="AO402" s="1">
        <v>19665.0</v>
      </c>
      <c r="AP402" s="1">
        <v>24.7</v>
      </c>
      <c r="AQ402" s="1">
        <v>17.7</v>
      </c>
      <c r="AR402" s="1">
        <v>21.0</v>
      </c>
      <c r="AS402" s="1">
        <v>18.3</v>
      </c>
      <c r="AT402" s="1">
        <v>21.9</v>
      </c>
      <c r="AU402" s="1">
        <v>20.8</v>
      </c>
      <c r="AV402" s="1">
        <v>42.8</v>
      </c>
      <c r="AW402" s="1">
        <v>1.4</v>
      </c>
      <c r="AX402" s="1">
        <v>0.8978</v>
      </c>
      <c r="AY402" s="1">
        <v>21.9</v>
      </c>
      <c r="AZ402" s="1">
        <v>16.7</v>
      </c>
      <c r="BA402" s="1">
        <v>25.6</v>
      </c>
      <c r="BB402" s="1">
        <v>3.13</v>
      </c>
      <c r="BC402" s="1" t="s">
        <v>798</v>
      </c>
      <c r="BD402" s="1">
        <v>14.9</v>
      </c>
      <c r="BE402" s="1">
        <v>35.0</v>
      </c>
      <c r="BF402" s="1">
        <v>32.4</v>
      </c>
      <c r="BG402" s="1">
        <v>17.8</v>
      </c>
      <c r="BH402" s="1" t="s">
        <v>821</v>
      </c>
    </row>
    <row r="403">
      <c r="A403" s="1">
        <v>13029.0</v>
      </c>
      <c r="B403" s="2" t="str">
        <f>IFERROR(__xludf.DUMMYFUNCTION("TO_TEXT(A403)"),"13029")</f>
        <v>13029</v>
      </c>
      <c r="C403" s="1">
        <v>34104.0</v>
      </c>
      <c r="D403" s="1">
        <v>436.365460293436</v>
      </c>
      <c r="E403" s="1" t="s">
        <v>822</v>
      </c>
      <c r="F403" s="1" t="s">
        <v>823</v>
      </c>
      <c r="G403" s="1">
        <v>78.1546733260387</v>
      </c>
      <c r="H403" s="1">
        <v>15.808502142</v>
      </c>
      <c r="I403" s="1">
        <v>3.6797321008</v>
      </c>
      <c r="J403" s="1">
        <v>7.3131955485</v>
      </c>
      <c r="K403" s="1">
        <v>16.512096342</v>
      </c>
      <c r="L403" s="1">
        <v>35.1</v>
      </c>
      <c r="M403" s="1">
        <v>8.0</v>
      </c>
      <c r="N403" s="1">
        <v>29.7</v>
      </c>
      <c r="O403" s="1">
        <v>84.950219958</v>
      </c>
      <c r="P403" s="1">
        <v>12.216420598</v>
      </c>
      <c r="Q403" s="1">
        <v>78.25148</v>
      </c>
      <c r="R403" s="1">
        <v>88.24383164</v>
      </c>
      <c r="S403" s="1">
        <v>11.5</v>
      </c>
      <c r="T403" s="1">
        <v>10429.0</v>
      </c>
      <c r="U403" s="1">
        <v>28.133090421</v>
      </c>
      <c r="V403" s="1">
        <v>258.11051693</v>
      </c>
      <c r="W403" s="1">
        <v>15.351993215</v>
      </c>
      <c r="X403" s="1">
        <v>13.714531384</v>
      </c>
      <c r="Y403" s="1">
        <v>76.147113485</v>
      </c>
      <c r="Z403" s="1">
        <v>11.2</v>
      </c>
      <c r="AA403" s="1">
        <v>6.287951528</v>
      </c>
      <c r="AB403" s="1">
        <v>79658.0</v>
      </c>
      <c r="AC403" s="1">
        <v>34.027702039</v>
      </c>
      <c r="AD403" s="1">
        <v>69.848053181</v>
      </c>
      <c r="AE403" s="1">
        <v>15.690120127</v>
      </c>
      <c r="AF403" s="1">
        <v>14.198745703</v>
      </c>
      <c r="AG403" s="1">
        <v>0.5510509329</v>
      </c>
      <c r="AH403" s="1">
        <v>2.1648429505</v>
      </c>
      <c r="AI403" s="1">
        <v>0.1495709675</v>
      </c>
      <c r="AJ403" s="1">
        <v>7.2948647301</v>
      </c>
      <c r="AK403" s="1">
        <v>73.237293028</v>
      </c>
      <c r="AL403" s="1">
        <v>1.0510510511</v>
      </c>
      <c r="AM403" s="1">
        <v>50.68094151</v>
      </c>
      <c r="AN403" s="1">
        <v>52.3434657489999</v>
      </c>
      <c r="AO403" s="1">
        <v>29056.0</v>
      </c>
      <c r="AP403" s="1">
        <v>13.3</v>
      </c>
      <c r="AQ403" s="1">
        <v>9.3</v>
      </c>
      <c r="AR403" s="1">
        <v>9.6</v>
      </c>
      <c r="AS403" s="1">
        <v>10.0</v>
      </c>
      <c r="AT403" s="1">
        <v>29.1</v>
      </c>
      <c r="AU403" s="1">
        <v>10.5</v>
      </c>
      <c r="AV403" s="1">
        <v>25.3</v>
      </c>
      <c r="AW403" s="1">
        <v>1.1</v>
      </c>
      <c r="AX403" s="1">
        <v>0.3403</v>
      </c>
      <c r="AY403" s="1">
        <v>7.8</v>
      </c>
      <c r="AZ403" s="1">
        <v>11.2</v>
      </c>
      <c r="BA403" s="1">
        <v>14.1</v>
      </c>
      <c r="BB403" s="1">
        <v>3.57</v>
      </c>
      <c r="BC403" s="1" t="s">
        <v>798</v>
      </c>
      <c r="BD403" s="1">
        <v>8.4</v>
      </c>
      <c r="BE403" s="1">
        <v>24.3</v>
      </c>
      <c r="BF403" s="1">
        <v>34.2</v>
      </c>
      <c r="BG403" s="1">
        <v>33.1</v>
      </c>
      <c r="BH403" s="1" t="s">
        <v>823</v>
      </c>
    </row>
    <row r="404">
      <c r="A404" s="1">
        <v>13031.0</v>
      </c>
      <c r="B404" s="2" t="str">
        <f>IFERROR(__xludf.DUMMYFUNCTION("TO_TEXT(A404)"),"13031")</f>
        <v>13031</v>
      </c>
      <c r="C404" s="1">
        <v>73141.0</v>
      </c>
      <c r="D404" s="1">
        <v>673.045838802472</v>
      </c>
      <c r="E404" s="1" t="s">
        <v>824</v>
      </c>
      <c r="F404" s="1" t="s">
        <v>825</v>
      </c>
      <c r="G404" s="1">
        <v>108.671647283545</v>
      </c>
      <c r="H404" s="1">
        <v>20.57244783</v>
      </c>
      <c r="I404" s="1">
        <v>4.4251121515</v>
      </c>
      <c r="J404" s="1">
        <v>10.058577406</v>
      </c>
      <c r="K404" s="1">
        <v>19.37250384</v>
      </c>
      <c r="L404" s="1">
        <v>30.0</v>
      </c>
      <c r="M404" s="1">
        <v>6.8</v>
      </c>
      <c r="N404" s="1">
        <v>28.1</v>
      </c>
      <c r="O404" s="1">
        <v>31.4695871369999</v>
      </c>
      <c r="P404" s="1">
        <v>16.779862877</v>
      </c>
      <c r="Q404" s="1">
        <v>55.15503</v>
      </c>
      <c r="R404" s="1">
        <v>85.112359551</v>
      </c>
      <c r="S404" s="1">
        <v>24.4</v>
      </c>
      <c r="T404" s="1">
        <v>14765.0</v>
      </c>
      <c r="U404" s="1">
        <v>38.889265154</v>
      </c>
      <c r="V404" s="1">
        <v>184.83128043</v>
      </c>
      <c r="W404" s="1">
        <v>21.232354063</v>
      </c>
      <c r="X404" s="1">
        <v>19.858851206</v>
      </c>
      <c r="Y404" s="1">
        <v>77.064323444</v>
      </c>
      <c r="Z404" s="1">
        <v>11.9</v>
      </c>
      <c r="AA404" s="1">
        <v>2.8553609595</v>
      </c>
      <c r="AB404" s="1">
        <v>43766.0</v>
      </c>
      <c r="AC404" s="1">
        <v>60.507010865</v>
      </c>
      <c r="AD404" s="1">
        <v>53.470599147</v>
      </c>
      <c r="AE404" s="1">
        <v>19.8476841779999</v>
      </c>
      <c r="AF404" s="1">
        <v>29.158041813</v>
      </c>
      <c r="AG404" s="1">
        <v>0.399761954</v>
      </c>
      <c r="AH404" s="1">
        <v>1.3545332229</v>
      </c>
      <c r="AI404" s="1">
        <v>0.1060856965</v>
      </c>
      <c r="AJ404" s="1">
        <v>4.12311115709999</v>
      </c>
      <c r="AK404" s="1">
        <v>63.386203685</v>
      </c>
      <c r="AL404" s="1">
        <v>0.4295009001</v>
      </c>
      <c r="AM404" s="1">
        <v>50.9431277169999</v>
      </c>
      <c r="AN404" s="1">
        <v>48.2831792869999</v>
      </c>
      <c r="AO404" s="1">
        <v>19544.0</v>
      </c>
      <c r="AP404" s="1">
        <v>31.5</v>
      </c>
      <c r="AQ404" s="1">
        <v>9.7</v>
      </c>
      <c r="AR404" s="1">
        <v>13.4</v>
      </c>
      <c r="AS404" s="1">
        <v>10.2</v>
      </c>
      <c r="AT404" s="1">
        <v>19.8</v>
      </c>
      <c r="AU404" s="1">
        <v>12.5</v>
      </c>
      <c r="AV404" s="1">
        <v>35.8</v>
      </c>
      <c r="AW404" s="1">
        <v>0.7</v>
      </c>
      <c r="AX404" s="1">
        <v>0.7908</v>
      </c>
      <c r="AY404" s="1">
        <v>21.9</v>
      </c>
      <c r="AZ404" s="1">
        <v>15.9</v>
      </c>
      <c r="BA404" s="1">
        <v>20.6</v>
      </c>
      <c r="BB404" s="1">
        <v>3.11</v>
      </c>
      <c r="BC404" s="1" t="s">
        <v>798</v>
      </c>
      <c r="BD404" s="1">
        <v>12.7</v>
      </c>
      <c r="BE404" s="1">
        <v>27.2</v>
      </c>
      <c r="BF404" s="1">
        <v>33.2</v>
      </c>
      <c r="BG404" s="1">
        <v>27.0</v>
      </c>
      <c r="BH404" s="1" t="s">
        <v>825</v>
      </c>
    </row>
    <row r="405">
      <c r="A405" s="1">
        <v>13033.0</v>
      </c>
      <c r="B405" s="2" t="str">
        <f>IFERROR(__xludf.DUMMYFUNCTION("TO_TEXT(A405)"),"13033")</f>
        <v>13033</v>
      </c>
      <c r="C405" s="1">
        <v>22838.0</v>
      </c>
      <c r="D405" s="1">
        <v>826.96713817537</v>
      </c>
      <c r="E405" s="1" t="s">
        <v>826</v>
      </c>
      <c r="F405" s="1" t="s">
        <v>827</v>
      </c>
      <c r="G405" s="1">
        <v>27.6165750073092</v>
      </c>
      <c r="H405" s="1">
        <v>24.1383293669999</v>
      </c>
      <c r="I405" s="1">
        <v>4.3539433102</v>
      </c>
      <c r="J405" s="1">
        <v>12.357320099</v>
      </c>
      <c r="K405" s="1">
        <v>20.506947721</v>
      </c>
      <c r="L405" s="1">
        <v>34.5</v>
      </c>
      <c r="M405" s="1">
        <v>6.3</v>
      </c>
      <c r="N405" s="1">
        <v>26.6</v>
      </c>
      <c r="O405" s="1">
        <v>47.10499228</v>
      </c>
      <c r="P405" s="1">
        <v>15.179476239</v>
      </c>
      <c r="Q405" s="1">
        <v>35.52082</v>
      </c>
      <c r="R405" s="1">
        <v>89.353612167</v>
      </c>
      <c r="S405" s="1">
        <v>33.2</v>
      </c>
      <c r="T405" s="1">
        <v>5891.0</v>
      </c>
      <c r="U405" s="1">
        <v>49.1597351889999</v>
      </c>
      <c r="V405" s="1">
        <v>619.77068485</v>
      </c>
      <c r="W405" s="1">
        <v>14.232673267</v>
      </c>
      <c r="X405" s="1">
        <v>11.6572148709999</v>
      </c>
      <c r="Y405" s="1">
        <v>73.524130781</v>
      </c>
      <c r="Z405" s="1">
        <v>14.1</v>
      </c>
      <c r="AA405" s="1">
        <v>4.8235494991</v>
      </c>
      <c r="AB405" s="1">
        <v>42785.0</v>
      </c>
      <c r="AC405" s="1">
        <v>100.0</v>
      </c>
      <c r="AD405" s="1">
        <v>70.552297165</v>
      </c>
      <c r="AE405" s="1">
        <v>11.772434634</v>
      </c>
      <c r="AF405" s="1">
        <v>46.88935468</v>
      </c>
      <c r="AG405" s="1">
        <v>0.4325915355</v>
      </c>
      <c r="AH405" s="1">
        <v>0.5753021451</v>
      </c>
      <c r="AI405" s="1">
        <v>0.1159523703</v>
      </c>
      <c r="AJ405" s="1">
        <v>3.2555857825</v>
      </c>
      <c r="AK405" s="1">
        <v>47.500334478</v>
      </c>
      <c r="AL405" s="1">
        <v>0.679295828499999</v>
      </c>
      <c r="AM405" s="1">
        <v>52.3614146189999</v>
      </c>
      <c r="AN405" s="1">
        <v>74.9957111</v>
      </c>
      <c r="AO405" s="1">
        <v>18667.0</v>
      </c>
      <c r="AP405" s="1">
        <v>30.5</v>
      </c>
      <c r="AQ405" s="1">
        <v>7.3</v>
      </c>
      <c r="AR405" s="1">
        <v>22.7</v>
      </c>
      <c r="AS405" s="1">
        <v>14.0</v>
      </c>
      <c r="AT405" s="1">
        <v>26.4</v>
      </c>
      <c r="AU405" s="1">
        <v>16.4</v>
      </c>
      <c r="AV405" s="1">
        <v>52.9</v>
      </c>
      <c r="AW405" s="1">
        <v>0.7</v>
      </c>
      <c r="AX405" s="1">
        <v>0.8742</v>
      </c>
      <c r="AY405" s="1">
        <v>23.6</v>
      </c>
      <c r="AZ405" s="1">
        <v>16.8</v>
      </c>
      <c r="BA405" s="1">
        <v>25.3</v>
      </c>
      <c r="BB405" s="1">
        <v>2.79</v>
      </c>
      <c r="BC405" s="1" t="s">
        <v>798</v>
      </c>
      <c r="BD405" s="1">
        <v>19.9</v>
      </c>
      <c r="BE405" s="1">
        <v>38.3</v>
      </c>
      <c r="BF405" s="1">
        <v>28.5</v>
      </c>
      <c r="BG405" s="1">
        <v>13.2</v>
      </c>
      <c r="BH405" s="1" t="s">
        <v>827</v>
      </c>
    </row>
    <row r="406">
      <c r="A406" s="1">
        <v>13035.0</v>
      </c>
      <c r="B406" s="2" t="str">
        <f>IFERROR(__xludf.DUMMYFUNCTION("TO_TEXT(A406)"),"13035")</f>
        <v>13035</v>
      </c>
      <c r="C406" s="1">
        <v>23479.0</v>
      </c>
      <c r="D406" s="1">
        <v>183.76042641653</v>
      </c>
      <c r="E406" s="1" t="s">
        <v>828</v>
      </c>
      <c r="F406" s="1" t="s">
        <v>829</v>
      </c>
      <c r="G406" s="1">
        <v>127.769620792999</v>
      </c>
      <c r="H406" s="1">
        <v>20.159468362</v>
      </c>
      <c r="I406" s="1">
        <v>3.9949276633</v>
      </c>
      <c r="J406" s="1">
        <v>10.288461538</v>
      </c>
      <c r="K406" s="1">
        <v>19.249375017</v>
      </c>
      <c r="L406" s="1">
        <v>33.7</v>
      </c>
      <c r="M406" s="1">
        <v>7.4</v>
      </c>
      <c r="N406" s="1">
        <v>26.9</v>
      </c>
      <c r="O406" s="1">
        <v>64.037201437</v>
      </c>
      <c r="P406" s="1">
        <v>14.9600540109999</v>
      </c>
      <c r="Q406" s="1">
        <v>20.78224</v>
      </c>
      <c r="R406" s="1">
        <v>80.753138075</v>
      </c>
      <c r="S406" s="1">
        <v>30.0</v>
      </c>
      <c r="T406" s="1">
        <v>4916.0</v>
      </c>
      <c r="U406" s="1">
        <v>38.689991863</v>
      </c>
      <c r="V406" s="1">
        <v>305.01461084</v>
      </c>
      <c r="W406" s="1">
        <v>14.027149321</v>
      </c>
      <c r="X406" s="1">
        <v>12.778877888</v>
      </c>
      <c r="Y406" s="1">
        <v>73.805512814</v>
      </c>
      <c r="Z406" s="1">
        <v>12.6</v>
      </c>
      <c r="AA406" s="1">
        <v>2.6271561848</v>
      </c>
      <c r="AB406" s="1">
        <v>48831.0</v>
      </c>
      <c r="AC406" s="1">
        <v>86.96151637</v>
      </c>
      <c r="AD406" s="1">
        <v>71.607208533</v>
      </c>
      <c r="AE406" s="1">
        <v>12.2610247259999</v>
      </c>
      <c r="AF406" s="1">
        <v>28.289174555</v>
      </c>
      <c r="AG406" s="1">
        <v>0.3637415781</v>
      </c>
      <c r="AH406" s="1">
        <v>0.6158806266</v>
      </c>
      <c r="AI406" s="1">
        <v>0.0248005621</v>
      </c>
      <c r="AJ406" s="1">
        <v>3.4720787005</v>
      </c>
      <c r="AK406" s="1">
        <v>66.043896995</v>
      </c>
      <c r="AL406" s="1">
        <v>0.3305489793</v>
      </c>
      <c r="AM406" s="1">
        <v>47.199603191</v>
      </c>
      <c r="AN406" s="1">
        <v>77.9412386389999</v>
      </c>
      <c r="AO406" s="1">
        <v>19529.0</v>
      </c>
      <c r="AP406" s="1">
        <v>20.5</v>
      </c>
      <c r="AQ406" s="1">
        <v>8.4</v>
      </c>
      <c r="AR406" s="1">
        <v>22.8</v>
      </c>
      <c r="AS406" s="1">
        <v>14.5</v>
      </c>
      <c r="AT406" s="1">
        <v>21.4</v>
      </c>
      <c r="AU406" s="1">
        <v>15.1</v>
      </c>
      <c r="AV406" s="1">
        <v>33.1</v>
      </c>
      <c r="AW406" s="1">
        <v>0.6</v>
      </c>
      <c r="AX406" s="1">
        <v>0.7415</v>
      </c>
      <c r="AY406" s="1">
        <v>14.7</v>
      </c>
      <c r="AZ406" s="1">
        <v>15.7</v>
      </c>
      <c r="BA406" s="1">
        <v>23.0</v>
      </c>
      <c r="BB406" s="1">
        <v>3.54</v>
      </c>
      <c r="BC406" s="1" t="s">
        <v>798</v>
      </c>
      <c r="BD406" s="1">
        <v>19.4</v>
      </c>
      <c r="BE406" s="1">
        <v>44.7</v>
      </c>
      <c r="BF406" s="1">
        <v>23.7</v>
      </c>
      <c r="BG406" s="1">
        <v>12.2</v>
      </c>
      <c r="BH406" s="1" t="s">
        <v>829</v>
      </c>
    </row>
    <row r="407">
      <c r="A407" s="1">
        <v>13037.0</v>
      </c>
      <c r="B407" s="2" t="str">
        <f>IFERROR(__xludf.DUMMYFUNCTION("TO_TEXT(A407)"),"13037")</f>
        <v>13037</v>
      </c>
      <c r="C407" s="1">
        <v>6443.0</v>
      </c>
      <c r="D407" s="1">
        <v>280.366908608316</v>
      </c>
      <c r="E407" s="1" t="s">
        <v>74</v>
      </c>
      <c r="F407" s="1" t="s">
        <v>830</v>
      </c>
      <c r="G407" s="1">
        <v>22.9806007848135</v>
      </c>
      <c r="H407" s="1">
        <v>28.267014772</v>
      </c>
      <c r="I407" s="1">
        <v>4.3494094374</v>
      </c>
      <c r="J407" s="1">
        <v>10.772833724</v>
      </c>
      <c r="K407" s="1">
        <v>23.637893693</v>
      </c>
      <c r="L407" s="1">
        <v>27.3</v>
      </c>
      <c r="M407" s="1">
        <v>6.0</v>
      </c>
      <c r="N407" s="1">
        <v>32.2</v>
      </c>
      <c r="O407" s="1">
        <v>0.2838362713</v>
      </c>
      <c r="P407" s="1">
        <v>17.973079968</v>
      </c>
      <c r="Q407" s="1">
        <v>15.49187</v>
      </c>
      <c r="R407" s="1">
        <v>89.3617021279999</v>
      </c>
      <c r="S407" s="1">
        <v>43.2</v>
      </c>
      <c r="T407" s="1">
        <v>1096.0</v>
      </c>
      <c r="U407" s="1">
        <v>50.45620438</v>
      </c>
      <c r="V407" s="1">
        <v>1499.4326471</v>
      </c>
      <c r="W407" s="1">
        <v>16.486486486</v>
      </c>
      <c r="X407" s="1">
        <v>16.134453782</v>
      </c>
      <c r="Y407" s="1">
        <v>76.9363905089999</v>
      </c>
      <c r="Z407" s="1">
        <v>18.8</v>
      </c>
      <c r="AA407" s="1">
        <v>5.6939015069</v>
      </c>
      <c r="AB407" s="1">
        <v>33393.0</v>
      </c>
      <c r="AC407" s="1">
        <v>82.216494845</v>
      </c>
      <c r="AD407" s="1">
        <v>66.162978953</v>
      </c>
      <c r="AE407" s="1">
        <v>15.19949335</v>
      </c>
      <c r="AF407" s="1">
        <v>60.232997481</v>
      </c>
      <c r="AG407" s="1">
        <v>0.4722921914</v>
      </c>
      <c r="AH407" s="1">
        <v>0.7241813602</v>
      </c>
      <c r="AI407" s="1">
        <v>0.330604534</v>
      </c>
      <c r="AJ407" s="1">
        <v>4.9905541562</v>
      </c>
      <c r="AK407" s="1">
        <v>32.90302267</v>
      </c>
      <c r="AL407" s="1">
        <v>1.3982642237</v>
      </c>
      <c r="AM407" s="1">
        <v>39.704030227</v>
      </c>
      <c r="AN407" s="1">
        <v>100.0</v>
      </c>
      <c r="AO407" s="1">
        <v>16778.0</v>
      </c>
      <c r="AP407" s="1">
        <v>32.7</v>
      </c>
      <c r="AQ407" s="1">
        <v>14.4</v>
      </c>
      <c r="AR407" s="1">
        <v>24.0</v>
      </c>
      <c r="AS407" s="1">
        <v>12.5</v>
      </c>
      <c r="AT407" s="1">
        <v>18.9</v>
      </c>
      <c r="AU407" s="1">
        <v>17.5</v>
      </c>
      <c r="AV407" s="1">
        <v>67.6</v>
      </c>
      <c r="AW407" s="1">
        <v>0.5</v>
      </c>
      <c r="AX407" s="1">
        <v>0.9074</v>
      </c>
      <c r="AY407" s="1">
        <v>35.9</v>
      </c>
      <c r="AZ407" s="1">
        <v>18.3</v>
      </c>
      <c r="BA407" s="1">
        <v>24.0</v>
      </c>
      <c r="BB407" s="1">
        <v>3.1</v>
      </c>
      <c r="BC407" s="1" t="s">
        <v>798</v>
      </c>
      <c r="BD407" s="1">
        <v>27.1</v>
      </c>
      <c r="BE407" s="1">
        <v>36.7</v>
      </c>
      <c r="BF407" s="1">
        <v>27.1</v>
      </c>
      <c r="BG407" s="1">
        <v>9.1</v>
      </c>
      <c r="BH407" s="1" t="s">
        <v>830</v>
      </c>
    </row>
    <row r="408">
      <c r="A408" s="1">
        <v>13039.0</v>
      </c>
      <c r="B408" s="2" t="str">
        <f>IFERROR(__xludf.DUMMYFUNCTION("TO_TEXT(A408)"),"13039")</f>
        <v>13039</v>
      </c>
      <c r="C408" s="1">
        <v>52092.0</v>
      </c>
      <c r="D408" s="1">
        <v>613.19626199136</v>
      </c>
      <c r="E408" s="1" t="s">
        <v>831</v>
      </c>
      <c r="F408" s="1" t="s">
        <v>832</v>
      </c>
      <c r="G408" s="1">
        <v>84.9515941777447</v>
      </c>
      <c r="H408" s="1">
        <v>17.000566876</v>
      </c>
      <c r="I408" s="1">
        <v>3.8316341884</v>
      </c>
      <c r="J408" s="1">
        <v>7.4874010079</v>
      </c>
      <c r="K408" s="1">
        <v>16.875882229</v>
      </c>
      <c r="L408" s="1">
        <v>39.1</v>
      </c>
      <c r="M408" s="1">
        <v>7.1</v>
      </c>
      <c r="N408" s="1">
        <v>34.0</v>
      </c>
      <c r="O408" s="1">
        <v>60.705165007</v>
      </c>
      <c r="P408" s="1">
        <v>13.465055888</v>
      </c>
      <c r="Q408" s="1">
        <v>32.04887</v>
      </c>
      <c r="R408" s="1">
        <v>92.574257426</v>
      </c>
      <c r="S408" s="1">
        <v>20.8</v>
      </c>
      <c r="T408" s="1">
        <v>12695.0</v>
      </c>
      <c r="U408" s="1">
        <v>32.193777078</v>
      </c>
      <c r="V408" s="1">
        <v>319.79797265</v>
      </c>
      <c r="W408" s="1">
        <v>13.290460879</v>
      </c>
      <c r="X408" s="1">
        <v>11.6576086959999</v>
      </c>
      <c r="Y408" s="1">
        <v>78.122863667</v>
      </c>
      <c r="Z408" s="1">
        <v>16.9</v>
      </c>
      <c r="AA408" s="1">
        <v>13.644001074</v>
      </c>
      <c r="AB408" s="1">
        <v>56555.0</v>
      </c>
      <c r="AC408" s="1">
        <v>49.740596628</v>
      </c>
      <c r="AD408" s="1">
        <v>62.073782791</v>
      </c>
      <c r="AE408" s="1">
        <v>11.20593692</v>
      </c>
      <c r="AF408" s="1">
        <v>18.533077482</v>
      </c>
      <c r="AG408" s="1">
        <v>0.6576373493</v>
      </c>
      <c r="AH408" s="1">
        <v>1.5146151983</v>
      </c>
      <c r="AI408" s="1">
        <v>0.2179704529</v>
      </c>
      <c r="AJ408" s="1">
        <v>6.9620135253</v>
      </c>
      <c r="AK408" s="1">
        <v>69.59777931</v>
      </c>
      <c r="AL408" s="1">
        <v>0.4792921224</v>
      </c>
      <c r="AM408" s="1">
        <v>48.825381448</v>
      </c>
      <c r="AN408" s="1">
        <v>31.44339081</v>
      </c>
      <c r="AO408" s="1">
        <v>24368.0</v>
      </c>
      <c r="AP408" s="1">
        <v>14.0</v>
      </c>
      <c r="AQ408" s="1">
        <v>9.3</v>
      </c>
      <c r="AR408" s="1">
        <v>9.0</v>
      </c>
      <c r="AS408" s="1">
        <v>11.2</v>
      </c>
      <c r="AT408" s="1">
        <v>25.1</v>
      </c>
      <c r="AU408" s="1">
        <v>12.3</v>
      </c>
      <c r="AV408" s="1">
        <v>29.6</v>
      </c>
      <c r="AW408" s="1">
        <v>0.6</v>
      </c>
      <c r="AX408" s="1">
        <v>0.553999999999999</v>
      </c>
      <c r="AY408" s="1">
        <v>13.8</v>
      </c>
      <c r="AZ408" s="1">
        <v>11.8</v>
      </c>
      <c r="BA408" s="1">
        <v>16.4</v>
      </c>
      <c r="BB408" s="1">
        <v>3.38</v>
      </c>
      <c r="BC408" s="1" t="s">
        <v>798</v>
      </c>
      <c r="BD408" s="1">
        <v>8.7</v>
      </c>
      <c r="BE408" s="1">
        <v>32.2</v>
      </c>
      <c r="BF408" s="1">
        <v>35.3</v>
      </c>
      <c r="BG408" s="1">
        <v>23.9</v>
      </c>
      <c r="BH408" s="1" t="s">
        <v>832</v>
      </c>
    </row>
    <row r="409">
      <c r="A409" s="1">
        <v>13043.0</v>
      </c>
      <c r="B409" s="2" t="str">
        <f>IFERROR(__xludf.DUMMYFUNCTION("TO_TEXT(A409)"),"13043")</f>
        <v>13043</v>
      </c>
      <c r="C409" s="1">
        <v>10962.0</v>
      </c>
      <c r="D409" s="1">
        <v>243.052474642356</v>
      </c>
      <c r="E409" s="1" t="s">
        <v>833</v>
      </c>
      <c r="F409" s="1" t="s">
        <v>834</v>
      </c>
      <c r="G409" s="1">
        <v>45.1013716940353</v>
      </c>
      <c r="H409" s="1">
        <v>25.5217849169999</v>
      </c>
      <c r="I409" s="1">
        <v>4.5282969144</v>
      </c>
      <c r="J409" s="1">
        <v>11.342351717</v>
      </c>
      <c r="K409" s="1">
        <v>21.666477683</v>
      </c>
      <c r="L409" s="1">
        <v>49.6</v>
      </c>
      <c r="M409" s="1">
        <v>7.2</v>
      </c>
      <c r="N409" s="1">
        <v>32.6</v>
      </c>
      <c r="O409" s="1">
        <v>59.301691217</v>
      </c>
      <c r="P409" s="1">
        <v>20.794609665</v>
      </c>
      <c r="Q409" s="1">
        <v>37.04733</v>
      </c>
      <c r="R409" s="1">
        <v>91.2</v>
      </c>
      <c r="S409" s="1">
        <v>35.3</v>
      </c>
      <c r="T409" s="1">
        <v>2716.0</v>
      </c>
      <c r="U409" s="1">
        <v>54.933726068</v>
      </c>
      <c r="V409" s="1">
        <v>204.509002055</v>
      </c>
      <c r="W409" s="1">
        <v>19.875776398</v>
      </c>
      <c r="X409" s="1">
        <v>16.449086162</v>
      </c>
      <c r="Y409" s="1">
        <v>73.069223282</v>
      </c>
      <c r="Z409" s="1">
        <v>12.0</v>
      </c>
      <c r="AA409" s="1">
        <v>2.302978061</v>
      </c>
      <c r="AB409" s="1">
        <v>35841.0</v>
      </c>
      <c r="AC409" s="1">
        <v>77.597745685</v>
      </c>
      <c r="AD409" s="1">
        <v>59.974779319</v>
      </c>
      <c r="AE409" s="1">
        <v>15.657392253</v>
      </c>
      <c r="AF409" s="1">
        <v>24.261720192</v>
      </c>
      <c r="AG409" s="1">
        <v>0.2860834256</v>
      </c>
      <c r="AH409" s="1">
        <v>1.3289036545</v>
      </c>
      <c r="AI409" s="1">
        <v>0.1937984496</v>
      </c>
      <c r="AJ409" s="1">
        <v>12.338501292</v>
      </c>
      <c r="AK409" s="1">
        <v>61.406423034</v>
      </c>
      <c r="AL409" s="1">
        <v>1.1374779369</v>
      </c>
      <c r="AM409" s="1">
        <v>50.968992248</v>
      </c>
      <c r="AN409" s="1">
        <v>66.966721222</v>
      </c>
      <c r="AO409" s="1">
        <v>17750.0</v>
      </c>
      <c r="AP409" s="1">
        <v>29.7</v>
      </c>
      <c r="AQ409" s="1">
        <v>7.1</v>
      </c>
      <c r="AR409" s="1">
        <v>24.7</v>
      </c>
      <c r="AS409" s="1">
        <v>16.5</v>
      </c>
      <c r="AT409" s="1">
        <v>25.2</v>
      </c>
      <c r="AU409" s="1">
        <v>18.2</v>
      </c>
      <c r="AV409" s="1">
        <v>37.3</v>
      </c>
      <c r="AW409" s="1">
        <v>1.4</v>
      </c>
      <c r="AX409" s="1">
        <v>0.9707</v>
      </c>
      <c r="AY409" s="1">
        <v>23.1</v>
      </c>
      <c r="AZ409" s="1">
        <v>18.6</v>
      </c>
      <c r="BA409" s="1">
        <v>26.4</v>
      </c>
      <c r="BB409" s="1">
        <v>3.03</v>
      </c>
      <c r="BC409" s="1" t="s">
        <v>798</v>
      </c>
      <c r="BD409" s="1">
        <v>22.7</v>
      </c>
      <c r="BE409" s="1">
        <v>37.3</v>
      </c>
      <c r="BF409" s="1">
        <v>27.0</v>
      </c>
      <c r="BG409" s="1">
        <v>13.0</v>
      </c>
      <c r="BH409" s="1" t="s">
        <v>834</v>
      </c>
    </row>
    <row r="410">
      <c r="A410" s="1">
        <v>13045.0</v>
      </c>
      <c r="B410" s="2" t="str">
        <f>IFERROR(__xludf.DUMMYFUNCTION("TO_TEXT(A410)"),"13045")</f>
        <v>13045</v>
      </c>
      <c r="C410" s="1">
        <v>113756.0</v>
      </c>
      <c r="D410" s="1">
        <v>499.033890586148</v>
      </c>
      <c r="E410" s="1" t="s">
        <v>298</v>
      </c>
      <c r="F410" s="1" t="s">
        <v>835</v>
      </c>
      <c r="G410" s="1">
        <v>227.952454023485</v>
      </c>
      <c r="H410" s="1">
        <v>18.98424509</v>
      </c>
      <c r="I410" s="1">
        <v>3.9956728518</v>
      </c>
      <c r="J410" s="1">
        <v>8.1106161841</v>
      </c>
      <c r="K410" s="1">
        <v>18.040925947</v>
      </c>
      <c r="L410" s="1">
        <v>39.7</v>
      </c>
      <c r="M410" s="1">
        <v>7.1</v>
      </c>
      <c r="N410" s="1">
        <v>35.9</v>
      </c>
      <c r="O410" s="1">
        <v>49.367122965</v>
      </c>
      <c r="P410" s="1">
        <v>15.9783296259999</v>
      </c>
      <c r="Q410" s="1">
        <v>45.83574</v>
      </c>
      <c r="R410" s="1">
        <v>89.86340762</v>
      </c>
      <c r="S410" s="1">
        <v>21.5</v>
      </c>
      <c r="T410" s="1">
        <v>27620.0</v>
      </c>
      <c r="U410" s="1">
        <v>32.697320782</v>
      </c>
      <c r="V410" s="1">
        <v>311.38322472</v>
      </c>
      <c r="W410" s="1">
        <v>16.172272558</v>
      </c>
      <c r="X410" s="1">
        <v>14.108566367</v>
      </c>
      <c r="Y410" s="1">
        <v>75.165854785</v>
      </c>
      <c r="Z410" s="1">
        <v>13.1</v>
      </c>
      <c r="AA410" s="1">
        <v>10.7549302</v>
      </c>
      <c r="AB410" s="1">
        <v>52502.0</v>
      </c>
      <c r="AC410" s="1">
        <v>59.786957391</v>
      </c>
      <c r="AD410" s="1">
        <v>65.2490887</v>
      </c>
      <c r="AE410" s="1">
        <v>13.3129848659999</v>
      </c>
      <c r="AF410" s="1">
        <v>18.973764191</v>
      </c>
      <c r="AG410" s="1">
        <v>0.5587490793</v>
      </c>
      <c r="AH410" s="1">
        <v>0.9947426791</v>
      </c>
      <c r="AI410" s="1">
        <v>0.0880453094999999</v>
      </c>
      <c r="AJ410" s="1">
        <v>7.156221163</v>
      </c>
      <c r="AK410" s="1">
        <v>70.658900619</v>
      </c>
      <c r="AL410" s="1">
        <v>1.4171662201</v>
      </c>
      <c r="AM410" s="1">
        <v>51.2254383219999</v>
      </c>
      <c r="AN410" s="1">
        <v>41.825074416</v>
      </c>
      <c r="AO410" s="1">
        <v>22002.0</v>
      </c>
      <c r="AP410" s="1">
        <v>19.3</v>
      </c>
      <c r="AQ410" s="1">
        <v>10.8</v>
      </c>
      <c r="AR410" s="1">
        <v>18.9</v>
      </c>
      <c r="AS410" s="1">
        <v>12.4</v>
      </c>
      <c r="AT410" s="1">
        <v>24.4</v>
      </c>
      <c r="AU410" s="1">
        <v>15.7</v>
      </c>
      <c r="AV410" s="1">
        <v>28.5</v>
      </c>
      <c r="AW410" s="1">
        <v>1.4</v>
      </c>
      <c r="AX410" s="1">
        <v>0.851</v>
      </c>
      <c r="AY410" s="1">
        <v>14.9</v>
      </c>
      <c r="AZ410" s="1">
        <v>13.6</v>
      </c>
      <c r="BA410" s="1">
        <v>18.4</v>
      </c>
      <c r="BB410" s="1">
        <v>2.96</v>
      </c>
      <c r="BC410" s="1" t="s">
        <v>798</v>
      </c>
      <c r="BD410" s="1">
        <v>15.4</v>
      </c>
      <c r="BE410" s="1">
        <v>33.4</v>
      </c>
      <c r="BF410" s="1">
        <v>30.2</v>
      </c>
      <c r="BG410" s="1">
        <v>21.1</v>
      </c>
      <c r="BH410" s="1" t="s">
        <v>835</v>
      </c>
    </row>
    <row r="411">
      <c r="A411" s="1">
        <v>13047.0</v>
      </c>
      <c r="B411" s="2" t="str">
        <f>IFERROR(__xludf.DUMMYFUNCTION("TO_TEXT(A411)"),"13047")</f>
        <v>13047</v>
      </c>
      <c r="C411" s="1">
        <v>65645.0</v>
      </c>
      <c r="D411" s="1">
        <v>162.162620694064</v>
      </c>
      <c r="E411" s="1" t="s">
        <v>836</v>
      </c>
      <c r="F411" s="1" t="s">
        <v>837</v>
      </c>
      <c r="G411" s="1">
        <v>404.809688688034</v>
      </c>
      <c r="H411" s="1">
        <v>14.696782062</v>
      </c>
      <c r="I411" s="1">
        <v>3.8191170357</v>
      </c>
      <c r="J411" s="1">
        <v>8.2610491532</v>
      </c>
      <c r="K411" s="1">
        <v>14.998338274</v>
      </c>
      <c r="L411" s="1">
        <v>38.8</v>
      </c>
      <c r="M411" s="1">
        <v>7.9</v>
      </c>
      <c r="N411" s="1">
        <v>31.5</v>
      </c>
      <c r="O411" s="1">
        <v>74.551937694</v>
      </c>
      <c r="P411" s="1">
        <v>12.739131225</v>
      </c>
      <c r="Q411" s="1">
        <v>49.58678</v>
      </c>
      <c r="R411" s="1">
        <v>88.209606987</v>
      </c>
      <c r="S411" s="1">
        <v>16.5</v>
      </c>
      <c r="T411" s="1">
        <v>15234.0</v>
      </c>
      <c r="U411" s="1">
        <v>22.817382171</v>
      </c>
      <c r="V411" s="1">
        <v>260.12915715</v>
      </c>
      <c r="W411" s="1">
        <v>11.556016598</v>
      </c>
      <c r="X411" s="1">
        <v>9.1574325737</v>
      </c>
      <c r="Y411" s="1">
        <v>77.486966919</v>
      </c>
      <c r="Z411" s="1">
        <v>16.7</v>
      </c>
      <c r="AA411" s="1">
        <v>11.142874769</v>
      </c>
      <c r="AB411" s="1">
        <v>55807.0</v>
      </c>
      <c r="AC411" s="1">
        <v>48.646895273</v>
      </c>
      <c r="AD411" s="1">
        <v>75.012177302</v>
      </c>
      <c r="AE411" s="1">
        <v>9.44388777559999</v>
      </c>
      <c r="AF411" s="1">
        <v>2.700978938</v>
      </c>
      <c r="AG411" s="1">
        <v>0.4449718185</v>
      </c>
      <c r="AH411" s="1">
        <v>1.3927617918</v>
      </c>
      <c r="AI411" s="1">
        <v>0.1735390092</v>
      </c>
      <c r="AJ411" s="1">
        <v>3.1266686443</v>
      </c>
      <c r="AK411" s="1">
        <v>90.617027588</v>
      </c>
      <c r="AL411" s="1">
        <v>0.5218223889</v>
      </c>
      <c r="AM411" s="1">
        <v>51.631563334</v>
      </c>
      <c r="AN411" s="1">
        <v>28.102029965</v>
      </c>
      <c r="AO411" s="1">
        <v>23834.0</v>
      </c>
      <c r="AP411" s="1">
        <v>11.8</v>
      </c>
      <c r="AQ411" s="1">
        <v>7.2</v>
      </c>
      <c r="AR411" s="1">
        <v>14.4</v>
      </c>
      <c r="AS411" s="1">
        <v>15.8</v>
      </c>
      <c r="AT411" s="1">
        <v>23.7</v>
      </c>
      <c r="AU411" s="1">
        <v>14.6</v>
      </c>
      <c r="AV411" s="1">
        <v>8.3</v>
      </c>
      <c r="AW411" s="1">
        <v>0.6</v>
      </c>
      <c r="AX411" s="1">
        <v>0.2534</v>
      </c>
      <c r="AY411" s="1">
        <v>10.0</v>
      </c>
      <c r="AZ411" s="1">
        <v>10.4</v>
      </c>
      <c r="BA411" s="1">
        <v>13.9</v>
      </c>
      <c r="BB411" s="1">
        <v>3.01</v>
      </c>
      <c r="BC411" s="1" t="s">
        <v>798</v>
      </c>
      <c r="BD411" s="1">
        <v>12.5</v>
      </c>
      <c r="BE411" s="1">
        <v>32.9</v>
      </c>
      <c r="BF411" s="1">
        <v>33.2</v>
      </c>
      <c r="BG411" s="1">
        <v>21.4</v>
      </c>
      <c r="BH411" s="1" t="s">
        <v>837</v>
      </c>
    </row>
    <row r="412">
      <c r="A412" s="1">
        <v>13049.0</v>
      </c>
      <c r="B412" s="2" t="str">
        <f>IFERROR(__xludf.DUMMYFUNCTION("TO_TEXT(A412)"),"13049")</f>
        <v>13049</v>
      </c>
      <c r="C412" s="1">
        <v>12968.0</v>
      </c>
      <c r="D412" s="1">
        <v>773.61977618819</v>
      </c>
      <c r="E412" s="1" t="s">
        <v>838</v>
      </c>
      <c r="F412" s="1" t="s">
        <v>839</v>
      </c>
      <c r="G412" s="1">
        <v>16.7627565881219</v>
      </c>
      <c r="H412" s="1">
        <v>19.83422109</v>
      </c>
      <c r="I412" s="1">
        <v>3.9344146763</v>
      </c>
      <c r="J412" s="1">
        <v>8.082026538</v>
      </c>
      <c r="K412" s="1">
        <v>19.322826051</v>
      </c>
      <c r="L412" s="1">
        <v>35.4</v>
      </c>
      <c r="M412" s="1">
        <v>7.1</v>
      </c>
      <c r="N412" s="1">
        <v>32.6</v>
      </c>
      <c r="O412" s="1">
        <v>73.116424287</v>
      </c>
      <c r="P412" s="1">
        <v>15.711928336</v>
      </c>
      <c r="Q412" s="1">
        <v>31.45891</v>
      </c>
      <c r="R412" s="1">
        <v>86.554621849</v>
      </c>
      <c r="S412" s="1">
        <v>30.5</v>
      </c>
      <c r="T412" s="1">
        <v>2471.0</v>
      </c>
      <c r="U412" s="1">
        <v>31.242411979</v>
      </c>
      <c r="V412" s="1">
        <v>189.43699326</v>
      </c>
      <c r="W412" s="1">
        <v>10.503597122</v>
      </c>
      <c r="X412" s="1">
        <v>9.72017673049999</v>
      </c>
      <c r="Y412" s="1">
        <v>78.3033645</v>
      </c>
      <c r="Z412" s="1">
        <v>16.7</v>
      </c>
      <c r="AA412" s="1">
        <v>8.4982183788</v>
      </c>
      <c r="AB412" s="1">
        <v>40499.0</v>
      </c>
      <c r="AC412" s="1">
        <v>71.147161066</v>
      </c>
      <c r="AD412" s="1">
        <v>73.166619837</v>
      </c>
      <c r="AE412" s="1">
        <v>11.3389626059999</v>
      </c>
      <c r="AF412" s="1">
        <v>28.739975324</v>
      </c>
      <c r="AG412" s="1">
        <v>2.5601480568</v>
      </c>
      <c r="AH412" s="1">
        <v>0.8790869833</v>
      </c>
      <c r="AI412" s="1">
        <v>0.0694016039</v>
      </c>
      <c r="AJ412" s="1">
        <v>4.7038864898</v>
      </c>
      <c r="AK412" s="1">
        <v>61.574645281</v>
      </c>
      <c r="AL412" s="1">
        <v>5.3926744092</v>
      </c>
      <c r="AM412" s="1">
        <v>42.65885256</v>
      </c>
      <c r="AN412" s="1">
        <v>51.022923342</v>
      </c>
      <c r="AO412" s="1">
        <v>18693.0</v>
      </c>
      <c r="AP412" s="1">
        <v>20.6</v>
      </c>
      <c r="AQ412" s="1">
        <v>12.0</v>
      </c>
      <c r="AR412" s="1">
        <v>19.1</v>
      </c>
      <c r="AS412" s="1">
        <v>12.8</v>
      </c>
      <c r="AT412" s="1">
        <v>19.4</v>
      </c>
      <c r="AU412" s="1">
        <v>14.6</v>
      </c>
      <c r="AV412" s="1">
        <v>37.8</v>
      </c>
      <c r="AW412" s="1">
        <v>3.3</v>
      </c>
      <c r="AX412" s="1">
        <v>0.7775</v>
      </c>
      <c r="AY412" s="1">
        <v>25.9</v>
      </c>
      <c r="AZ412" s="1">
        <v>16.7</v>
      </c>
      <c r="BA412" s="1">
        <v>23.8</v>
      </c>
      <c r="BB412" s="1">
        <v>3.37</v>
      </c>
      <c r="BC412" s="1" t="s">
        <v>798</v>
      </c>
      <c r="BD412" s="1">
        <v>25.9</v>
      </c>
      <c r="BE412" s="1">
        <v>40.1</v>
      </c>
      <c r="BF412" s="1">
        <v>25.2</v>
      </c>
      <c r="BG412" s="1">
        <v>8.8</v>
      </c>
      <c r="BH412" s="1" t="s">
        <v>839</v>
      </c>
    </row>
    <row r="413">
      <c r="A413" s="1">
        <v>13051.0</v>
      </c>
      <c r="B413" s="2" t="str">
        <f>IFERROR(__xludf.DUMMYFUNCTION("TO_TEXT(A413)"),"13051")</f>
        <v>13051</v>
      </c>
      <c r="C413" s="1">
        <v>282613.0</v>
      </c>
      <c r="D413" s="1">
        <v>429.059272224739</v>
      </c>
      <c r="E413" s="1" t="s">
        <v>840</v>
      </c>
      <c r="F413" s="1" t="s">
        <v>841</v>
      </c>
      <c r="G413" s="1">
        <v>658.680556032753</v>
      </c>
      <c r="H413" s="1">
        <v>18.439646474</v>
      </c>
      <c r="I413" s="1">
        <v>3.6670732525</v>
      </c>
      <c r="J413" s="1">
        <v>10.174014769</v>
      </c>
      <c r="K413" s="1">
        <v>17.080114225</v>
      </c>
      <c r="L413" s="1">
        <v>32.4</v>
      </c>
      <c r="M413" s="1">
        <v>6.9</v>
      </c>
      <c r="N413" s="1">
        <v>26.0</v>
      </c>
      <c r="O413" s="1">
        <v>89.642738602</v>
      </c>
      <c r="P413" s="1">
        <v>16.223679374</v>
      </c>
      <c r="Q413" s="1">
        <v>88.1236199999999</v>
      </c>
      <c r="R413" s="1">
        <v>86.6785873939999</v>
      </c>
      <c r="S413" s="1">
        <v>20.0</v>
      </c>
      <c r="T413" s="1">
        <v>61499.0</v>
      </c>
      <c r="U413" s="1">
        <v>46.2804273239999</v>
      </c>
      <c r="V413" s="1">
        <v>448.04038988</v>
      </c>
      <c r="W413" s="1">
        <v>19.714285714</v>
      </c>
      <c r="X413" s="1">
        <v>17.89629206</v>
      </c>
      <c r="Y413" s="1">
        <v>77.907619762</v>
      </c>
      <c r="Z413" s="1">
        <v>10.3</v>
      </c>
      <c r="AA413" s="1">
        <v>7.4635419388</v>
      </c>
      <c r="AB413" s="1">
        <v>54165.0</v>
      </c>
      <c r="AC413" s="1">
        <v>55.444964871</v>
      </c>
      <c r="AD413" s="1">
        <v>54.132647872</v>
      </c>
      <c r="AE413" s="1">
        <v>17.129696272</v>
      </c>
      <c r="AF413" s="1">
        <v>40.1189508809999</v>
      </c>
      <c r="AG413" s="1">
        <v>0.3603105171</v>
      </c>
      <c r="AH413" s="1">
        <v>2.9208665433</v>
      </c>
      <c r="AI413" s="1">
        <v>0.133819741</v>
      </c>
      <c r="AJ413" s="1">
        <v>6.5588962465</v>
      </c>
      <c r="AK413" s="1">
        <v>48.189284047</v>
      </c>
      <c r="AL413" s="1">
        <v>1.3886818886</v>
      </c>
      <c r="AM413" s="1">
        <v>51.9431525439999</v>
      </c>
      <c r="AN413" s="1">
        <v>4.5049938143</v>
      </c>
      <c r="AO413" s="1">
        <v>27204.0</v>
      </c>
      <c r="AP413" s="1">
        <v>18.0</v>
      </c>
      <c r="AQ413" s="1">
        <v>9.2</v>
      </c>
      <c r="AR413" s="1">
        <v>10.7</v>
      </c>
      <c r="AS413" s="1">
        <v>13.6</v>
      </c>
      <c r="AT413" s="1">
        <v>22.1</v>
      </c>
      <c r="AU413" s="1">
        <v>12.7</v>
      </c>
      <c r="AV413" s="1">
        <v>50.5</v>
      </c>
      <c r="AW413" s="1">
        <v>1.6</v>
      </c>
      <c r="AX413" s="1">
        <v>0.6858</v>
      </c>
      <c r="AY413" s="1">
        <v>14.8</v>
      </c>
      <c r="AZ413" s="1">
        <v>13.2</v>
      </c>
      <c r="BA413" s="1">
        <v>16.9</v>
      </c>
      <c r="BB413" s="1">
        <v>3.35</v>
      </c>
      <c r="BC413" s="1" t="s">
        <v>798</v>
      </c>
      <c r="BD413" s="1">
        <v>10.1</v>
      </c>
      <c r="BE413" s="1">
        <v>24.2</v>
      </c>
      <c r="BF413" s="1">
        <v>32.1</v>
      </c>
      <c r="BG413" s="1">
        <v>33.6</v>
      </c>
      <c r="BH413" s="1" t="s">
        <v>841</v>
      </c>
    </row>
    <row r="414">
      <c r="A414" s="1">
        <v>13053.0</v>
      </c>
      <c r="B414" s="2" t="str">
        <f>IFERROR(__xludf.DUMMYFUNCTION("TO_TEXT(A414)"),"13053")</f>
        <v>13053</v>
      </c>
      <c r="C414" s="1">
        <v>11882.0</v>
      </c>
      <c r="D414" s="1">
        <v>248.735661718442</v>
      </c>
      <c r="E414" s="1" t="s">
        <v>842</v>
      </c>
      <c r="F414" s="1" t="s">
        <v>843</v>
      </c>
      <c r="G414" s="1">
        <v>47.7695876735597</v>
      </c>
      <c r="H414" s="1">
        <v>19.655825864</v>
      </c>
      <c r="I414" s="1">
        <v>3.8043008722</v>
      </c>
      <c r="J414" s="1">
        <v>6.7100977199</v>
      </c>
      <c r="K414" s="1">
        <v>17.965194979</v>
      </c>
      <c r="L414" s="1">
        <v>34.7</v>
      </c>
      <c r="M414" s="1">
        <v>4.4</v>
      </c>
      <c r="N414" s="1">
        <v>22.2</v>
      </c>
      <c r="O414" s="1">
        <v>83.660246738</v>
      </c>
      <c r="P414" s="1">
        <v>12.133370227</v>
      </c>
      <c r="Q414" s="1">
        <v>77.347</v>
      </c>
      <c r="R414" s="1">
        <v>82.142857143</v>
      </c>
      <c r="S414" s="1">
        <v>19.3</v>
      </c>
      <c r="T414" s="1">
        <v>2295.0</v>
      </c>
      <c r="U414" s="1">
        <v>26.187363834</v>
      </c>
      <c r="V414" s="1">
        <v>0.0</v>
      </c>
      <c r="W414" s="1">
        <v>18.217054264</v>
      </c>
      <c r="X414" s="1">
        <v>14.21875</v>
      </c>
      <c r="Y414" s="1">
        <v>77.81126558</v>
      </c>
      <c r="Z414" s="1">
        <v>6.1</v>
      </c>
      <c r="AA414" s="1">
        <v>36.803789912</v>
      </c>
      <c r="AB414" s="1">
        <v>46869.0</v>
      </c>
      <c r="AC414" s="1">
        <v>72.189349112</v>
      </c>
      <c r="AD414" s="1">
        <v>26.0</v>
      </c>
      <c r="AE414" s="1">
        <v>18.388429752</v>
      </c>
      <c r="AF414" s="1">
        <v>19.159490827</v>
      </c>
      <c r="AG414" s="1">
        <v>1.3384500187</v>
      </c>
      <c r="AH414" s="1">
        <v>3.0419318607</v>
      </c>
      <c r="AI414" s="1">
        <v>0.9359790341</v>
      </c>
      <c r="AJ414" s="1">
        <v>16.061400225</v>
      </c>
      <c r="AK414" s="1">
        <v>57.047922127</v>
      </c>
      <c r="AL414" s="1">
        <v>0.6379746835</v>
      </c>
      <c r="AM414" s="1">
        <v>35.950954699</v>
      </c>
      <c r="AN414" s="1">
        <v>29.519836691</v>
      </c>
      <c r="AO414" s="1">
        <v>19708.0</v>
      </c>
      <c r="AP414" s="1">
        <v>14.3</v>
      </c>
      <c r="AQ414" s="1">
        <v>16.0</v>
      </c>
      <c r="AR414" s="1">
        <v>9.8</v>
      </c>
      <c r="AS414" s="1">
        <v>3.9</v>
      </c>
      <c r="AT414" s="1">
        <v>23.1</v>
      </c>
      <c r="AU414" s="1">
        <v>15.5</v>
      </c>
      <c r="AV414" s="1">
        <v>40.0</v>
      </c>
      <c r="AW414" s="1">
        <v>1.8</v>
      </c>
      <c r="AX414" s="1">
        <v>0.7752</v>
      </c>
      <c r="AY414" s="1">
        <v>18.5</v>
      </c>
      <c r="AZ414" s="1">
        <v>15.1</v>
      </c>
      <c r="BA414" s="1">
        <v>18.4</v>
      </c>
      <c r="BB414" s="1">
        <v>3.2</v>
      </c>
      <c r="BC414" s="1" t="s">
        <v>798</v>
      </c>
      <c r="BD414" s="1">
        <v>5.7</v>
      </c>
      <c r="BE414" s="1">
        <v>28.3</v>
      </c>
      <c r="BF414" s="1">
        <v>36.5</v>
      </c>
      <c r="BG414" s="1">
        <v>29.5</v>
      </c>
      <c r="BH414" s="1" t="s">
        <v>843</v>
      </c>
    </row>
    <row r="415">
      <c r="A415" s="1">
        <v>13055.0</v>
      </c>
      <c r="B415" s="2" t="str">
        <f>IFERROR(__xludf.DUMMYFUNCTION("TO_TEXT(A415)"),"13055")</f>
        <v>13055</v>
      </c>
      <c r="C415" s="1">
        <v>25046.0</v>
      </c>
      <c r="D415" s="1">
        <v>313.32656259531</v>
      </c>
      <c r="E415" s="1" t="s">
        <v>844</v>
      </c>
      <c r="F415" s="1" t="s">
        <v>845</v>
      </c>
      <c r="G415" s="1">
        <v>79.935769864329</v>
      </c>
      <c r="H415" s="1">
        <v>19.089461344</v>
      </c>
      <c r="I415" s="1">
        <v>4.175668504</v>
      </c>
      <c r="J415" s="1">
        <v>7.8393881453</v>
      </c>
      <c r="K415" s="1">
        <v>18.937689396</v>
      </c>
      <c r="L415" s="1">
        <v>30.2</v>
      </c>
      <c r="M415" s="1">
        <v>7.7</v>
      </c>
      <c r="N415" s="1">
        <v>30.2</v>
      </c>
      <c r="O415" s="1">
        <v>41.437632135</v>
      </c>
      <c r="P415" s="1">
        <v>16.638034255</v>
      </c>
      <c r="Q415" s="1">
        <v>8.07428</v>
      </c>
      <c r="R415" s="1">
        <v>86.111111111</v>
      </c>
      <c r="S415" s="1">
        <v>24.7</v>
      </c>
      <c r="T415" s="1">
        <v>5552.0</v>
      </c>
      <c r="U415" s="1">
        <v>34.744236311</v>
      </c>
      <c r="V415" s="1">
        <v>136.2176229</v>
      </c>
      <c r="W415" s="1">
        <v>15.491452991</v>
      </c>
      <c r="X415" s="1">
        <v>8.404840484</v>
      </c>
      <c r="Y415" s="1">
        <v>72.549350133</v>
      </c>
      <c r="Z415" s="1">
        <v>12.3</v>
      </c>
      <c r="AA415" s="1">
        <v>3.1241895048</v>
      </c>
      <c r="AB415" s="1">
        <v>39513.0</v>
      </c>
      <c r="AC415" s="1">
        <v>67.759562842</v>
      </c>
      <c r="AD415" s="1">
        <v>66.827874258</v>
      </c>
      <c r="AE415" s="1">
        <v>10.253105226</v>
      </c>
      <c r="AF415" s="1">
        <v>9.6813231142</v>
      </c>
      <c r="AG415" s="1">
        <v>0.447761194</v>
      </c>
      <c r="AH415" s="1">
        <v>0.5445744252</v>
      </c>
      <c r="AI415" s="1">
        <v>0.3267446551</v>
      </c>
      <c r="AJ415" s="1">
        <v>5.3892698669</v>
      </c>
      <c r="AK415" s="1">
        <v>82.440500202</v>
      </c>
      <c r="AL415" s="1">
        <v>1.4802491255</v>
      </c>
      <c r="AM415" s="1">
        <v>48.85034288</v>
      </c>
      <c r="AN415" s="1">
        <v>57.559100519</v>
      </c>
      <c r="AO415" s="1">
        <v>17381.0</v>
      </c>
      <c r="AP415" s="1">
        <v>22.4</v>
      </c>
      <c r="AQ415" s="1">
        <v>10.1</v>
      </c>
      <c r="AR415" s="1">
        <v>27.5</v>
      </c>
      <c r="AS415" s="1">
        <v>16.2</v>
      </c>
      <c r="AT415" s="1">
        <v>22.2</v>
      </c>
      <c r="AU415" s="1">
        <v>18.0</v>
      </c>
      <c r="AV415" s="1">
        <v>17.1</v>
      </c>
      <c r="AW415" s="1">
        <v>1.4</v>
      </c>
      <c r="AX415" s="1">
        <v>0.9284</v>
      </c>
      <c r="AY415" s="1">
        <v>17.4</v>
      </c>
      <c r="AZ415" s="1">
        <v>15.0</v>
      </c>
      <c r="BA415" s="1">
        <v>19.3</v>
      </c>
      <c r="BB415" s="1">
        <v>2.98</v>
      </c>
      <c r="BC415" s="1" t="s">
        <v>798</v>
      </c>
      <c r="BD415" s="1">
        <v>26.2</v>
      </c>
      <c r="BE415" s="1">
        <v>40.1</v>
      </c>
      <c r="BF415" s="1">
        <v>24.8</v>
      </c>
      <c r="BG415" s="1">
        <v>8.9</v>
      </c>
      <c r="BH415" s="1" t="s">
        <v>845</v>
      </c>
    </row>
    <row r="416">
      <c r="A416" s="1">
        <v>13057.0</v>
      </c>
      <c r="B416" s="2" t="str">
        <f>IFERROR(__xludf.DUMMYFUNCTION("TO_TEXT(A416)"),"13057")</f>
        <v>13057</v>
      </c>
      <c r="C416" s="1">
        <v>230629.0</v>
      </c>
      <c r="D416" s="1">
        <v>421.109583782826</v>
      </c>
      <c r="E416" s="1" t="s">
        <v>78</v>
      </c>
      <c r="F416" s="1" t="s">
        <v>846</v>
      </c>
      <c r="G416" s="1">
        <v>547.669796370485</v>
      </c>
      <c r="H416" s="1">
        <v>14.869812088</v>
      </c>
      <c r="I416" s="1">
        <v>3.578508445</v>
      </c>
      <c r="J416" s="1">
        <v>6.9047619048</v>
      </c>
      <c r="K416" s="1">
        <v>14.563460128</v>
      </c>
      <c r="L416" s="1">
        <v>26.8</v>
      </c>
      <c r="M416" s="1">
        <v>8.7</v>
      </c>
      <c r="N416" s="1">
        <v>25.2</v>
      </c>
      <c r="O416" s="1">
        <v>91.3350377429999</v>
      </c>
      <c r="P416" s="1">
        <v>12.8374504109999</v>
      </c>
      <c r="Q416" s="1">
        <v>38.77644</v>
      </c>
      <c r="R416" s="1">
        <v>87.735849057</v>
      </c>
      <c r="S416" s="1">
        <v>9.4</v>
      </c>
      <c r="T416" s="1">
        <v>60818.0</v>
      </c>
      <c r="U416" s="1">
        <v>19.310072676</v>
      </c>
      <c r="V416" s="1">
        <v>93.205610294</v>
      </c>
      <c r="W416" s="1">
        <v>13.18736004</v>
      </c>
      <c r="X416" s="1">
        <v>11.302874357</v>
      </c>
      <c r="Y416" s="1">
        <v>80.057206121</v>
      </c>
      <c r="Z416" s="1">
        <v>10.2</v>
      </c>
      <c r="AA416" s="1">
        <v>7.1041628031</v>
      </c>
      <c r="AB416" s="1">
        <v>82733.0</v>
      </c>
      <c r="AC416" s="1">
        <v>29.474464733</v>
      </c>
      <c r="AD416" s="1">
        <v>76.55228663</v>
      </c>
      <c r="AE416" s="1">
        <v>10.826512064</v>
      </c>
      <c r="AF416" s="1">
        <v>6.7830288532</v>
      </c>
      <c r="AG416" s="1">
        <v>0.5394473321</v>
      </c>
      <c r="AH416" s="1">
        <v>2.0074837989</v>
      </c>
      <c r="AI416" s="1">
        <v>0.1007283129</v>
      </c>
      <c r="AJ416" s="1">
        <v>10.8035050309999</v>
      </c>
      <c r="AK416" s="1">
        <v>78.398498519</v>
      </c>
      <c r="AL416" s="1">
        <v>2.5905914369</v>
      </c>
      <c r="AM416" s="1">
        <v>50.750150502</v>
      </c>
      <c r="AN416" s="1">
        <v>17.102721768</v>
      </c>
      <c r="AO416" s="1">
        <v>32002.0</v>
      </c>
      <c r="AP416" s="1">
        <v>10.0</v>
      </c>
      <c r="AQ416" s="1">
        <v>5.5</v>
      </c>
      <c r="AR416" s="1">
        <v>10.2</v>
      </c>
      <c r="AS416" s="1">
        <v>11.9</v>
      </c>
      <c r="AT416" s="1">
        <v>26.1</v>
      </c>
      <c r="AU416" s="1">
        <v>9.4</v>
      </c>
      <c r="AV416" s="1">
        <v>19.8</v>
      </c>
      <c r="AW416" s="1">
        <v>2.8</v>
      </c>
      <c r="AX416" s="1">
        <v>0.1703</v>
      </c>
      <c r="AY416" s="1">
        <v>6.5</v>
      </c>
      <c r="AZ416" s="1">
        <v>7.9</v>
      </c>
      <c r="BA416" s="1">
        <v>10.1</v>
      </c>
      <c r="BB416" s="1">
        <v>3.19</v>
      </c>
      <c r="BC416" s="1" t="s">
        <v>798</v>
      </c>
      <c r="BD416" s="1">
        <v>7.9</v>
      </c>
      <c r="BE416" s="1">
        <v>22.4</v>
      </c>
      <c r="BF416" s="1">
        <v>31.5</v>
      </c>
      <c r="BG416" s="1">
        <v>38.2</v>
      </c>
      <c r="BH416" s="1" t="s">
        <v>846</v>
      </c>
    </row>
    <row r="417">
      <c r="A417" s="1">
        <v>13059.0</v>
      </c>
      <c r="B417" s="2" t="str">
        <f>IFERROR(__xludf.DUMMYFUNCTION("TO_TEXT(A417)"),"13059")</f>
        <v>13059</v>
      </c>
      <c r="C417" s="1">
        <v>122037.0</v>
      </c>
      <c r="D417" s="1">
        <v>119.204533794104</v>
      </c>
      <c r="E417" s="1" t="s">
        <v>84</v>
      </c>
      <c r="F417" s="1" t="s">
        <v>847</v>
      </c>
      <c r="G417" s="1">
        <v>1023.76139661591</v>
      </c>
      <c r="H417" s="1">
        <v>23.040954345</v>
      </c>
      <c r="I417" s="1">
        <v>4.3832550591</v>
      </c>
      <c r="J417" s="1">
        <v>9.8731328013</v>
      </c>
      <c r="K417" s="1">
        <v>20.131694769</v>
      </c>
      <c r="L417" s="1">
        <v>24.0</v>
      </c>
      <c r="M417" s="1">
        <v>5.0</v>
      </c>
      <c r="N417" s="1">
        <v>25.5</v>
      </c>
      <c r="O417" s="1">
        <v>82.260054492</v>
      </c>
      <c r="P417" s="1">
        <v>16.297159505</v>
      </c>
      <c r="Q417" s="1">
        <v>65.32141</v>
      </c>
      <c r="R417" s="1">
        <v>79.624664879</v>
      </c>
      <c r="S417" s="1">
        <v>30.0</v>
      </c>
      <c r="T417" s="1">
        <v>21325.0</v>
      </c>
      <c r="U417" s="1">
        <v>44.286049238</v>
      </c>
      <c r="V417" s="1">
        <v>404.78640757</v>
      </c>
      <c r="W417" s="1">
        <v>25.8240534519999</v>
      </c>
      <c r="X417" s="1">
        <v>24.644439263</v>
      </c>
      <c r="Y417" s="1">
        <v>78.53593466</v>
      </c>
      <c r="Z417" s="1">
        <v>6.7</v>
      </c>
      <c r="AA417" s="1">
        <v>20.984247144</v>
      </c>
      <c r="AB417" s="1">
        <v>42112.0</v>
      </c>
      <c r="AC417" s="1">
        <v>92.0514705879999</v>
      </c>
      <c r="AD417" s="1">
        <v>39.005590378</v>
      </c>
      <c r="AE417" s="1">
        <v>24.692462536</v>
      </c>
      <c r="AF417" s="1">
        <v>27.80570172</v>
      </c>
      <c r="AG417" s="1">
        <v>0.3973926019</v>
      </c>
      <c r="AH417" s="1">
        <v>4.2597973769</v>
      </c>
      <c r="AI417" s="1">
        <v>0.136652792</v>
      </c>
      <c r="AJ417" s="1">
        <v>10.8631116</v>
      </c>
      <c r="AK417" s="1">
        <v>55.08049949</v>
      </c>
      <c r="AL417" s="1">
        <v>2.9178866964</v>
      </c>
      <c r="AM417" s="1">
        <v>52.6254613999999</v>
      </c>
      <c r="AN417" s="1">
        <v>5.8596226674</v>
      </c>
      <c r="AO417" s="1">
        <v>20195.0</v>
      </c>
      <c r="AP417" s="1">
        <v>35.2</v>
      </c>
      <c r="AQ417" s="1">
        <v>8.6</v>
      </c>
      <c r="AR417" s="1">
        <v>13.8</v>
      </c>
      <c r="AS417" s="1">
        <v>9.6</v>
      </c>
      <c r="AT417" s="1">
        <v>17.4</v>
      </c>
      <c r="AU417" s="1">
        <v>10.1</v>
      </c>
      <c r="AV417" s="1">
        <v>44.1</v>
      </c>
      <c r="AW417" s="1">
        <v>3.4</v>
      </c>
      <c r="AX417" s="1">
        <v>0.7545</v>
      </c>
      <c r="AY417" s="1">
        <v>25.7</v>
      </c>
      <c r="AZ417" s="1">
        <v>16.3</v>
      </c>
      <c r="BA417" s="1">
        <v>19.4</v>
      </c>
      <c r="BB417" s="1">
        <v>3.13</v>
      </c>
      <c r="BC417" s="1" t="s">
        <v>798</v>
      </c>
      <c r="BD417" s="1">
        <v>12.0</v>
      </c>
      <c r="BE417" s="1">
        <v>19.9</v>
      </c>
      <c r="BF417" s="1">
        <v>24.1</v>
      </c>
      <c r="BG417" s="1">
        <v>44.0</v>
      </c>
      <c r="BH417" s="1" t="s">
        <v>847</v>
      </c>
    </row>
    <row r="418">
      <c r="A418" s="1">
        <v>13061.0</v>
      </c>
      <c r="B418" s="2" t="str">
        <f>IFERROR(__xludf.DUMMYFUNCTION("TO_TEXT(A418)"),"13061")</f>
        <v>13061</v>
      </c>
      <c r="C418" s="1">
        <v>3068.0</v>
      </c>
      <c r="D418" s="1">
        <v>195.381435223804</v>
      </c>
      <c r="E418" s="1" t="s">
        <v>86</v>
      </c>
      <c r="F418" s="1" t="s">
        <v>848</v>
      </c>
      <c r="G418" s="1">
        <v>15.7026177870261</v>
      </c>
      <c r="H418" s="1">
        <v>31.6519188519999</v>
      </c>
      <c r="I418" s="1">
        <v>4.9741862651</v>
      </c>
      <c r="J418" s="1">
        <v>11.004784689</v>
      </c>
      <c r="K418" s="1">
        <v>24.1990040809999</v>
      </c>
      <c r="L418" s="1">
        <v>35.9</v>
      </c>
      <c r="M418" s="1">
        <v>0.5</v>
      </c>
      <c r="N418" s="1">
        <v>41.2</v>
      </c>
      <c r="O418" s="1">
        <v>29.31196984</v>
      </c>
      <c r="P418" s="1">
        <v>15.449835139</v>
      </c>
      <c r="Q418" s="1">
        <v>33.76097</v>
      </c>
      <c r="R418" s="1">
        <v>89.912280702</v>
      </c>
      <c r="S418" s="1">
        <v>44.8</v>
      </c>
      <c r="T418" s="1">
        <v>584.0</v>
      </c>
      <c r="U418" s="1">
        <v>70.034246575</v>
      </c>
      <c r="V418" s="1">
        <v>200.0</v>
      </c>
      <c r="W418" s="1">
        <v>17.24137931</v>
      </c>
      <c r="X418" s="1">
        <v>15.535714286</v>
      </c>
      <c r="Y418" s="1">
        <v>74.609700928</v>
      </c>
      <c r="Z418" s="1">
        <v>15.6</v>
      </c>
      <c r="AA418" s="1">
        <v>56.601492827</v>
      </c>
      <c r="AB418" s="1">
        <v>30239.0</v>
      </c>
      <c r="AC418" s="1">
        <v>96.666666667</v>
      </c>
      <c r="AD418" s="1">
        <v>63.976705491</v>
      </c>
      <c r="AE418" s="1">
        <v>18.316831683</v>
      </c>
      <c r="AF418" s="1">
        <v>60.374090752</v>
      </c>
      <c r="AG418" s="1">
        <v>0.3810183582</v>
      </c>
      <c r="AH418" s="1">
        <v>0.4849324558</v>
      </c>
      <c r="AI418" s="1">
        <v>0.1039140977</v>
      </c>
      <c r="AJ418" s="1">
        <v>1.6626255629</v>
      </c>
      <c r="AK418" s="1">
        <v>36.196744025</v>
      </c>
      <c r="AL418" s="1">
        <v>0.0</v>
      </c>
      <c r="AM418" s="1">
        <v>52.8229996539999</v>
      </c>
      <c r="AN418" s="1">
        <v>100.0</v>
      </c>
      <c r="AO418" s="1">
        <v>13533.0</v>
      </c>
      <c r="AP418" s="1">
        <v>39.8</v>
      </c>
      <c r="AQ418" s="1">
        <v>18.9</v>
      </c>
      <c r="AR418" s="1">
        <v>17.7</v>
      </c>
      <c r="AS418" s="1">
        <v>23.9</v>
      </c>
      <c r="AT418" s="1">
        <v>24.6</v>
      </c>
      <c r="AU418" s="1">
        <v>18.6</v>
      </c>
      <c r="AV418" s="1">
        <v>70.9</v>
      </c>
      <c r="AW418" s="1">
        <v>0.0</v>
      </c>
      <c r="AX418" s="1">
        <v>0.965</v>
      </c>
      <c r="AY418" s="1">
        <v>28.8</v>
      </c>
      <c r="AZ418" s="1">
        <v>24.2</v>
      </c>
      <c r="BA418" s="1">
        <v>36.8</v>
      </c>
      <c r="BB418" s="1">
        <v>3.05</v>
      </c>
      <c r="BC418" s="1" t="s">
        <v>798</v>
      </c>
      <c r="BD418" s="1">
        <v>20.0</v>
      </c>
      <c r="BE418" s="1">
        <v>36.3</v>
      </c>
      <c r="BF418" s="1">
        <v>31.2</v>
      </c>
      <c r="BG418" s="1">
        <v>12.5</v>
      </c>
      <c r="BH418" s="1" t="s">
        <v>848</v>
      </c>
    </row>
    <row r="419">
      <c r="A419" s="1">
        <v>13063.0</v>
      </c>
      <c r="B419" s="2" t="str">
        <f>IFERROR(__xludf.DUMMYFUNCTION("TO_TEXT(A419)"),"13063")</f>
        <v>13063</v>
      </c>
      <c r="C419" s="1">
        <v>270269.0</v>
      </c>
      <c r="D419" s="1">
        <v>141.646204819974</v>
      </c>
      <c r="E419" s="1" t="s">
        <v>849</v>
      </c>
      <c r="F419" s="1" t="s">
        <v>850</v>
      </c>
      <c r="G419" s="1">
        <v>1908.05676963601</v>
      </c>
      <c r="H419" s="1">
        <v>23.104509724</v>
      </c>
      <c r="I419" s="1">
        <v>4.1639592343</v>
      </c>
      <c r="J419" s="1">
        <v>11.732893526</v>
      </c>
      <c r="K419" s="1">
        <v>18.628809924</v>
      </c>
      <c r="L419" s="1">
        <v>36.5</v>
      </c>
      <c r="M419" s="1">
        <v>5.2</v>
      </c>
      <c r="N419" s="1">
        <v>34.0</v>
      </c>
      <c r="O419" s="1">
        <v>78.944507833</v>
      </c>
      <c r="P419" s="1">
        <v>18.832980029</v>
      </c>
      <c r="Q419" s="1">
        <v>25.2496</v>
      </c>
      <c r="R419" s="1">
        <v>72.087912088</v>
      </c>
      <c r="S419" s="1">
        <v>27.3</v>
      </c>
      <c r="T419" s="1">
        <v>77352.0</v>
      </c>
      <c r="U419" s="1">
        <v>54.31792326</v>
      </c>
      <c r="V419" s="1">
        <v>632.28407094</v>
      </c>
      <c r="W419" s="1">
        <v>23.0760700819999</v>
      </c>
      <c r="X419" s="1">
        <v>19.92506812</v>
      </c>
      <c r="Y419" s="1">
        <v>76.485656358</v>
      </c>
      <c r="Z419" s="1">
        <v>11.2</v>
      </c>
      <c r="AA419" s="1">
        <v>17.676086289</v>
      </c>
      <c r="AB419" s="1">
        <v>46059.0</v>
      </c>
      <c r="AC419" s="1">
        <v>91.905410247</v>
      </c>
      <c r="AD419" s="1">
        <v>50.567074156</v>
      </c>
      <c r="AE419" s="1">
        <v>17.935707848</v>
      </c>
      <c r="AF419" s="1">
        <v>69.862403536</v>
      </c>
      <c r="AG419" s="1">
        <v>0.580425737599999</v>
      </c>
      <c r="AH419" s="1">
        <v>5.1861954664</v>
      </c>
      <c r="AI419" s="1">
        <v>0.1160160903</v>
      </c>
      <c r="AJ419" s="1">
        <v>13.340123958</v>
      </c>
      <c r="AK419" s="1">
        <v>9.60102204649999</v>
      </c>
      <c r="AL419" s="1">
        <v>4.9346580529</v>
      </c>
      <c r="AM419" s="1">
        <v>53.195103845</v>
      </c>
      <c r="AN419" s="1">
        <v>0.8877359072</v>
      </c>
      <c r="AO419" s="1">
        <v>18728.0</v>
      </c>
      <c r="AP419" s="1">
        <v>24.3</v>
      </c>
      <c r="AQ419" s="1">
        <v>12.2</v>
      </c>
      <c r="AR419" s="1">
        <v>16.4</v>
      </c>
      <c r="AS419" s="1">
        <v>8.2</v>
      </c>
      <c r="AT419" s="1">
        <v>28.3</v>
      </c>
      <c r="AU419" s="1">
        <v>10.7</v>
      </c>
      <c r="AV419" s="1">
        <v>88.1</v>
      </c>
      <c r="AW419" s="1">
        <v>5.7</v>
      </c>
      <c r="AX419" s="1">
        <v>0.9198</v>
      </c>
      <c r="AY419" s="1">
        <v>16.0</v>
      </c>
      <c r="AZ419" s="1">
        <v>14.9</v>
      </c>
      <c r="BA419" s="1">
        <v>19.1</v>
      </c>
      <c r="BB419" s="1">
        <v>2.74</v>
      </c>
      <c r="BC419" s="1" t="s">
        <v>798</v>
      </c>
      <c r="BD419" s="1">
        <v>15.2</v>
      </c>
      <c r="BE419" s="1">
        <v>33.6</v>
      </c>
      <c r="BF419" s="1">
        <v>31.7</v>
      </c>
      <c r="BG419" s="1">
        <v>19.5</v>
      </c>
      <c r="BH419" s="1" t="s">
        <v>850</v>
      </c>
    </row>
    <row r="420">
      <c r="A420" s="1">
        <v>13065.0</v>
      </c>
      <c r="B420" s="2" t="str">
        <f>IFERROR(__xludf.DUMMYFUNCTION("TO_TEXT(A420)"),"13065")</f>
        <v>13065</v>
      </c>
      <c r="C420" s="1">
        <v>6814.0</v>
      </c>
      <c r="D420" s="1">
        <v>800.22222329329</v>
      </c>
      <c r="E420" s="1" t="s">
        <v>851</v>
      </c>
      <c r="F420" s="1" t="s">
        <v>852</v>
      </c>
      <c r="G420" s="1">
        <v>8.51513467341258</v>
      </c>
      <c r="H420" s="1">
        <v>26.89123479</v>
      </c>
      <c r="I420" s="1">
        <v>4.8429348527</v>
      </c>
      <c r="J420" s="1">
        <v>11.4457831329999</v>
      </c>
      <c r="K420" s="1">
        <v>23.6482121269999</v>
      </c>
      <c r="L420" s="1">
        <v>51.9</v>
      </c>
      <c r="M420" s="1">
        <v>6.4</v>
      </c>
      <c r="N420" s="1">
        <v>27.3</v>
      </c>
      <c r="O420" s="1">
        <v>5.1338629009</v>
      </c>
      <c r="P420" s="1">
        <v>16.597435434</v>
      </c>
      <c r="Q420" s="1">
        <v>14.86547</v>
      </c>
      <c r="R420" s="1">
        <v>98.863636364</v>
      </c>
      <c r="S420" s="1">
        <v>34.8</v>
      </c>
      <c r="T420" s="1">
        <v>1810.0</v>
      </c>
      <c r="U420" s="1">
        <v>62.044198895</v>
      </c>
      <c r="V420" s="1">
        <v>473.45036055</v>
      </c>
      <c r="W420" s="1">
        <v>15.445544554</v>
      </c>
      <c r="X420" s="1">
        <v>14.6288209609999</v>
      </c>
      <c r="Y420" s="1">
        <v>72.704633745</v>
      </c>
      <c r="Z420" s="1">
        <v>25.2</v>
      </c>
      <c r="AA420" s="1">
        <v>4.50044483149999</v>
      </c>
      <c r="AB420" s="1">
        <v>37593.0</v>
      </c>
      <c r="AC420" s="1">
        <v>85.1957295369999</v>
      </c>
      <c r="AD420" s="1">
        <v>72.102318145</v>
      </c>
      <c r="AE420" s="1">
        <v>14.0610104859999</v>
      </c>
      <c r="AF420" s="1">
        <v>26.729843562</v>
      </c>
      <c r="AG420" s="1">
        <v>0.87244284</v>
      </c>
      <c r="AH420" s="1">
        <v>0.3610108303</v>
      </c>
      <c r="AI420" s="1">
        <v>0.1052948255</v>
      </c>
      <c r="AJ420" s="1">
        <v>5.8664259928</v>
      </c>
      <c r="AK420" s="1">
        <v>64.906738869</v>
      </c>
      <c r="AL420" s="1">
        <v>0.9550016186</v>
      </c>
      <c r="AM420" s="1">
        <v>51.38387485</v>
      </c>
      <c r="AN420" s="1">
        <v>60.429538099</v>
      </c>
      <c r="AO420" s="1">
        <v>16912.0</v>
      </c>
      <c r="AP420" s="1">
        <v>35.3</v>
      </c>
      <c r="AQ420" s="1">
        <v>11.3</v>
      </c>
      <c r="AR420" s="1">
        <v>23.6</v>
      </c>
      <c r="AS420" s="1">
        <v>15.1</v>
      </c>
      <c r="AT420" s="1">
        <v>27.2</v>
      </c>
      <c r="AU420" s="1">
        <v>19.4</v>
      </c>
      <c r="AV420" s="1">
        <v>33.9</v>
      </c>
      <c r="AW420" s="1">
        <v>1.3</v>
      </c>
      <c r="AX420" s="1">
        <v>0.9755</v>
      </c>
      <c r="AY420" s="1">
        <v>22.0</v>
      </c>
      <c r="AZ420" s="1">
        <v>20.5</v>
      </c>
      <c r="BA420" s="1">
        <v>26.1</v>
      </c>
      <c r="BB420" s="1">
        <v>3.01</v>
      </c>
      <c r="BC420" s="1" t="s">
        <v>798</v>
      </c>
      <c r="BD420" s="1">
        <v>30.8</v>
      </c>
      <c r="BE420" s="1">
        <v>33.9</v>
      </c>
      <c r="BF420" s="1">
        <v>25.3</v>
      </c>
      <c r="BG420" s="1">
        <v>10.0</v>
      </c>
      <c r="BH420" s="1" t="s">
        <v>852</v>
      </c>
    </row>
    <row r="421">
      <c r="A421" s="1">
        <v>13067.0</v>
      </c>
      <c r="B421" s="2" t="str">
        <f>IFERROR(__xludf.DUMMYFUNCTION("TO_TEXT(A421)"),"13067")</f>
        <v>13067</v>
      </c>
      <c r="C421" s="1">
        <v>728388.0</v>
      </c>
      <c r="D421" s="1">
        <v>339.690118354358</v>
      </c>
      <c r="E421" s="1" t="s">
        <v>853</v>
      </c>
      <c r="F421" s="1" t="s">
        <v>854</v>
      </c>
      <c r="G421" s="1">
        <v>2144.2719721395</v>
      </c>
      <c r="H421" s="1">
        <v>13.682978673</v>
      </c>
      <c r="I421" s="1">
        <v>3.2332037323</v>
      </c>
      <c r="J421" s="1">
        <v>8.5812115361</v>
      </c>
      <c r="K421" s="1">
        <v>12.634027364</v>
      </c>
      <c r="L421" s="1">
        <v>29.1</v>
      </c>
      <c r="M421" s="1">
        <v>7.7</v>
      </c>
      <c r="N421" s="1">
        <v>22.4</v>
      </c>
      <c r="O421" s="1">
        <v>93.7848616</v>
      </c>
      <c r="P421" s="1">
        <v>13.789606752</v>
      </c>
      <c r="Q421" s="1">
        <v>70.52559</v>
      </c>
      <c r="R421" s="1">
        <v>84.519609878</v>
      </c>
      <c r="S421" s="1">
        <v>13.2</v>
      </c>
      <c r="T421" s="1">
        <v>178681.0</v>
      </c>
      <c r="U421" s="1">
        <v>29.991437254</v>
      </c>
      <c r="V421" s="1">
        <v>265.50774296</v>
      </c>
      <c r="W421" s="1">
        <v>14.584061035</v>
      </c>
      <c r="X421" s="1">
        <v>12.858340319</v>
      </c>
      <c r="Y421" s="1">
        <v>80.5212493619999</v>
      </c>
      <c r="Z421" s="1">
        <v>8.7</v>
      </c>
      <c r="AA421" s="1">
        <v>10.227193648</v>
      </c>
      <c r="AB421" s="1">
        <v>78603.0</v>
      </c>
      <c r="AC421" s="1">
        <v>43.464347998</v>
      </c>
      <c r="AD421" s="1">
        <v>64.266905224</v>
      </c>
      <c r="AE421" s="1">
        <v>12.358470058</v>
      </c>
      <c r="AF421" s="1">
        <v>27.471345616</v>
      </c>
      <c r="AG421" s="1">
        <v>0.5039207785</v>
      </c>
      <c r="AH421" s="1">
        <v>5.5583228185</v>
      </c>
      <c r="AI421" s="1">
        <v>0.0687044585</v>
      </c>
      <c r="AJ421" s="1">
        <v>13.189142053</v>
      </c>
      <c r="AK421" s="1">
        <v>51.477476168</v>
      </c>
      <c r="AL421" s="1">
        <v>3.9264410668</v>
      </c>
      <c r="AM421" s="1">
        <v>51.563356741</v>
      </c>
      <c r="AN421" s="1">
        <v>0.2461930188</v>
      </c>
      <c r="AO421" s="1">
        <v>34891.0</v>
      </c>
      <c r="AP421" s="1">
        <v>11.6</v>
      </c>
      <c r="AQ421" s="1">
        <v>6.8</v>
      </c>
      <c r="AR421" s="1">
        <v>8.8</v>
      </c>
      <c r="AS421" s="1">
        <v>10.6</v>
      </c>
      <c r="AT421" s="1">
        <v>24.7</v>
      </c>
      <c r="AU421" s="1">
        <v>8.5</v>
      </c>
      <c r="AV421" s="1">
        <v>46.2</v>
      </c>
      <c r="AW421" s="1">
        <v>4.1</v>
      </c>
      <c r="AX421" s="1">
        <v>0.305</v>
      </c>
      <c r="AY421" s="1">
        <v>8.3</v>
      </c>
      <c r="AZ421" s="1">
        <v>9.1</v>
      </c>
      <c r="BA421" s="1">
        <v>10.7</v>
      </c>
      <c r="BB421" s="1">
        <v>3.4</v>
      </c>
      <c r="BC421" s="1" t="s">
        <v>798</v>
      </c>
      <c r="BD421" s="1">
        <v>7.9</v>
      </c>
      <c r="BE421" s="1">
        <v>18.5</v>
      </c>
      <c r="BF421" s="1">
        <v>26.2</v>
      </c>
      <c r="BG421" s="1">
        <v>47.4</v>
      </c>
      <c r="BH421" s="1" t="s">
        <v>854</v>
      </c>
    </row>
    <row r="422">
      <c r="A422" s="1">
        <v>13069.0</v>
      </c>
      <c r="B422" s="2" t="str">
        <f>IFERROR(__xludf.DUMMYFUNCTION("TO_TEXT(A422)"),"13069")</f>
        <v>13069</v>
      </c>
      <c r="C422" s="1">
        <v>43042.0</v>
      </c>
      <c r="D422" s="1">
        <v>575.44722582267</v>
      </c>
      <c r="E422" s="1" t="s">
        <v>90</v>
      </c>
      <c r="F422" s="1" t="s">
        <v>855</v>
      </c>
      <c r="G422" s="1">
        <v>74.7974758909757</v>
      </c>
      <c r="H422" s="1">
        <v>21.290074718</v>
      </c>
      <c r="I422" s="1">
        <v>4.1101942674</v>
      </c>
      <c r="J422" s="1">
        <v>10.665362035</v>
      </c>
      <c r="K422" s="1">
        <v>19.7008057579999</v>
      </c>
      <c r="L422" s="1">
        <v>34.7</v>
      </c>
      <c r="M422" s="1">
        <v>7.1</v>
      </c>
      <c r="N422" s="1">
        <v>33.2</v>
      </c>
      <c r="O422" s="1">
        <v>55.75597318</v>
      </c>
      <c r="P422" s="1">
        <v>19.410566105</v>
      </c>
      <c r="Q422" s="1">
        <v>53.47096</v>
      </c>
      <c r="R422" s="1">
        <v>85.045045045</v>
      </c>
      <c r="S422" s="1">
        <v>31.4</v>
      </c>
      <c r="T422" s="1">
        <v>10534.0</v>
      </c>
      <c r="U422" s="1">
        <v>48.234288969</v>
      </c>
      <c r="V422" s="1">
        <v>325.45888323</v>
      </c>
      <c r="W422" s="1">
        <v>15.520907158</v>
      </c>
      <c r="X422" s="1">
        <v>13.3063029859999</v>
      </c>
      <c r="Y422" s="1">
        <v>74.139815663</v>
      </c>
      <c r="Z422" s="1">
        <v>11.1</v>
      </c>
      <c r="AA422" s="1">
        <v>7.5672478637</v>
      </c>
      <c r="AB422" s="1">
        <v>39480.0</v>
      </c>
      <c r="AC422" s="1">
        <v>85.103072734</v>
      </c>
      <c r="AD422" s="1">
        <v>65.897328298</v>
      </c>
      <c r="AE422" s="1">
        <v>12.04307599</v>
      </c>
      <c r="AF422" s="1">
        <v>28.032395053</v>
      </c>
      <c r="AG422" s="1">
        <v>0.552293876</v>
      </c>
      <c r="AH422" s="1">
        <v>0.9096605017</v>
      </c>
      <c r="AI422" s="1">
        <v>0.0603346251</v>
      </c>
      <c r="AJ422" s="1">
        <v>11.988025897</v>
      </c>
      <c r="AK422" s="1">
        <v>57.696145546</v>
      </c>
      <c r="AL422" s="1">
        <v>2.3122830674</v>
      </c>
      <c r="AM422" s="1">
        <v>48.622746154</v>
      </c>
      <c r="AN422" s="1">
        <v>66.583246766</v>
      </c>
      <c r="AO422" s="1">
        <v>18060.0</v>
      </c>
      <c r="AP422" s="1">
        <v>24.5</v>
      </c>
      <c r="AQ422" s="1">
        <v>7.3</v>
      </c>
      <c r="AR422" s="1">
        <v>21.3</v>
      </c>
      <c r="AS422" s="1">
        <v>12.6</v>
      </c>
      <c r="AT422" s="1">
        <v>24.9</v>
      </c>
      <c r="AU422" s="1">
        <v>17.7</v>
      </c>
      <c r="AV422" s="1">
        <v>41.0</v>
      </c>
      <c r="AW422" s="1">
        <v>2.0</v>
      </c>
      <c r="AX422" s="1">
        <v>0.9475</v>
      </c>
      <c r="AY422" s="1">
        <v>20.2</v>
      </c>
      <c r="AZ422" s="1">
        <v>16.0</v>
      </c>
      <c r="BA422" s="1">
        <v>21.6</v>
      </c>
      <c r="BB422" s="1">
        <v>2.86</v>
      </c>
      <c r="BC422" s="1" t="s">
        <v>798</v>
      </c>
      <c r="BD422" s="1">
        <v>24.3</v>
      </c>
      <c r="BE422" s="1">
        <v>37.2</v>
      </c>
      <c r="BF422" s="1">
        <v>25.5</v>
      </c>
      <c r="BG422" s="1">
        <v>13.0</v>
      </c>
      <c r="BH422" s="1" t="s">
        <v>855</v>
      </c>
    </row>
    <row r="423">
      <c r="A423" s="1">
        <v>13071.0</v>
      </c>
      <c r="B423" s="2" t="str">
        <f>IFERROR(__xludf.DUMMYFUNCTION("TO_TEXT(A423)"),"13071")</f>
        <v>13071</v>
      </c>
      <c r="C423" s="1">
        <v>46002.0</v>
      </c>
      <c r="D423" s="1">
        <v>546.985445076862</v>
      </c>
      <c r="E423" s="1" t="s">
        <v>856</v>
      </c>
      <c r="F423" s="1" t="s">
        <v>857</v>
      </c>
      <c r="G423" s="1">
        <v>84.10095810417</v>
      </c>
      <c r="H423" s="1">
        <v>23.811260945</v>
      </c>
      <c r="I423" s="1">
        <v>4.346233421</v>
      </c>
      <c r="J423" s="1">
        <v>10.229316547</v>
      </c>
      <c r="K423" s="1">
        <v>20.969152539</v>
      </c>
      <c r="L423" s="1">
        <v>37.7</v>
      </c>
      <c r="M423" s="1">
        <v>7.1</v>
      </c>
      <c r="N423" s="1">
        <v>34.5</v>
      </c>
      <c r="O423" s="1">
        <v>64.119301947</v>
      </c>
      <c r="P423" s="1">
        <v>23.554581231</v>
      </c>
      <c r="Q423" s="1">
        <v>45.81652</v>
      </c>
      <c r="R423" s="1">
        <v>81.280788177</v>
      </c>
      <c r="S423" s="1">
        <v>33.8</v>
      </c>
      <c r="T423" s="1">
        <v>11763.0</v>
      </c>
      <c r="U423" s="1">
        <v>43.806851994</v>
      </c>
      <c r="V423" s="1">
        <v>204.509002055</v>
      </c>
      <c r="W423" s="1">
        <v>19.505851756</v>
      </c>
      <c r="X423" s="1">
        <v>15.351458886</v>
      </c>
      <c r="Y423" s="1">
        <v>74.055705513</v>
      </c>
      <c r="Z423" s="1">
        <v>17.8</v>
      </c>
      <c r="AA423" s="1">
        <v>8.8189803074</v>
      </c>
      <c r="AB423" s="1">
        <v>38633.0</v>
      </c>
      <c r="AC423" s="1">
        <v>95.0217797139999</v>
      </c>
      <c r="AD423" s="1">
        <v>61.2462599189999</v>
      </c>
      <c r="AE423" s="1">
        <v>15.187866253</v>
      </c>
      <c r="AF423" s="1">
        <v>22.947008247</v>
      </c>
      <c r="AG423" s="1">
        <v>1.2589928058</v>
      </c>
      <c r="AH423" s="1">
        <v>0.9168275136</v>
      </c>
      <c r="AI423" s="1">
        <v>0.1776627479</v>
      </c>
      <c r="AJ423" s="1">
        <v>19.66573083</v>
      </c>
      <c r="AK423" s="1">
        <v>55.3627829439999</v>
      </c>
      <c r="AL423" s="1">
        <v>7.1844568626</v>
      </c>
      <c r="AM423" s="1">
        <v>50.462800491</v>
      </c>
      <c r="AN423" s="1">
        <v>58.949843949</v>
      </c>
      <c r="AO423" s="1">
        <v>17477.0</v>
      </c>
      <c r="AP423" s="1">
        <v>25.0</v>
      </c>
      <c r="AQ423" s="1">
        <v>7.7</v>
      </c>
      <c r="AR423" s="1">
        <v>27.5</v>
      </c>
      <c r="AS423" s="1">
        <v>13.9</v>
      </c>
      <c r="AT423" s="1">
        <v>26.9</v>
      </c>
      <c r="AU423" s="1">
        <v>15.0</v>
      </c>
      <c r="AV423" s="1">
        <v>43.1</v>
      </c>
      <c r="AW423" s="1">
        <v>8.1</v>
      </c>
      <c r="AX423" s="1">
        <v>0.9889</v>
      </c>
      <c r="AY423" s="1">
        <v>21.9</v>
      </c>
      <c r="AZ423" s="1">
        <v>15.3</v>
      </c>
      <c r="BA423" s="1">
        <v>20.9</v>
      </c>
      <c r="BB423" s="1">
        <v>3.04</v>
      </c>
      <c r="BC423" s="1" t="s">
        <v>798</v>
      </c>
      <c r="BD423" s="1">
        <v>25.3</v>
      </c>
      <c r="BE423" s="1">
        <v>38.8</v>
      </c>
      <c r="BF423" s="1">
        <v>23.1</v>
      </c>
      <c r="BG423" s="1">
        <v>12.8</v>
      </c>
      <c r="BH423" s="1" t="s">
        <v>857</v>
      </c>
    </row>
    <row r="424">
      <c r="A424" s="1">
        <v>13073.0</v>
      </c>
      <c r="B424" s="2" t="str">
        <f>IFERROR(__xludf.DUMMYFUNCTION("TO_TEXT(A424)"),"13073")</f>
        <v>13073</v>
      </c>
      <c r="C424" s="1">
        <v>139904.0</v>
      </c>
      <c r="D424" s="1">
        <v>290.089081679262</v>
      </c>
      <c r="E424" s="1" t="s">
        <v>308</v>
      </c>
      <c r="F424" s="1" t="s">
        <v>858</v>
      </c>
      <c r="G424" s="1">
        <v>482.279440474376</v>
      </c>
      <c r="H424" s="1">
        <v>13.406087787</v>
      </c>
      <c r="I424" s="1">
        <v>3.542703325</v>
      </c>
      <c r="J424" s="1">
        <v>7.755790221</v>
      </c>
      <c r="K424" s="1">
        <v>13.6919615979999</v>
      </c>
      <c r="L424" s="1">
        <v>32.1</v>
      </c>
      <c r="M424" s="1">
        <v>8.7</v>
      </c>
      <c r="N424" s="1">
        <v>26.0</v>
      </c>
      <c r="O424" s="1">
        <v>75.696678033</v>
      </c>
      <c r="P424" s="1">
        <v>11.291357484</v>
      </c>
      <c r="Q424" s="1">
        <v>104.8958</v>
      </c>
      <c r="R424" s="1">
        <v>90.750528541</v>
      </c>
      <c r="S424" s="1">
        <v>9.8</v>
      </c>
      <c r="T424" s="1">
        <v>37688.0</v>
      </c>
      <c r="U424" s="1">
        <v>20.295584802</v>
      </c>
      <c r="V424" s="1">
        <v>51.627486753</v>
      </c>
      <c r="W424" s="1">
        <v>11.090410959</v>
      </c>
      <c r="X424" s="1">
        <v>9.4973926551</v>
      </c>
      <c r="Y424" s="1">
        <v>80.091100046</v>
      </c>
      <c r="Z424" s="1">
        <v>10.1</v>
      </c>
      <c r="AA424" s="1">
        <v>2.8405410072</v>
      </c>
      <c r="AB424" s="1">
        <v>82184.0</v>
      </c>
      <c r="AC424" s="1">
        <v>32.624242204</v>
      </c>
      <c r="AD424" s="1">
        <v>79.0478223739999</v>
      </c>
      <c r="AE424" s="1">
        <v>8.3828801259</v>
      </c>
      <c r="AF424" s="1">
        <v>17.614766902</v>
      </c>
      <c r="AG424" s="1">
        <v>0.4076712187</v>
      </c>
      <c r="AH424" s="1">
        <v>4.2316142873</v>
      </c>
      <c r="AI424" s="1">
        <v>0.1944377832</v>
      </c>
      <c r="AJ424" s="1">
        <v>6.8681906268</v>
      </c>
      <c r="AK424" s="1">
        <v>68.116740445</v>
      </c>
      <c r="AL424" s="1">
        <v>1.5400008701</v>
      </c>
      <c r="AM424" s="1">
        <v>51.21361583</v>
      </c>
      <c r="AN424" s="1">
        <v>16.227741369</v>
      </c>
      <c r="AO424" s="1">
        <v>31004.0</v>
      </c>
      <c r="AP424" s="1">
        <v>9.5</v>
      </c>
      <c r="AQ424" s="1">
        <v>6.9</v>
      </c>
      <c r="AR424" s="1">
        <v>8.1</v>
      </c>
      <c r="AS424" s="1">
        <v>11.7</v>
      </c>
      <c r="AT424" s="1">
        <v>26.1</v>
      </c>
      <c r="AU424" s="1">
        <v>10.8</v>
      </c>
      <c r="AV424" s="1">
        <v>29.3</v>
      </c>
      <c r="AW424" s="1">
        <v>1.7</v>
      </c>
      <c r="AX424" s="1">
        <v>0.1528</v>
      </c>
      <c r="AY424" s="1">
        <v>5.6</v>
      </c>
      <c r="AZ424" s="1">
        <v>9.0</v>
      </c>
      <c r="BA424" s="1">
        <v>12.0</v>
      </c>
      <c r="BB424" s="1">
        <v>3.07</v>
      </c>
      <c r="BC424" s="1" t="s">
        <v>798</v>
      </c>
      <c r="BD424" s="1">
        <v>7.3</v>
      </c>
      <c r="BE424" s="1">
        <v>23.8</v>
      </c>
      <c r="BF424" s="1">
        <v>32.6</v>
      </c>
      <c r="BG424" s="1">
        <v>36.4</v>
      </c>
      <c r="BH424" s="1" t="s">
        <v>858</v>
      </c>
    </row>
    <row r="425">
      <c r="A425" s="1">
        <v>13075.0</v>
      </c>
      <c r="B425" s="2" t="str">
        <f>IFERROR(__xludf.DUMMYFUNCTION("TO_TEXT(A425)"),"13075")</f>
        <v>13075</v>
      </c>
      <c r="C425" s="1">
        <v>17103.0</v>
      </c>
      <c r="D425" s="1">
        <v>227.200491006824</v>
      </c>
      <c r="E425" s="1" t="s">
        <v>859</v>
      </c>
      <c r="F425" s="1" t="s">
        <v>860</v>
      </c>
      <c r="G425" s="1">
        <v>75.2771260493724</v>
      </c>
      <c r="H425" s="1">
        <v>21.178480369</v>
      </c>
      <c r="I425" s="1">
        <v>4.2909066566</v>
      </c>
      <c r="J425" s="1">
        <v>12.314939435</v>
      </c>
      <c r="K425" s="1">
        <v>19.911397209</v>
      </c>
      <c r="L425" s="1">
        <v>29.6</v>
      </c>
      <c r="M425" s="1">
        <v>7.1</v>
      </c>
      <c r="N425" s="1">
        <v>39.8</v>
      </c>
      <c r="O425" s="1">
        <v>64.751336277</v>
      </c>
      <c r="P425" s="1">
        <v>18.443683143</v>
      </c>
      <c r="Q425" s="1">
        <v>63.66846</v>
      </c>
      <c r="R425" s="1">
        <v>89.87854251</v>
      </c>
      <c r="S425" s="1">
        <v>36.6</v>
      </c>
      <c r="T425" s="1">
        <v>4369.0</v>
      </c>
      <c r="U425" s="1">
        <v>39.482719158</v>
      </c>
      <c r="V425" s="1">
        <v>301.80776693</v>
      </c>
      <c r="W425" s="1">
        <v>15.301003344</v>
      </c>
      <c r="X425" s="1">
        <v>13.084274544</v>
      </c>
      <c r="Y425" s="1">
        <v>75.099866366</v>
      </c>
      <c r="Z425" s="1">
        <v>16.0</v>
      </c>
      <c r="AA425" s="1">
        <v>5.9734450324</v>
      </c>
      <c r="AB425" s="1">
        <v>38827.0</v>
      </c>
      <c r="AC425" s="1">
        <v>80.430040511</v>
      </c>
      <c r="AD425" s="1">
        <v>67.222846142</v>
      </c>
      <c r="AE425" s="1">
        <v>12.208384494</v>
      </c>
      <c r="AF425" s="1">
        <v>27.4851415919999</v>
      </c>
      <c r="AG425" s="1">
        <v>0.402051043</v>
      </c>
      <c r="AH425" s="1">
        <v>0.763314299</v>
      </c>
      <c r="AI425" s="1">
        <v>0.0582682671</v>
      </c>
      <c r="AJ425" s="1">
        <v>5.6986365225</v>
      </c>
      <c r="AK425" s="1">
        <v>64.555413122</v>
      </c>
      <c r="AL425" s="1">
        <v>1.1397608371</v>
      </c>
      <c r="AM425" s="1">
        <v>51.82379676</v>
      </c>
      <c r="AN425" s="1">
        <v>59.412038113</v>
      </c>
      <c r="AO425" s="1">
        <v>17564.0</v>
      </c>
      <c r="AP425" s="1">
        <v>26.2</v>
      </c>
      <c r="AQ425" s="1">
        <v>5.4</v>
      </c>
      <c r="AR425" s="1">
        <v>23.6</v>
      </c>
      <c r="AS425" s="1">
        <v>14.7</v>
      </c>
      <c r="AT425" s="1">
        <v>26.7</v>
      </c>
      <c r="AU425" s="1">
        <v>17.1</v>
      </c>
      <c r="AV425" s="1">
        <v>34.9</v>
      </c>
      <c r="AW425" s="1">
        <v>1.0</v>
      </c>
      <c r="AX425" s="1">
        <v>0.8217</v>
      </c>
      <c r="AY425" s="1">
        <v>21.4</v>
      </c>
      <c r="AZ425" s="1">
        <v>16.2</v>
      </c>
      <c r="BA425" s="1">
        <v>21.6</v>
      </c>
      <c r="BB425" s="1">
        <v>3.11</v>
      </c>
      <c r="BC425" s="1" t="s">
        <v>798</v>
      </c>
      <c r="BD425" s="1">
        <v>20.9</v>
      </c>
      <c r="BE425" s="1">
        <v>36.3</v>
      </c>
      <c r="BF425" s="1">
        <v>29.3</v>
      </c>
      <c r="BG425" s="1">
        <v>13.5</v>
      </c>
      <c r="BH425" s="1" t="s">
        <v>860</v>
      </c>
    </row>
    <row r="426">
      <c r="A426" s="1">
        <v>13077.0</v>
      </c>
      <c r="B426" s="2" t="str">
        <f>IFERROR(__xludf.DUMMYFUNCTION("TO_TEXT(A426)"),"13077")</f>
        <v>13077</v>
      </c>
      <c r="C426" s="1">
        <v>135625.0</v>
      </c>
      <c r="D426" s="1">
        <v>440.917387042418</v>
      </c>
      <c r="E426" s="1" t="s">
        <v>861</v>
      </c>
      <c r="F426" s="1" t="s">
        <v>862</v>
      </c>
      <c r="G426" s="1">
        <v>307.597305041074</v>
      </c>
      <c r="H426" s="1">
        <v>15.399626882</v>
      </c>
      <c r="I426" s="1">
        <v>3.7507796908</v>
      </c>
      <c r="J426" s="1">
        <v>8.233441246</v>
      </c>
      <c r="K426" s="1">
        <v>15.778011612</v>
      </c>
      <c r="L426" s="1">
        <v>28.8</v>
      </c>
      <c r="M426" s="1">
        <v>8.1</v>
      </c>
      <c r="N426" s="1">
        <v>26.7</v>
      </c>
      <c r="O426" s="1">
        <v>50.525852793</v>
      </c>
      <c r="P426" s="1">
        <v>12.5161561329999</v>
      </c>
      <c r="Q426" s="1">
        <v>50.30954</v>
      </c>
      <c r="R426" s="1">
        <v>84.865470852</v>
      </c>
      <c r="S426" s="1">
        <v>14.1</v>
      </c>
      <c r="T426" s="1">
        <v>34874.0</v>
      </c>
      <c r="U426" s="1">
        <v>27.952055973</v>
      </c>
      <c r="V426" s="1">
        <v>231.98486834</v>
      </c>
      <c r="W426" s="1">
        <v>12.819735113</v>
      </c>
      <c r="X426" s="1">
        <v>11.202551178</v>
      </c>
      <c r="Y426" s="1">
        <v>78.58895232</v>
      </c>
      <c r="Z426" s="1">
        <v>9.5</v>
      </c>
      <c r="AA426" s="1">
        <v>6.97066236679999</v>
      </c>
      <c r="AB426" s="1">
        <v>70974.0</v>
      </c>
      <c r="AC426" s="1">
        <v>40.168257157</v>
      </c>
      <c r="AD426" s="1">
        <v>72.142745771</v>
      </c>
      <c r="AE426" s="1">
        <v>11.45215115</v>
      </c>
      <c r="AF426" s="1">
        <v>17.907091537</v>
      </c>
      <c r="AG426" s="1">
        <v>0.4140843525</v>
      </c>
      <c r="AH426" s="1">
        <v>2.1684582899</v>
      </c>
      <c r="AI426" s="1">
        <v>0.1014643778</v>
      </c>
      <c r="AJ426" s="1">
        <v>7.1408983711</v>
      </c>
      <c r="AK426" s="1">
        <v>70.801568584</v>
      </c>
      <c r="AL426" s="1">
        <v>1.8323852863</v>
      </c>
      <c r="AM426" s="1">
        <v>51.3361761639999</v>
      </c>
      <c r="AN426" s="1">
        <v>32.93275839</v>
      </c>
      <c r="AO426" s="1">
        <v>29769.0</v>
      </c>
      <c r="AP426" s="1">
        <v>12.0</v>
      </c>
      <c r="AQ426" s="1">
        <v>6.6</v>
      </c>
      <c r="AR426" s="1">
        <v>11.4</v>
      </c>
      <c r="AS426" s="1">
        <v>12.5</v>
      </c>
      <c r="AT426" s="1">
        <v>25.9</v>
      </c>
      <c r="AU426" s="1">
        <v>10.6</v>
      </c>
      <c r="AV426" s="1">
        <v>28.2</v>
      </c>
      <c r="AW426" s="1">
        <v>1.8</v>
      </c>
      <c r="AX426" s="1">
        <v>0.2671</v>
      </c>
      <c r="AY426" s="1">
        <v>9.0</v>
      </c>
      <c r="AZ426" s="1">
        <v>9.8</v>
      </c>
      <c r="BA426" s="1">
        <v>13.3</v>
      </c>
      <c r="BB426" s="1">
        <v>3.13</v>
      </c>
      <c r="BC426" s="1" t="s">
        <v>798</v>
      </c>
      <c r="BD426" s="1">
        <v>10.8</v>
      </c>
      <c r="BE426" s="1">
        <v>28.6</v>
      </c>
      <c r="BF426" s="1">
        <v>30.3</v>
      </c>
      <c r="BG426" s="1">
        <v>30.3</v>
      </c>
      <c r="BH426" s="1" t="s">
        <v>862</v>
      </c>
    </row>
    <row r="427">
      <c r="A427" s="1">
        <v>13079.0</v>
      </c>
      <c r="B427" s="2" t="str">
        <f>IFERROR(__xludf.DUMMYFUNCTION("TO_TEXT(A427)"),"13079")</f>
        <v>13079</v>
      </c>
      <c r="C427" s="1">
        <v>12483.0</v>
      </c>
      <c r="D427" s="1">
        <v>324.913126857061</v>
      </c>
      <c r="E427" s="1" t="s">
        <v>314</v>
      </c>
      <c r="F427" s="1" t="s">
        <v>863</v>
      </c>
      <c r="G427" s="1">
        <v>38.4195003776859</v>
      </c>
      <c r="H427" s="1">
        <v>19.1924044079999</v>
      </c>
      <c r="I427" s="1">
        <v>4.0603671165</v>
      </c>
      <c r="J427" s="1">
        <v>9.9115044248</v>
      </c>
      <c r="K427" s="1">
        <v>18.076454026</v>
      </c>
      <c r="L427" s="1">
        <v>46.0</v>
      </c>
      <c r="M427" s="1">
        <v>8.0</v>
      </c>
      <c r="N427" s="1">
        <v>43.2</v>
      </c>
      <c r="O427" s="1">
        <v>5.2810768013</v>
      </c>
      <c r="P427" s="1">
        <v>16.564417178</v>
      </c>
      <c r="Q427" s="1">
        <v>8.13338999999999</v>
      </c>
      <c r="R427" s="1">
        <v>82.608695652</v>
      </c>
      <c r="S427" s="1">
        <v>27.2</v>
      </c>
      <c r="T427" s="1">
        <v>2619.0</v>
      </c>
      <c r="U427" s="1">
        <v>39.0225276819999</v>
      </c>
      <c r="V427" s="1">
        <v>153.15275894</v>
      </c>
      <c r="W427" s="1">
        <v>15.177610334</v>
      </c>
      <c r="X427" s="1">
        <v>13.340807175</v>
      </c>
      <c r="Y427" s="1">
        <v>75.449049803</v>
      </c>
      <c r="Z427" s="1">
        <v>20.3</v>
      </c>
      <c r="AA427" s="1">
        <v>0.2622843614</v>
      </c>
      <c r="AB427" s="1">
        <v>48004.0</v>
      </c>
      <c r="AC427" s="1">
        <v>94.0762463339999</v>
      </c>
      <c r="AD427" s="1">
        <v>77.571705844</v>
      </c>
      <c r="AE427" s="1">
        <v>14.254755598</v>
      </c>
      <c r="AF427" s="1">
        <v>20.498457542</v>
      </c>
      <c r="AG427" s="1">
        <v>0.6575742815</v>
      </c>
      <c r="AH427" s="1">
        <v>1.193375548</v>
      </c>
      <c r="AI427" s="1">
        <v>0.0730638091</v>
      </c>
      <c r="AJ427" s="1">
        <v>3.5070628349</v>
      </c>
      <c r="AK427" s="1">
        <v>72.990745251</v>
      </c>
      <c r="AL427" s="1">
        <v>0.0341880342</v>
      </c>
      <c r="AM427" s="1">
        <v>49.553498945</v>
      </c>
      <c r="AN427" s="1">
        <v>100.0</v>
      </c>
      <c r="AO427" s="1">
        <v>22183.0</v>
      </c>
      <c r="AP427" s="1">
        <v>19.1</v>
      </c>
      <c r="AQ427" s="1">
        <v>9.6</v>
      </c>
      <c r="AR427" s="1">
        <v>19.5</v>
      </c>
      <c r="AS427" s="1">
        <v>16.6</v>
      </c>
      <c r="AT427" s="1">
        <v>21.6</v>
      </c>
      <c r="AU427" s="1">
        <v>16.4</v>
      </c>
      <c r="AV427" s="1">
        <v>26.3</v>
      </c>
      <c r="AW427" s="1">
        <v>0.0</v>
      </c>
      <c r="AX427" s="1">
        <v>0.6472</v>
      </c>
      <c r="AY427" s="1">
        <v>15.3</v>
      </c>
      <c r="AZ427" s="1">
        <v>14.6</v>
      </c>
      <c r="BA427" s="1">
        <v>19.9</v>
      </c>
      <c r="BB427" s="1">
        <v>3.0</v>
      </c>
      <c r="BC427" s="1" t="s">
        <v>798</v>
      </c>
      <c r="BD427" s="1">
        <v>16.9</v>
      </c>
      <c r="BE427" s="1">
        <v>40.0</v>
      </c>
      <c r="BF427" s="1">
        <v>32.6</v>
      </c>
      <c r="BG427" s="1">
        <v>10.5</v>
      </c>
      <c r="BH427" s="1" t="s">
        <v>863</v>
      </c>
    </row>
    <row r="428">
      <c r="A428" s="1">
        <v>13081.0</v>
      </c>
      <c r="B428" s="2" t="str">
        <f>IFERROR(__xludf.DUMMYFUNCTION("TO_TEXT(A428)"),"13081")</f>
        <v>13081</v>
      </c>
      <c r="C428" s="1">
        <v>23061.0</v>
      </c>
      <c r="D428" s="1">
        <v>272.589022815036</v>
      </c>
      <c r="E428" s="1" t="s">
        <v>864</v>
      </c>
      <c r="F428" s="1" t="s">
        <v>865</v>
      </c>
      <c r="G428" s="1">
        <v>84.5998850645132</v>
      </c>
      <c r="H428" s="1">
        <v>25.674578939</v>
      </c>
      <c r="I428" s="1">
        <v>4.5493837484</v>
      </c>
      <c r="J428" s="1">
        <v>13.383458647</v>
      </c>
      <c r="K428" s="1">
        <v>21.317085266</v>
      </c>
      <c r="L428" s="1">
        <v>38.1</v>
      </c>
      <c r="M428" s="1">
        <v>6.2</v>
      </c>
      <c r="N428" s="1">
        <v>30.6</v>
      </c>
      <c r="O428" s="1">
        <v>42.638337813</v>
      </c>
      <c r="P428" s="1">
        <v>16.584930896</v>
      </c>
      <c r="Q428" s="1">
        <v>83.56791</v>
      </c>
      <c r="R428" s="1">
        <v>87.912087912</v>
      </c>
      <c r="S428" s="1">
        <v>43.0</v>
      </c>
      <c r="T428" s="1">
        <v>5635.0</v>
      </c>
      <c r="U428" s="1">
        <v>54.409937888</v>
      </c>
      <c r="V428" s="1">
        <v>288.19692734</v>
      </c>
      <c r="W428" s="1">
        <v>21.151586369</v>
      </c>
      <c r="X428" s="1">
        <v>18.047301395</v>
      </c>
      <c r="Y428" s="1">
        <v>75.812642636</v>
      </c>
      <c r="Z428" s="1">
        <v>19.2</v>
      </c>
      <c r="AA428" s="1">
        <v>5.80873268019999</v>
      </c>
      <c r="AB428" s="1">
        <v>36096.0</v>
      </c>
      <c r="AC428" s="1">
        <v>97.190324945</v>
      </c>
      <c r="AD428" s="1">
        <v>57.509905151</v>
      </c>
      <c r="AE428" s="1">
        <v>16.854965843</v>
      </c>
      <c r="AF428" s="1">
        <v>44.201584001</v>
      </c>
      <c r="AG428" s="1">
        <v>0.3229945578</v>
      </c>
      <c r="AH428" s="1">
        <v>1.39816822259999</v>
      </c>
      <c r="AI428" s="1">
        <v>0.0884916597</v>
      </c>
      <c r="AJ428" s="1">
        <v>3.4998451396</v>
      </c>
      <c r="AK428" s="1">
        <v>49.568603159</v>
      </c>
      <c r="AL428" s="1">
        <v>0.7295856328</v>
      </c>
      <c r="AM428" s="1">
        <v>52.71448166</v>
      </c>
      <c r="AN428" s="1">
        <v>47.028456845</v>
      </c>
      <c r="AO428" s="1">
        <v>19943.0</v>
      </c>
      <c r="AP428" s="1">
        <v>32.9</v>
      </c>
      <c r="AQ428" s="1">
        <v>13.9</v>
      </c>
      <c r="AR428" s="1">
        <v>20.3</v>
      </c>
      <c r="AS428" s="1">
        <v>15.5</v>
      </c>
      <c r="AT428" s="1">
        <v>24.7</v>
      </c>
      <c r="AU428" s="1">
        <v>18.8</v>
      </c>
      <c r="AV428" s="1">
        <v>49.2</v>
      </c>
      <c r="AW428" s="1">
        <v>1.0</v>
      </c>
      <c r="AX428" s="1">
        <v>0.9831</v>
      </c>
      <c r="AY428" s="1">
        <v>26.7</v>
      </c>
      <c r="AZ428" s="1">
        <v>19.6</v>
      </c>
      <c r="BA428" s="1">
        <v>26.2</v>
      </c>
      <c r="BB428" s="1">
        <v>2.99</v>
      </c>
      <c r="BC428" s="1" t="s">
        <v>798</v>
      </c>
      <c r="BD428" s="1">
        <v>17.2</v>
      </c>
      <c r="BE428" s="1">
        <v>37.6</v>
      </c>
      <c r="BF428" s="1">
        <v>31.1</v>
      </c>
      <c r="BG428" s="1">
        <v>14.1</v>
      </c>
      <c r="BH428" s="1" t="s">
        <v>865</v>
      </c>
    </row>
    <row r="429">
      <c r="A429" s="1">
        <v>13083.0</v>
      </c>
      <c r="B429" s="2" t="str">
        <f>IFERROR(__xludf.DUMMYFUNCTION("TO_TEXT(A429)"),"13083")</f>
        <v>13083</v>
      </c>
      <c r="C429" s="1">
        <v>16356.0</v>
      </c>
      <c r="D429" s="1">
        <v>173.979617579252</v>
      </c>
      <c r="E429" s="1" t="s">
        <v>866</v>
      </c>
      <c r="F429" s="1" t="s">
        <v>867</v>
      </c>
      <c r="G429" s="1">
        <v>94.011012482824</v>
      </c>
      <c r="H429" s="1">
        <v>15.993858343</v>
      </c>
      <c r="I429" s="1">
        <v>3.8483906528</v>
      </c>
      <c r="J429" s="1">
        <v>9.6605744125</v>
      </c>
      <c r="K429" s="1">
        <v>15.528898932</v>
      </c>
      <c r="L429" s="1">
        <v>40.6</v>
      </c>
      <c r="M429" s="1">
        <v>8.4</v>
      </c>
      <c r="N429" s="1">
        <v>30.2</v>
      </c>
      <c r="O429" s="1">
        <v>76.336199122</v>
      </c>
      <c r="P429" s="1">
        <v>14.901387874</v>
      </c>
      <c r="Q429" s="1">
        <v>30.7031</v>
      </c>
      <c r="R429" s="1">
        <v>92.1875</v>
      </c>
      <c r="S429" s="1">
        <v>18.3</v>
      </c>
      <c r="T429" s="1">
        <v>3028.0</v>
      </c>
      <c r="U429" s="1">
        <v>21.697490092</v>
      </c>
      <c r="V429" s="1">
        <v>333.24161546</v>
      </c>
      <c r="W429" s="1">
        <v>14.285714286</v>
      </c>
      <c r="X429" s="1">
        <v>10.7472712009999</v>
      </c>
      <c r="Y429" s="1">
        <v>76.266643403</v>
      </c>
      <c r="Z429" s="1">
        <v>24.1</v>
      </c>
      <c r="AA429" s="1">
        <v>2.2882575782</v>
      </c>
      <c r="AB429" s="1">
        <v>48779.0</v>
      </c>
      <c r="AC429" s="1">
        <v>56.736596737</v>
      </c>
      <c r="AD429" s="1">
        <v>74.299835255</v>
      </c>
      <c r="AE429" s="1">
        <v>11.036671368</v>
      </c>
      <c r="AF429" s="1">
        <v>1.164797239</v>
      </c>
      <c r="AG429" s="1">
        <v>0.591643042</v>
      </c>
      <c r="AH429" s="1">
        <v>1.0045605818</v>
      </c>
      <c r="AI429" s="1">
        <v>0.0677924319</v>
      </c>
      <c r="AJ429" s="1">
        <v>2.2802908912</v>
      </c>
      <c r="AK429" s="1">
        <v>93.695303833</v>
      </c>
      <c r="AL429" s="1">
        <v>0.2910737387</v>
      </c>
      <c r="AM429" s="1">
        <v>50.875138666</v>
      </c>
      <c r="AN429" s="1">
        <v>72.12769795</v>
      </c>
      <c r="AO429" s="1">
        <v>21997.0</v>
      </c>
      <c r="AP429" s="1">
        <v>16.6</v>
      </c>
      <c r="AQ429" s="1">
        <v>5.8</v>
      </c>
      <c r="AR429" s="1">
        <v>19.9</v>
      </c>
      <c r="AS429" s="1">
        <v>16.9</v>
      </c>
      <c r="AT429" s="1">
        <v>19.3</v>
      </c>
      <c r="AU429" s="1">
        <v>16.3</v>
      </c>
      <c r="AV429" s="1">
        <v>6.0</v>
      </c>
      <c r="AW429" s="1">
        <v>0.3</v>
      </c>
      <c r="AX429" s="1">
        <v>0.4581</v>
      </c>
      <c r="AY429" s="1">
        <v>13.5</v>
      </c>
      <c r="AZ429" s="1">
        <v>12.8</v>
      </c>
      <c r="BA429" s="1">
        <v>16.7</v>
      </c>
      <c r="BB429" s="1">
        <v>3.15</v>
      </c>
      <c r="BC429" s="1" t="s">
        <v>798</v>
      </c>
      <c r="BD429" s="1">
        <v>19.3</v>
      </c>
      <c r="BE429" s="1">
        <v>37.7</v>
      </c>
      <c r="BF429" s="1">
        <v>27.9</v>
      </c>
      <c r="BG429" s="1">
        <v>15.2</v>
      </c>
      <c r="BH429" s="1" t="s">
        <v>867</v>
      </c>
    </row>
    <row r="430">
      <c r="A430" s="1">
        <v>13085.0</v>
      </c>
      <c r="B430" s="2" t="str">
        <f>IFERROR(__xludf.DUMMYFUNCTION("TO_TEXT(A430)"),"13085")</f>
        <v>13085</v>
      </c>
      <c r="C430" s="1">
        <v>22939.0</v>
      </c>
      <c r="D430" s="1">
        <v>210.828271605982</v>
      </c>
      <c r="E430" s="1" t="s">
        <v>868</v>
      </c>
      <c r="F430" s="1" t="s">
        <v>869</v>
      </c>
      <c r="G430" s="1">
        <v>108.804193219735</v>
      </c>
      <c r="H430" s="1">
        <v>13.541412955</v>
      </c>
      <c r="I430" s="1">
        <v>3.5939784877</v>
      </c>
      <c r="J430" s="1">
        <v>6.7103109656</v>
      </c>
      <c r="K430" s="1">
        <v>14.59763835</v>
      </c>
      <c r="L430" s="1">
        <v>28.1</v>
      </c>
      <c r="M430" s="1">
        <v>9.1</v>
      </c>
      <c r="N430" s="1">
        <v>24.0</v>
      </c>
      <c r="O430" s="1">
        <v>95.902373489</v>
      </c>
      <c r="P430" s="1">
        <v>17.213240955</v>
      </c>
      <c r="Q430" s="1">
        <v>69.73215</v>
      </c>
      <c r="R430" s="1">
        <v>94.715447154</v>
      </c>
      <c r="S430" s="1">
        <v>13.4</v>
      </c>
      <c r="T430" s="1">
        <v>5006.0</v>
      </c>
      <c r="U430" s="1">
        <v>18.837395126</v>
      </c>
      <c r="V430" s="1">
        <v>97.083189506</v>
      </c>
      <c r="W430" s="1">
        <v>14.3192488259999</v>
      </c>
      <c r="X430" s="1">
        <v>13.095956548</v>
      </c>
      <c r="Y430" s="1">
        <v>76.7973347</v>
      </c>
      <c r="Z430" s="1">
        <v>16.4</v>
      </c>
      <c r="AA430" s="1">
        <v>0.2278437173</v>
      </c>
      <c r="AB430" s="1">
        <v>68835.0</v>
      </c>
      <c r="AC430" s="1">
        <v>43.43003413</v>
      </c>
      <c r="AD430" s="1">
        <v>81.70129721</v>
      </c>
      <c r="AE430" s="1">
        <v>9.1889301545</v>
      </c>
      <c r="AF430" s="1">
        <v>0.7574851493</v>
      </c>
      <c r="AG430" s="1">
        <v>0.4863852011</v>
      </c>
      <c r="AH430" s="1">
        <v>0.8731013037</v>
      </c>
      <c r="AI430" s="1">
        <v>0.0637882231</v>
      </c>
      <c r="AJ430" s="1">
        <v>4.8479049555</v>
      </c>
      <c r="AK430" s="1">
        <v>91.9626838889999</v>
      </c>
      <c r="AL430" s="1">
        <v>0.6976227505</v>
      </c>
      <c r="AM430" s="1">
        <v>50.564127098</v>
      </c>
      <c r="AN430" s="1">
        <v>80.309001343</v>
      </c>
      <c r="AO430" s="1">
        <v>29958.0</v>
      </c>
      <c r="AP430" s="1">
        <v>13.4</v>
      </c>
      <c r="AQ430" s="1">
        <v>7.5</v>
      </c>
      <c r="AR430" s="1">
        <v>13.5</v>
      </c>
      <c r="AS430" s="1">
        <v>18.2</v>
      </c>
      <c r="AT430" s="1">
        <v>21.4</v>
      </c>
      <c r="AU430" s="1">
        <v>12.5</v>
      </c>
      <c r="AV430" s="1">
        <v>6.9</v>
      </c>
      <c r="AW430" s="1">
        <v>0.6</v>
      </c>
      <c r="AX430" s="1">
        <v>0.1235</v>
      </c>
      <c r="AY430" s="1">
        <v>8.8</v>
      </c>
      <c r="AZ430" s="1">
        <v>9.3</v>
      </c>
      <c r="BA430" s="1">
        <v>12.6</v>
      </c>
      <c r="BB430" s="1">
        <v>3.53</v>
      </c>
      <c r="BC430" s="1" t="s">
        <v>798</v>
      </c>
      <c r="BD430" s="1">
        <v>12.8</v>
      </c>
      <c r="BE430" s="1">
        <v>29.1</v>
      </c>
      <c r="BF430" s="1">
        <v>27.5</v>
      </c>
      <c r="BG430" s="1">
        <v>30.6</v>
      </c>
      <c r="BH430" s="1" t="s">
        <v>869</v>
      </c>
    </row>
    <row r="431">
      <c r="A431" s="1">
        <v>13087.0</v>
      </c>
      <c r="B431" s="2" t="str">
        <f>IFERROR(__xludf.DUMMYFUNCTION("TO_TEXT(A431)"),"13087")</f>
        <v>13087</v>
      </c>
      <c r="C431" s="1">
        <v>27237.0</v>
      </c>
      <c r="D431" s="1">
        <v>597.139464372296</v>
      </c>
      <c r="E431" s="1" t="s">
        <v>870</v>
      </c>
      <c r="F431" s="1" t="s">
        <v>871</v>
      </c>
      <c r="G431" s="1">
        <v>45.6124601120294</v>
      </c>
      <c r="H431" s="1">
        <v>20.259666104</v>
      </c>
      <c r="I431" s="1">
        <v>4.165893111</v>
      </c>
      <c r="J431" s="1">
        <v>12.175962294</v>
      </c>
      <c r="K431" s="1">
        <v>19.14172658</v>
      </c>
      <c r="L431" s="1">
        <v>27.1</v>
      </c>
      <c r="M431" s="1">
        <v>6.6</v>
      </c>
      <c r="N431" s="1">
        <v>25.4</v>
      </c>
      <c r="O431" s="1">
        <v>61.963939372</v>
      </c>
      <c r="P431" s="1">
        <v>17.688192228</v>
      </c>
      <c r="Q431" s="1">
        <v>44.9169</v>
      </c>
      <c r="R431" s="1">
        <v>84.090909091</v>
      </c>
      <c r="S431" s="1">
        <v>35.7</v>
      </c>
      <c r="T431" s="1">
        <v>6505.0</v>
      </c>
      <c r="U431" s="1">
        <v>48.439661799</v>
      </c>
      <c r="V431" s="1">
        <v>678.61171206</v>
      </c>
      <c r="W431" s="1">
        <v>19.875478927</v>
      </c>
      <c r="X431" s="1">
        <v>14.939505523</v>
      </c>
      <c r="Y431" s="1">
        <v>73.882919541</v>
      </c>
      <c r="Z431" s="1">
        <v>14.7</v>
      </c>
      <c r="AA431" s="1">
        <v>6.8967658841</v>
      </c>
      <c r="AB431" s="1">
        <v>38441.0</v>
      </c>
      <c r="AC431" s="1">
        <v>94.3287037039999</v>
      </c>
      <c r="AD431" s="1">
        <v>56.7418497</v>
      </c>
      <c r="AE431" s="1">
        <v>15.041285427</v>
      </c>
      <c r="AF431" s="1">
        <v>41.956726246</v>
      </c>
      <c r="AG431" s="1">
        <v>0.8240827846</v>
      </c>
      <c r="AH431" s="1">
        <v>0.6208842897</v>
      </c>
      <c r="AI431" s="1">
        <v>0.1354656632</v>
      </c>
      <c r="AJ431" s="1">
        <v>6.2577610536</v>
      </c>
      <c r="AK431" s="1">
        <v>49.855126999</v>
      </c>
      <c r="AL431" s="1">
        <v>0.4314649834</v>
      </c>
      <c r="AM431" s="1">
        <v>51.619943556</v>
      </c>
      <c r="AN431" s="1">
        <v>56.475827886</v>
      </c>
      <c r="AO431" s="1">
        <v>18972.0</v>
      </c>
      <c r="AP431" s="1">
        <v>26.5</v>
      </c>
      <c r="AQ431" s="1">
        <v>6.7</v>
      </c>
      <c r="AR431" s="1">
        <v>20.5</v>
      </c>
      <c r="AS431" s="1">
        <v>15.5</v>
      </c>
      <c r="AT431" s="1">
        <v>24.9</v>
      </c>
      <c r="AU431" s="1">
        <v>16.7</v>
      </c>
      <c r="AV431" s="1">
        <v>48.8</v>
      </c>
      <c r="AW431" s="1">
        <v>0.5</v>
      </c>
      <c r="AX431" s="1">
        <v>0.9615</v>
      </c>
      <c r="AY431" s="1">
        <v>23.4</v>
      </c>
      <c r="AZ431" s="1">
        <v>17.6</v>
      </c>
      <c r="BA431" s="1">
        <v>22.1</v>
      </c>
      <c r="BB431" s="1">
        <v>2.99</v>
      </c>
      <c r="BC431" s="1" t="s">
        <v>798</v>
      </c>
      <c r="BD431" s="1">
        <v>17.5</v>
      </c>
      <c r="BE431" s="1">
        <v>36.7</v>
      </c>
      <c r="BF431" s="1">
        <v>32.0</v>
      </c>
      <c r="BG431" s="1">
        <v>13.8</v>
      </c>
      <c r="BH431" s="1" t="s">
        <v>871</v>
      </c>
    </row>
    <row r="432">
      <c r="A432" s="1">
        <v>13089.0</v>
      </c>
      <c r="B432" s="2" t="str">
        <f>IFERROR(__xludf.DUMMYFUNCTION("TO_TEXT(A432)"),"13089")</f>
        <v>13089</v>
      </c>
      <c r="C432" s="1">
        <v>723902.0</v>
      </c>
      <c r="D432" s="1">
        <v>267.624248780514</v>
      </c>
      <c r="E432" s="1" t="s">
        <v>108</v>
      </c>
      <c r="F432" s="1" t="s">
        <v>872</v>
      </c>
      <c r="G432" s="1">
        <v>2704.91931616291</v>
      </c>
      <c r="H432" s="1">
        <v>16.292444155</v>
      </c>
      <c r="I432" s="1">
        <v>3.5776779773</v>
      </c>
      <c r="J432" s="1">
        <v>9.9484610442</v>
      </c>
      <c r="K432" s="1">
        <v>15.818432089</v>
      </c>
      <c r="L432" s="1">
        <v>26.3</v>
      </c>
      <c r="M432" s="1">
        <v>6.5</v>
      </c>
      <c r="N432" s="1">
        <v>23.0</v>
      </c>
      <c r="O432" s="1">
        <v>92.921737899</v>
      </c>
      <c r="P432" s="1">
        <v>15.9165357659999</v>
      </c>
      <c r="Q432" s="1">
        <v>107.26808</v>
      </c>
      <c r="R432" s="1">
        <v>76.248821866</v>
      </c>
      <c r="S432" s="1">
        <v>23.4</v>
      </c>
      <c r="T432" s="1">
        <v>171851.0</v>
      </c>
      <c r="U432" s="1">
        <v>44.8272049619999</v>
      </c>
      <c r="V432" s="1">
        <v>644.47770595</v>
      </c>
      <c r="W432" s="1">
        <v>19.798453332</v>
      </c>
      <c r="X432" s="1">
        <v>17.671872364</v>
      </c>
      <c r="Y432" s="1">
        <v>80.160994245</v>
      </c>
      <c r="Z432" s="1">
        <v>8.5</v>
      </c>
      <c r="AA432" s="1">
        <v>9.1992209209</v>
      </c>
      <c r="AB432" s="1">
        <v>63477.0</v>
      </c>
      <c r="AC432" s="1">
        <v>68.34358047</v>
      </c>
      <c r="AD432" s="1">
        <v>54.306462123</v>
      </c>
      <c r="AE432" s="1">
        <v>16.608051606</v>
      </c>
      <c r="AF432" s="1">
        <v>53.7250283519999</v>
      </c>
      <c r="AG432" s="1">
        <v>0.4679086071</v>
      </c>
      <c r="AH432" s="1">
        <v>6.57015060309999</v>
      </c>
      <c r="AI432" s="1">
        <v>0.0697897584</v>
      </c>
      <c r="AJ432" s="1">
        <v>8.5994728758</v>
      </c>
      <c r="AK432" s="1">
        <v>29.181107066</v>
      </c>
      <c r="AL432" s="1">
        <v>4.9612796198</v>
      </c>
      <c r="AM432" s="1">
        <v>52.710829837</v>
      </c>
      <c r="AN432" s="1">
        <v>0.2630464537</v>
      </c>
      <c r="AO432" s="1">
        <v>30517.0</v>
      </c>
      <c r="AP432" s="1">
        <v>19.0</v>
      </c>
      <c r="AQ432" s="1">
        <v>9.8</v>
      </c>
      <c r="AR432" s="1">
        <v>11.4</v>
      </c>
      <c r="AS432" s="1">
        <v>10.3</v>
      </c>
      <c r="AT432" s="1">
        <v>23.8</v>
      </c>
      <c r="AU432" s="1">
        <v>10.2</v>
      </c>
      <c r="AV432" s="1">
        <v>70.8</v>
      </c>
      <c r="AW432" s="1">
        <v>5.1</v>
      </c>
      <c r="AX432" s="1">
        <v>0.6982</v>
      </c>
      <c r="AY432" s="1">
        <v>12.9</v>
      </c>
      <c r="AZ432" s="1">
        <v>12.9</v>
      </c>
      <c r="BA432" s="1">
        <v>16.6</v>
      </c>
      <c r="BB432" s="1">
        <v>3.28</v>
      </c>
      <c r="BC432" s="1" t="s">
        <v>798</v>
      </c>
      <c r="BD432" s="1">
        <v>10.7</v>
      </c>
      <c r="BE432" s="1">
        <v>20.9</v>
      </c>
      <c r="BF432" s="1">
        <v>24.3</v>
      </c>
      <c r="BG432" s="1">
        <v>44.2</v>
      </c>
      <c r="BH432" s="1" t="s">
        <v>872</v>
      </c>
    </row>
    <row r="433">
      <c r="A433" s="1">
        <v>13091.0</v>
      </c>
      <c r="B433" s="2" t="str">
        <f>IFERROR(__xludf.DUMMYFUNCTION("TO_TEXT(A433)"),"13091")</f>
        <v>13091</v>
      </c>
      <c r="C433" s="1">
        <v>20995.0</v>
      </c>
      <c r="D433" s="1">
        <v>495.896023029762</v>
      </c>
      <c r="E433" s="1" t="s">
        <v>873</v>
      </c>
      <c r="F433" s="1" t="s">
        <v>874</v>
      </c>
      <c r="G433" s="1">
        <v>42.337504285127</v>
      </c>
      <c r="H433" s="1">
        <v>20.770080711</v>
      </c>
      <c r="I433" s="1">
        <v>4.1434720126</v>
      </c>
      <c r="J433" s="1">
        <v>9.455022981</v>
      </c>
      <c r="K433" s="1">
        <v>19.20312436</v>
      </c>
      <c r="L433" s="1">
        <v>34.4</v>
      </c>
      <c r="M433" s="1">
        <v>7.3</v>
      </c>
      <c r="N433" s="1">
        <v>34.7</v>
      </c>
      <c r="O433" s="1">
        <v>54.551293815</v>
      </c>
      <c r="P433" s="1">
        <v>16.613811404</v>
      </c>
      <c r="Q433" s="1">
        <v>38.59141</v>
      </c>
      <c r="R433" s="1">
        <v>93.073593074</v>
      </c>
      <c r="S433" s="1">
        <v>33.9</v>
      </c>
      <c r="T433" s="1">
        <v>4103.0</v>
      </c>
      <c r="U433" s="1">
        <v>41.6280770169999</v>
      </c>
      <c r="V433" s="1">
        <v>377.39698082</v>
      </c>
      <c r="W433" s="1">
        <v>12.022542267</v>
      </c>
      <c r="X433" s="1">
        <v>7.03296703299999</v>
      </c>
      <c r="Y433" s="1">
        <v>75.8525925639999</v>
      </c>
      <c r="Z433" s="1">
        <v>16.5</v>
      </c>
      <c r="AA433" s="1">
        <v>1.4801630512</v>
      </c>
      <c r="AB433" s="1">
        <v>35636.0</v>
      </c>
      <c r="AC433" s="1">
        <v>82.3254364089999</v>
      </c>
      <c r="AD433" s="1">
        <v>66.168442943</v>
      </c>
      <c r="AE433" s="1">
        <v>10.8784773059999</v>
      </c>
      <c r="AF433" s="1">
        <v>29.509780246</v>
      </c>
      <c r="AG433" s="1">
        <v>0.4588263704</v>
      </c>
      <c r="AH433" s="1">
        <v>0.540932142</v>
      </c>
      <c r="AI433" s="1">
        <v>0.1787007969</v>
      </c>
      <c r="AJ433" s="1">
        <v>3.6029944458</v>
      </c>
      <c r="AK433" s="1">
        <v>64.757304999</v>
      </c>
      <c r="AL433" s="1">
        <v>0.6965123909</v>
      </c>
      <c r="AM433" s="1">
        <v>47.9014730739999</v>
      </c>
      <c r="AN433" s="1">
        <v>72.22884933</v>
      </c>
      <c r="AO433" s="1">
        <v>18481.0</v>
      </c>
      <c r="AP433" s="1">
        <v>22.2</v>
      </c>
      <c r="AQ433" s="1">
        <v>10.5</v>
      </c>
      <c r="AR433" s="1">
        <v>18.5</v>
      </c>
      <c r="AS433" s="1">
        <v>15.0</v>
      </c>
      <c r="AT433" s="1">
        <v>21.0</v>
      </c>
      <c r="AU433" s="1">
        <v>19.8</v>
      </c>
      <c r="AV433" s="1">
        <v>34.7</v>
      </c>
      <c r="AW433" s="1">
        <v>1.0</v>
      </c>
      <c r="AX433" s="1">
        <v>0.9535</v>
      </c>
      <c r="AY433" s="1">
        <v>20.6</v>
      </c>
      <c r="AZ433" s="1">
        <v>17.3</v>
      </c>
      <c r="BA433" s="1">
        <v>24.0</v>
      </c>
      <c r="BB433" s="1">
        <v>2.95</v>
      </c>
      <c r="BC433" s="1" t="s">
        <v>798</v>
      </c>
      <c r="BD433" s="1">
        <v>14.4</v>
      </c>
      <c r="BE433" s="1">
        <v>44.2</v>
      </c>
      <c r="BF433" s="1">
        <v>27.1</v>
      </c>
      <c r="BG433" s="1">
        <v>14.3</v>
      </c>
      <c r="BH433" s="1" t="s">
        <v>874</v>
      </c>
    </row>
    <row r="434">
      <c r="A434" s="1">
        <v>13093.0</v>
      </c>
      <c r="B434" s="2" t="str">
        <f>IFERROR(__xludf.DUMMYFUNCTION("TO_TEXT(A434)"),"13093")</f>
        <v>13093</v>
      </c>
      <c r="C434" s="1">
        <v>14089.0</v>
      </c>
      <c r="D434" s="1">
        <v>391.939921313606</v>
      </c>
      <c r="E434" s="1" t="s">
        <v>875</v>
      </c>
      <c r="F434" s="1" t="s">
        <v>876</v>
      </c>
      <c r="G434" s="1">
        <v>35.9468358129481</v>
      </c>
      <c r="H434" s="1">
        <v>23.522594373</v>
      </c>
      <c r="I434" s="1">
        <v>4.0379915573</v>
      </c>
      <c r="J434" s="1">
        <v>12.222222222</v>
      </c>
      <c r="K434" s="1">
        <v>19.582000777</v>
      </c>
      <c r="L434" s="1">
        <v>38.2</v>
      </c>
      <c r="M434" s="1">
        <v>7.1</v>
      </c>
      <c r="N434" s="1">
        <v>32.9</v>
      </c>
      <c r="O434" s="1">
        <v>21.490816463</v>
      </c>
      <c r="P434" s="1">
        <v>18.360726644</v>
      </c>
      <c r="Q434" s="1">
        <v>7.27961</v>
      </c>
      <c r="R434" s="1">
        <v>82.954545455</v>
      </c>
      <c r="S434" s="1">
        <v>38.2</v>
      </c>
      <c r="T434" s="1">
        <v>2519.0</v>
      </c>
      <c r="U434" s="1">
        <v>43.588725685</v>
      </c>
      <c r="V434" s="1">
        <v>155.11025405</v>
      </c>
      <c r="W434" s="1">
        <v>19.552529183</v>
      </c>
      <c r="X434" s="1">
        <v>14.0438247009999</v>
      </c>
      <c r="Y434" s="1">
        <v>79.232028433</v>
      </c>
      <c r="Z434" s="1">
        <v>16.1</v>
      </c>
      <c r="AA434" s="1">
        <v>1.0046825493</v>
      </c>
      <c r="AB434" s="1">
        <v>37278.0</v>
      </c>
      <c r="AC434" s="1">
        <v>61.2776025239999</v>
      </c>
      <c r="AD434" s="1">
        <v>69.8004525819999</v>
      </c>
      <c r="AE434" s="1">
        <v>10.381679389</v>
      </c>
      <c r="AF434" s="1">
        <v>48.934773092</v>
      </c>
      <c r="AG434" s="1">
        <v>0.2699547643</v>
      </c>
      <c r="AH434" s="1">
        <v>0.7150153218</v>
      </c>
      <c r="AI434" s="1">
        <v>0.0729607471</v>
      </c>
      <c r="AJ434" s="1">
        <v>6.8729023785</v>
      </c>
      <c r="AK434" s="1">
        <v>42.426674449</v>
      </c>
      <c r="AL434" s="1">
        <v>1.6714135812</v>
      </c>
      <c r="AM434" s="1">
        <v>45.636947322</v>
      </c>
      <c r="AN434" s="1">
        <v>53.666711355</v>
      </c>
      <c r="AO434" s="1">
        <v>16109.0</v>
      </c>
      <c r="AP434" s="1">
        <v>24.3</v>
      </c>
      <c r="AQ434" s="1">
        <v>9.4</v>
      </c>
      <c r="AR434" s="1">
        <v>25.5</v>
      </c>
      <c r="AS434" s="1">
        <v>15.6</v>
      </c>
      <c r="AT434" s="1">
        <v>19.6</v>
      </c>
      <c r="AU434" s="1">
        <v>17.2</v>
      </c>
      <c r="AV434" s="1">
        <v>57.4</v>
      </c>
      <c r="AW434" s="1">
        <v>1.6</v>
      </c>
      <c r="AX434" s="1">
        <v>0.9529</v>
      </c>
      <c r="AY434" s="1">
        <v>28.2</v>
      </c>
      <c r="AZ434" s="1">
        <v>17.5</v>
      </c>
      <c r="BA434" s="1">
        <v>25.8</v>
      </c>
      <c r="BB434" s="1">
        <v>3.06</v>
      </c>
      <c r="BC434" s="1" t="s">
        <v>798</v>
      </c>
      <c r="BD434" s="1">
        <v>22.3</v>
      </c>
      <c r="BE434" s="1">
        <v>41.1</v>
      </c>
      <c r="BF434" s="1">
        <v>24.5</v>
      </c>
      <c r="BG434" s="1">
        <v>12.1</v>
      </c>
      <c r="BH434" s="1" t="s">
        <v>876</v>
      </c>
    </row>
    <row r="435">
      <c r="A435" s="1">
        <v>13095.0</v>
      </c>
      <c r="B435" s="2" t="str">
        <f>IFERROR(__xludf.DUMMYFUNCTION("TO_TEXT(A435)"),"13095")</f>
        <v>13095</v>
      </c>
      <c r="C435" s="1">
        <v>92326.0</v>
      </c>
      <c r="D435" s="1">
        <v>328.626972882804</v>
      </c>
      <c r="E435" s="1" t="s">
        <v>877</v>
      </c>
      <c r="F435" s="1" t="s">
        <v>878</v>
      </c>
      <c r="G435" s="1">
        <v>280.94468080356</v>
      </c>
      <c r="H435" s="1">
        <v>25.38788847</v>
      </c>
      <c r="I435" s="1">
        <v>4.4322119577</v>
      </c>
      <c r="J435" s="1">
        <v>13.418738465</v>
      </c>
      <c r="K435" s="1">
        <v>21.607553194</v>
      </c>
      <c r="L435" s="1">
        <v>37.3</v>
      </c>
      <c r="M435" s="1">
        <v>3.9</v>
      </c>
      <c r="N435" s="1">
        <v>31.7</v>
      </c>
      <c r="O435" s="1">
        <v>80.151218738</v>
      </c>
      <c r="P435" s="1">
        <v>14.427556285</v>
      </c>
      <c r="Q435" s="1">
        <v>77.09325</v>
      </c>
      <c r="R435" s="1">
        <v>87.08994709</v>
      </c>
      <c r="S435" s="1">
        <v>43.7</v>
      </c>
      <c r="T435" s="1">
        <v>21650.0</v>
      </c>
      <c r="U435" s="1">
        <v>65.390300231</v>
      </c>
      <c r="V435" s="1">
        <v>940.76351189</v>
      </c>
      <c r="W435" s="1">
        <v>22.628360119</v>
      </c>
      <c r="X435" s="1">
        <v>20.910027978</v>
      </c>
      <c r="Y435" s="1">
        <v>74.4324466119999</v>
      </c>
      <c r="Z435" s="1">
        <v>15.0</v>
      </c>
      <c r="AA435" s="1">
        <v>22.627831619</v>
      </c>
      <c r="AB435" s="1">
        <v>38806.0</v>
      </c>
      <c r="AC435" s="1">
        <v>58.786407767</v>
      </c>
      <c r="AD435" s="1">
        <v>45.419781484</v>
      </c>
      <c r="AE435" s="1">
        <v>21.039117958</v>
      </c>
      <c r="AF435" s="1">
        <v>70.255252458</v>
      </c>
      <c r="AG435" s="1">
        <v>0.2739936214</v>
      </c>
      <c r="AH435" s="1">
        <v>1.0050086034</v>
      </c>
      <c r="AI435" s="1">
        <v>0.2148109992</v>
      </c>
      <c r="AJ435" s="1">
        <v>2.9284438258</v>
      </c>
      <c r="AK435" s="1">
        <v>24.4391350569999</v>
      </c>
      <c r="AL435" s="1">
        <v>0.5347593583</v>
      </c>
      <c r="AM435" s="1">
        <v>54.113740232</v>
      </c>
      <c r="AN435" s="1">
        <v>13.959710252</v>
      </c>
      <c r="AO435" s="1">
        <v>20403.0</v>
      </c>
      <c r="AP435" s="1">
        <v>30.5</v>
      </c>
      <c r="AQ435" s="1">
        <v>17.0</v>
      </c>
      <c r="AR435" s="1">
        <v>17.8</v>
      </c>
      <c r="AS435" s="1">
        <v>13.5</v>
      </c>
      <c r="AT435" s="1">
        <v>25.0</v>
      </c>
      <c r="AU435" s="1">
        <v>14.9</v>
      </c>
      <c r="AV435" s="1">
        <v>73.5</v>
      </c>
      <c r="AW435" s="1">
        <v>0.5</v>
      </c>
      <c r="AX435" s="1">
        <v>0.9414</v>
      </c>
      <c r="AY435" s="1">
        <v>27.6</v>
      </c>
      <c r="AZ435" s="1">
        <v>19.6</v>
      </c>
      <c r="BA435" s="1">
        <v>26.3</v>
      </c>
      <c r="BB435" s="1">
        <v>3.02</v>
      </c>
      <c r="BC435" s="1" t="s">
        <v>798</v>
      </c>
      <c r="BD435" s="1">
        <v>16.6</v>
      </c>
      <c r="BE435" s="1">
        <v>30.2</v>
      </c>
      <c r="BF435" s="1">
        <v>31.8</v>
      </c>
      <c r="BG435" s="1">
        <v>21.4</v>
      </c>
      <c r="BH435" s="1" t="s">
        <v>878</v>
      </c>
    </row>
    <row r="436">
      <c r="A436" s="1">
        <v>13097.0</v>
      </c>
      <c r="B436" s="2" t="str">
        <f>IFERROR(__xludf.DUMMYFUNCTION("TO_TEXT(A436)"),"13097")</f>
        <v>13097</v>
      </c>
      <c r="C436" s="1">
        <v>138283.0</v>
      </c>
      <c r="D436" s="1">
        <v>200.113992071446</v>
      </c>
      <c r="E436" s="1" t="s">
        <v>569</v>
      </c>
      <c r="F436" s="1" t="s">
        <v>879</v>
      </c>
      <c r="G436" s="1">
        <v>691.021145341148</v>
      </c>
      <c r="H436" s="1">
        <v>17.940186285</v>
      </c>
      <c r="I436" s="1">
        <v>3.6604323982</v>
      </c>
      <c r="J436" s="1">
        <v>9.684140345</v>
      </c>
      <c r="K436" s="1">
        <v>16.639961064</v>
      </c>
      <c r="L436" s="1">
        <v>31.3</v>
      </c>
      <c r="M436" s="1">
        <v>6.7</v>
      </c>
      <c r="N436" s="1">
        <v>28.4</v>
      </c>
      <c r="O436" s="1">
        <v>79.520101508</v>
      </c>
      <c r="P436" s="1">
        <v>14.167003015</v>
      </c>
      <c r="Q436" s="1">
        <v>36.14073</v>
      </c>
      <c r="R436" s="1">
        <v>85.604693141</v>
      </c>
      <c r="S436" s="1">
        <v>20.9</v>
      </c>
      <c r="T436" s="1">
        <v>37054.0</v>
      </c>
      <c r="U436" s="1">
        <v>35.904355805</v>
      </c>
      <c r="V436" s="1">
        <v>306.02552474</v>
      </c>
      <c r="W436" s="1">
        <v>16.303776165</v>
      </c>
      <c r="X436" s="1">
        <v>14.323579304</v>
      </c>
      <c r="Y436" s="1">
        <v>77.698138783</v>
      </c>
      <c r="Z436" s="1">
        <v>10.5</v>
      </c>
      <c r="AA436" s="1">
        <v>13.877822482</v>
      </c>
      <c r="AB436" s="1">
        <v>60512.0</v>
      </c>
      <c r="AC436" s="1">
        <v>62.671608487</v>
      </c>
      <c r="AD436" s="1">
        <v>64.382862277</v>
      </c>
      <c r="AE436" s="1">
        <v>14.167481129</v>
      </c>
      <c r="AF436" s="1">
        <v>46.9541942189999</v>
      </c>
      <c r="AG436" s="1">
        <v>0.4665212515</v>
      </c>
      <c r="AH436" s="1">
        <v>1.7147064288</v>
      </c>
      <c r="AI436" s="1">
        <v>0.167892603799999</v>
      </c>
      <c r="AJ436" s="1">
        <v>9.9964907693</v>
      </c>
      <c r="AK436" s="1">
        <v>38.891908815</v>
      </c>
      <c r="AL436" s="1">
        <v>1.7127978206</v>
      </c>
      <c r="AM436" s="1">
        <v>52.498090566</v>
      </c>
      <c r="AN436" s="1">
        <v>15.757195834</v>
      </c>
      <c r="AO436" s="1">
        <v>24471.0</v>
      </c>
      <c r="AP436" s="1">
        <v>15.2</v>
      </c>
      <c r="AQ436" s="1">
        <v>9.0</v>
      </c>
      <c r="AR436" s="1">
        <v>11.7</v>
      </c>
      <c r="AS436" s="1">
        <v>10.3</v>
      </c>
      <c r="AT436" s="1">
        <v>26.9</v>
      </c>
      <c r="AU436" s="1">
        <v>12.0</v>
      </c>
      <c r="AV436" s="1">
        <v>55.4</v>
      </c>
      <c r="AW436" s="1">
        <v>1.9</v>
      </c>
      <c r="AX436" s="1">
        <v>0.5419</v>
      </c>
      <c r="AY436" s="1">
        <v>10.9</v>
      </c>
      <c r="AZ436" s="1">
        <v>11.6</v>
      </c>
      <c r="BA436" s="1">
        <v>14.4</v>
      </c>
      <c r="BB436" s="1">
        <v>3.0</v>
      </c>
      <c r="BC436" s="1" t="s">
        <v>798</v>
      </c>
      <c r="BD436" s="1">
        <v>12.2</v>
      </c>
      <c r="BE436" s="1">
        <v>30.4</v>
      </c>
      <c r="BF436" s="1">
        <v>29.3</v>
      </c>
      <c r="BG436" s="1">
        <v>28.2</v>
      </c>
      <c r="BH436" s="1" t="s">
        <v>879</v>
      </c>
    </row>
    <row r="437">
      <c r="A437" s="1">
        <v>13099.0</v>
      </c>
      <c r="B437" s="2" t="str">
        <f>IFERROR(__xludf.DUMMYFUNCTION("TO_TEXT(A437)"),"13099")</f>
        <v>13099</v>
      </c>
      <c r="C437" s="1">
        <v>10480.0</v>
      </c>
      <c r="D437" s="1">
        <v>512.593698231158</v>
      </c>
      <c r="E437" s="1" t="s">
        <v>880</v>
      </c>
      <c r="F437" s="1" t="s">
        <v>881</v>
      </c>
      <c r="G437" s="1">
        <v>20.445042606189</v>
      </c>
      <c r="H437" s="1">
        <v>24.8050232</v>
      </c>
      <c r="I437" s="1">
        <v>4.5089672274</v>
      </c>
      <c r="J437" s="1">
        <v>14.663726571</v>
      </c>
      <c r="K437" s="1">
        <v>21.019109913</v>
      </c>
      <c r="L437" s="1">
        <v>43.5</v>
      </c>
      <c r="M437" s="1">
        <v>6.3</v>
      </c>
      <c r="N437" s="1">
        <v>29.3</v>
      </c>
      <c r="O437" s="1">
        <v>58.6664244189999</v>
      </c>
      <c r="P437" s="1">
        <v>14.714898835</v>
      </c>
      <c r="Q437" s="1">
        <v>67.9875699999999</v>
      </c>
      <c r="R437" s="1">
        <v>90.857142857</v>
      </c>
      <c r="S437" s="1">
        <v>40.4</v>
      </c>
      <c r="T437" s="1">
        <v>2541.0</v>
      </c>
      <c r="U437" s="1">
        <v>59.976387249</v>
      </c>
      <c r="V437" s="1">
        <v>776.9145394</v>
      </c>
      <c r="W437" s="1">
        <v>19.6273291929999</v>
      </c>
      <c r="X437" s="1">
        <v>15.17976032</v>
      </c>
      <c r="Y437" s="1">
        <v>73.881167124</v>
      </c>
      <c r="Z437" s="1">
        <v>19.4</v>
      </c>
      <c r="AA437" s="1">
        <v>5.42055048169999</v>
      </c>
      <c r="AB437" s="1">
        <v>34984.0</v>
      </c>
      <c r="AC437" s="1">
        <v>96.978557505</v>
      </c>
      <c r="AD437" s="1">
        <v>65.850073493</v>
      </c>
      <c r="AE437" s="1">
        <v>16.972222222</v>
      </c>
      <c r="AF437" s="1">
        <v>50.9710159069999</v>
      </c>
      <c r="AG437" s="1">
        <v>0.5660193227</v>
      </c>
      <c r="AH437" s="1">
        <v>0.7221625842</v>
      </c>
      <c r="AI437" s="1">
        <v>0.058553723</v>
      </c>
      <c r="AJ437" s="1">
        <v>2.3128720601</v>
      </c>
      <c r="AK437" s="1">
        <v>44.569142188</v>
      </c>
      <c r="AL437" s="1">
        <v>0.0</v>
      </c>
      <c r="AM437" s="1">
        <v>53.332682736</v>
      </c>
      <c r="AN437" s="1">
        <v>65.952034884</v>
      </c>
      <c r="AO437" s="1">
        <v>17338.0</v>
      </c>
      <c r="AP437" s="1">
        <v>31.2</v>
      </c>
      <c r="AQ437" s="1">
        <v>7.9</v>
      </c>
      <c r="AR437" s="1">
        <v>20.2</v>
      </c>
      <c r="AS437" s="1">
        <v>18.3</v>
      </c>
      <c r="AT437" s="1">
        <v>25.0</v>
      </c>
      <c r="AU437" s="1">
        <v>15.4</v>
      </c>
      <c r="AV437" s="1">
        <v>53.5</v>
      </c>
      <c r="AW437" s="1">
        <v>0.0</v>
      </c>
      <c r="AX437" s="1">
        <v>0.916</v>
      </c>
      <c r="AY437" s="1">
        <v>27.3</v>
      </c>
      <c r="AZ437" s="1">
        <v>17.9</v>
      </c>
      <c r="BA437" s="1">
        <v>25.9</v>
      </c>
      <c r="BB437" s="1">
        <v>3.17</v>
      </c>
      <c r="BC437" s="1" t="s">
        <v>798</v>
      </c>
      <c r="BD437" s="1">
        <v>19.6</v>
      </c>
      <c r="BE437" s="1">
        <v>37.1</v>
      </c>
      <c r="BF437" s="1">
        <v>28.2</v>
      </c>
      <c r="BG437" s="1">
        <v>15.1</v>
      </c>
      <c r="BH437" s="1" t="s">
        <v>881</v>
      </c>
    </row>
    <row r="438">
      <c r="A438" s="1">
        <v>13101.0</v>
      </c>
      <c r="B438" s="2" t="str">
        <f>IFERROR(__xludf.DUMMYFUNCTION("TO_TEXT(A438)"),"13101")</f>
        <v>13101</v>
      </c>
      <c r="C438" s="1">
        <v>4025.0</v>
      </c>
      <c r="D438" s="1">
        <v>414.894261663892</v>
      </c>
      <c r="E438" s="1" t="s">
        <v>882</v>
      </c>
      <c r="F438" s="1" t="s">
        <v>883</v>
      </c>
      <c r="G438" s="1">
        <v>9.70126697789972</v>
      </c>
      <c r="H438" s="1">
        <v>22.226981684</v>
      </c>
      <c r="I438" s="1">
        <v>4.1545323032</v>
      </c>
      <c r="J438" s="1">
        <v>7.80443539465</v>
      </c>
      <c r="K438" s="1">
        <v>19.094551686</v>
      </c>
      <c r="L438" s="1">
        <v>27.8</v>
      </c>
      <c r="M438" s="1">
        <v>8.3</v>
      </c>
      <c r="N438" s="1">
        <v>23.6</v>
      </c>
      <c r="O438" s="1">
        <v>0.173525037199999</v>
      </c>
      <c r="P438" s="1">
        <v>27.566765579</v>
      </c>
      <c r="Q438" s="1">
        <v>48.31939</v>
      </c>
      <c r="R438" s="1">
        <v>95.348837209</v>
      </c>
      <c r="S438" s="1">
        <v>36.3</v>
      </c>
      <c r="T438" s="1">
        <v>857.0</v>
      </c>
      <c r="U438" s="1">
        <v>24.620770128</v>
      </c>
      <c r="V438" s="1">
        <v>86.270643333</v>
      </c>
      <c r="W438" s="1">
        <v>19.649122807</v>
      </c>
      <c r="X438" s="1">
        <v>13.851851852</v>
      </c>
      <c r="Y438" s="1">
        <v>82.292385254</v>
      </c>
      <c r="Z438" s="1">
        <v>11.2</v>
      </c>
      <c r="AA438" s="1">
        <v>2.5525230633</v>
      </c>
      <c r="AB438" s="1">
        <v>38667.0</v>
      </c>
      <c r="AC438" s="1">
        <v>91.428571429</v>
      </c>
      <c r="AD438" s="1">
        <v>69.852469532</v>
      </c>
      <c r="AE438" s="1">
        <v>12.9602356409999</v>
      </c>
      <c r="AF438" s="1">
        <v>4.775</v>
      </c>
      <c r="AG438" s="1">
        <v>3.025</v>
      </c>
      <c r="AH438" s="1">
        <v>0.525</v>
      </c>
      <c r="AI438" s="1">
        <v>0.25</v>
      </c>
      <c r="AJ438" s="1">
        <v>30.1</v>
      </c>
      <c r="AK438" s="1">
        <v>61.475</v>
      </c>
      <c r="AL438" s="1">
        <v>3.125</v>
      </c>
      <c r="AM438" s="1">
        <v>48.325</v>
      </c>
      <c r="AN438" s="1">
        <v>100.0</v>
      </c>
      <c r="AO438" s="1">
        <v>17989.0</v>
      </c>
      <c r="AP438" s="1">
        <v>30.2</v>
      </c>
      <c r="AQ438" s="1">
        <v>7.0</v>
      </c>
      <c r="AR438" s="1">
        <v>33.0</v>
      </c>
      <c r="AS438" s="1">
        <v>11.1</v>
      </c>
      <c r="AT438" s="1">
        <v>27.7</v>
      </c>
      <c r="AU438" s="1">
        <v>13.7</v>
      </c>
      <c r="AV438" s="1">
        <v>36.5</v>
      </c>
      <c r="AW438" s="1">
        <v>10.7</v>
      </c>
      <c r="AX438" s="1">
        <v>0.8914</v>
      </c>
      <c r="AY438" s="1">
        <v>21.6</v>
      </c>
      <c r="AZ438" s="1">
        <v>14.9</v>
      </c>
      <c r="BA438" s="1">
        <v>16.2</v>
      </c>
      <c r="BB438" s="1">
        <v>3.04</v>
      </c>
      <c r="BC438" s="1" t="s">
        <v>798</v>
      </c>
      <c r="BD438" s="1">
        <v>25.8</v>
      </c>
      <c r="BE438" s="1">
        <v>41.9</v>
      </c>
      <c r="BF438" s="1">
        <v>22.5</v>
      </c>
      <c r="BG438" s="1">
        <v>9.7</v>
      </c>
      <c r="BH438" s="1" t="s">
        <v>883</v>
      </c>
    </row>
    <row r="439">
      <c r="A439" s="1">
        <v>13103.0</v>
      </c>
      <c r="B439" s="2" t="str">
        <f>IFERROR(__xludf.DUMMYFUNCTION("TO_TEXT(A439)"),"13103")</f>
        <v>13103</v>
      </c>
      <c r="C439" s="1">
        <v>55852.0</v>
      </c>
      <c r="D439" s="1">
        <v>477.703903357676</v>
      </c>
      <c r="E439" s="1" t="s">
        <v>884</v>
      </c>
      <c r="F439" s="1" t="s">
        <v>885</v>
      </c>
      <c r="G439" s="1">
        <v>116.917612787814</v>
      </c>
      <c r="H439" s="1">
        <v>14.283842538</v>
      </c>
      <c r="I439" s="1">
        <v>3.583455024</v>
      </c>
      <c r="J439" s="1">
        <v>9.103367267</v>
      </c>
      <c r="K439" s="1">
        <v>16.27983515</v>
      </c>
      <c r="L439" s="1">
        <v>39.9</v>
      </c>
      <c r="M439" s="1">
        <v>8.5</v>
      </c>
      <c r="N439" s="1">
        <v>35.1</v>
      </c>
      <c r="O439" s="1">
        <v>62.631578947</v>
      </c>
      <c r="P439" s="1">
        <v>13.6051843709999</v>
      </c>
      <c r="Q439" s="1">
        <v>25.0075</v>
      </c>
      <c r="R439" s="1">
        <v>91.2529550829999</v>
      </c>
      <c r="S439" s="1">
        <v>12.3</v>
      </c>
      <c r="T439" s="1">
        <v>15554.0</v>
      </c>
      <c r="U439" s="1">
        <v>23.665938022</v>
      </c>
      <c r="V439" s="1">
        <v>118.39756843</v>
      </c>
      <c r="W439" s="1">
        <v>11.339930463</v>
      </c>
      <c r="X439" s="1">
        <v>9.0933621155</v>
      </c>
      <c r="Y439" s="1">
        <v>76.153336641</v>
      </c>
      <c r="Z439" s="1">
        <v>10.0</v>
      </c>
      <c r="AA439" s="1">
        <v>4.6458085881</v>
      </c>
      <c r="AB439" s="1">
        <v>65793.0</v>
      </c>
      <c r="AC439" s="1">
        <v>39.50407883</v>
      </c>
      <c r="AD439" s="1">
        <v>75.821172336</v>
      </c>
      <c r="AE439" s="1">
        <v>10.526051601</v>
      </c>
      <c r="AF439" s="1">
        <v>13.7594468559999</v>
      </c>
      <c r="AG439" s="1">
        <v>0.4534491076</v>
      </c>
      <c r="AH439" s="1">
        <v>1.1320147934</v>
      </c>
      <c r="AI439" s="1">
        <v>0.1254220936</v>
      </c>
      <c r="AJ439" s="1">
        <v>4.8174947741</v>
      </c>
      <c r="AK439" s="1">
        <v>78.096156938</v>
      </c>
      <c r="AL439" s="1">
        <v>0.7433382646</v>
      </c>
      <c r="AM439" s="1">
        <v>50.1543656539999</v>
      </c>
      <c r="AN439" s="1">
        <v>67.0526315789999</v>
      </c>
      <c r="AO439" s="1">
        <v>25553.0</v>
      </c>
      <c r="AP439" s="1">
        <v>10.8</v>
      </c>
      <c r="AQ439" s="1">
        <v>6.0</v>
      </c>
      <c r="AR439" s="1">
        <v>13.8</v>
      </c>
      <c r="AS439" s="1">
        <v>10.6</v>
      </c>
      <c r="AT439" s="1">
        <v>27.1</v>
      </c>
      <c r="AU439" s="1">
        <v>13.0</v>
      </c>
      <c r="AV439" s="1">
        <v>20.2</v>
      </c>
      <c r="AW439" s="1">
        <v>0.5</v>
      </c>
      <c r="AX439" s="1">
        <v>0.3314</v>
      </c>
      <c r="AY439" s="1">
        <v>9.1</v>
      </c>
      <c r="AZ439" s="1">
        <v>9.4</v>
      </c>
      <c r="BA439" s="1">
        <v>12.6</v>
      </c>
      <c r="BB439" s="1">
        <v>3.1</v>
      </c>
      <c r="BC439" s="1" t="s">
        <v>798</v>
      </c>
      <c r="BD439" s="1">
        <v>11.7</v>
      </c>
      <c r="BE439" s="1">
        <v>37.5</v>
      </c>
      <c r="BF439" s="1">
        <v>30.8</v>
      </c>
      <c r="BG439" s="1">
        <v>20.0</v>
      </c>
      <c r="BH439" s="1" t="s">
        <v>885</v>
      </c>
    </row>
    <row r="440">
      <c r="A440" s="1">
        <v>13105.0</v>
      </c>
      <c r="B440" s="2" t="str">
        <f>IFERROR(__xludf.DUMMYFUNCTION("TO_TEXT(A440)"),"13105")</f>
        <v>13105</v>
      </c>
      <c r="C440" s="1">
        <v>19394.0</v>
      </c>
      <c r="D440" s="1">
        <v>351.057272046468</v>
      </c>
      <c r="E440" s="1" t="s">
        <v>573</v>
      </c>
      <c r="F440" s="1" t="s">
        <v>886</v>
      </c>
      <c r="G440" s="1">
        <v>55.24454709895</v>
      </c>
      <c r="H440" s="1">
        <v>19.942573367</v>
      </c>
      <c r="I440" s="1">
        <v>4.1267553361</v>
      </c>
      <c r="J440" s="1">
        <v>9.80267345639999</v>
      </c>
      <c r="K440" s="1">
        <v>17.841736172</v>
      </c>
      <c r="L440" s="1">
        <v>40.1</v>
      </c>
      <c r="M440" s="1">
        <v>6.4</v>
      </c>
      <c r="N440" s="1">
        <v>39.1</v>
      </c>
      <c r="O440" s="1">
        <v>54.6811464839999</v>
      </c>
      <c r="P440" s="1">
        <v>17.592282441</v>
      </c>
      <c r="Q440" s="1">
        <v>52.33136</v>
      </c>
      <c r="R440" s="1">
        <v>81.862745098</v>
      </c>
      <c r="S440" s="1">
        <v>30.1</v>
      </c>
      <c r="T440" s="1">
        <v>4169.0</v>
      </c>
      <c r="U440" s="1">
        <v>36.075797553</v>
      </c>
      <c r="V440" s="1">
        <v>358.8115336</v>
      </c>
      <c r="W440" s="1">
        <v>17.477003942</v>
      </c>
      <c r="X440" s="1">
        <v>15.525787006</v>
      </c>
      <c r="Y440" s="1">
        <v>74.638674366</v>
      </c>
      <c r="Z440" s="1">
        <v>8.1</v>
      </c>
      <c r="AA440" s="1">
        <v>14.322419898</v>
      </c>
      <c r="AB440" s="1">
        <v>39681.0</v>
      </c>
      <c r="AC440" s="1">
        <v>83.311518325</v>
      </c>
      <c r="AD440" s="1">
        <v>72.967561073</v>
      </c>
      <c r="AE440" s="1">
        <v>11.8010677159999</v>
      </c>
      <c r="AF440" s="1">
        <v>28.169456067</v>
      </c>
      <c r="AG440" s="1">
        <v>0.449790795</v>
      </c>
      <c r="AH440" s="1">
        <v>1.0617154812</v>
      </c>
      <c r="AI440" s="1">
        <v>0.0523012552</v>
      </c>
      <c r="AJ440" s="1">
        <v>5.8891213389</v>
      </c>
      <c r="AK440" s="1">
        <v>63.478033473</v>
      </c>
      <c r="AL440" s="1">
        <v>1.72451912449999</v>
      </c>
      <c r="AM440" s="1">
        <v>52.160041841</v>
      </c>
      <c r="AN440" s="1">
        <v>70.6188634339999</v>
      </c>
      <c r="AO440" s="1">
        <v>21039.0</v>
      </c>
      <c r="AP440" s="1">
        <v>19.8</v>
      </c>
      <c r="AQ440" s="1">
        <v>8.3</v>
      </c>
      <c r="AR440" s="1">
        <v>21.5</v>
      </c>
      <c r="AS440" s="1">
        <v>18.9</v>
      </c>
      <c r="AT440" s="1">
        <v>22.1</v>
      </c>
      <c r="AU440" s="1">
        <v>18.5</v>
      </c>
      <c r="AV440" s="1">
        <v>36.2</v>
      </c>
      <c r="AW440" s="1">
        <v>1.6</v>
      </c>
      <c r="AX440" s="1">
        <v>0.8376</v>
      </c>
      <c r="AY440" s="1">
        <v>20.6</v>
      </c>
      <c r="AZ440" s="1">
        <v>15.4</v>
      </c>
      <c r="BA440" s="1">
        <v>21.9</v>
      </c>
      <c r="BB440" s="1">
        <v>3.06</v>
      </c>
      <c r="BC440" s="1" t="s">
        <v>798</v>
      </c>
      <c r="BD440" s="1">
        <v>21.6</v>
      </c>
      <c r="BE440" s="1">
        <v>40.9</v>
      </c>
      <c r="BF440" s="1">
        <v>25.9</v>
      </c>
      <c r="BG440" s="1">
        <v>11.6</v>
      </c>
      <c r="BH440" s="1" t="s">
        <v>886</v>
      </c>
    </row>
    <row r="441">
      <c r="A441" s="1">
        <v>13107.0</v>
      </c>
      <c r="B441" s="2" t="str">
        <f>IFERROR(__xludf.DUMMYFUNCTION("TO_TEXT(A441)"),"13107")</f>
        <v>13107</v>
      </c>
      <c r="C441" s="1">
        <v>22723.0</v>
      </c>
      <c r="D441" s="1">
        <v>680.605369242876</v>
      </c>
      <c r="E441" s="1" t="s">
        <v>887</v>
      </c>
      <c r="F441" s="1" t="s">
        <v>888</v>
      </c>
      <c r="G441" s="1">
        <v>33.3864542168947</v>
      </c>
      <c r="H441" s="1">
        <v>23.579846365</v>
      </c>
      <c r="I441" s="1">
        <v>4.3820539857</v>
      </c>
      <c r="J441" s="1">
        <v>10.354477612</v>
      </c>
      <c r="K441" s="1">
        <v>21.225064957</v>
      </c>
      <c r="L441" s="1">
        <v>27.7</v>
      </c>
      <c r="M441" s="1">
        <v>5.8</v>
      </c>
      <c r="N441" s="1">
        <v>31.4</v>
      </c>
      <c r="O441" s="1">
        <v>45.017258164</v>
      </c>
      <c r="P441" s="1">
        <v>15.951024093</v>
      </c>
      <c r="Q441" s="1">
        <v>44.38526</v>
      </c>
      <c r="R441" s="1">
        <v>84.444444444</v>
      </c>
      <c r="S441" s="1">
        <v>34.4</v>
      </c>
      <c r="T441" s="1">
        <v>5652.0</v>
      </c>
      <c r="U441" s="1">
        <v>52.653927813</v>
      </c>
      <c r="V441" s="1">
        <v>371.15828543</v>
      </c>
      <c r="W441" s="1">
        <v>15.927051672</v>
      </c>
      <c r="X441" s="1">
        <v>12.761427677</v>
      </c>
      <c r="Y441" s="1">
        <v>72.057253035</v>
      </c>
      <c r="Z441" s="1">
        <v>17.4</v>
      </c>
      <c r="AA441" s="1">
        <v>14.2927607</v>
      </c>
      <c r="AB441" s="1">
        <v>37574.0</v>
      </c>
      <c r="AC441" s="1">
        <v>88.619575254</v>
      </c>
      <c r="AD441" s="1">
        <v>65.622020972</v>
      </c>
      <c r="AE441" s="1">
        <v>13.788626331</v>
      </c>
      <c r="AF441" s="1">
        <v>34.366707943</v>
      </c>
      <c r="AG441" s="1">
        <v>0.4643552096</v>
      </c>
      <c r="AH441" s="1">
        <v>0.716433752</v>
      </c>
      <c r="AI441" s="1">
        <v>0.0707588891</v>
      </c>
      <c r="AJ441" s="1">
        <v>4.4931894569</v>
      </c>
      <c r="AK441" s="1">
        <v>59.127896692</v>
      </c>
      <c r="AL441" s="1">
        <v>1.2779552716</v>
      </c>
      <c r="AM441" s="1">
        <v>50.77834778</v>
      </c>
      <c r="AN441" s="1">
        <v>66.882024958</v>
      </c>
      <c r="AO441" s="1">
        <v>16681.0</v>
      </c>
      <c r="AP441" s="1">
        <v>29.5</v>
      </c>
      <c r="AQ441" s="1">
        <v>11.5</v>
      </c>
      <c r="AR441" s="1">
        <v>22.2</v>
      </c>
      <c r="AS441" s="1">
        <v>15.6</v>
      </c>
      <c r="AT441" s="1">
        <v>25.0</v>
      </c>
      <c r="AU441" s="1">
        <v>18.3</v>
      </c>
      <c r="AV441" s="1">
        <v>40.2</v>
      </c>
      <c r="AW441" s="1">
        <v>1.7</v>
      </c>
      <c r="AX441" s="1">
        <v>0.9892</v>
      </c>
      <c r="AY441" s="1">
        <v>20.9</v>
      </c>
      <c r="AZ441" s="1">
        <v>18.4</v>
      </c>
      <c r="BA441" s="1">
        <v>25.8</v>
      </c>
      <c r="BB441" s="1">
        <v>2.71</v>
      </c>
      <c r="BC441" s="1" t="s">
        <v>798</v>
      </c>
      <c r="BD441" s="1">
        <v>21.4</v>
      </c>
      <c r="BE441" s="1">
        <v>40.8</v>
      </c>
      <c r="BF441" s="1">
        <v>24.7</v>
      </c>
      <c r="BG441" s="1">
        <v>13.0</v>
      </c>
      <c r="BH441" s="1" t="s">
        <v>888</v>
      </c>
    </row>
    <row r="442">
      <c r="A442" s="1">
        <v>13109.0</v>
      </c>
      <c r="B442" s="2" t="str">
        <f>IFERROR(__xludf.DUMMYFUNCTION("TO_TEXT(A442)"),"13109")</f>
        <v>13109</v>
      </c>
      <c r="C442" s="1">
        <v>10733.0</v>
      </c>
      <c r="D442" s="1">
        <v>182.863265909658</v>
      </c>
      <c r="E442" s="1" t="s">
        <v>889</v>
      </c>
      <c r="F442" s="1" t="s">
        <v>890</v>
      </c>
      <c r="G442" s="1">
        <v>58.6941283510847</v>
      </c>
      <c r="H442" s="1">
        <v>22.2605397269999</v>
      </c>
      <c r="I442" s="1">
        <v>4.2038208517</v>
      </c>
      <c r="J442" s="1">
        <v>10.731244065</v>
      </c>
      <c r="K442" s="1">
        <v>19.269089607</v>
      </c>
      <c r="L442" s="1">
        <v>31.4</v>
      </c>
      <c r="M442" s="1">
        <v>7.4</v>
      </c>
      <c r="N442" s="1">
        <v>28.5</v>
      </c>
      <c r="O442" s="1">
        <v>71.254545455</v>
      </c>
      <c r="P442" s="1">
        <v>17.127136502</v>
      </c>
      <c r="Q442" s="1">
        <v>27.84223</v>
      </c>
      <c r="R442" s="1">
        <v>81.818181818</v>
      </c>
      <c r="S442" s="1">
        <v>38.7</v>
      </c>
      <c r="T442" s="1">
        <v>2809.0</v>
      </c>
      <c r="U442" s="1">
        <v>47.881808473</v>
      </c>
      <c r="V442" s="1">
        <v>160.33427267</v>
      </c>
      <c r="W442" s="1">
        <v>17.974683544</v>
      </c>
      <c r="X442" s="1">
        <v>14.993581515</v>
      </c>
      <c r="Y442" s="1">
        <v>75.550162428</v>
      </c>
      <c r="Z442" s="1">
        <v>7.3</v>
      </c>
      <c r="AA442" s="1">
        <v>2.674426072</v>
      </c>
      <c r="AB442" s="1">
        <v>37319.0</v>
      </c>
      <c r="AC442" s="1">
        <v>100.0</v>
      </c>
      <c r="AD442" s="1">
        <v>66.650024963</v>
      </c>
      <c r="AE442" s="1">
        <v>16.820946839</v>
      </c>
      <c r="AF442" s="1">
        <v>29.987874265</v>
      </c>
      <c r="AG442" s="1">
        <v>0.5409943102</v>
      </c>
      <c r="AH442" s="1">
        <v>1.2778658707</v>
      </c>
      <c r="AI442" s="1">
        <v>0.3544445481</v>
      </c>
      <c r="AJ442" s="1">
        <v>11.9205298009999</v>
      </c>
      <c r="AK442" s="1">
        <v>55.955601157</v>
      </c>
      <c r="AL442" s="1">
        <v>3.8306857028</v>
      </c>
      <c r="AM442" s="1">
        <v>51.3478220319999</v>
      </c>
      <c r="AN442" s="1">
        <v>61.2818181819999</v>
      </c>
      <c r="AO442" s="1">
        <v>20710.0</v>
      </c>
      <c r="AP442" s="1">
        <v>26.2</v>
      </c>
      <c r="AQ442" s="1">
        <v>7.8</v>
      </c>
      <c r="AR442" s="1">
        <v>22.9</v>
      </c>
      <c r="AS442" s="1">
        <v>15.7</v>
      </c>
      <c r="AT442" s="1">
        <v>26.2</v>
      </c>
      <c r="AU442" s="1">
        <v>15.9</v>
      </c>
      <c r="AV442" s="1">
        <v>43.1</v>
      </c>
      <c r="AW442" s="1">
        <v>3.0</v>
      </c>
      <c r="AX442" s="1">
        <v>0.9729</v>
      </c>
      <c r="AY442" s="1">
        <v>24.1</v>
      </c>
      <c r="AZ442" s="1">
        <v>16.3</v>
      </c>
      <c r="BA442" s="1">
        <v>21.9</v>
      </c>
      <c r="BB442" s="1">
        <v>3.15</v>
      </c>
      <c r="BC442" s="1" t="s">
        <v>798</v>
      </c>
      <c r="BD442" s="1">
        <v>23.8</v>
      </c>
      <c r="BE442" s="1">
        <v>38.9</v>
      </c>
      <c r="BF442" s="1">
        <v>21.6</v>
      </c>
      <c r="BG442" s="1">
        <v>15.8</v>
      </c>
      <c r="BH442" s="1" t="s">
        <v>890</v>
      </c>
    </row>
    <row r="443">
      <c r="A443" s="1">
        <v>13111.0</v>
      </c>
      <c r="B443" s="2" t="str">
        <f>IFERROR(__xludf.DUMMYFUNCTION("TO_TEXT(A443)"),"13111")</f>
        <v>13111</v>
      </c>
      <c r="C443" s="1">
        <v>24017.0</v>
      </c>
      <c r="D443" s="1">
        <v>387.070939571386</v>
      </c>
      <c r="E443" s="1" t="s">
        <v>891</v>
      </c>
      <c r="F443" s="1" t="s">
        <v>892</v>
      </c>
      <c r="G443" s="1">
        <v>62.0480577193283</v>
      </c>
      <c r="H443" s="1">
        <v>17.176081644</v>
      </c>
      <c r="I443" s="1">
        <v>3.9992891542</v>
      </c>
      <c r="J443" s="1">
        <v>7.77166437409999</v>
      </c>
      <c r="K443" s="1">
        <v>15.71593959</v>
      </c>
      <c r="L443" s="1">
        <v>26.3</v>
      </c>
      <c r="M443" s="1">
        <v>8.6</v>
      </c>
      <c r="N443" s="1">
        <v>29.6</v>
      </c>
      <c r="O443" s="1">
        <v>80.1663710839999</v>
      </c>
      <c r="P443" s="1">
        <v>18.261063925</v>
      </c>
      <c r="Q443" s="1">
        <v>43.44049</v>
      </c>
      <c r="R443" s="1">
        <v>94.312796209</v>
      </c>
      <c r="S443" s="1">
        <v>27.2</v>
      </c>
      <c r="T443" s="1">
        <v>4157.0</v>
      </c>
      <c r="U443" s="1">
        <v>29.6367572769999</v>
      </c>
      <c r="V443" s="1">
        <v>124.32914068</v>
      </c>
      <c r="W443" s="1">
        <v>13.602015113</v>
      </c>
      <c r="X443" s="1">
        <v>12.9735339909999</v>
      </c>
      <c r="Y443" s="1">
        <v>76.935474397</v>
      </c>
      <c r="Z443" s="1">
        <v>15.2</v>
      </c>
      <c r="AA443" s="1">
        <v>0.4928168595</v>
      </c>
      <c r="AB443" s="1">
        <v>43439.0</v>
      </c>
      <c r="AC443" s="1">
        <v>60.41313918</v>
      </c>
      <c r="AD443" s="1">
        <v>78.147404646</v>
      </c>
      <c r="AE443" s="1">
        <v>11.0896719809999</v>
      </c>
      <c r="AF443" s="1">
        <v>0.7125250347</v>
      </c>
      <c r="AG443" s="1">
        <v>0.4621784009</v>
      </c>
      <c r="AH443" s="1">
        <v>0.6663071946</v>
      </c>
      <c r="AI443" s="1">
        <v>0.0500693268</v>
      </c>
      <c r="AJ443" s="1">
        <v>2.5304267447</v>
      </c>
      <c r="AK443" s="1">
        <v>94.642582037</v>
      </c>
      <c r="AL443" s="1">
        <v>0.7897375898</v>
      </c>
      <c r="AM443" s="1">
        <v>51.432753043</v>
      </c>
      <c r="AN443" s="1">
        <v>100.0</v>
      </c>
      <c r="AO443" s="1">
        <v>22425.0</v>
      </c>
      <c r="AP443" s="1">
        <v>18.0</v>
      </c>
      <c r="AQ443" s="1">
        <v>9.2</v>
      </c>
      <c r="AR443" s="1">
        <v>17.0</v>
      </c>
      <c r="AS443" s="1">
        <v>25.5</v>
      </c>
      <c r="AT443" s="1">
        <v>17.8</v>
      </c>
      <c r="AU443" s="1">
        <v>21.2</v>
      </c>
      <c r="AV443" s="1">
        <v>4.5</v>
      </c>
      <c r="AW443" s="1">
        <v>1.1</v>
      </c>
      <c r="AX443" s="1">
        <v>0.3725</v>
      </c>
      <c r="AY443" s="1">
        <v>12.1</v>
      </c>
      <c r="AZ443" s="1">
        <v>13.8</v>
      </c>
      <c r="BA443" s="1">
        <v>18.8</v>
      </c>
      <c r="BB443" s="1">
        <v>3.15</v>
      </c>
      <c r="BC443" s="1" t="s">
        <v>798</v>
      </c>
      <c r="BD443" s="1">
        <v>13.4</v>
      </c>
      <c r="BE443" s="1">
        <v>33.5</v>
      </c>
      <c r="BF443" s="1">
        <v>31.3</v>
      </c>
      <c r="BG443" s="1">
        <v>21.8</v>
      </c>
      <c r="BH443" s="1" t="s">
        <v>892</v>
      </c>
    </row>
    <row r="444">
      <c r="A444" s="1">
        <v>13113.0</v>
      </c>
      <c r="B444" s="2" t="str">
        <f>IFERROR(__xludf.DUMMYFUNCTION("TO_TEXT(A444)"),"13113")</f>
        <v>13113</v>
      </c>
      <c r="C444" s="1">
        <v>109495.0</v>
      </c>
      <c r="D444" s="1">
        <v>194.363401624812</v>
      </c>
      <c r="E444" s="1" t="s">
        <v>116</v>
      </c>
      <c r="F444" s="1" t="s">
        <v>893</v>
      </c>
      <c r="G444" s="1">
        <v>563.351943239617</v>
      </c>
      <c r="H444" s="1">
        <v>12.914831912</v>
      </c>
      <c r="I444" s="1">
        <v>3.2803440915</v>
      </c>
      <c r="J444" s="1">
        <v>8.2234673698</v>
      </c>
      <c r="K444" s="1">
        <v>12.821385861</v>
      </c>
      <c r="L444" s="1">
        <v>29.2</v>
      </c>
      <c r="M444" s="1">
        <v>8.6</v>
      </c>
      <c r="N444" s="1">
        <v>18.7</v>
      </c>
      <c r="O444" s="1">
        <v>89.570880291</v>
      </c>
      <c r="P444" s="1">
        <v>10.494039308</v>
      </c>
      <c r="Q444" s="1">
        <v>110.17424</v>
      </c>
      <c r="R444" s="1">
        <v>88.828633406</v>
      </c>
      <c r="S444" s="1">
        <v>7.6</v>
      </c>
      <c r="T444" s="1">
        <v>25794.0</v>
      </c>
      <c r="U444" s="1">
        <v>19.899976739</v>
      </c>
      <c r="V444" s="1">
        <v>73.496386428</v>
      </c>
      <c r="W444" s="1">
        <v>11.1467831</v>
      </c>
      <c r="X444" s="1">
        <v>9.8794243485</v>
      </c>
      <c r="Y444" s="1">
        <v>81.275889622</v>
      </c>
      <c r="Z444" s="1">
        <v>12.1</v>
      </c>
      <c r="AA444" s="1">
        <v>6.508531482</v>
      </c>
      <c r="AB444" s="1">
        <v>95021.0</v>
      </c>
      <c r="AC444" s="1">
        <v>25.368774646</v>
      </c>
      <c r="AD444" s="1">
        <v>81.432847835</v>
      </c>
      <c r="AE444" s="1">
        <v>10.741100158</v>
      </c>
      <c r="AF444" s="1">
        <v>23.665817608</v>
      </c>
      <c r="AG444" s="1">
        <v>0.4512643334</v>
      </c>
      <c r="AH444" s="1">
        <v>5.3367295675</v>
      </c>
      <c r="AI444" s="1">
        <v>0.1216298399</v>
      </c>
      <c r="AJ444" s="1">
        <v>7.4123692259</v>
      </c>
      <c r="AK444" s="1">
        <v>61.394865105</v>
      </c>
      <c r="AL444" s="1">
        <v>1.2596516936</v>
      </c>
      <c r="AM444" s="1">
        <v>51.516406808</v>
      </c>
      <c r="AN444" s="1">
        <v>18.178235289</v>
      </c>
      <c r="AO444" s="1">
        <v>38493.0</v>
      </c>
      <c r="AP444" s="1">
        <v>7.1</v>
      </c>
      <c r="AQ444" s="1">
        <v>6.3</v>
      </c>
      <c r="AR444" s="1">
        <v>5.4</v>
      </c>
      <c r="AS444" s="1">
        <v>16.0</v>
      </c>
      <c r="AT444" s="1">
        <v>24.0</v>
      </c>
      <c r="AU444" s="1">
        <v>9.3</v>
      </c>
      <c r="AV444" s="1">
        <v>35.0</v>
      </c>
      <c r="AW444" s="1">
        <v>1.3</v>
      </c>
      <c r="AX444" s="1">
        <v>0.0805</v>
      </c>
      <c r="AY444" s="1">
        <v>5.4</v>
      </c>
      <c r="AZ444" s="1">
        <v>7.3</v>
      </c>
      <c r="BA444" s="1">
        <v>9.4</v>
      </c>
      <c r="BB444" s="1">
        <v>3.37</v>
      </c>
      <c r="BC444" s="1" t="s">
        <v>798</v>
      </c>
      <c r="BD444" s="1">
        <v>4.7</v>
      </c>
      <c r="BE444" s="1">
        <v>20.9</v>
      </c>
      <c r="BF444" s="1">
        <v>28.2</v>
      </c>
      <c r="BG444" s="1">
        <v>46.2</v>
      </c>
      <c r="BH444" s="1" t="s">
        <v>893</v>
      </c>
    </row>
    <row r="445">
      <c r="A445" s="1">
        <v>13115.0</v>
      </c>
      <c r="B445" s="2" t="str">
        <f>IFERROR(__xludf.DUMMYFUNCTION("TO_TEXT(A445)"),"13115")</f>
        <v>13115</v>
      </c>
      <c r="C445" s="1">
        <v>96199.0</v>
      </c>
      <c r="D445" s="1">
        <v>509.923147299962</v>
      </c>
      <c r="E445" s="1" t="s">
        <v>894</v>
      </c>
      <c r="F445" s="1" t="s">
        <v>895</v>
      </c>
      <c r="G445" s="1">
        <v>188.653918751037</v>
      </c>
      <c r="H445" s="1">
        <v>19.031797754</v>
      </c>
      <c r="I445" s="1">
        <v>3.9239351094</v>
      </c>
      <c r="J445" s="1">
        <v>9.0627708308</v>
      </c>
      <c r="K445" s="1">
        <v>17.005829908</v>
      </c>
      <c r="L445" s="1">
        <v>37.7</v>
      </c>
      <c r="M445" s="1">
        <v>7.4</v>
      </c>
      <c r="N445" s="1">
        <v>28.4</v>
      </c>
      <c r="O445" s="1">
        <v>58.386370007</v>
      </c>
      <c r="P445" s="1">
        <v>17.881913111</v>
      </c>
      <c r="Q445" s="1">
        <v>123.9589</v>
      </c>
      <c r="R445" s="1">
        <v>92.5045703839999</v>
      </c>
      <c r="S445" s="1">
        <v>32.3</v>
      </c>
      <c r="T445" s="1">
        <v>22400.0</v>
      </c>
      <c r="U445" s="1">
        <v>39.272321429</v>
      </c>
      <c r="V445" s="1">
        <v>338.34352002</v>
      </c>
      <c r="W445" s="1">
        <v>16.374768617</v>
      </c>
      <c r="X445" s="1">
        <v>14.063635043</v>
      </c>
      <c r="Y445" s="1">
        <v>75.295854993</v>
      </c>
      <c r="Z445" s="1">
        <v>14.4</v>
      </c>
      <c r="AA445" s="1">
        <v>9.07700838149999</v>
      </c>
      <c r="AB445" s="1">
        <v>44906.0</v>
      </c>
      <c r="AC445" s="1">
        <v>74.207421971</v>
      </c>
      <c r="AD445" s="1">
        <v>60.250329751</v>
      </c>
      <c r="AE445" s="1">
        <v>13.780091848</v>
      </c>
      <c r="AF445" s="1">
        <v>14.430136735</v>
      </c>
      <c r="AG445" s="1">
        <v>0.7699612977</v>
      </c>
      <c r="AH445" s="1">
        <v>1.6553146732</v>
      </c>
      <c r="AI445" s="1">
        <v>0.2849061035</v>
      </c>
      <c r="AJ445" s="1">
        <v>11.293106089</v>
      </c>
      <c r="AK445" s="1">
        <v>70.906900038</v>
      </c>
      <c r="AL445" s="1">
        <v>2.5809855671</v>
      </c>
      <c r="AM445" s="1">
        <v>51.691566167</v>
      </c>
      <c r="AN445" s="1">
        <v>36.822160159</v>
      </c>
      <c r="AO445" s="1">
        <v>22284.0</v>
      </c>
      <c r="AP445" s="1">
        <v>19.8</v>
      </c>
      <c r="AQ445" s="1">
        <v>9.3</v>
      </c>
      <c r="AR445" s="1">
        <v>20.3</v>
      </c>
      <c r="AS445" s="1">
        <v>15.5</v>
      </c>
      <c r="AT445" s="1">
        <v>23.7</v>
      </c>
      <c r="AU445" s="1">
        <v>15.7</v>
      </c>
      <c r="AV445" s="1">
        <v>28.3</v>
      </c>
      <c r="AW445" s="1">
        <v>2.9</v>
      </c>
      <c r="AX445" s="1">
        <v>0.8851</v>
      </c>
      <c r="AY445" s="1">
        <v>16.4</v>
      </c>
      <c r="AZ445" s="1">
        <v>14.3</v>
      </c>
      <c r="BA445" s="1">
        <v>19.4</v>
      </c>
      <c r="BB445" s="1">
        <v>2.9</v>
      </c>
      <c r="BC445" s="1" t="s">
        <v>798</v>
      </c>
      <c r="BD445" s="1">
        <v>17.6</v>
      </c>
      <c r="BE445" s="1">
        <v>34.3</v>
      </c>
      <c r="BF445" s="1">
        <v>27.2</v>
      </c>
      <c r="BG445" s="1">
        <v>20.9</v>
      </c>
      <c r="BH445" s="1" t="s">
        <v>895</v>
      </c>
    </row>
    <row r="446">
      <c r="A446" s="1">
        <v>13117.0</v>
      </c>
      <c r="B446" s="2" t="str">
        <f>IFERROR(__xludf.DUMMYFUNCTION("TO_TEXT(A446)"),"13117")</f>
        <v>13117</v>
      </c>
      <c r="C446" s="1">
        <v>203841.0</v>
      </c>
      <c r="D446" s="1">
        <v>224.09690004159</v>
      </c>
      <c r="E446" s="1" t="s">
        <v>896</v>
      </c>
      <c r="F446" s="1" t="s">
        <v>897</v>
      </c>
      <c r="G446" s="1">
        <v>909.610976154375</v>
      </c>
      <c r="H446" s="1">
        <v>12.992569262</v>
      </c>
      <c r="I446" s="1">
        <v>3.2857509311</v>
      </c>
      <c r="J446" s="1">
        <v>6.7726737338</v>
      </c>
      <c r="K446" s="1">
        <v>12.546139504</v>
      </c>
      <c r="L446" s="1">
        <v>27.3</v>
      </c>
      <c r="M446" s="1">
        <v>9.4</v>
      </c>
      <c r="N446" s="1">
        <v>21.2</v>
      </c>
      <c r="O446" s="1">
        <v>85.741634427</v>
      </c>
      <c r="P446" s="1">
        <v>11.695139268</v>
      </c>
      <c r="Q446" s="1">
        <v>39.04074</v>
      </c>
      <c r="R446" s="1">
        <v>94.217687075</v>
      </c>
      <c r="S446" s="1">
        <v>5.4</v>
      </c>
      <c r="T446" s="1">
        <v>61883.0</v>
      </c>
      <c r="U446" s="1">
        <v>13.286362975</v>
      </c>
      <c r="V446" s="1">
        <v>55.320108741</v>
      </c>
      <c r="W446" s="1">
        <v>10.278195489</v>
      </c>
      <c r="X446" s="1">
        <v>9.1432467237</v>
      </c>
      <c r="Y446" s="1">
        <v>82.064026875</v>
      </c>
      <c r="Z446" s="1">
        <v>7.9</v>
      </c>
      <c r="AA446" s="1">
        <v>3.7859054893</v>
      </c>
      <c r="AB446" s="1">
        <v>105921.0</v>
      </c>
      <c r="AC446" s="1">
        <v>15.8551914859999</v>
      </c>
      <c r="AD446" s="1">
        <v>83.64981337</v>
      </c>
      <c r="AE446" s="1">
        <v>8.7534763334</v>
      </c>
      <c r="AF446" s="1">
        <v>3.7935523135</v>
      </c>
      <c r="AG446" s="1">
        <v>0.4961709465</v>
      </c>
      <c r="AH446" s="1">
        <v>14.50391358</v>
      </c>
      <c r="AI446" s="1">
        <v>0.0688891519</v>
      </c>
      <c r="AJ446" s="1">
        <v>9.6922387706</v>
      </c>
      <c r="AK446" s="1">
        <v>70.293983399</v>
      </c>
      <c r="AL446" s="1">
        <v>2.4071326759</v>
      </c>
      <c r="AM446" s="1">
        <v>50.40868595</v>
      </c>
      <c r="AN446" s="1">
        <v>9.921885238</v>
      </c>
      <c r="AO446" s="1">
        <v>37686.0</v>
      </c>
      <c r="AP446" s="1">
        <v>6.4</v>
      </c>
      <c r="AQ446" s="1">
        <v>4.8</v>
      </c>
      <c r="AR446" s="1">
        <v>7.8</v>
      </c>
      <c r="AS446" s="1">
        <v>11.1</v>
      </c>
      <c r="AT446" s="1">
        <v>28.9</v>
      </c>
      <c r="AU446" s="1">
        <v>7.4</v>
      </c>
      <c r="AV446" s="1">
        <v>23.6</v>
      </c>
      <c r="AW446" s="1">
        <v>2.8</v>
      </c>
      <c r="AX446" s="1">
        <v>0.0353</v>
      </c>
      <c r="AY446" s="1">
        <v>4.5</v>
      </c>
      <c r="AZ446" s="1">
        <v>6.0</v>
      </c>
      <c r="BA446" s="1">
        <v>7.6</v>
      </c>
      <c r="BB446" s="1">
        <v>3.48</v>
      </c>
      <c r="BC446" s="1" t="s">
        <v>798</v>
      </c>
      <c r="BD446" s="1">
        <v>7.0</v>
      </c>
      <c r="BE446" s="1">
        <v>15.6</v>
      </c>
      <c r="BF446" s="1">
        <v>24.3</v>
      </c>
      <c r="BG446" s="1">
        <v>53.1</v>
      </c>
      <c r="BH446" s="1" t="s">
        <v>897</v>
      </c>
    </row>
    <row r="447">
      <c r="A447" s="1">
        <v>13119.0</v>
      </c>
      <c r="B447" s="2" t="str">
        <f>IFERROR(__xludf.DUMMYFUNCTION("TO_TEXT(A447)"),"13119")</f>
        <v>13119</v>
      </c>
      <c r="C447" s="1">
        <v>22188.0</v>
      </c>
      <c r="D447" s="1">
        <v>261.507584989028</v>
      </c>
      <c r="E447" s="1" t="s">
        <v>118</v>
      </c>
      <c r="F447" s="1" t="s">
        <v>898</v>
      </c>
      <c r="G447" s="1">
        <v>84.8464873434969</v>
      </c>
      <c r="H447" s="1">
        <v>19.288313097</v>
      </c>
      <c r="I447" s="1">
        <v>4.231822274</v>
      </c>
      <c r="J447" s="1">
        <v>9.0345895715</v>
      </c>
      <c r="K447" s="1">
        <v>18.354444067</v>
      </c>
      <c r="L447" s="1">
        <v>32.7</v>
      </c>
      <c r="M447" s="1">
        <v>7.9</v>
      </c>
      <c r="N447" s="1">
        <v>32.6</v>
      </c>
      <c r="O447" s="1">
        <v>33.983879732</v>
      </c>
      <c r="P447" s="1">
        <v>18.843839622</v>
      </c>
      <c r="Q447" s="1">
        <v>26.29273</v>
      </c>
      <c r="R447" s="1">
        <v>91.318327974</v>
      </c>
      <c r="S447" s="1">
        <v>25.5</v>
      </c>
      <c r="T447" s="1">
        <v>4932.0</v>
      </c>
      <c r="U447" s="1">
        <v>37.469586375</v>
      </c>
      <c r="V447" s="1">
        <v>145.43482548</v>
      </c>
      <c r="W447" s="1">
        <v>15.375302663</v>
      </c>
      <c r="X447" s="1">
        <v>13.780260708</v>
      </c>
      <c r="Y447" s="1">
        <v>74.11904033</v>
      </c>
      <c r="Z447" s="1">
        <v>13.9</v>
      </c>
      <c r="AA447" s="1">
        <v>0.4732150133</v>
      </c>
      <c r="AB447" s="1">
        <v>42904.0</v>
      </c>
      <c r="AC447" s="1">
        <v>56.304112554</v>
      </c>
      <c r="AD447" s="1">
        <v>65.767609874</v>
      </c>
      <c r="AE447" s="1">
        <v>14.35870562</v>
      </c>
      <c r="AF447" s="1">
        <v>9.2820223255</v>
      </c>
      <c r="AG447" s="1">
        <v>0.41697433</v>
      </c>
      <c r="AH447" s="1">
        <v>1.2248620944</v>
      </c>
      <c r="AI447" s="1">
        <v>0.0738392043</v>
      </c>
      <c r="AJ447" s="1">
        <v>4.6258089736</v>
      </c>
      <c r="AK447" s="1">
        <v>83.164661426</v>
      </c>
      <c r="AL447" s="1">
        <v>1.4848441859</v>
      </c>
      <c r="AM447" s="1">
        <v>50.9533944319999</v>
      </c>
      <c r="AN447" s="1">
        <v>88.928636117</v>
      </c>
      <c r="AO447" s="1">
        <v>18642.0</v>
      </c>
      <c r="AP447" s="1">
        <v>25.2</v>
      </c>
      <c r="AQ447" s="1">
        <v>7.9</v>
      </c>
      <c r="AR447" s="1">
        <v>23.4</v>
      </c>
      <c r="AS447" s="1">
        <v>19.2</v>
      </c>
      <c r="AT447" s="1">
        <v>22.1</v>
      </c>
      <c r="AU447" s="1">
        <v>22.5</v>
      </c>
      <c r="AV447" s="1">
        <v>15.7</v>
      </c>
      <c r="AW447" s="1">
        <v>1.5</v>
      </c>
      <c r="AX447" s="1">
        <v>0.879</v>
      </c>
      <c r="AY447" s="1">
        <v>17.3</v>
      </c>
      <c r="AZ447" s="1">
        <v>16.7</v>
      </c>
      <c r="BA447" s="1">
        <v>22.6</v>
      </c>
      <c r="BB447" s="1">
        <v>3.16</v>
      </c>
      <c r="BC447" s="1" t="s">
        <v>798</v>
      </c>
      <c r="BD447" s="1">
        <v>17.7</v>
      </c>
      <c r="BE447" s="1">
        <v>39.4</v>
      </c>
      <c r="BF447" s="1">
        <v>27.0</v>
      </c>
      <c r="BG447" s="1">
        <v>15.9</v>
      </c>
      <c r="BH447" s="1" t="s">
        <v>898</v>
      </c>
    </row>
    <row r="448">
      <c r="A448" s="1">
        <v>13121.0</v>
      </c>
      <c r="B448" s="2" t="str">
        <f>IFERROR(__xludf.DUMMYFUNCTION("TO_TEXT(A448)"),"13121")</f>
        <v>13121</v>
      </c>
      <c r="C448" s="1">
        <v>996757.0</v>
      </c>
      <c r="D448" s="1">
        <v>526.713322115804</v>
      </c>
      <c r="E448" s="1" t="s">
        <v>328</v>
      </c>
      <c r="F448" s="1" t="s">
        <v>899</v>
      </c>
      <c r="G448" s="1">
        <v>1892.40894078022</v>
      </c>
      <c r="H448" s="1">
        <v>14.753618099</v>
      </c>
      <c r="I448" s="1">
        <v>3.4042502385</v>
      </c>
      <c r="J448" s="1">
        <v>10.7243873479999</v>
      </c>
      <c r="K448" s="1">
        <v>14.925509463</v>
      </c>
      <c r="L448" s="1">
        <v>25.0</v>
      </c>
      <c r="M448" s="1">
        <v>6.9</v>
      </c>
      <c r="N448" s="1">
        <v>21.8</v>
      </c>
      <c r="O448" s="1">
        <v>94.458825459</v>
      </c>
      <c r="P448" s="1">
        <v>13.0434393359999</v>
      </c>
      <c r="Q448" s="1">
        <v>108.50538</v>
      </c>
      <c r="R448" s="1">
        <v>85.940612845</v>
      </c>
      <c r="S448" s="1">
        <v>19.3</v>
      </c>
      <c r="T448" s="1">
        <v>228858.0</v>
      </c>
      <c r="U448" s="1">
        <v>42.240603344</v>
      </c>
      <c r="V448" s="1">
        <v>763.18918796</v>
      </c>
      <c r="W448" s="1">
        <v>18.757222056</v>
      </c>
      <c r="X448" s="1">
        <v>17.130286123</v>
      </c>
      <c r="Y448" s="1">
        <v>79.483402847</v>
      </c>
      <c r="Z448" s="1">
        <v>8.2</v>
      </c>
      <c r="AA448" s="1">
        <v>8.0572184007</v>
      </c>
      <c r="AB448" s="1">
        <v>70808.0</v>
      </c>
      <c r="AC448" s="1">
        <v>56.3178928369999</v>
      </c>
      <c r="AD448" s="1">
        <v>51.508689652</v>
      </c>
      <c r="AE448" s="1">
        <v>16.899292991</v>
      </c>
      <c r="AF448" s="1">
        <v>43.6137409839999</v>
      </c>
      <c r="AG448" s="1">
        <v>0.2809218809</v>
      </c>
      <c r="AH448" s="1">
        <v>7.47185543659999</v>
      </c>
      <c r="AI448" s="1">
        <v>0.0348533588</v>
      </c>
      <c r="AJ448" s="1">
        <v>7.2690203159</v>
      </c>
      <c r="AK448" s="1">
        <v>39.674168709</v>
      </c>
      <c r="AL448" s="1">
        <v>2.0484978585</v>
      </c>
      <c r="AM448" s="1">
        <v>51.57411481</v>
      </c>
      <c r="AN448" s="1">
        <v>1.0776889812</v>
      </c>
      <c r="AO448" s="1">
        <v>39101.0</v>
      </c>
      <c r="AP448" s="1">
        <v>17.0</v>
      </c>
      <c r="AQ448" s="1">
        <v>8.9</v>
      </c>
      <c r="AR448" s="1">
        <v>8.7</v>
      </c>
      <c r="AS448" s="1">
        <v>10.4</v>
      </c>
      <c r="AT448" s="1">
        <v>22.9</v>
      </c>
      <c r="AU448" s="1">
        <v>9.9</v>
      </c>
      <c r="AV448" s="1">
        <v>59.7</v>
      </c>
      <c r="AW448" s="1">
        <v>2.4</v>
      </c>
      <c r="AX448" s="1">
        <v>0.561</v>
      </c>
      <c r="AY448" s="1">
        <v>13.8</v>
      </c>
      <c r="AZ448" s="1">
        <v>12.5</v>
      </c>
      <c r="BA448" s="1">
        <v>14.9</v>
      </c>
      <c r="BB448" s="1">
        <v>3.7</v>
      </c>
      <c r="BC448" s="1" t="s">
        <v>798</v>
      </c>
      <c r="BD448" s="1">
        <v>7.4</v>
      </c>
      <c r="BE448" s="1">
        <v>17.7</v>
      </c>
      <c r="BF448" s="1">
        <v>22.0</v>
      </c>
      <c r="BG448" s="1">
        <v>52.9</v>
      </c>
      <c r="BH448" s="1" t="s">
        <v>899</v>
      </c>
    </row>
    <row r="449">
      <c r="A449" s="1">
        <v>13123.0</v>
      </c>
      <c r="B449" s="2" t="str">
        <f>IFERROR(__xludf.DUMMYFUNCTION("TO_TEXT(A449)"),"13123")</f>
        <v>13123</v>
      </c>
      <c r="C449" s="1">
        <v>28956.0</v>
      </c>
      <c r="D449" s="1">
        <v>426.250189826454</v>
      </c>
      <c r="E449" s="1" t="s">
        <v>900</v>
      </c>
      <c r="F449" s="1" t="s">
        <v>901</v>
      </c>
      <c r="G449" s="1">
        <v>67.931934556532</v>
      </c>
      <c r="H449" s="1">
        <v>17.220288917</v>
      </c>
      <c r="I449" s="1">
        <v>3.8980657293</v>
      </c>
      <c r="J449" s="1">
        <v>7.2633552015</v>
      </c>
      <c r="K449" s="1">
        <v>15.63764656</v>
      </c>
      <c r="L449" s="1">
        <v>23.5</v>
      </c>
      <c r="M449" s="1">
        <v>8.4</v>
      </c>
      <c r="N449" s="1">
        <v>35.6</v>
      </c>
      <c r="O449" s="1">
        <v>87.314435176</v>
      </c>
      <c r="P449" s="1">
        <v>22.498697238</v>
      </c>
      <c r="Q449" s="1">
        <v>52.16144</v>
      </c>
      <c r="R449" s="1">
        <v>83.763837638</v>
      </c>
      <c r="S449" s="1">
        <v>30.2</v>
      </c>
      <c r="T449" s="1">
        <v>5904.0</v>
      </c>
      <c r="U449" s="1">
        <v>29.403794038</v>
      </c>
      <c r="V449" s="1">
        <v>270.85404738</v>
      </c>
      <c r="W449" s="1">
        <v>13.432165319</v>
      </c>
      <c r="X449" s="1">
        <v>10.9839816929999</v>
      </c>
      <c r="Y449" s="1">
        <v>76.90414596</v>
      </c>
      <c r="Z449" s="1">
        <v>19.8</v>
      </c>
      <c r="AA449" s="1">
        <v>3.2922571793</v>
      </c>
      <c r="AB449" s="1">
        <v>47757.0</v>
      </c>
      <c r="AC449" s="1">
        <v>65.432098765</v>
      </c>
      <c r="AD449" s="1">
        <v>74.83898669</v>
      </c>
      <c r="AE449" s="1">
        <v>11.139263415</v>
      </c>
      <c r="AF449" s="1">
        <v>0.632788162</v>
      </c>
      <c r="AG449" s="1">
        <v>0.6976895119</v>
      </c>
      <c r="AH449" s="1">
        <v>0.7236500519</v>
      </c>
      <c r="AI449" s="1">
        <v>0.4900051921</v>
      </c>
      <c r="AJ449" s="1">
        <v>11.9061526479999</v>
      </c>
      <c r="AK449" s="1">
        <v>85.497793354</v>
      </c>
      <c r="AL449" s="1">
        <v>3.6893340858</v>
      </c>
      <c r="AM449" s="1">
        <v>49.905893043</v>
      </c>
      <c r="AN449" s="1">
        <v>87.643150007</v>
      </c>
      <c r="AO449" s="1">
        <v>22893.0</v>
      </c>
      <c r="AP449" s="1">
        <v>19.4</v>
      </c>
      <c r="AQ449" s="1">
        <v>7.8</v>
      </c>
      <c r="AR449" s="1">
        <v>19.7</v>
      </c>
      <c r="AS449" s="1">
        <v>21.6</v>
      </c>
      <c r="AT449" s="1">
        <v>20.7</v>
      </c>
      <c r="AU449" s="1">
        <v>19.2</v>
      </c>
      <c r="AV449" s="1">
        <v>13.9</v>
      </c>
      <c r="AW449" s="1">
        <v>3.5</v>
      </c>
      <c r="AX449" s="1">
        <v>0.6008</v>
      </c>
      <c r="AY449" s="1">
        <v>14.6</v>
      </c>
      <c r="AZ449" s="1">
        <v>13.5</v>
      </c>
      <c r="BA449" s="1">
        <v>20.3</v>
      </c>
      <c r="BB449" s="1">
        <v>2.95</v>
      </c>
      <c r="BC449" s="1" t="s">
        <v>798</v>
      </c>
      <c r="BD449" s="1">
        <v>18.3</v>
      </c>
      <c r="BE449" s="1">
        <v>35.4</v>
      </c>
      <c r="BF449" s="1">
        <v>25.9</v>
      </c>
      <c r="BG449" s="1">
        <v>20.4</v>
      </c>
      <c r="BH449" s="1" t="s">
        <v>901</v>
      </c>
    </row>
    <row r="450">
      <c r="A450" s="1">
        <v>13125.0</v>
      </c>
      <c r="B450" s="2" t="str">
        <f>IFERROR(__xludf.DUMMYFUNCTION("TO_TEXT(A450)"),"13125")</f>
        <v>13125</v>
      </c>
      <c r="C450" s="1">
        <v>3053.0</v>
      </c>
      <c r="D450" s="1">
        <v>143.739646002954</v>
      </c>
      <c r="E450" s="1" t="s">
        <v>902</v>
      </c>
      <c r="F450" s="1" t="s">
        <v>903</v>
      </c>
      <c r="G450" s="1">
        <v>21.2397907250812</v>
      </c>
      <c r="H450" s="1">
        <v>17.106812836</v>
      </c>
      <c r="I450" s="1">
        <v>4.0472743037</v>
      </c>
      <c r="J450" s="1">
        <v>7.8048780488</v>
      </c>
      <c r="K450" s="1">
        <v>17.351446449</v>
      </c>
      <c r="L450" s="1">
        <v>25.6</v>
      </c>
      <c r="M450" s="1">
        <v>6.2</v>
      </c>
      <c r="N450" s="1">
        <v>23.6</v>
      </c>
      <c r="O450" s="1">
        <v>0.9733939001</v>
      </c>
      <c r="P450" s="1">
        <v>14.856230032</v>
      </c>
      <c r="Q450" s="1">
        <v>32.65839</v>
      </c>
      <c r="R450" s="1">
        <v>87.878787879</v>
      </c>
      <c r="S450" s="1">
        <v>21.2</v>
      </c>
      <c r="T450" s="1">
        <v>704.0</v>
      </c>
      <c r="U450" s="1">
        <v>36.363636364</v>
      </c>
      <c r="V450" s="1">
        <v>90.760573607</v>
      </c>
      <c r="W450" s="1">
        <v>10.4072398189999</v>
      </c>
      <c r="X450" s="1">
        <v>5.8661778185</v>
      </c>
      <c r="Y450" s="1">
        <v>73.735967089</v>
      </c>
      <c r="Z450" s="1">
        <v>17.1</v>
      </c>
      <c r="AA450" s="1">
        <v>27.689805809</v>
      </c>
      <c r="AB450" s="1">
        <v>42820.0</v>
      </c>
      <c r="AC450" s="1">
        <v>58.070500928</v>
      </c>
      <c r="AD450" s="1">
        <v>76.018099548</v>
      </c>
      <c r="AE450" s="1">
        <v>8.03059273419999</v>
      </c>
      <c r="AF450" s="1">
        <v>8.8814691152</v>
      </c>
      <c r="AG450" s="1">
        <v>0.5008347245</v>
      </c>
      <c r="AH450" s="1">
        <v>0.2003338898</v>
      </c>
      <c r="AI450" s="1">
        <v>0.0667779633</v>
      </c>
      <c r="AJ450" s="1">
        <v>1.9365609349</v>
      </c>
      <c r="AK450" s="1">
        <v>87.1118530879999</v>
      </c>
      <c r="AL450" s="1">
        <v>0.452173913</v>
      </c>
      <c r="AM450" s="1">
        <v>50.4507512519999</v>
      </c>
      <c r="AN450" s="1">
        <v>100.0</v>
      </c>
      <c r="AO450" s="1">
        <v>19037.0</v>
      </c>
      <c r="AP450" s="1">
        <v>15.2</v>
      </c>
      <c r="AQ450" s="1">
        <v>6.9</v>
      </c>
      <c r="AR450" s="1">
        <v>21.4</v>
      </c>
      <c r="AS450" s="1">
        <v>16.9</v>
      </c>
      <c r="AT450" s="1">
        <v>24.7</v>
      </c>
      <c r="AU450" s="1">
        <v>12.8</v>
      </c>
      <c r="AV450" s="1">
        <v>12.4</v>
      </c>
      <c r="AW450" s="1">
        <v>0.3</v>
      </c>
      <c r="AX450" s="1">
        <v>0.5702</v>
      </c>
      <c r="AY450" s="1">
        <v>16.9</v>
      </c>
      <c r="AZ450" s="1">
        <v>13.3</v>
      </c>
      <c r="BA450" s="1">
        <v>18.7</v>
      </c>
      <c r="BB450" s="1">
        <v>2.85</v>
      </c>
      <c r="BC450" s="1" t="s">
        <v>798</v>
      </c>
      <c r="BD450" s="1">
        <v>21.8</v>
      </c>
      <c r="BE450" s="1">
        <v>40.9</v>
      </c>
      <c r="BF450" s="1">
        <v>25.7</v>
      </c>
      <c r="BG450" s="1">
        <v>11.6</v>
      </c>
      <c r="BH450" s="1" t="s">
        <v>903</v>
      </c>
    </row>
    <row r="451">
      <c r="A451" s="1">
        <v>13127.0</v>
      </c>
      <c r="B451" s="2" t="str">
        <f>IFERROR(__xludf.DUMMYFUNCTION("TO_TEXT(A451)"),"13127")</f>
        <v>13127</v>
      </c>
      <c r="C451" s="1">
        <v>82623.0</v>
      </c>
      <c r="D451" s="1">
        <v>419.798126177404</v>
      </c>
      <c r="E451" s="1" t="s">
        <v>904</v>
      </c>
      <c r="F451" s="1" t="s">
        <v>905</v>
      </c>
      <c r="G451" s="1">
        <v>196.816028581042</v>
      </c>
      <c r="H451" s="1">
        <v>18.059084473</v>
      </c>
      <c r="I451" s="1">
        <v>4.0363795087</v>
      </c>
      <c r="J451" s="1">
        <v>11.839762611</v>
      </c>
      <c r="K451" s="1">
        <v>16.392285704</v>
      </c>
      <c r="L451" s="1">
        <v>33.3</v>
      </c>
      <c r="M451" s="1">
        <v>6.9</v>
      </c>
      <c r="N451" s="1">
        <v>26.9</v>
      </c>
      <c r="O451" s="1">
        <v>74.802200286</v>
      </c>
      <c r="P451" s="1">
        <v>17.370266791</v>
      </c>
      <c r="Q451" s="1">
        <v>51.59354</v>
      </c>
      <c r="R451" s="1">
        <v>95.185185185</v>
      </c>
      <c r="S451" s="1">
        <v>26.6</v>
      </c>
      <c r="T451" s="1">
        <v>18539.0</v>
      </c>
      <c r="U451" s="1">
        <v>43.6647068339999</v>
      </c>
      <c r="V451" s="1">
        <v>479.35701285</v>
      </c>
      <c r="W451" s="1">
        <v>17.716475096</v>
      </c>
      <c r="X451" s="1">
        <v>15.520995334</v>
      </c>
      <c r="Y451" s="1">
        <v>77.032021237</v>
      </c>
      <c r="Z451" s="1">
        <v>14.7</v>
      </c>
      <c r="AA451" s="1">
        <v>10.437924332</v>
      </c>
      <c r="AB451" s="1">
        <v>53906.0</v>
      </c>
      <c r="AC451" s="1">
        <v>58.952919021</v>
      </c>
      <c r="AD451" s="1">
        <v>62.187287207</v>
      </c>
      <c r="AE451" s="1">
        <v>14.876007535</v>
      </c>
      <c r="AF451" s="1">
        <v>26.227719171</v>
      </c>
      <c r="AG451" s="1">
        <v>0.4963681808</v>
      </c>
      <c r="AH451" s="1">
        <v>1.6052758188</v>
      </c>
      <c r="AI451" s="1">
        <v>0.188925005</v>
      </c>
      <c r="AJ451" s="1">
        <v>6.8447177273</v>
      </c>
      <c r="AK451" s="1">
        <v>63.403701053</v>
      </c>
      <c r="AL451" s="1">
        <v>1.6138627647</v>
      </c>
      <c r="AM451" s="1">
        <v>52.902521738</v>
      </c>
      <c r="AN451" s="1">
        <v>20.566146736</v>
      </c>
      <c r="AO451" s="1">
        <v>27819.0</v>
      </c>
      <c r="AP451" s="1">
        <v>18.7</v>
      </c>
      <c r="AQ451" s="1">
        <v>7.8</v>
      </c>
      <c r="AR451" s="1">
        <v>12.4</v>
      </c>
      <c r="AS451" s="1">
        <v>17.5</v>
      </c>
      <c r="AT451" s="1">
        <v>23.1</v>
      </c>
      <c r="AU451" s="1">
        <v>15.4</v>
      </c>
      <c r="AV451" s="1">
        <v>36.0</v>
      </c>
      <c r="AW451" s="1">
        <v>2.0</v>
      </c>
      <c r="AX451" s="1">
        <v>0.7851</v>
      </c>
      <c r="AY451" s="1">
        <v>15.4</v>
      </c>
      <c r="AZ451" s="1">
        <v>14.0</v>
      </c>
      <c r="BA451" s="1">
        <v>19.9</v>
      </c>
      <c r="BB451" s="1">
        <v>3.48</v>
      </c>
      <c r="BC451" s="1" t="s">
        <v>798</v>
      </c>
      <c r="BD451" s="1">
        <v>11.9</v>
      </c>
      <c r="BE451" s="1">
        <v>26.7</v>
      </c>
      <c r="BF451" s="1">
        <v>31.5</v>
      </c>
      <c r="BG451" s="1">
        <v>29.9</v>
      </c>
      <c r="BH451" s="1" t="s">
        <v>905</v>
      </c>
    </row>
    <row r="452">
      <c r="A452" s="1">
        <v>13129.0</v>
      </c>
      <c r="B452" s="2" t="str">
        <f>IFERROR(__xludf.DUMMYFUNCTION("TO_TEXT(A452)"),"13129")</f>
        <v>13129</v>
      </c>
      <c r="C452" s="1">
        <v>56079.0</v>
      </c>
      <c r="D452" s="1">
        <v>355.80794673046</v>
      </c>
      <c r="E452" s="1" t="s">
        <v>906</v>
      </c>
      <c r="F452" s="1" t="s">
        <v>907</v>
      </c>
      <c r="G452" s="1">
        <v>157.610307794734</v>
      </c>
      <c r="H452" s="1">
        <v>18.881822573</v>
      </c>
      <c r="I452" s="1">
        <v>3.9641332454</v>
      </c>
      <c r="J452" s="1">
        <v>8.2474226804</v>
      </c>
      <c r="K452" s="1">
        <v>18.007466655</v>
      </c>
      <c r="L452" s="1">
        <v>29.6</v>
      </c>
      <c r="M452" s="1">
        <v>7.9</v>
      </c>
      <c r="N452" s="1">
        <v>33.1</v>
      </c>
      <c r="O452" s="1">
        <v>57.4312325589999</v>
      </c>
      <c r="P452" s="1">
        <v>21.387824783</v>
      </c>
      <c r="Q452" s="1">
        <v>45.54292</v>
      </c>
      <c r="R452" s="1">
        <v>95.714285714</v>
      </c>
      <c r="S452" s="1">
        <v>26.8</v>
      </c>
      <c r="T452" s="1">
        <v>14110.0</v>
      </c>
      <c r="U452" s="1">
        <v>34.337349398</v>
      </c>
      <c r="V452" s="1">
        <v>273.87728157</v>
      </c>
      <c r="W452" s="1">
        <v>16.177957533</v>
      </c>
      <c r="X452" s="1">
        <v>13.124034997</v>
      </c>
      <c r="Y452" s="1">
        <v>75.619270263</v>
      </c>
      <c r="Z452" s="1">
        <v>14.9</v>
      </c>
      <c r="AA452" s="1">
        <v>8.7937380024</v>
      </c>
      <c r="AB452" s="1">
        <v>49101.0</v>
      </c>
      <c r="AC452" s="1">
        <v>59.635320252</v>
      </c>
      <c r="AD452" s="1">
        <v>63.994284025</v>
      </c>
      <c r="AE452" s="1">
        <v>13.101298701</v>
      </c>
      <c r="AF452" s="1">
        <v>3.8623558984</v>
      </c>
      <c r="AG452" s="1">
        <v>0.6050099679</v>
      </c>
      <c r="AH452" s="1">
        <v>1.2360232296</v>
      </c>
      <c r="AI452" s="1">
        <v>0.3623125596</v>
      </c>
      <c r="AJ452" s="1">
        <v>16.253792147</v>
      </c>
      <c r="AK452" s="1">
        <v>77.018288983</v>
      </c>
      <c r="AL452" s="1">
        <v>5.3759807786</v>
      </c>
      <c r="AM452" s="1">
        <v>50.716824131</v>
      </c>
      <c r="AN452" s="1">
        <v>51.558366252</v>
      </c>
      <c r="AO452" s="1">
        <v>20009.0</v>
      </c>
      <c r="AP452" s="1">
        <v>20.6</v>
      </c>
      <c r="AQ452" s="1">
        <v>7.7</v>
      </c>
      <c r="AR452" s="1">
        <v>24.6</v>
      </c>
      <c r="AS452" s="1">
        <v>13.4</v>
      </c>
      <c r="AT452" s="1">
        <v>25.4</v>
      </c>
      <c r="AU452" s="1">
        <v>18.7</v>
      </c>
      <c r="AV452" s="1">
        <v>21.5</v>
      </c>
      <c r="AW452" s="1">
        <v>5.1</v>
      </c>
      <c r="AX452" s="1">
        <v>0.8781</v>
      </c>
      <c r="AY452" s="1">
        <v>12.3</v>
      </c>
      <c r="AZ452" s="1">
        <v>14.6</v>
      </c>
      <c r="BA452" s="1">
        <v>20.9</v>
      </c>
      <c r="BB452" s="1">
        <v>2.8</v>
      </c>
      <c r="BC452" s="1" t="s">
        <v>798</v>
      </c>
      <c r="BD452" s="1">
        <v>22.1</v>
      </c>
      <c r="BE452" s="1">
        <v>34.9</v>
      </c>
      <c r="BF452" s="1">
        <v>28.3</v>
      </c>
      <c r="BG452" s="1">
        <v>14.7</v>
      </c>
      <c r="BH452" s="1" t="s">
        <v>907</v>
      </c>
    </row>
    <row r="453">
      <c r="A453" s="1">
        <v>13131.0</v>
      </c>
      <c r="B453" s="2" t="str">
        <f>IFERROR(__xludf.DUMMYFUNCTION("TO_TEXT(A453)"),"13131")</f>
        <v>13131</v>
      </c>
      <c r="C453" s="1">
        <v>25145.0</v>
      </c>
      <c r="D453" s="1">
        <v>454.534261335232</v>
      </c>
      <c r="E453" s="1" t="s">
        <v>908</v>
      </c>
      <c r="F453" s="1" t="s">
        <v>909</v>
      </c>
      <c r="G453" s="1">
        <v>55.3203622673777</v>
      </c>
      <c r="H453" s="1">
        <v>20.822703601</v>
      </c>
      <c r="I453" s="1">
        <v>4.204264489</v>
      </c>
      <c r="J453" s="1">
        <v>8.7404751233</v>
      </c>
      <c r="K453" s="1">
        <v>19.04889936</v>
      </c>
      <c r="L453" s="1">
        <v>34.3</v>
      </c>
      <c r="M453" s="1">
        <v>7.0</v>
      </c>
      <c r="N453" s="1">
        <v>37.8</v>
      </c>
      <c r="O453" s="1">
        <v>53.756347207</v>
      </c>
      <c r="P453" s="1">
        <v>20.752929444</v>
      </c>
      <c r="Q453" s="1">
        <v>48.35005</v>
      </c>
      <c r="R453" s="1">
        <v>90.728476821</v>
      </c>
      <c r="S453" s="1">
        <v>31.1</v>
      </c>
      <c r="T453" s="1">
        <v>6054.0</v>
      </c>
      <c r="U453" s="1">
        <v>46.9772051539999</v>
      </c>
      <c r="V453" s="1">
        <v>193.56877617</v>
      </c>
      <c r="W453" s="1">
        <v>14.566284779</v>
      </c>
      <c r="X453" s="1">
        <v>13.755707763</v>
      </c>
      <c r="Y453" s="1">
        <v>75.732597896</v>
      </c>
      <c r="Z453" s="1">
        <v>16.9</v>
      </c>
      <c r="AA453" s="1">
        <v>6.6544051692</v>
      </c>
      <c r="AB453" s="1">
        <v>41002.0</v>
      </c>
      <c r="AC453" s="1">
        <v>90.204429302</v>
      </c>
      <c r="AD453" s="1">
        <v>65.5637932939999</v>
      </c>
      <c r="AE453" s="1">
        <v>12.648913805</v>
      </c>
      <c r="AF453" s="1">
        <v>28.321480524</v>
      </c>
      <c r="AG453" s="1">
        <v>1.2647486666</v>
      </c>
      <c r="AH453" s="1">
        <v>0.6586390819</v>
      </c>
      <c r="AI453" s="1">
        <v>0.2868918701</v>
      </c>
      <c r="AJ453" s="1">
        <v>11.710037175</v>
      </c>
      <c r="AK453" s="1">
        <v>57.754161952</v>
      </c>
      <c r="AL453" s="1">
        <v>3.7320491874</v>
      </c>
      <c r="AM453" s="1">
        <v>51.79004364</v>
      </c>
      <c r="AN453" s="1">
        <v>62.360561353</v>
      </c>
      <c r="AO453" s="1">
        <v>17764.0</v>
      </c>
      <c r="AP453" s="1">
        <v>29.6</v>
      </c>
      <c r="AQ453" s="1">
        <v>9.2</v>
      </c>
      <c r="AR453" s="1">
        <v>22.9</v>
      </c>
      <c r="AS453" s="1">
        <v>16.3</v>
      </c>
      <c r="AT453" s="1">
        <v>25.2</v>
      </c>
      <c r="AU453" s="1">
        <v>20.4</v>
      </c>
      <c r="AV453" s="1">
        <v>41.2</v>
      </c>
      <c r="AW453" s="1">
        <v>3.7</v>
      </c>
      <c r="AX453" s="1">
        <v>0.9599</v>
      </c>
      <c r="AY453" s="1">
        <v>21.7</v>
      </c>
      <c r="AZ453" s="1">
        <v>16.6</v>
      </c>
      <c r="BA453" s="1">
        <v>22.0</v>
      </c>
      <c r="BB453" s="1">
        <v>2.87</v>
      </c>
      <c r="BC453" s="1" t="s">
        <v>798</v>
      </c>
      <c r="BD453" s="1">
        <v>19.9</v>
      </c>
      <c r="BE453" s="1">
        <v>39.2</v>
      </c>
      <c r="BF453" s="1">
        <v>27.0</v>
      </c>
      <c r="BG453" s="1">
        <v>13.9</v>
      </c>
      <c r="BH453" s="1" t="s">
        <v>909</v>
      </c>
    </row>
    <row r="454">
      <c r="A454" s="1">
        <v>13133.0</v>
      </c>
      <c r="B454" s="2" t="str">
        <f>IFERROR(__xludf.DUMMYFUNCTION("TO_TEXT(A454)"),"13133")</f>
        <v>13133</v>
      </c>
      <c r="C454" s="1">
        <v>16535.0</v>
      </c>
      <c r="D454" s="1">
        <v>387.434713678827</v>
      </c>
      <c r="E454" s="1" t="s">
        <v>122</v>
      </c>
      <c r="F454" s="1" t="s">
        <v>910</v>
      </c>
      <c r="G454" s="1">
        <v>42.6781581934009</v>
      </c>
      <c r="H454" s="1">
        <v>21.488105163</v>
      </c>
      <c r="I454" s="1">
        <v>4.1542903665</v>
      </c>
      <c r="J454" s="1">
        <v>10.6701940039999</v>
      </c>
      <c r="K454" s="1">
        <v>16.848014548</v>
      </c>
      <c r="L454" s="1">
        <v>33.1</v>
      </c>
      <c r="M454" s="1">
        <v>7.5</v>
      </c>
      <c r="N454" s="1">
        <v>29.4</v>
      </c>
      <c r="O454" s="1">
        <v>60.27885457</v>
      </c>
      <c r="P454" s="1">
        <v>20.088881574</v>
      </c>
      <c r="Q454" s="1">
        <v>52.08032</v>
      </c>
      <c r="R454" s="1">
        <v>89.552238806</v>
      </c>
      <c r="S454" s="1">
        <v>35.4</v>
      </c>
      <c r="T454" s="1">
        <v>3243.0</v>
      </c>
      <c r="U454" s="1">
        <v>51.1255010789999</v>
      </c>
      <c r="V454" s="1">
        <v>252.28255646</v>
      </c>
      <c r="W454" s="1">
        <v>18.651685393</v>
      </c>
      <c r="X454" s="1">
        <v>16.168582375</v>
      </c>
      <c r="Y454" s="1">
        <v>77.710342543</v>
      </c>
      <c r="Z454" s="1">
        <v>13.7</v>
      </c>
      <c r="AA454" s="1">
        <v>1.68389614139999</v>
      </c>
      <c r="AB454" s="1">
        <v>54016.0</v>
      </c>
      <c r="AC454" s="1">
        <v>68.0205047319999</v>
      </c>
      <c r="AD454" s="1">
        <v>71.316390634</v>
      </c>
      <c r="AE454" s="1">
        <v>16.70859849</v>
      </c>
      <c r="AF454" s="1">
        <v>33.331449881</v>
      </c>
      <c r="AG454" s="1">
        <v>0.5763363092</v>
      </c>
      <c r="AH454" s="1">
        <v>1.034015143</v>
      </c>
      <c r="AI454" s="1">
        <v>0.1356085433</v>
      </c>
      <c r="AJ454" s="1">
        <v>6.2040908577</v>
      </c>
      <c r="AK454" s="1">
        <v>57.927449429</v>
      </c>
      <c r="AL454" s="1">
        <v>1.0004296324</v>
      </c>
      <c r="AM454" s="1">
        <v>51.8533167589999</v>
      </c>
      <c r="AN454" s="1">
        <v>82.749781168</v>
      </c>
      <c r="AO454" s="1">
        <v>31485.0</v>
      </c>
      <c r="AP454" s="1">
        <v>24.3</v>
      </c>
      <c r="AQ454" s="1">
        <v>6.6</v>
      </c>
      <c r="AR454" s="1">
        <v>17.7</v>
      </c>
      <c r="AS454" s="1">
        <v>26.0</v>
      </c>
      <c r="AT454" s="1">
        <v>19.4</v>
      </c>
      <c r="AU454" s="1">
        <v>15.2</v>
      </c>
      <c r="AV454" s="1">
        <v>43.9</v>
      </c>
      <c r="AW454" s="1">
        <v>2.9</v>
      </c>
      <c r="AX454" s="1">
        <v>0.6431</v>
      </c>
      <c r="AY454" s="1">
        <v>15.0</v>
      </c>
      <c r="AZ454" s="1">
        <v>14.9</v>
      </c>
      <c r="BA454" s="1">
        <v>22.4</v>
      </c>
      <c r="BB454" s="1">
        <v>3.23</v>
      </c>
      <c r="BC454" s="1" t="s">
        <v>798</v>
      </c>
      <c r="BD454" s="1">
        <v>14.7</v>
      </c>
      <c r="BE454" s="1">
        <v>33.4</v>
      </c>
      <c r="BF454" s="1">
        <v>25.1</v>
      </c>
      <c r="BG454" s="1">
        <v>26.9</v>
      </c>
      <c r="BH454" s="1" t="s">
        <v>910</v>
      </c>
    </row>
    <row r="455">
      <c r="A455" s="1">
        <v>13135.0</v>
      </c>
      <c r="B455" s="2" t="str">
        <f>IFERROR(__xludf.DUMMYFUNCTION("TO_TEXT(A455)"),"13135")</f>
        <v>13135</v>
      </c>
      <c r="C455" s="1">
        <v>874242.0</v>
      </c>
      <c r="D455" s="1">
        <v>430.43887065553</v>
      </c>
      <c r="E455" s="1" t="s">
        <v>911</v>
      </c>
      <c r="F455" s="1" t="s">
        <v>912</v>
      </c>
      <c r="G455" s="1">
        <v>2031.04798288451</v>
      </c>
      <c r="H455" s="1">
        <v>16.439486136</v>
      </c>
      <c r="I455" s="1">
        <v>3.3482884531</v>
      </c>
      <c r="J455" s="1">
        <v>8.5049502418</v>
      </c>
      <c r="K455" s="1">
        <v>14.495134254</v>
      </c>
      <c r="L455" s="1">
        <v>30.3</v>
      </c>
      <c r="M455" s="1">
        <v>8.0</v>
      </c>
      <c r="N455" s="1">
        <v>24.1</v>
      </c>
      <c r="O455" s="1">
        <v>86.9378794289999</v>
      </c>
      <c r="P455" s="1">
        <v>18.406064981</v>
      </c>
      <c r="Q455" s="1">
        <v>63.13433</v>
      </c>
      <c r="R455" s="1">
        <v>83.7307356789999</v>
      </c>
      <c r="S455" s="1">
        <v>12.8</v>
      </c>
      <c r="T455" s="1">
        <v>246478.0</v>
      </c>
      <c r="U455" s="1">
        <v>28.32017462</v>
      </c>
      <c r="V455" s="1">
        <v>221.31215355</v>
      </c>
      <c r="W455" s="1">
        <v>17.525403681</v>
      </c>
      <c r="X455" s="1">
        <v>15.105981417</v>
      </c>
      <c r="Y455" s="1">
        <v>80.986003239</v>
      </c>
      <c r="Z455" s="1">
        <v>10.9</v>
      </c>
      <c r="AA455" s="1">
        <v>8.6674185203</v>
      </c>
      <c r="AB455" s="1">
        <v>72008.0</v>
      </c>
      <c r="AC455" s="1">
        <v>53.833302395</v>
      </c>
      <c r="AD455" s="1">
        <v>66.214793367</v>
      </c>
      <c r="AE455" s="1">
        <v>14.59626343</v>
      </c>
      <c r="AF455" s="1">
        <v>27.551976167</v>
      </c>
      <c r="AG455" s="1">
        <v>0.848907231299999</v>
      </c>
      <c r="AH455" s="1">
        <v>12.365418132</v>
      </c>
      <c r="AI455" s="1">
        <v>0.1053050235</v>
      </c>
      <c r="AJ455" s="1">
        <v>21.478344566</v>
      </c>
      <c r="AK455" s="1">
        <v>36.335191171</v>
      </c>
      <c r="AL455" s="1">
        <v>7.5586758469</v>
      </c>
      <c r="AM455" s="1">
        <v>51.1753312469999</v>
      </c>
      <c r="AN455" s="1">
        <v>0.4855206806</v>
      </c>
      <c r="AO455" s="1">
        <v>26749.0</v>
      </c>
      <c r="AP455" s="1">
        <v>13.0</v>
      </c>
      <c r="AQ455" s="1">
        <v>6.8</v>
      </c>
      <c r="AR455" s="1">
        <v>12.5</v>
      </c>
      <c r="AS455" s="1">
        <v>8.6</v>
      </c>
      <c r="AT455" s="1">
        <v>27.9</v>
      </c>
      <c r="AU455" s="1">
        <v>7.2</v>
      </c>
      <c r="AV455" s="1">
        <v>59.7</v>
      </c>
      <c r="AW455" s="1">
        <v>7.6</v>
      </c>
      <c r="AX455" s="1">
        <v>0.4518</v>
      </c>
      <c r="AY455" s="1">
        <v>9.2</v>
      </c>
      <c r="AZ455" s="1">
        <v>9.0</v>
      </c>
      <c r="BA455" s="1">
        <v>10.9</v>
      </c>
      <c r="BB455" s="1">
        <v>3.0</v>
      </c>
      <c r="BC455" s="1" t="s">
        <v>798</v>
      </c>
      <c r="BD455" s="1">
        <v>12.3</v>
      </c>
      <c r="BE455" s="1">
        <v>22.3</v>
      </c>
      <c r="BF455" s="1">
        <v>28.4</v>
      </c>
      <c r="BG455" s="1">
        <v>36.9</v>
      </c>
      <c r="BH455" s="1" t="s">
        <v>912</v>
      </c>
    </row>
    <row r="456">
      <c r="A456" s="1">
        <v>13137.0</v>
      </c>
      <c r="B456" s="2" t="str">
        <f>IFERROR(__xludf.DUMMYFUNCTION("TO_TEXT(A456)"),"13137")</f>
        <v>13137</v>
      </c>
      <c r="C456" s="1">
        <v>43724.0</v>
      </c>
      <c r="D456" s="1">
        <v>276.740447117724</v>
      </c>
      <c r="E456" s="1" t="s">
        <v>913</v>
      </c>
      <c r="F456" s="1" t="s">
        <v>914</v>
      </c>
      <c r="G456" s="1">
        <v>157.996420311484</v>
      </c>
      <c r="H456" s="1">
        <v>18.04594054</v>
      </c>
      <c r="I456" s="1">
        <v>4.0011799414</v>
      </c>
      <c r="J456" s="1">
        <v>7.1349250416</v>
      </c>
      <c r="K456" s="1">
        <v>16.33135582</v>
      </c>
      <c r="L456" s="1">
        <v>25.6</v>
      </c>
      <c r="M456" s="1">
        <v>8.0</v>
      </c>
      <c r="N456" s="1">
        <v>22.5</v>
      </c>
      <c r="O456" s="1">
        <v>72.872377501</v>
      </c>
      <c r="P456" s="1">
        <v>19.323912279</v>
      </c>
      <c r="Q456" s="1">
        <v>49.36388</v>
      </c>
      <c r="R456" s="1">
        <v>92.405063291</v>
      </c>
      <c r="S456" s="1">
        <v>20.7</v>
      </c>
      <c r="T456" s="1">
        <v>10016.0</v>
      </c>
      <c r="U456" s="1">
        <v>21.076277955</v>
      </c>
      <c r="V456" s="1">
        <v>181.4529934</v>
      </c>
      <c r="W456" s="1">
        <v>16.52642208</v>
      </c>
      <c r="X456" s="1">
        <v>12.5854993159999</v>
      </c>
      <c r="Y456" s="1">
        <v>77.377251145</v>
      </c>
      <c r="Z456" s="1">
        <v>8.7</v>
      </c>
      <c r="AA456" s="1">
        <v>9.7446207072</v>
      </c>
      <c r="AB456" s="1">
        <v>51829.0</v>
      </c>
      <c r="AC456" s="1">
        <v>59.347226479</v>
      </c>
      <c r="AD456" s="1">
        <v>76.78183613</v>
      </c>
      <c r="AE456" s="1">
        <v>11.316633677</v>
      </c>
      <c r="AF456" s="1">
        <v>3.7983608002</v>
      </c>
      <c r="AG456" s="1">
        <v>1.0333127699</v>
      </c>
      <c r="AH456" s="1">
        <v>2.3618577598</v>
      </c>
      <c r="AI456" s="1">
        <v>0.2908257689</v>
      </c>
      <c r="AJ456" s="1">
        <v>15.1097206309999</v>
      </c>
      <c r="AK456" s="1">
        <v>77.108486825</v>
      </c>
      <c r="AL456" s="1">
        <v>4.8300708538</v>
      </c>
      <c r="AM456" s="1">
        <v>52.74081255</v>
      </c>
      <c r="AN456" s="1">
        <v>58.762575219</v>
      </c>
      <c r="AO456" s="1">
        <v>19171.0</v>
      </c>
      <c r="AP456" s="1">
        <v>18.3</v>
      </c>
      <c r="AQ456" s="1">
        <v>7.2</v>
      </c>
      <c r="AR456" s="1">
        <v>21.7</v>
      </c>
      <c r="AS456" s="1">
        <v>17.7</v>
      </c>
      <c r="AT456" s="1">
        <v>23.0</v>
      </c>
      <c r="AU456" s="1">
        <v>15.9</v>
      </c>
      <c r="AV456" s="1">
        <v>22.2</v>
      </c>
      <c r="AW456" s="1">
        <v>4.3</v>
      </c>
      <c r="AX456" s="1">
        <v>0.8357</v>
      </c>
      <c r="AY456" s="1">
        <v>15.2</v>
      </c>
      <c r="AZ456" s="1">
        <v>11.7</v>
      </c>
      <c r="BA456" s="1">
        <v>14.8</v>
      </c>
      <c r="BB456" s="1">
        <v>2.93</v>
      </c>
      <c r="BC456" s="1" t="s">
        <v>798</v>
      </c>
      <c r="BD456" s="1">
        <v>20.4</v>
      </c>
      <c r="BE456" s="1">
        <v>34.7</v>
      </c>
      <c r="BF456" s="1">
        <v>25.6</v>
      </c>
      <c r="BG456" s="1">
        <v>19.3</v>
      </c>
      <c r="BH456" s="1" t="s">
        <v>914</v>
      </c>
    </row>
    <row r="457">
      <c r="A457" s="1">
        <v>13139.0</v>
      </c>
      <c r="B457" s="2" t="str">
        <f>IFERROR(__xludf.DUMMYFUNCTION("TO_TEXT(A457)"),"13139")</f>
        <v>13139</v>
      </c>
      <c r="C457" s="1">
        <v>190482.0</v>
      </c>
      <c r="D457" s="1">
        <v>392.783926385933</v>
      </c>
      <c r="E457" s="1" t="s">
        <v>915</v>
      </c>
      <c r="F457" s="1" t="s">
        <v>916</v>
      </c>
      <c r="G457" s="1">
        <v>484.953653151376</v>
      </c>
      <c r="H457" s="1">
        <v>18.314848662</v>
      </c>
      <c r="I457" s="1">
        <v>3.7364643474</v>
      </c>
      <c r="J457" s="1">
        <v>7.43843189809999</v>
      </c>
      <c r="K457" s="1">
        <v>15.636843143</v>
      </c>
      <c r="L457" s="1">
        <v>32.6</v>
      </c>
      <c r="M457" s="1">
        <v>8.3</v>
      </c>
      <c r="N457" s="1">
        <v>26.0</v>
      </c>
      <c r="O457" s="1">
        <v>71.239509361</v>
      </c>
      <c r="P457" s="1">
        <v>21.724505309</v>
      </c>
      <c r="Q457" s="1">
        <v>54.18015</v>
      </c>
      <c r="R457" s="1">
        <v>89.071038251</v>
      </c>
      <c r="S457" s="1">
        <v>20.2</v>
      </c>
      <c r="T457" s="1">
        <v>50735.0</v>
      </c>
      <c r="U457" s="1">
        <v>30.340001971</v>
      </c>
      <c r="V457" s="1">
        <v>315.91284842</v>
      </c>
      <c r="W457" s="1">
        <v>17.729643</v>
      </c>
      <c r="X457" s="1">
        <v>12.837012299</v>
      </c>
      <c r="Y457" s="1">
        <v>79.3574687639999</v>
      </c>
      <c r="Z457" s="1">
        <v>12.7</v>
      </c>
      <c r="AA457" s="1">
        <v>10.014453881</v>
      </c>
      <c r="AB457" s="1">
        <v>61631.0</v>
      </c>
      <c r="AC457" s="1">
        <v>61.11142486</v>
      </c>
      <c r="AD457" s="1">
        <v>68.622421048</v>
      </c>
      <c r="AE457" s="1">
        <v>11.9658119659999</v>
      </c>
      <c r="AF457" s="1">
        <v>7.32186318929999</v>
      </c>
      <c r="AG457" s="1">
        <v>0.8389892554</v>
      </c>
      <c r="AH457" s="1">
        <v>2.0925262679</v>
      </c>
      <c r="AI457" s="1">
        <v>0.1998535726</v>
      </c>
      <c r="AJ457" s="1">
        <v>28.983220215</v>
      </c>
      <c r="AK457" s="1">
        <v>60.2568415219999</v>
      </c>
      <c r="AL457" s="1">
        <v>8.3060945614</v>
      </c>
      <c r="AM457" s="1">
        <v>50.265152265</v>
      </c>
      <c r="AN457" s="1">
        <v>20.556643886</v>
      </c>
      <c r="AO457" s="1">
        <v>24099.0</v>
      </c>
      <c r="AP457" s="1">
        <v>17.7</v>
      </c>
      <c r="AQ457" s="1">
        <v>5.7</v>
      </c>
      <c r="AR457" s="1">
        <v>22.7</v>
      </c>
      <c r="AS457" s="1">
        <v>13.6</v>
      </c>
      <c r="AT457" s="1">
        <v>26.6</v>
      </c>
      <c r="AU457" s="1">
        <v>11.0</v>
      </c>
      <c r="AV457" s="1">
        <v>37.9</v>
      </c>
      <c r="AW457" s="1">
        <v>9.0</v>
      </c>
      <c r="AX457" s="1">
        <v>0.7351</v>
      </c>
      <c r="AY457" s="1">
        <v>13.5</v>
      </c>
      <c r="AZ457" s="1">
        <v>10.0</v>
      </c>
      <c r="BA457" s="1">
        <v>13.0</v>
      </c>
      <c r="BB457" s="1">
        <v>3.07</v>
      </c>
      <c r="BC457" s="1" t="s">
        <v>798</v>
      </c>
      <c r="BD457" s="1">
        <v>20.9</v>
      </c>
      <c r="BE457" s="1">
        <v>27.7</v>
      </c>
      <c r="BF457" s="1">
        <v>26.9</v>
      </c>
      <c r="BG457" s="1">
        <v>24.5</v>
      </c>
      <c r="BH457" s="1" t="s">
        <v>916</v>
      </c>
    </row>
    <row r="458">
      <c r="A458" s="1">
        <v>13141.0</v>
      </c>
      <c r="B458" s="2" t="str">
        <f>IFERROR(__xludf.DUMMYFUNCTION("TO_TEXT(A458)"),"13141")</f>
        <v>13141</v>
      </c>
      <c r="C458" s="1">
        <v>8747.0</v>
      </c>
      <c r="D458" s="1">
        <v>471.066846271264</v>
      </c>
      <c r="E458" s="1" t="s">
        <v>917</v>
      </c>
      <c r="F458" s="1" t="s">
        <v>918</v>
      </c>
      <c r="G458" s="1">
        <v>18.5684899483736</v>
      </c>
      <c r="H458" s="1">
        <v>27.090118443</v>
      </c>
      <c r="I458" s="1">
        <v>4.3067653249</v>
      </c>
      <c r="J458" s="1">
        <v>15.92920354</v>
      </c>
      <c r="K458" s="1">
        <v>21.56114069</v>
      </c>
      <c r="L458" s="1">
        <v>31.5</v>
      </c>
      <c r="M458" s="1">
        <v>5.0</v>
      </c>
      <c r="N458" s="1">
        <v>28.0</v>
      </c>
      <c r="O458" s="1">
        <v>9.4071481599</v>
      </c>
      <c r="P458" s="1">
        <v>15.893422769</v>
      </c>
      <c r="Q458" s="1">
        <v>11.68088</v>
      </c>
      <c r="R458" s="1">
        <v>83.333333333</v>
      </c>
      <c r="S458" s="1">
        <v>44.7</v>
      </c>
      <c r="T458" s="1">
        <v>1199.0</v>
      </c>
      <c r="U458" s="1">
        <v>71.392827356</v>
      </c>
      <c r="V458" s="1">
        <v>334.12887828</v>
      </c>
      <c r="W458" s="1">
        <v>21.669626998</v>
      </c>
      <c r="X458" s="1">
        <v>21.146953405</v>
      </c>
      <c r="Y458" s="1">
        <v>76.35526611</v>
      </c>
      <c r="Z458" s="1">
        <v>18.9</v>
      </c>
      <c r="AA458" s="1">
        <v>14.1808880329999</v>
      </c>
      <c r="AB458" s="1">
        <v>31716.0</v>
      </c>
      <c r="AC458" s="1">
        <v>100.0</v>
      </c>
      <c r="AD458" s="1">
        <v>73.152791708</v>
      </c>
      <c r="AE458" s="1">
        <v>16.98248123</v>
      </c>
      <c r="AF458" s="1">
        <v>70.843315764</v>
      </c>
      <c r="AG458" s="1">
        <v>0.5749880211</v>
      </c>
      <c r="AH458" s="1">
        <v>1.0062290369</v>
      </c>
      <c r="AI458" s="1">
        <v>0.0239578342</v>
      </c>
      <c r="AJ458" s="1">
        <v>2.3957834212</v>
      </c>
      <c r="AK458" s="1">
        <v>24.532822233</v>
      </c>
      <c r="AL458" s="1">
        <v>0.2426301104</v>
      </c>
      <c r="AM458" s="1">
        <v>44.980833733</v>
      </c>
      <c r="AN458" s="1">
        <v>61.586594549</v>
      </c>
      <c r="AO458" s="1">
        <v>13898.0</v>
      </c>
      <c r="AP458" s="1">
        <v>31.4</v>
      </c>
      <c r="AQ458" s="1">
        <v>10.3</v>
      </c>
      <c r="AR458" s="1">
        <v>27.1</v>
      </c>
      <c r="AS458" s="1">
        <v>19.4</v>
      </c>
      <c r="AT458" s="1">
        <v>15.1</v>
      </c>
      <c r="AU458" s="1">
        <v>13.6</v>
      </c>
      <c r="AV458" s="1">
        <v>76.1</v>
      </c>
      <c r="AW458" s="1">
        <v>0.5</v>
      </c>
      <c r="AX458" s="1">
        <v>0.8812</v>
      </c>
      <c r="AY458" s="1">
        <v>31.2</v>
      </c>
      <c r="AZ458" s="1">
        <v>17.4</v>
      </c>
      <c r="BA458" s="1">
        <v>25.7</v>
      </c>
      <c r="BB458" s="1">
        <v>3.04</v>
      </c>
      <c r="BC458" s="1" t="s">
        <v>798</v>
      </c>
      <c r="BD458" s="1">
        <v>25.8</v>
      </c>
      <c r="BE458" s="1">
        <v>43.1</v>
      </c>
      <c r="BF458" s="1">
        <v>22.4</v>
      </c>
      <c r="BG458" s="1">
        <v>8.6</v>
      </c>
      <c r="BH458" s="1" t="s">
        <v>918</v>
      </c>
    </row>
    <row r="459">
      <c r="A459" s="1">
        <v>13143.0</v>
      </c>
      <c r="B459" s="2" t="str">
        <f>IFERROR(__xludf.DUMMYFUNCTION("TO_TEXT(A459)"),"13143")</f>
        <v>13143</v>
      </c>
      <c r="C459" s="1">
        <v>28667.0</v>
      </c>
      <c r="D459" s="1">
        <v>282.16531265071</v>
      </c>
      <c r="E459" s="1" t="s">
        <v>919</v>
      </c>
      <c r="F459" s="1" t="s">
        <v>920</v>
      </c>
      <c r="G459" s="1">
        <v>101.596470986094</v>
      </c>
      <c r="H459" s="1">
        <v>16.29069586</v>
      </c>
      <c r="I459" s="1">
        <v>3.9895673731</v>
      </c>
      <c r="J459" s="1">
        <v>8.5406301824</v>
      </c>
      <c r="K459" s="1">
        <v>17.507713658</v>
      </c>
      <c r="L459" s="1">
        <v>23.4</v>
      </c>
      <c r="M459" s="1">
        <v>8.2</v>
      </c>
      <c r="N459" s="1">
        <v>26.8</v>
      </c>
      <c r="O459" s="1">
        <v>19.989576095</v>
      </c>
      <c r="P459" s="1">
        <v>15.1973684209999</v>
      </c>
      <c r="Q459" s="1">
        <v>44.43533</v>
      </c>
      <c r="R459" s="1">
        <v>95.789473684</v>
      </c>
      <c r="S459" s="1">
        <v>23.0</v>
      </c>
      <c r="T459" s="1">
        <v>6856.0</v>
      </c>
      <c r="U459" s="1">
        <v>33.970245041</v>
      </c>
      <c r="V459" s="1">
        <v>639.87446604</v>
      </c>
      <c r="W459" s="1">
        <v>14.101975195</v>
      </c>
      <c r="X459" s="1">
        <v>12.96744186</v>
      </c>
      <c r="Y459" s="1">
        <v>73.389597342</v>
      </c>
      <c r="Z459" s="1">
        <v>8.9</v>
      </c>
      <c r="AA459" s="1">
        <v>1.689192526</v>
      </c>
      <c r="AB459" s="1">
        <v>47662.0</v>
      </c>
      <c r="AC459" s="1">
        <v>44.56445993</v>
      </c>
      <c r="AD459" s="1">
        <v>68.341121495</v>
      </c>
      <c r="AE459" s="1">
        <v>12.63039188</v>
      </c>
      <c r="AF459" s="1">
        <v>4.6388785426</v>
      </c>
      <c r="AG459" s="1">
        <v>0.3690786578</v>
      </c>
      <c r="AH459" s="1">
        <v>0.8160362984</v>
      </c>
      <c r="AI459" s="1">
        <v>0.0474045982</v>
      </c>
      <c r="AJ459" s="1">
        <v>1.8284630752</v>
      </c>
      <c r="AK459" s="1">
        <v>90.867842752</v>
      </c>
      <c r="AL459" s="1">
        <v>0.3601352345</v>
      </c>
      <c r="AM459" s="1">
        <v>51.4610774389999</v>
      </c>
      <c r="AN459" s="1">
        <v>77.359277276</v>
      </c>
      <c r="AO459" s="1">
        <v>21838.0</v>
      </c>
      <c r="AP459" s="1">
        <v>20.3</v>
      </c>
      <c r="AQ459" s="1">
        <v>10.3</v>
      </c>
      <c r="AR459" s="1">
        <v>21.7</v>
      </c>
      <c r="AS459" s="1">
        <v>15.8</v>
      </c>
      <c r="AT459" s="1">
        <v>24.5</v>
      </c>
      <c r="AU459" s="1">
        <v>18.4</v>
      </c>
      <c r="AV459" s="1">
        <v>8.9</v>
      </c>
      <c r="AW459" s="1">
        <v>0.3</v>
      </c>
      <c r="AX459" s="1">
        <v>0.6619</v>
      </c>
      <c r="AY459" s="1">
        <v>14.4</v>
      </c>
      <c r="AZ459" s="1">
        <v>13.6</v>
      </c>
      <c r="BA459" s="1">
        <v>18.7</v>
      </c>
      <c r="BB459" s="1">
        <v>3.01</v>
      </c>
      <c r="BC459" s="1" t="s">
        <v>798</v>
      </c>
      <c r="BD459" s="1">
        <v>18.8</v>
      </c>
      <c r="BE459" s="1">
        <v>36.1</v>
      </c>
      <c r="BF459" s="1">
        <v>30.4</v>
      </c>
      <c r="BG459" s="1">
        <v>14.8</v>
      </c>
      <c r="BH459" s="1" t="s">
        <v>920</v>
      </c>
    </row>
    <row r="460">
      <c r="A460" s="1">
        <v>13145.0</v>
      </c>
      <c r="B460" s="2" t="str">
        <f>IFERROR(__xludf.DUMMYFUNCTION("TO_TEXT(A460)"),"13145")</f>
        <v>13145</v>
      </c>
      <c r="C460" s="1">
        <v>32992.0</v>
      </c>
      <c r="D460" s="1">
        <v>463.887067997368</v>
      </c>
      <c r="E460" s="1" t="s">
        <v>921</v>
      </c>
      <c r="F460" s="1" t="s">
        <v>922</v>
      </c>
      <c r="G460" s="1">
        <v>71.1207582104599</v>
      </c>
      <c r="H460" s="1">
        <v>13.368868105</v>
      </c>
      <c r="I460" s="1">
        <v>3.4867376013</v>
      </c>
      <c r="J460" s="1">
        <v>8.7525150905</v>
      </c>
      <c r="K460" s="1">
        <v>13.692670769</v>
      </c>
      <c r="L460" s="1">
        <v>35.9</v>
      </c>
      <c r="M460" s="1">
        <v>9.0</v>
      </c>
      <c r="N460" s="1">
        <v>24.6</v>
      </c>
      <c r="O460" s="1">
        <v>14.510991756</v>
      </c>
      <c r="P460" s="1">
        <v>10.690382657</v>
      </c>
      <c r="Q460" s="1">
        <v>35.38257</v>
      </c>
      <c r="R460" s="1">
        <v>92.359550562</v>
      </c>
      <c r="S460" s="1">
        <v>12.8</v>
      </c>
      <c r="T460" s="1">
        <v>7297.0</v>
      </c>
      <c r="U460" s="1">
        <v>24.283952309</v>
      </c>
      <c r="V460" s="1">
        <v>123.70378289</v>
      </c>
      <c r="W460" s="1">
        <v>9.4444444444</v>
      </c>
      <c r="X460" s="1">
        <v>8.36206896549999</v>
      </c>
      <c r="Y460" s="1">
        <v>80.394984128</v>
      </c>
      <c r="Z460" s="1">
        <v>13.9</v>
      </c>
      <c r="AA460" s="1">
        <v>0.175877751</v>
      </c>
      <c r="AB460" s="1">
        <v>74686.0</v>
      </c>
      <c r="AC460" s="1">
        <v>37.438609747</v>
      </c>
      <c r="AD460" s="1">
        <v>86.009212041</v>
      </c>
      <c r="AE460" s="1">
        <v>8.856615178</v>
      </c>
      <c r="AF460" s="1">
        <v>16.406091371</v>
      </c>
      <c r="AG460" s="1">
        <v>0.5018129079</v>
      </c>
      <c r="AH460" s="1">
        <v>1.1428571429</v>
      </c>
      <c r="AI460" s="1">
        <v>0.1363306744</v>
      </c>
      <c r="AJ460" s="1">
        <v>3.7998549674</v>
      </c>
      <c r="AK460" s="1">
        <v>76.574329224</v>
      </c>
      <c r="AL460" s="1">
        <v>0.1343162366</v>
      </c>
      <c r="AM460" s="1">
        <v>49.978245105</v>
      </c>
      <c r="AN460" s="1">
        <v>96.683737197</v>
      </c>
      <c r="AO460" s="1">
        <v>30703.0</v>
      </c>
      <c r="AP460" s="1">
        <v>8.4</v>
      </c>
      <c r="AQ460" s="1">
        <v>8.1</v>
      </c>
      <c r="AR460" s="1">
        <v>10.2</v>
      </c>
      <c r="AS460" s="1">
        <v>16.1</v>
      </c>
      <c r="AT460" s="1">
        <v>22.4</v>
      </c>
      <c r="AU460" s="1">
        <v>17.1</v>
      </c>
      <c r="AV460" s="1">
        <v>22.6</v>
      </c>
      <c r="AW460" s="1">
        <v>0.4</v>
      </c>
      <c r="AX460" s="1">
        <v>0.1627</v>
      </c>
      <c r="AY460" s="1">
        <v>6.5</v>
      </c>
      <c r="AZ460" s="1">
        <v>9.5</v>
      </c>
      <c r="BA460" s="1">
        <v>13.4</v>
      </c>
      <c r="BB460" s="1">
        <v>3.32</v>
      </c>
      <c r="BC460" s="1" t="s">
        <v>798</v>
      </c>
      <c r="BD460" s="1">
        <v>7.8</v>
      </c>
      <c r="BE460" s="1">
        <v>23.7</v>
      </c>
      <c r="BF460" s="1">
        <v>37.1</v>
      </c>
      <c r="BG460" s="1">
        <v>31.4</v>
      </c>
      <c r="BH460" s="1" t="s">
        <v>922</v>
      </c>
    </row>
    <row r="461">
      <c r="A461" s="1">
        <v>13147.0</v>
      </c>
      <c r="B461" s="2" t="str">
        <f>IFERROR(__xludf.DUMMYFUNCTION("TO_TEXT(A461)"),"13147")</f>
        <v>13147</v>
      </c>
      <c r="C461" s="1">
        <v>25518.0</v>
      </c>
      <c r="D461" s="1">
        <v>232.398155976216</v>
      </c>
      <c r="E461" s="1" t="s">
        <v>923</v>
      </c>
      <c r="F461" s="1" t="s">
        <v>924</v>
      </c>
      <c r="G461" s="1">
        <v>109.802936657602</v>
      </c>
      <c r="H461" s="1">
        <v>19.158611898</v>
      </c>
      <c r="I461" s="1">
        <v>4.0847199851</v>
      </c>
      <c r="J461" s="1">
        <v>9.12863070539999</v>
      </c>
      <c r="K461" s="1">
        <v>17.570671752</v>
      </c>
      <c r="L461" s="1">
        <v>32.8</v>
      </c>
      <c r="M461" s="1">
        <v>7.6</v>
      </c>
      <c r="N461" s="1">
        <v>25.9</v>
      </c>
      <c r="O461" s="1">
        <v>73.846825051</v>
      </c>
      <c r="P461" s="1">
        <v>18.070998674</v>
      </c>
      <c r="Q461" s="1">
        <v>34.89184</v>
      </c>
      <c r="R461" s="1">
        <v>95.12195122</v>
      </c>
      <c r="S461" s="1">
        <v>23.6</v>
      </c>
      <c r="T461" s="1">
        <v>5337.0</v>
      </c>
      <c r="U461" s="1">
        <v>32.958590969</v>
      </c>
      <c r="V461" s="1">
        <v>347.00631832</v>
      </c>
      <c r="W461" s="1">
        <v>16.075886171</v>
      </c>
      <c r="X461" s="1">
        <v>13.967611336</v>
      </c>
      <c r="Y461" s="1">
        <v>78.174192996</v>
      </c>
      <c r="Z461" s="1">
        <v>8.3</v>
      </c>
      <c r="AA461" s="1">
        <v>6.7101870502</v>
      </c>
      <c r="AB461" s="1">
        <v>47171.0</v>
      </c>
      <c r="AC461" s="1">
        <v>61.171853098</v>
      </c>
      <c r="AD461" s="1">
        <v>76.185248029</v>
      </c>
      <c r="AE461" s="1">
        <v>14.458086367</v>
      </c>
      <c r="AF461" s="1">
        <v>18.889612629</v>
      </c>
      <c r="AG461" s="1">
        <v>0.214567608</v>
      </c>
      <c r="AH461" s="1">
        <v>1.0766696042</v>
      </c>
      <c r="AI461" s="1">
        <v>0.0344840798</v>
      </c>
      <c r="AJ461" s="1">
        <v>3.8583853788</v>
      </c>
      <c r="AK461" s="1">
        <v>74.627380359</v>
      </c>
      <c r="AL461" s="1">
        <v>0.8665153703</v>
      </c>
      <c r="AM461" s="1">
        <v>50.4617035139999</v>
      </c>
      <c r="AN461" s="1">
        <v>74.465553484</v>
      </c>
      <c r="AO461" s="1">
        <v>20866.0</v>
      </c>
      <c r="AP461" s="1">
        <v>21.2</v>
      </c>
      <c r="AQ461" s="1">
        <v>5.6</v>
      </c>
      <c r="AR461" s="1">
        <v>19.1</v>
      </c>
      <c r="AS461" s="1">
        <v>20.4</v>
      </c>
      <c r="AT461" s="1">
        <v>21.3</v>
      </c>
      <c r="AU461" s="1">
        <v>18.0</v>
      </c>
      <c r="AV461" s="1">
        <v>24.3</v>
      </c>
      <c r="AW461" s="1">
        <v>1.1</v>
      </c>
      <c r="AX461" s="1">
        <v>0.7498</v>
      </c>
      <c r="AY461" s="1">
        <v>14.6</v>
      </c>
      <c r="AZ461" s="1">
        <v>13.9</v>
      </c>
      <c r="BA461" s="1">
        <v>18.8</v>
      </c>
      <c r="BB461" s="1">
        <v>2.84</v>
      </c>
      <c r="BC461" s="1" t="s">
        <v>798</v>
      </c>
      <c r="BD461" s="1">
        <v>18.5</v>
      </c>
      <c r="BE461" s="1">
        <v>36.9</v>
      </c>
      <c r="BF461" s="1">
        <v>28.9</v>
      </c>
      <c r="BG461" s="1">
        <v>15.7</v>
      </c>
      <c r="BH461" s="1" t="s">
        <v>924</v>
      </c>
    </row>
    <row r="462">
      <c r="A462" s="1">
        <v>13149.0</v>
      </c>
      <c r="B462" s="2" t="str">
        <f>IFERROR(__xludf.DUMMYFUNCTION("TO_TEXT(A462)"),"13149")</f>
        <v>13149</v>
      </c>
      <c r="C462" s="1">
        <v>11571.0</v>
      </c>
      <c r="D462" s="1">
        <v>296.03173354647</v>
      </c>
      <c r="E462" s="1" t="s">
        <v>925</v>
      </c>
      <c r="F462" s="1" t="s">
        <v>926</v>
      </c>
      <c r="G462" s="1">
        <v>39.0870257771997</v>
      </c>
      <c r="H462" s="1">
        <v>18.373018209</v>
      </c>
      <c r="I462" s="1">
        <v>4.0480750957</v>
      </c>
      <c r="J462" s="1">
        <v>7.3684210526</v>
      </c>
      <c r="K462" s="1">
        <v>17.541173128</v>
      </c>
      <c r="L462" s="1">
        <v>38.4</v>
      </c>
      <c r="M462" s="1">
        <v>8.0</v>
      </c>
      <c r="N462" s="1">
        <v>26.2</v>
      </c>
      <c r="O462" s="1">
        <v>25.004225114</v>
      </c>
      <c r="P462" s="1">
        <v>15.229586536</v>
      </c>
      <c r="Q462" s="1">
        <v>17.0503</v>
      </c>
      <c r="R462" s="1">
        <v>90.972222222</v>
      </c>
      <c r="S462" s="1">
        <v>25.7</v>
      </c>
      <c r="T462" s="1">
        <v>2621.0</v>
      </c>
      <c r="U462" s="1">
        <v>31.934376192</v>
      </c>
      <c r="V462" s="1">
        <v>195.76282246</v>
      </c>
      <c r="W462" s="1">
        <v>13.058419244</v>
      </c>
      <c r="X462" s="1">
        <v>10.011641444</v>
      </c>
      <c r="Y462" s="1">
        <v>74.146473033</v>
      </c>
      <c r="Z462" s="1">
        <v>20.1</v>
      </c>
      <c r="AA462" s="1">
        <v>2.6460694092</v>
      </c>
      <c r="AB462" s="1">
        <v>46218.0</v>
      </c>
      <c r="AC462" s="1">
        <v>65.170132325</v>
      </c>
      <c r="AD462" s="1">
        <v>69.770550234</v>
      </c>
      <c r="AE462" s="1">
        <v>10.430463576</v>
      </c>
      <c r="AF462" s="1">
        <v>9.6472767068</v>
      </c>
      <c r="AG462" s="1">
        <v>0.5050930213</v>
      </c>
      <c r="AH462" s="1">
        <v>0.5387658894</v>
      </c>
      <c r="AI462" s="1">
        <v>0.0168364339999999</v>
      </c>
      <c r="AJ462" s="1">
        <v>2.8201027022</v>
      </c>
      <c r="AK462" s="1">
        <v>84.746190757</v>
      </c>
      <c r="AL462" s="1">
        <v>0.825022665499999</v>
      </c>
      <c r="AM462" s="1">
        <v>50.1978281</v>
      </c>
      <c r="AN462" s="1">
        <v>100.0</v>
      </c>
      <c r="AO462" s="1">
        <v>20494.0</v>
      </c>
      <c r="AP462" s="1">
        <v>17.0</v>
      </c>
      <c r="AQ462" s="1">
        <v>9.8</v>
      </c>
      <c r="AR462" s="1">
        <v>21.1</v>
      </c>
      <c r="AS462" s="1">
        <v>15.3</v>
      </c>
      <c r="AT462" s="1">
        <v>23.6</v>
      </c>
      <c r="AU462" s="1">
        <v>20.2</v>
      </c>
      <c r="AV462" s="1">
        <v>15.0</v>
      </c>
      <c r="AW462" s="1">
        <v>0.1</v>
      </c>
      <c r="AX462" s="1">
        <v>0.689</v>
      </c>
      <c r="AY462" s="1">
        <v>16.7</v>
      </c>
      <c r="AZ462" s="1">
        <v>13.8</v>
      </c>
      <c r="BA462" s="1">
        <v>18.5</v>
      </c>
      <c r="BB462" s="1">
        <v>3.09</v>
      </c>
      <c r="BC462" s="1" t="s">
        <v>798</v>
      </c>
      <c r="BD462" s="1">
        <v>20.3</v>
      </c>
      <c r="BE462" s="1">
        <v>45.1</v>
      </c>
      <c r="BF462" s="1">
        <v>25.8</v>
      </c>
      <c r="BG462" s="1">
        <v>8.7</v>
      </c>
      <c r="BH462" s="1" t="s">
        <v>926</v>
      </c>
    </row>
    <row r="463">
      <c r="A463" s="1">
        <v>13151.0</v>
      </c>
      <c r="B463" s="2" t="str">
        <f>IFERROR(__xludf.DUMMYFUNCTION("TO_TEXT(A463)"),"13151")</f>
        <v>13151</v>
      </c>
      <c r="C463" s="1">
        <v>214171.0</v>
      </c>
      <c r="D463" s="1">
        <v>318.610722906945</v>
      </c>
      <c r="E463" s="1" t="s">
        <v>126</v>
      </c>
      <c r="F463" s="1" t="s">
        <v>927</v>
      </c>
      <c r="G463" s="1">
        <v>672.20273707659</v>
      </c>
      <c r="H463" s="1">
        <v>17.20226431</v>
      </c>
      <c r="I463" s="1">
        <v>3.826563881</v>
      </c>
      <c r="J463" s="1">
        <v>10.151390036</v>
      </c>
      <c r="K463" s="1">
        <v>15.813825044</v>
      </c>
      <c r="L463" s="1">
        <v>36.0</v>
      </c>
      <c r="M463" s="1">
        <v>7.3</v>
      </c>
      <c r="N463" s="1">
        <v>26.5</v>
      </c>
      <c r="O463" s="1">
        <v>77.43549004</v>
      </c>
      <c r="P463" s="1">
        <v>12.797401217</v>
      </c>
      <c r="Q463" s="1">
        <v>47.38434</v>
      </c>
      <c r="R463" s="1">
        <v>88.141202427</v>
      </c>
      <c r="S463" s="1">
        <v>12.3</v>
      </c>
      <c r="T463" s="1">
        <v>58147.0</v>
      </c>
      <c r="U463" s="1">
        <v>35.4756049319999</v>
      </c>
      <c r="V463" s="1">
        <v>175.804096099999</v>
      </c>
      <c r="W463" s="1">
        <v>15.394366197</v>
      </c>
      <c r="X463" s="1">
        <v>14.4545519659999</v>
      </c>
      <c r="Y463" s="1">
        <v>77.427661076</v>
      </c>
      <c r="Z463" s="1">
        <v>13.0</v>
      </c>
      <c r="AA463" s="1">
        <v>9.5248455724</v>
      </c>
      <c r="AB463" s="1">
        <v>72970.0</v>
      </c>
      <c r="AC463" s="1">
        <v>52.2519520089999</v>
      </c>
      <c r="AD463" s="1">
        <v>71.562864032</v>
      </c>
      <c r="AE463" s="1">
        <v>13.768336562</v>
      </c>
      <c r="AF463" s="1">
        <v>45.253670402</v>
      </c>
      <c r="AG463" s="1">
        <v>0.3605247155</v>
      </c>
      <c r="AH463" s="1">
        <v>3.4367127096</v>
      </c>
      <c r="AI463" s="1">
        <v>0.1303101381</v>
      </c>
      <c r="AJ463" s="1">
        <v>7.1640170272</v>
      </c>
      <c r="AK463" s="1">
        <v>41.785248892</v>
      </c>
      <c r="AL463" s="1">
        <v>1.3334804848</v>
      </c>
      <c r="AM463" s="1">
        <v>52.329076535</v>
      </c>
      <c r="AN463" s="1">
        <v>13.853336079</v>
      </c>
      <c r="AO463" s="1">
        <v>25727.0</v>
      </c>
      <c r="AP463" s="1">
        <v>12.1</v>
      </c>
      <c r="AQ463" s="1">
        <v>8.9</v>
      </c>
      <c r="AR463" s="1">
        <v>10.6</v>
      </c>
      <c r="AS463" s="1">
        <v>10.3</v>
      </c>
      <c r="AT463" s="1">
        <v>27.1</v>
      </c>
      <c r="AU463" s="1">
        <v>10.7</v>
      </c>
      <c r="AV463" s="1">
        <v>51.9</v>
      </c>
      <c r="AW463" s="1">
        <v>1.5</v>
      </c>
      <c r="AX463" s="1">
        <v>0.3613</v>
      </c>
      <c r="AY463" s="1">
        <v>8.1</v>
      </c>
      <c r="AZ463" s="1">
        <v>10.2</v>
      </c>
      <c r="BA463" s="1">
        <v>13.5</v>
      </c>
      <c r="BB463" s="1">
        <v>3.01</v>
      </c>
      <c r="BC463" s="1" t="s">
        <v>798</v>
      </c>
      <c r="BD463" s="1">
        <v>8.8</v>
      </c>
      <c r="BE463" s="1">
        <v>31.7</v>
      </c>
      <c r="BF463" s="1">
        <v>31.1</v>
      </c>
      <c r="BG463" s="1">
        <v>28.5</v>
      </c>
      <c r="BH463" s="1" t="s">
        <v>927</v>
      </c>
    </row>
    <row r="464">
      <c r="A464" s="1">
        <v>13153.0</v>
      </c>
      <c r="B464" s="2" t="str">
        <f>IFERROR(__xludf.DUMMYFUNCTION("TO_TEXT(A464)"),"13153")</f>
        <v>13153</v>
      </c>
      <c r="C464" s="1">
        <v>149137.0</v>
      </c>
      <c r="D464" s="1">
        <v>375.550580605676</v>
      </c>
      <c r="E464" s="1" t="s">
        <v>128</v>
      </c>
      <c r="F464" s="1" t="s">
        <v>928</v>
      </c>
      <c r="G464" s="1">
        <v>397.115615583595</v>
      </c>
      <c r="H464" s="1">
        <v>18.756098118</v>
      </c>
      <c r="I464" s="1">
        <v>3.9313795675</v>
      </c>
      <c r="J464" s="1">
        <v>8.6639676113</v>
      </c>
      <c r="K464" s="1">
        <v>17.193163254</v>
      </c>
      <c r="L464" s="1">
        <v>39.7</v>
      </c>
      <c r="M464" s="1">
        <v>6.9</v>
      </c>
      <c r="N464" s="1">
        <v>28.1</v>
      </c>
      <c r="O464" s="1">
        <v>76.664045747</v>
      </c>
      <c r="P464" s="1">
        <v>13.574453043</v>
      </c>
      <c r="Q464" s="1">
        <v>53.4275</v>
      </c>
      <c r="R464" s="1">
        <v>87.1758604429999</v>
      </c>
      <c r="S464" s="1">
        <v>17.5</v>
      </c>
      <c r="T464" s="1">
        <v>38527.0</v>
      </c>
      <c r="U464" s="1">
        <v>36.364108288</v>
      </c>
      <c r="V464" s="1">
        <v>361.57675303</v>
      </c>
      <c r="W464" s="1">
        <v>14.513747924</v>
      </c>
      <c r="X464" s="1">
        <v>12.253601213</v>
      </c>
      <c r="Y464" s="1">
        <v>77.494747611</v>
      </c>
      <c r="Z464" s="1">
        <v>9.8</v>
      </c>
      <c r="AA464" s="1">
        <v>11.673458968</v>
      </c>
      <c r="AB464" s="1">
        <v>60728.0</v>
      </c>
      <c r="AC464" s="1">
        <v>58.880976602</v>
      </c>
      <c r="AD464" s="1">
        <v>64.396395113</v>
      </c>
      <c r="AE464" s="1">
        <v>12.218490171</v>
      </c>
      <c r="AF464" s="1">
        <v>31.68348674</v>
      </c>
      <c r="AG464" s="1">
        <v>0.4824112846</v>
      </c>
      <c r="AH464" s="1">
        <v>3.1987084242</v>
      </c>
      <c r="AI464" s="1">
        <v>0.195537374</v>
      </c>
      <c r="AJ464" s="1">
        <v>6.7209540166</v>
      </c>
      <c r="AK464" s="1">
        <v>55.611086455</v>
      </c>
      <c r="AL464" s="1">
        <v>1.1580636723</v>
      </c>
      <c r="AM464" s="1">
        <v>51.540821643</v>
      </c>
      <c r="AN464" s="1">
        <v>9.962115797</v>
      </c>
      <c r="AO464" s="1">
        <v>25289.0</v>
      </c>
      <c r="AP464" s="1">
        <v>18.0</v>
      </c>
      <c r="AQ464" s="1">
        <v>8.8</v>
      </c>
      <c r="AR464" s="1">
        <v>10.2</v>
      </c>
      <c r="AS464" s="1">
        <v>11.8</v>
      </c>
      <c r="AT464" s="1">
        <v>25.9</v>
      </c>
      <c r="AU464" s="1">
        <v>12.7</v>
      </c>
      <c r="AV464" s="1">
        <v>42.0</v>
      </c>
      <c r="AW464" s="1">
        <v>1.4</v>
      </c>
      <c r="AX464" s="1">
        <v>0.5734</v>
      </c>
      <c r="AY464" s="1">
        <v>11.0</v>
      </c>
      <c r="AZ464" s="1">
        <v>12.8</v>
      </c>
      <c r="BA464" s="1">
        <v>16.9</v>
      </c>
      <c r="BB464" s="1">
        <v>3.02</v>
      </c>
      <c r="BC464" s="1" t="s">
        <v>798</v>
      </c>
      <c r="BD464" s="1">
        <v>8.4</v>
      </c>
      <c r="BE464" s="1">
        <v>27.0</v>
      </c>
      <c r="BF464" s="1">
        <v>36.2</v>
      </c>
      <c r="BG464" s="1">
        <v>28.3</v>
      </c>
      <c r="BH464" s="1" t="s">
        <v>928</v>
      </c>
    </row>
    <row r="465">
      <c r="A465" s="1">
        <v>13155.0</v>
      </c>
      <c r="B465" s="2" t="str">
        <f>IFERROR(__xludf.DUMMYFUNCTION("TO_TEXT(A465)"),"13155")</f>
        <v>13155</v>
      </c>
      <c r="C465" s="1">
        <v>9365.0</v>
      </c>
      <c r="D465" s="1">
        <v>354.361805936582</v>
      </c>
      <c r="E465" s="1" t="s">
        <v>929</v>
      </c>
      <c r="F465" s="1" t="s">
        <v>930</v>
      </c>
      <c r="G465" s="1">
        <v>26.4277917177</v>
      </c>
      <c r="H465" s="1">
        <v>22.305971474</v>
      </c>
      <c r="I465" s="1">
        <v>4.2692595437</v>
      </c>
      <c r="J465" s="1">
        <v>12.53776435</v>
      </c>
      <c r="K465" s="1">
        <v>20.337675408</v>
      </c>
      <c r="L465" s="1">
        <v>40.4</v>
      </c>
      <c r="M465" s="1">
        <v>7.1</v>
      </c>
      <c r="N465" s="1">
        <v>26.9</v>
      </c>
      <c r="O465" s="1">
        <v>48.9725309289999</v>
      </c>
      <c r="P465" s="1">
        <v>14.523067794</v>
      </c>
      <c r="Q465" s="1">
        <v>31.88098</v>
      </c>
      <c r="R465" s="1">
        <v>92.03539823</v>
      </c>
      <c r="S465" s="1">
        <v>33.3</v>
      </c>
      <c r="T465" s="1">
        <v>2010.0</v>
      </c>
      <c r="U465" s="1">
        <v>45.572139303</v>
      </c>
      <c r="V465" s="1">
        <v>258.30059732</v>
      </c>
      <c r="W465" s="1">
        <v>15.701219512</v>
      </c>
      <c r="X465" s="1">
        <v>15.0955414009999</v>
      </c>
      <c r="Y465" s="1">
        <v>73.688011896</v>
      </c>
      <c r="Z465" s="1">
        <v>17.8</v>
      </c>
      <c r="AA465" s="1">
        <v>3.3780347695</v>
      </c>
      <c r="AB465" s="1">
        <v>38156.0</v>
      </c>
      <c r="AC465" s="1">
        <v>82.227351414</v>
      </c>
      <c r="AD465" s="1">
        <v>74.2023700999999</v>
      </c>
      <c r="AE465" s="1">
        <v>9.0939597315</v>
      </c>
      <c r="AF465" s="1">
        <v>27.633539051</v>
      </c>
      <c r="AG465" s="1">
        <v>0.1915301128</v>
      </c>
      <c r="AH465" s="1">
        <v>0.8299638221</v>
      </c>
      <c r="AI465" s="1">
        <v>0.0319216855</v>
      </c>
      <c r="AJ465" s="1">
        <v>4.0646946159</v>
      </c>
      <c r="AK465" s="1">
        <v>66.503511385</v>
      </c>
      <c r="AL465" s="1">
        <v>0.7458469884</v>
      </c>
      <c r="AM465" s="1">
        <v>47.9782932539999</v>
      </c>
      <c r="AN465" s="1">
        <v>64.709582722</v>
      </c>
      <c r="AO465" s="1">
        <v>18514.0</v>
      </c>
      <c r="AP465" s="1">
        <v>24.9</v>
      </c>
      <c r="AQ465" s="1">
        <v>6.9</v>
      </c>
      <c r="AR465" s="1">
        <v>15.3</v>
      </c>
      <c r="AS465" s="1">
        <v>17.7</v>
      </c>
      <c r="AT465" s="1">
        <v>22.5</v>
      </c>
      <c r="AU465" s="1">
        <v>23.7</v>
      </c>
      <c r="AV465" s="1">
        <v>31.9</v>
      </c>
      <c r="AW465" s="1">
        <v>0.5</v>
      </c>
      <c r="AX465" s="1">
        <v>0.8153</v>
      </c>
      <c r="AY465" s="1">
        <v>20.5</v>
      </c>
      <c r="AZ465" s="1">
        <v>18.4</v>
      </c>
      <c r="BA465" s="1">
        <v>26.8</v>
      </c>
      <c r="BB465" s="1">
        <v>2.99</v>
      </c>
      <c r="BC465" s="1" t="s">
        <v>798</v>
      </c>
      <c r="BD465" s="1">
        <v>18.5</v>
      </c>
      <c r="BE465" s="1">
        <v>40.2</v>
      </c>
      <c r="BF465" s="1">
        <v>26.1</v>
      </c>
      <c r="BG465" s="1">
        <v>15.1</v>
      </c>
      <c r="BH465" s="1" t="s">
        <v>930</v>
      </c>
    </row>
    <row r="466">
      <c r="A466" s="1">
        <v>13157.0</v>
      </c>
      <c r="B466" s="2" t="str">
        <f>IFERROR(__xludf.DUMMYFUNCTION("TO_TEXT(A466)"),"13157")</f>
        <v>13157</v>
      </c>
      <c r="C466" s="1">
        <v>62131.0</v>
      </c>
      <c r="D466" s="1">
        <v>339.660432515986</v>
      </c>
      <c r="E466" s="1" t="s">
        <v>130</v>
      </c>
      <c r="F466" s="1" t="s">
        <v>931</v>
      </c>
      <c r="G466" s="1">
        <v>182.920923522865</v>
      </c>
      <c r="H466" s="1">
        <v>15.327346155</v>
      </c>
      <c r="I466" s="1">
        <v>3.6963839616</v>
      </c>
      <c r="J466" s="1">
        <v>7.72301284279999</v>
      </c>
      <c r="K466" s="1">
        <v>15.693432732</v>
      </c>
      <c r="L466" s="1">
        <v>29.6</v>
      </c>
      <c r="M466" s="1">
        <v>8.9</v>
      </c>
      <c r="N466" s="1">
        <v>31.1</v>
      </c>
      <c r="O466" s="1">
        <v>30.303381004</v>
      </c>
      <c r="P466" s="1">
        <v>15.741594337</v>
      </c>
      <c r="Q466" s="1">
        <v>53.31833</v>
      </c>
      <c r="R466" s="1">
        <v>94.228356336</v>
      </c>
      <c r="S466" s="1">
        <v>13.2</v>
      </c>
      <c r="T466" s="1">
        <v>16721.0</v>
      </c>
      <c r="U466" s="1">
        <v>23.772501645</v>
      </c>
      <c r="V466" s="1">
        <v>222.39244854</v>
      </c>
      <c r="W466" s="1">
        <v>13.994790433</v>
      </c>
      <c r="X466" s="1">
        <v>11.857039362</v>
      </c>
      <c r="Y466" s="1">
        <v>76.764066785</v>
      </c>
      <c r="Z466" s="1">
        <v>12.0</v>
      </c>
      <c r="AA466" s="1">
        <v>1.6755015053</v>
      </c>
      <c r="AB466" s="1">
        <v>68984.0</v>
      </c>
      <c r="AC466" s="1">
        <v>43.147013783</v>
      </c>
      <c r="AD466" s="1">
        <v>77.539257511</v>
      </c>
      <c r="AE466" s="1">
        <v>9.4287194461</v>
      </c>
      <c r="AF466" s="1">
        <v>6.9481128057</v>
      </c>
      <c r="AG466" s="1">
        <v>0.3663627844</v>
      </c>
      <c r="AH466" s="1">
        <v>2.0433955298</v>
      </c>
      <c r="AI466" s="1">
        <v>0.0653204964</v>
      </c>
      <c r="AJ466" s="1">
        <v>8.1380818494</v>
      </c>
      <c r="AK466" s="1">
        <v>81.136576638</v>
      </c>
      <c r="AL466" s="1">
        <v>1.917291399</v>
      </c>
      <c r="AM466" s="1">
        <v>50.71710545</v>
      </c>
      <c r="AN466" s="1">
        <v>60.0148797219999</v>
      </c>
      <c r="AO466" s="1">
        <v>23982.0</v>
      </c>
      <c r="AP466" s="1">
        <v>13.5</v>
      </c>
      <c r="AQ466" s="1">
        <v>6.8</v>
      </c>
      <c r="AR466" s="1">
        <v>18.3</v>
      </c>
      <c r="AS466" s="1">
        <v>13.4</v>
      </c>
      <c r="AT466" s="1">
        <v>25.7</v>
      </c>
      <c r="AU466" s="1">
        <v>13.7</v>
      </c>
      <c r="AV466" s="1">
        <v>17.4</v>
      </c>
      <c r="AW466" s="1">
        <v>2.3</v>
      </c>
      <c r="AX466" s="1">
        <v>0.4292</v>
      </c>
      <c r="AY466" s="1">
        <v>10.3</v>
      </c>
      <c r="AZ466" s="1">
        <v>9.8</v>
      </c>
      <c r="BA466" s="1">
        <v>12.7</v>
      </c>
      <c r="BB466" s="1">
        <v>3.54</v>
      </c>
      <c r="BC466" s="1" t="s">
        <v>798</v>
      </c>
      <c r="BD466" s="1">
        <v>15.9</v>
      </c>
      <c r="BE466" s="1">
        <v>32.1</v>
      </c>
      <c r="BF466" s="1">
        <v>29.2</v>
      </c>
      <c r="BG466" s="1">
        <v>22.7</v>
      </c>
      <c r="BH466" s="1" t="s">
        <v>931</v>
      </c>
    </row>
    <row r="467">
      <c r="A467" s="1">
        <v>13159.0</v>
      </c>
      <c r="B467" s="2" t="str">
        <f>IFERROR(__xludf.DUMMYFUNCTION("TO_TEXT(A467)"),"13159")</f>
        <v>13159</v>
      </c>
      <c r="C467" s="1">
        <v>13571.0</v>
      </c>
      <c r="D467" s="1">
        <v>368.164221159394</v>
      </c>
      <c r="E467" s="1" t="s">
        <v>932</v>
      </c>
      <c r="F467" s="1" t="s">
        <v>933</v>
      </c>
      <c r="G467" s="1">
        <v>36.8612679343562</v>
      </c>
      <c r="H467" s="1">
        <v>20.261203234</v>
      </c>
      <c r="I467" s="1">
        <v>4.2165364133</v>
      </c>
      <c r="J467" s="1">
        <v>7.9187817259</v>
      </c>
      <c r="K467" s="1">
        <v>19.118412044</v>
      </c>
      <c r="L467" s="1">
        <v>38.2</v>
      </c>
      <c r="M467" s="1">
        <v>7.2</v>
      </c>
      <c r="N467" s="1">
        <v>27.2</v>
      </c>
      <c r="O467" s="1">
        <v>70.798561151</v>
      </c>
      <c r="P467" s="1">
        <v>17.520097868</v>
      </c>
      <c r="Q467" s="1">
        <v>35.80636</v>
      </c>
      <c r="R467" s="1">
        <v>84.939759036</v>
      </c>
      <c r="S467" s="1">
        <v>23.8</v>
      </c>
      <c r="T467" s="1">
        <v>3240.0</v>
      </c>
      <c r="U467" s="1">
        <v>30.308641975</v>
      </c>
      <c r="V467" s="1">
        <v>411.58971433</v>
      </c>
      <c r="W467" s="1">
        <v>16.682832202</v>
      </c>
      <c r="X467" s="1">
        <v>12.861356932</v>
      </c>
      <c r="Y467" s="1">
        <v>75.812397487</v>
      </c>
      <c r="Z467" s="1">
        <v>12.7</v>
      </c>
      <c r="AA467" s="1">
        <v>10.26098445</v>
      </c>
      <c r="AB467" s="1">
        <v>51241.0</v>
      </c>
      <c r="AC467" s="1">
        <v>63.436853002</v>
      </c>
      <c r="AD467" s="1">
        <v>74.6609003339999</v>
      </c>
      <c r="AE467" s="1">
        <v>14.948344929</v>
      </c>
      <c r="AF467" s="1">
        <v>19.6082621079999</v>
      </c>
      <c r="AG467" s="1">
        <v>0.4843304843</v>
      </c>
      <c r="AH467" s="1">
        <v>0.2777777778</v>
      </c>
      <c r="AI467" s="1">
        <v>0.0142450142</v>
      </c>
      <c r="AJ467" s="1">
        <v>4.0242165242</v>
      </c>
      <c r="AK467" s="1">
        <v>74.237891738</v>
      </c>
      <c r="AL467" s="1">
        <v>0.738631992</v>
      </c>
      <c r="AM467" s="1">
        <v>51.0968660969999</v>
      </c>
      <c r="AN467" s="1">
        <v>81.762589928</v>
      </c>
      <c r="AO467" s="1">
        <v>20685.0</v>
      </c>
      <c r="AP467" s="1">
        <v>20.1</v>
      </c>
      <c r="AQ467" s="1">
        <v>8.8</v>
      </c>
      <c r="AR467" s="1">
        <v>22.8</v>
      </c>
      <c r="AS467" s="1">
        <v>15.3</v>
      </c>
      <c r="AT467" s="1">
        <v>24.3</v>
      </c>
      <c r="AU467" s="1">
        <v>16.8</v>
      </c>
      <c r="AV467" s="1">
        <v>26.7</v>
      </c>
      <c r="AW467" s="1">
        <v>0.9</v>
      </c>
      <c r="AX467" s="1">
        <v>0.7867</v>
      </c>
      <c r="AY467" s="1">
        <v>12.4</v>
      </c>
      <c r="AZ467" s="1">
        <v>13.8</v>
      </c>
      <c r="BA467" s="1">
        <v>17.8</v>
      </c>
      <c r="BB467" s="1">
        <v>2.97</v>
      </c>
      <c r="BC467" s="1" t="s">
        <v>798</v>
      </c>
      <c r="BD467" s="1">
        <v>17.2</v>
      </c>
      <c r="BE467" s="1">
        <v>38.1</v>
      </c>
      <c r="BF467" s="1">
        <v>30.4</v>
      </c>
      <c r="BG467" s="1">
        <v>14.2</v>
      </c>
      <c r="BH467" s="1" t="s">
        <v>933</v>
      </c>
    </row>
    <row r="468">
      <c r="A468" s="1">
        <v>13161.0</v>
      </c>
      <c r="B468" s="2" t="str">
        <f>IFERROR(__xludf.DUMMYFUNCTION("TO_TEXT(A468)"),"13161")</f>
        <v>13161</v>
      </c>
      <c r="C468" s="1">
        <v>14953.0</v>
      </c>
      <c r="D468" s="1">
        <v>330.769957130016</v>
      </c>
      <c r="E468" s="1" t="s">
        <v>934</v>
      </c>
      <c r="F468" s="1" t="s">
        <v>935</v>
      </c>
      <c r="G468" s="1">
        <v>45.2066449134084</v>
      </c>
      <c r="H468" s="1">
        <v>21.367238385</v>
      </c>
      <c r="I468" s="1">
        <v>4.2454789749</v>
      </c>
      <c r="J468" s="1">
        <v>9.7765363128</v>
      </c>
      <c r="K468" s="1">
        <v>19.4255461379999</v>
      </c>
      <c r="L468" s="1">
        <v>31.0</v>
      </c>
      <c r="M468" s="1">
        <v>7.7</v>
      </c>
      <c r="N468" s="1">
        <v>33.6</v>
      </c>
      <c r="O468" s="1">
        <v>63.870453942</v>
      </c>
      <c r="P468" s="1">
        <v>18.814743435</v>
      </c>
      <c r="Q468" s="1">
        <v>26.6223</v>
      </c>
      <c r="R468" s="1">
        <v>90.366972477</v>
      </c>
      <c r="S468" s="1">
        <v>30.9</v>
      </c>
      <c r="T468" s="1">
        <v>4036.0</v>
      </c>
      <c r="U468" s="1">
        <v>39.296333003</v>
      </c>
      <c r="V468" s="1">
        <v>347.83772033</v>
      </c>
      <c r="W468" s="1">
        <v>14.956855225</v>
      </c>
      <c r="X468" s="1">
        <v>9.9</v>
      </c>
      <c r="Y468" s="1">
        <v>72.990241731</v>
      </c>
      <c r="Z468" s="1">
        <v>24.3</v>
      </c>
      <c r="AA468" s="1">
        <v>5.75225789179999</v>
      </c>
      <c r="AB468" s="1">
        <v>37211.0</v>
      </c>
      <c r="AC468" s="1">
        <v>76.986913501</v>
      </c>
      <c r="AD468" s="1">
        <v>68.159392789</v>
      </c>
      <c r="AE468" s="1">
        <v>11.286254729</v>
      </c>
      <c r="AF468" s="1">
        <v>14.565173997</v>
      </c>
      <c r="AG468" s="1">
        <v>0.8250715284</v>
      </c>
      <c r="AH468" s="1">
        <v>0.6919954754</v>
      </c>
      <c r="AI468" s="1">
        <v>0.1064608424</v>
      </c>
      <c r="AJ468" s="1">
        <v>12.216381662</v>
      </c>
      <c r="AK468" s="1">
        <v>71.308802981</v>
      </c>
      <c r="AL468" s="1">
        <v>2.2414780865</v>
      </c>
      <c r="AM468" s="1">
        <v>50.708629982</v>
      </c>
      <c r="AN468" s="1">
        <v>69.511547651</v>
      </c>
      <c r="AO468" s="1">
        <v>17981.0</v>
      </c>
      <c r="AP468" s="1">
        <v>20.7</v>
      </c>
      <c r="AQ468" s="1">
        <v>5.3</v>
      </c>
      <c r="AR468" s="1">
        <v>21.6</v>
      </c>
      <c r="AS468" s="1">
        <v>13.9</v>
      </c>
      <c r="AT468" s="1">
        <v>27.5</v>
      </c>
      <c r="AU468" s="1">
        <v>17.5</v>
      </c>
      <c r="AV468" s="1">
        <v>28.2</v>
      </c>
      <c r="AW468" s="1">
        <v>3.0</v>
      </c>
      <c r="AX468" s="1">
        <v>0.8666</v>
      </c>
      <c r="AY468" s="1">
        <v>21.2</v>
      </c>
      <c r="AZ468" s="1">
        <v>14.6</v>
      </c>
      <c r="BA468" s="1">
        <v>20.9</v>
      </c>
      <c r="BB468" s="1">
        <v>2.87</v>
      </c>
      <c r="BC468" s="1" t="s">
        <v>798</v>
      </c>
      <c r="BD468" s="1">
        <v>20.7</v>
      </c>
      <c r="BE468" s="1">
        <v>38.7</v>
      </c>
      <c r="BF468" s="1">
        <v>30.3</v>
      </c>
      <c r="BG468" s="1">
        <v>10.3</v>
      </c>
      <c r="BH468" s="1" t="s">
        <v>935</v>
      </c>
    </row>
    <row r="469">
      <c r="A469" s="1">
        <v>13163.0</v>
      </c>
      <c r="B469" s="2" t="str">
        <f>IFERROR(__xludf.DUMMYFUNCTION("TO_TEXT(A469)"),"13163")</f>
        <v>13163</v>
      </c>
      <c r="C469" s="1">
        <v>16201.0</v>
      </c>
      <c r="D469" s="1">
        <v>526.48448447973</v>
      </c>
      <c r="E469" s="1" t="s">
        <v>132</v>
      </c>
      <c r="F469" s="1" t="s">
        <v>936</v>
      </c>
      <c r="G469" s="1">
        <v>30.7720369309834</v>
      </c>
      <c r="H469" s="1">
        <v>23.97474544</v>
      </c>
      <c r="I469" s="1">
        <v>4.279680161</v>
      </c>
      <c r="J469" s="1">
        <v>11.290322581</v>
      </c>
      <c r="K469" s="1">
        <v>20.476111137</v>
      </c>
      <c r="L469" s="1">
        <v>28.7</v>
      </c>
      <c r="M469" s="1">
        <v>6.5</v>
      </c>
      <c r="N469" s="1">
        <v>22.3</v>
      </c>
      <c r="O469" s="1">
        <v>50.088600118</v>
      </c>
      <c r="P469" s="1">
        <v>16.340027422</v>
      </c>
      <c r="Q469" s="1">
        <v>31.95297</v>
      </c>
      <c r="R469" s="1">
        <v>87.447698745</v>
      </c>
      <c r="S469" s="1">
        <v>35.2</v>
      </c>
      <c r="T469" s="1">
        <v>3745.0</v>
      </c>
      <c r="U469" s="1">
        <v>47.369826435</v>
      </c>
      <c r="V469" s="1">
        <v>508.22692332</v>
      </c>
      <c r="W469" s="1">
        <v>16.396242528</v>
      </c>
      <c r="X469" s="1">
        <v>15.3333333329999</v>
      </c>
      <c r="Y469" s="1">
        <v>72.942846817</v>
      </c>
      <c r="Z469" s="1">
        <v>22.2</v>
      </c>
      <c r="AA469" s="1">
        <v>2.5248052444</v>
      </c>
      <c r="AB469" s="1">
        <v>38274.0</v>
      </c>
      <c r="AC469" s="1">
        <v>100.0</v>
      </c>
      <c r="AD469" s="1">
        <v>65.94758424</v>
      </c>
      <c r="AE469" s="1">
        <v>16.725647234</v>
      </c>
      <c r="AF469" s="1">
        <v>52.4173687619999</v>
      </c>
      <c r="AG469" s="1">
        <v>0.2333117304</v>
      </c>
      <c r="AH469" s="1">
        <v>0.6351263772</v>
      </c>
      <c r="AI469" s="1">
        <v>0.0777705767999999</v>
      </c>
      <c r="AJ469" s="1">
        <v>3.7783538561</v>
      </c>
      <c r="AK469" s="1">
        <v>42.151652625</v>
      </c>
      <c r="AL469" s="1">
        <v>0.7258666305</v>
      </c>
      <c r="AM469" s="1">
        <v>51.736876215</v>
      </c>
      <c r="AN469" s="1">
        <v>80.667454223</v>
      </c>
      <c r="AO469" s="1">
        <v>16986.0</v>
      </c>
      <c r="AP469" s="1">
        <v>28.9</v>
      </c>
      <c r="AQ469" s="1">
        <v>13.3</v>
      </c>
      <c r="AR469" s="1">
        <v>25.5</v>
      </c>
      <c r="AS469" s="1">
        <v>16.9</v>
      </c>
      <c r="AT469" s="1">
        <v>25.0</v>
      </c>
      <c r="AU469" s="1">
        <v>16.9</v>
      </c>
      <c r="AV469" s="1">
        <v>58.3</v>
      </c>
      <c r="AW469" s="1">
        <v>0.3</v>
      </c>
      <c r="AX469" s="1">
        <v>0.9685</v>
      </c>
      <c r="AY469" s="1">
        <v>25.1</v>
      </c>
      <c r="AZ469" s="1">
        <v>16.9</v>
      </c>
      <c r="BA469" s="1">
        <v>25.8</v>
      </c>
      <c r="BB469" s="1">
        <v>2.99</v>
      </c>
      <c r="BC469" s="1" t="s">
        <v>798</v>
      </c>
      <c r="BD469" s="1">
        <v>23.6</v>
      </c>
      <c r="BE469" s="1">
        <v>41.8</v>
      </c>
      <c r="BF469" s="1">
        <v>24.7</v>
      </c>
      <c r="BG469" s="1">
        <v>9.9</v>
      </c>
      <c r="BH469" s="1" t="s">
        <v>936</v>
      </c>
    </row>
    <row r="470">
      <c r="A470" s="1">
        <v>13165.0</v>
      </c>
      <c r="B470" s="2" t="str">
        <f>IFERROR(__xludf.DUMMYFUNCTION("TO_TEXT(A470)"),"13165")</f>
        <v>13165</v>
      </c>
      <c r="C470" s="1">
        <v>9055.0</v>
      </c>
      <c r="D470" s="1">
        <v>347.279287142588</v>
      </c>
      <c r="E470" s="1" t="s">
        <v>937</v>
      </c>
      <c r="F470" s="1" t="s">
        <v>938</v>
      </c>
      <c r="G470" s="1">
        <v>26.0741147982204</v>
      </c>
      <c r="H470" s="1">
        <v>25.864055884</v>
      </c>
      <c r="I470" s="1">
        <v>4.4454285499</v>
      </c>
      <c r="J470" s="1">
        <v>12.278106509</v>
      </c>
      <c r="K470" s="1">
        <v>22.16803561</v>
      </c>
      <c r="L470" s="1">
        <v>35.1</v>
      </c>
      <c r="M470" s="1">
        <v>6.8</v>
      </c>
      <c r="N470" s="1">
        <v>30.6</v>
      </c>
      <c r="O470" s="1">
        <v>56.8585131889999</v>
      </c>
      <c r="P470" s="1">
        <v>15.672131148</v>
      </c>
      <c r="Q470" s="1">
        <v>34.21923</v>
      </c>
      <c r="R470" s="1">
        <v>80.0</v>
      </c>
      <c r="S470" s="1">
        <v>42.6</v>
      </c>
      <c r="T470" s="1">
        <v>2040.0</v>
      </c>
      <c r="U470" s="1">
        <v>53.774509804</v>
      </c>
      <c r="V470" s="1">
        <v>204.509002055</v>
      </c>
      <c r="W470" s="1">
        <v>23.628691983</v>
      </c>
      <c r="X470" s="1">
        <v>19.1977077359999</v>
      </c>
      <c r="Y470" s="1">
        <v>74.443169696</v>
      </c>
      <c r="Z470" s="1">
        <v>13.6</v>
      </c>
      <c r="AA470" s="1">
        <v>2.4884122144</v>
      </c>
      <c r="AB470" s="1">
        <v>31419.0</v>
      </c>
      <c r="AC470" s="1">
        <v>100.0</v>
      </c>
      <c r="AD470" s="1">
        <v>70.22587269</v>
      </c>
      <c r="AE470" s="1">
        <v>16.568047337</v>
      </c>
      <c r="AF470" s="1">
        <v>41.863411263</v>
      </c>
      <c r="AG470" s="1">
        <v>0.4606702753</v>
      </c>
      <c r="AH470" s="1">
        <v>0.5988713578</v>
      </c>
      <c r="AI470" s="1">
        <v>0.2303351376</v>
      </c>
      <c r="AJ470" s="1">
        <v>5.62017735809999</v>
      </c>
      <c r="AK470" s="1">
        <v>50.823448117</v>
      </c>
      <c r="AL470" s="1">
        <v>3.071297989</v>
      </c>
      <c r="AM470" s="1">
        <v>46.3549464469999</v>
      </c>
      <c r="AN470" s="1">
        <v>66.103117506</v>
      </c>
      <c r="AO470" s="1">
        <v>18288.0</v>
      </c>
      <c r="AP470" s="1">
        <v>28.3</v>
      </c>
      <c r="AQ470" s="1">
        <v>6.2</v>
      </c>
      <c r="AR470" s="1">
        <v>22.2</v>
      </c>
      <c r="AS470" s="1">
        <v>17.7</v>
      </c>
      <c r="AT470" s="1">
        <v>23.1</v>
      </c>
      <c r="AU470" s="1">
        <v>17.2</v>
      </c>
      <c r="AV470" s="1">
        <v>40.7</v>
      </c>
      <c r="AW470" s="1">
        <v>1.2</v>
      </c>
      <c r="AX470" s="1">
        <v>0.8691</v>
      </c>
      <c r="AY470" s="1">
        <v>29.0</v>
      </c>
      <c r="AZ470" s="1">
        <v>17.2</v>
      </c>
      <c r="BA470" s="1">
        <v>25.3</v>
      </c>
      <c r="BB470" s="1">
        <v>3.03</v>
      </c>
      <c r="BC470" s="1" t="s">
        <v>798</v>
      </c>
      <c r="BD470" s="1">
        <v>20.7</v>
      </c>
      <c r="BE470" s="1">
        <v>44.8</v>
      </c>
      <c r="BF470" s="1">
        <v>26.6</v>
      </c>
      <c r="BG470" s="1">
        <v>7.9</v>
      </c>
      <c r="BH470" s="1" t="s">
        <v>938</v>
      </c>
    </row>
    <row r="471">
      <c r="A471" s="1">
        <v>13167.0</v>
      </c>
      <c r="B471" s="2" t="str">
        <f>IFERROR(__xludf.DUMMYFUNCTION("TO_TEXT(A471)"),"13167")</f>
        <v>13167</v>
      </c>
      <c r="C471" s="1">
        <v>9694.0</v>
      </c>
      <c r="D471" s="1">
        <v>303.01027236915</v>
      </c>
      <c r="E471" s="1" t="s">
        <v>347</v>
      </c>
      <c r="F471" s="1" t="s">
        <v>939</v>
      </c>
      <c r="G471" s="1">
        <v>31.9923147298123</v>
      </c>
      <c r="H471" s="1">
        <v>20.060213238</v>
      </c>
      <c r="I471" s="1">
        <v>3.9264603442</v>
      </c>
      <c r="J471" s="1">
        <v>9.0766823161</v>
      </c>
      <c r="K471" s="1">
        <v>18.355068669</v>
      </c>
      <c r="L471" s="1">
        <v>41.6</v>
      </c>
      <c r="M471" s="1">
        <v>7.3</v>
      </c>
      <c r="N471" s="1">
        <v>42.1</v>
      </c>
      <c r="O471" s="1">
        <v>0.0501002004</v>
      </c>
      <c r="P471" s="1">
        <v>16.1630469</v>
      </c>
      <c r="Q471" s="1">
        <v>51.08296</v>
      </c>
      <c r="R471" s="1">
        <v>93.258426966</v>
      </c>
      <c r="S471" s="1">
        <v>32.9</v>
      </c>
      <c r="T471" s="1">
        <v>1907.0</v>
      </c>
      <c r="U471" s="1">
        <v>40.744625066</v>
      </c>
      <c r="V471" s="1">
        <v>373.6521832</v>
      </c>
      <c r="W471" s="1">
        <v>17.350157729</v>
      </c>
      <c r="X471" s="1">
        <v>12.887438825</v>
      </c>
      <c r="Y471" s="1">
        <v>75.604307624</v>
      </c>
      <c r="Z471" s="1">
        <v>14.7</v>
      </c>
      <c r="AA471" s="1">
        <v>3.1023411815</v>
      </c>
      <c r="AB471" s="1">
        <v>34849.0</v>
      </c>
      <c r="AC471" s="1">
        <v>100.0</v>
      </c>
      <c r="AD471" s="1">
        <v>68.223742934</v>
      </c>
      <c r="AE471" s="1">
        <v>10.003425831</v>
      </c>
      <c r="AF471" s="1">
        <v>33.745364648</v>
      </c>
      <c r="AG471" s="1">
        <v>0.4326328801</v>
      </c>
      <c r="AH471" s="1">
        <v>0.4326328801</v>
      </c>
      <c r="AI471" s="1">
        <v>0.0309023486</v>
      </c>
      <c r="AJ471" s="1">
        <v>2.5957972806</v>
      </c>
      <c r="AK471" s="1">
        <v>62.17552534</v>
      </c>
      <c r="AL471" s="1">
        <v>0.0870132694999999</v>
      </c>
      <c r="AM471" s="1">
        <v>43.953440461</v>
      </c>
      <c r="AN471" s="1">
        <v>65.410821643</v>
      </c>
      <c r="AO471" s="1">
        <v>16693.0</v>
      </c>
      <c r="AP471" s="1">
        <v>25.2</v>
      </c>
      <c r="AQ471" s="1">
        <v>9.3</v>
      </c>
      <c r="AR471" s="1">
        <v>25.7</v>
      </c>
      <c r="AS471" s="1">
        <v>15.5</v>
      </c>
      <c r="AT471" s="1">
        <v>20.9</v>
      </c>
      <c r="AU471" s="1">
        <v>17.9</v>
      </c>
      <c r="AV471" s="1">
        <v>37.6</v>
      </c>
      <c r="AW471" s="1">
        <v>0.0</v>
      </c>
      <c r="AX471" s="1">
        <v>0.8733</v>
      </c>
      <c r="AY471" s="1">
        <v>24.2</v>
      </c>
      <c r="AZ471" s="1">
        <v>15.9</v>
      </c>
      <c r="BA471" s="1">
        <v>22.5</v>
      </c>
      <c r="BB471" s="1">
        <v>2.93</v>
      </c>
      <c r="BC471" s="1" t="s">
        <v>798</v>
      </c>
      <c r="BD471" s="1">
        <v>24.9</v>
      </c>
      <c r="BE471" s="1">
        <v>45.9</v>
      </c>
      <c r="BF471" s="1">
        <v>20.1</v>
      </c>
      <c r="BG471" s="1">
        <v>9.1</v>
      </c>
      <c r="BH471" s="1" t="s">
        <v>939</v>
      </c>
    </row>
    <row r="472">
      <c r="A472" s="1">
        <v>13169.0</v>
      </c>
      <c r="B472" s="2" t="str">
        <f>IFERROR(__xludf.DUMMYFUNCTION("TO_TEXT(A472)"),"13169")</f>
        <v>13169</v>
      </c>
      <c r="C472" s="1">
        <v>28701.0</v>
      </c>
      <c r="D472" s="1">
        <v>393.93666016187</v>
      </c>
      <c r="E472" s="1" t="s">
        <v>940</v>
      </c>
      <c r="F472" s="1" t="s">
        <v>941</v>
      </c>
      <c r="G472" s="1">
        <v>72.8568902122657</v>
      </c>
      <c r="H472" s="1">
        <v>16.790457822</v>
      </c>
      <c r="I472" s="1">
        <v>3.7941289053</v>
      </c>
      <c r="J472" s="1">
        <v>7.9003558719</v>
      </c>
      <c r="K472" s="1">
        <v>16.138475915</v>
      </c>
      <c r="L472" s="1">
        <v>34.7</v>
      </c>
      <c r="M472" s="1">
        <v>8.1</v>
      </c>
      <c r="N472" s="1">
        <v>33.2</v>
      </c>
      <c r="O472" s="1">
        <v>63.409955004</v>
      </c>
      <c r="P472" s="1">
        <v>12.936362474</v>
      </c>
      <c r="Q472" s="1">
        <v>24.58728</v>
      </c>
      <c r="R472" s="1">
        <v>87.765957447</v>
      </c>
      <c r="S472" s="1">
        <v>20.6</v>
      </c>
      <c r="T472" s="1">
        <v>6717.0</v>
      </c>
      <c r="U472" s="1">
        <v>35.194283162</v>
      </c>
      <c r="V472" s="1">
        <v>98.922451864</v>
      </c>
      <c r="W472" s="1">
        <v>9.79257115289999</v>
      </c>
      <c r="X472" s="1">
        <v>8.72350911779999</v>
      </c>
      <c r="Y472" s="1">
        <v>78.284891048</v>
      </c>
      <c r="Z472" s="1">
        <v>20.2</v>
      </c>
      <c r="AA472" s="1">
        <v>3.5553679305</v>
      </c>
      <c r="AB472" s="1">
        <v>55737.0</v>
      </c>
      <c r="AC472" s="1">
        <v>49.334319527</v>
      </c>
      <c r="AD472" s="1">
        <v>80.114176974</v>
      </c>
      <c r="AE472" s="1">
        <v>11.689223058</v>
      </c>
      <c r="AF472" s="1">
        <v>24.909141739</v>
      </c>
      <c r="AG472" s="1">
        <v>0.3529493989</v>
      </c>
      <c r="AH472" s="1">
        <v>0.6290187308</v>
      </c>
      <c r="AI472" s="1">
        <v>0.0174727425</v>
      </c>
      <c r="AJ472" s="1">
        <v>1.7787251887</v>
      </c>
      <c r="AK472" s="1">
        <v>71.19094213</v>
      </c>
      <c r="AL472" s="1">
        <v>0.0</v>
      </c>
      <c r="AM472" s="1">
        <v>51.61098686</v>
      </c>
      <c r="AN472" s="1">
        <v>67.714255816</v>
      </c>
      <c r="AO472" s="1">
        <v>26602.0</v>
      </c>
      <c r="AP472" s="1">
        <v>13.7</v>
      </c>
      <c r="AQ472" s="1">
        <v>8.0</v>
      </c>
      <c r="AR472" s="1">
        <v>12.5</v>
      </c>
      <c r="AS472" s="1">
        <v>15.8</v>
      </c>
      <c r="AT472" s="1">
        <v>24.2</v>
      </c>
      <c r="AU472" s="1">
        <v>14.5</v>
      </c>
      <c r="AV472" s="1">
        <v>27.8</v>
      </c>
      <c r="AW472" s="1">
        <v>0.1</v>
      </c>
      <c r="AX472" s="1">
        <v>0.29</v>
      </c>
      <c r="AY472" s="1">
        <v>12.8</v>
      </c>
      <c r="AZ472" s="1">
        <v>11.9</v>
      </c>
      <c r="BA472" s="1">
        <v>17.6</v>
      </c>
      <c r="BB472" s="1">
        <v>2.9</v>
      </c>
      <c r="BC472" s="1" t="s">
        <v>798</v>
      </c>
      <c r="BD472" s="1">
        <v>10.9</v>
      </c>
      <c r="BE472" s="1">
        <v>39.2</v>
      </c>
      <c r="BF472" s="1">
        <v>30.3</v>
      </c>
      <c r="BG472" s="1">
        <v>19.6</v>
      </c>
      <c r="BH472" s="1" t="s">
        <v>941</v>
      </c>
    </row>
    <row r="473">
      <c r="A473" s="1">
        <v>13171.0</v>
      </c>
      <c r="B473" s="2" t="str">
        <f>IFERROR(__xludf.DUMMYFUNCTION("TO_TEXT(A473)"),"13171")</f>
        <v>13171</v>
      </c>
      <c r="C473" s="1">
        <v>18195.0</v>
      </c>
      <c r="D473" s="1">
        <v>183.499907566948</v>
      </c>
      <c r="E473" s="1" t="s">
        <v>134</v>
      </c>
      <c r="F473" s="1" t="s">
        <v>942</v>
      </c>
      <c r="G473" s="1">
        <v>99.1553632982717</v>
      </c>
      <c r="H473" s="1">
        <v>18.784217011</v>
      </c>
      <c r="I473" s="1">
        <v>4.08182548</v>
      </c>
      <c r="J473" s="1">
        <v>12.052593134</v>
      </c>
      <c r="K473" s="1">
        <v>17.7387572759999</v>
      </c>
      <c r="L473" s="1">
        <v>32.2</v>
      </c>
      <c r="M473" s="1">
        <v>7.3</v>
      </c>
      <c r="N473" s="1">
        <v>34.1</v>
      </c>
      <c r="O473" s="1">
        <v>50.821641098</v>
      </c>
      <c r="P473" s="1">
        <v>14.84304622</v>
      </c>
      <c r="Q473" s="1">
        <v>43.01307</v>
      </c>
      <c r="R473" s="1">
        <v>86.979166667</v>
      </c>
      <c r="S473" s="1">
        <v>24.3</v>
      </c>
      <c r="T473" s="1">
        <v>3809.0</v>
      </c>
      <c r="U473" s="1">
        <v>31.924389604</v>
      </c>
      <c r="V473" s="1">
        <v>495.52339659</v>
      </c>
      <c r="W473" s="1">
        <v>15.035799523</v>
      </c>
      <c r="X473" s="1">
        <v>14.450867052</v>
      </c>
      <c r="Y473" s="1">
        <v>74.319640401</v>
      </c>
      <c r="Z473" s="1">
        <v>20.7</v>
      </c>
      <c r="AA473" s="1">
        <v>2.9775375439</v>
      </c>
      <c r="AB473" s="1">
        <v>48323.0</v>
      </c>
      <c r="AC473" s="1">
        <v>72.325408618</v>
      </c>
      <c r="AD473" s="1">
        <v>69.4723618089999</v>
      </c>
      <c r="AE473" s="1">
        <v>13.602187286</v>
      </c>
      <c r="AF473" s="1">
        <v>30.310526316</v>
      </c>
      <c r="AG473" s="1">
        <v>0.3789473684</v>
      </c>
      <c r="AH473" s="1">
        <v>0.7684210526</v>
      </c>
      <c r="AI473" s="1">
        <v>0.0368421053</v>
      </c>
      <c r="AJ473" s="1">
        <v>2.4789473684</v>
      </c>
      <c r="AK473" s="1">
        <v>64.557894737</v>
      </c>
      <c r="AL473" s="1">
        <v>0.0742899594</v>
      </c>
      <c r="AM473" s="1">
        <v>51.842105263</v>
      </c>
      <c r="AN473" s="1">
        <v>60.872413605</v>
      </c>
      <c r="AO473" s="1">
        <v>19143.0</v>
      </c>
      <c r="AP473" s="1">
        <v>22.2</v>
      </c>
      <c r="AQ473" s="1">
        <v>13.0</v>
      </c>
      <c r="AR473" s="1">
        <v>16.0</v>
      </c>
      <c r="AS473" s="1">
        <v>16.0</v>
      </c>
      <c r="AT473" s="1">
        <v>21.0</v>
      </c>
      <c r="AU473" s="1">
        <v>15.8</v>
      </c>
      <c r="AV473" s="1">
        <v>35.0</v>
      </c>
      <c r="AW473" s="1">
        <v>0.1</v>
      </c>
      <c r="AX473" s="1">
        <v>0.6192</v>
      </c>
      <c r="AY473" s="1">
        <v>14.8</v>
      </c>
      <c r="AZ473" s="1">
        <v>14.6</v>
      </c>
      <c r="BA473" s="1">
        <v>19.6</v>
      </c>
      <c r="BB473" s="1">
        <v>2.88</v>
      </c>
      <c r="BC473" s="1" t="s">
        <v>798</v>
      </c>
      <c r="BD473" s="1">
        <v>13.0</v>
      </c>
      <c r="BE473" s="1">
        <v>39.4</v>
      </c>
      <c r="BF473" s="1">
        <v>31.8</v>
      </c>
      <c r="BG473" s="1">
        <v>15.8</v>
      </c>
      <c r="BH473" s="1" t="s">
        <v>942</v>
      </c>
    </row>
    <row r="474">
      <c r="A474" s="1">
        <v>13173.0</v>
      </c>
      <c r="B474" s="2" t="str">
        <f>IFERROR(__xludf.DUMMYFUNCTION("TO_TEXT(A474)"),"13173")</f>
        <v>13173</v>
      </c>
      <c r="C474" s="1">
        <v>10382.0</v>
      </c>
      <c r="D474" s="1">
        <v>185.291578376564</v>
      </c>
      <c r="E474" s="1" t="s">
        <v>943</v>
      </c>
      <c r="F474" s="1" t="s">
        <v>944</v>
      </c>
      <c r="G474" s="1">
        <v>56.0306091132803</v>
      </c>
      <c r="H474" s="1">
        <v>21.134834809</v>
      </c>
      <c r="I474" s="1">
        <v>4.22917939709999</v>
      </c>
      <c r="J474" s="1">
        <v>8.72313527179999</v>
      </c>
      <c r="K474" s="1">
        <v>20.48389383</v>
      </c>
      <c r="L474" s="1">
        <v>37.6</v>
      </c>
      <c r="M474" s="1">
        <v>7.1</v>
      </c>
      <c r="N474" s="1">
        <v>45.6</v>
      </c>
      <c r="O474" s="1">
        <v>55.715419726</v>
      </c>
      <c r="P474" s="1">
        <v>16.3880359379999</v>
      </c>
      <c r="Q474" s="1">
        <v>48.31939</v>
      </c>
      <c r="R474" s="1">
        <v>79.365079365</v>
      </c>
      <c r="S474" s="1">
        <v>30.7</v>
      </c>
      <c r="T474" s="1">
        <v>2642.0</v>
      </c>
      <c r="U474" s="1">
        <v>42.240726722</v>
      </c>
      <c r="V474" s="1">
        <v>383.38045718</v>
      </c>
      <c r="W474" s="1">
        <v>19.812583668</v>
      </c>
      <c r="X474" s="1">
        <v>18.731563422</v>
      </c>
      <c r="Y474" s="1">
        <v>76.299207982</v>
      </c>
      <c r="Z474" s="1">
        <v>32.7</v>
      </c>
      <c r="AA474" s="1">
        <v>2.454117493</v>
      </c>
      <c r="AB474" s="1">
        <v>41564.0</v>
      </c>
      <c r="AC474" s="1">
        <v>95.734870317</v>
      </c>
      <c r="AD474" s="1">
        <v>63.963480129</v>
      </c>
      <c r="AE474" s="1">
        <v>18.436109345</v>
      </c>
      <c r="AF474" s="1">
        <v>21.65377176</v>
      </c>
      <c r="AG474" s="1">
        <v>1.0154738878</v>
      </c>
      <c r="AH474" s="1">
        <v>1.2572533849</v>
      </c>
      <c r="AI474" s="1">
        <v>0.0386847195</v>
      </c>
      <c r="AJ474" s="1">
        <v>5.7930367505</v>
      </c>
      <c r="AK474" s="1">
        <v>68.32688588</v>
      </c>
      <c r="AL474" s="1">
        <v>0.1036162056</v>
      </c>
      <c r="AM474" s="1">
        <v>49.458413926</v>
      </c>
      <c r="AN474" s="1">
        <v>71.125223259</v>
      </c>
      <c r="AO474" s="1">
        <v>17403.0</v>
      </c>
      <c r="AP474" s="1">
        <v>28.2</v>
      </c>
      <c r="AQ474" s="1">
        <v>13.9</v>
      </c>
      <c r="AR474" s="1">
        <v>21.8</v>
      </c>
      <c r="AS474" s="1">
        <v>12.4</v>
      </c>
      <c r="AT474" s="1">
        <v>25.9</v>
      </c>
      <c r="AU474" s="1">
        <v>19.5</v>
      </c>
      <c r="AV474" s="1">
        <v>31.4</v>
      </c>
      <c r="AW474" s="1">
        <v>0.6</v>
      </c>
      <c r="AX474" s="1">
        <v>0.9481</v>
      </c>
      <c r="AY474" s="1">
        <v>18.5</v>
      </c>
      <c r="AZ474" s="1">
        <v>16.3</v>
      </c>
      <c r="BA474" s="1">
        <v>19.8</v>
      </c>
      <c r="BB474" s="1">
        <v>3.09</v>
      </c>
      <c r="BC474" s="1" t="s">
        <v>798</v>
      </c>
      <c r="BD474" s="1">
        <v>20.0</v>
      </c>
      <c r="BE474" s="1">
        <v>37.9</v>
      </c>
      <c r="BF474" s="1">
        <v>25.6</v>
      </c>
      <c r="BG474" s="1">
        <v>16.5</v>
      </c>
      <c r="BH474" s="1" t="s">
        <v>944</v>
      </c>
    </row>
    <row r="475">
      <c r="A475" s="1">
        <v>13175.0</v>
      </c>
      <c r="B475" s="2" t="str">
        <f>IFERROR(__xludf.DUMMYFUNCTION("TO_TEXT(A475)"),"13175")</f>
        <v>13175</v>
      </c>
      <c r="C475" s="1">
        <v>47802.0</v>
      </c>
      <c r="D475" s="1">
        <v>807.301665626548</v>
      </c>
      <c r="E475" s="1" t="s">
        <v>945</v>
      </c>
      <c r="F475" s="1" t="s">
        <v>946</v>
      </c>
      <c r="G475" s="1">
        <v>59.2120666106897</v>
      </c>
      <c r="H475" s="1">
        <v>23.565685878</v>
      </c>
      <c r="I475" s="1">
        <v>4.5303123064</v>
      </c>
      <c r="J475" s="1">
        <v>10.713476784</v>
      </c>
      <c r="K475" s="1">
        <v>20.00320028</v>
      </c>
      <c r="L475" s="1">
        <v>41.8</v>
      </c>
      <c r="M475" s="1">
        <v>6.5</v>
      </c>
      <c r="N475" s="1">
        <v>39.5</v>
      </c>
      <c r="O475" s="1">
        <v>52.975182723</v>
      </c>
      <c r="P475" s="1">
        <v>15.033620261</v>
      </c>
      <c r="Q475" s="1">
        <v>88.73864</v>
      </c>
      <c r="R475" s="1">
        <v>85.463258786</v>
      </c>
      <c r="S475" s="1">
        <v>34.7</v>
      </c>
      <c r="T475" s="1">
        <v>11612.0</v>
      </c>
      <c r="U475" s="1">
        <v>49.001033414</v>
      </c>
      <c r="V475" s="1">
        <v>358.92015678</v>
      </c>
      <c r="W475" s="1">
        <v>13.677639047</v>
      </c>
      <c r="X475" s="1">
        <v>12.65441398</v>
      </c>
      <c r="Y475" s="1">
        <v>74.566841786</v>
      </c>
      <c r="Z475" s="1">
        <v>16.5</v>
      </c>
      <c r="AA475" s="1">
        <v>5.4922397407</v>
      </c>
      <c r="AB475" s="1">
        <v>42114.0</v>
      </c>
      <c r="AC475" s="1">
        <v>79.864864865</v>
      </c>
      <c r="AD475" s="1">
        <v>62.689867893</v>
      </c>
      <c r="AE475" s="1">
        <v>12.796842172</v>
      </c>
      <c r="AF475" s="1">
        <v>36.993132594</v>
      </c>
      <c r="AG475" s="1">
        <v>0.3592181722</v>
      </c>
      <c r="AH475" s="1">
        <v>1.1431590069</v>
      </c>
      <c r="AI475" s="1">
        <v>0.0211304807</v>
      </c>
      <c r="AJ475" s="1">
        <v>2.7385103011</v>
      </c>
      <c r="AK475" s="1">
        <v>57.8277865819999</v>
      </c>
      <c r="AL475" s="1">
        <v>0.171724247</v>
      </c>
      <c r="AM475" s="1">
        <v>52.678288431</v>
      </c>
      <c r="AN475" s="1">
        <v>56.644092993</v>
      </c>
      <c r="AO475" s="1">
        <v>19826.0</v>
      </c>
      <c r="AP475" s="1">
        <v>27.7</v>
      </c>
      <c r="AQ475" s="1">
        <v>5.9</v>
      </c>
      <c r="AR475" s="1">
        <v>17.1</v>
      </c>
      <c r="AS475" s="1">
        <v>16.3</v>
      </c>
      <c r="AT475" s="1">
        <v>24.8</v>
      </c>
      <c r="AU475" s="1">
        <v>12.5</v>
      </c>
      <c r="AV475" s="1">
        <v>41.2</v>
      </c>
      <c r="AW475" s="1">
        <v>0.6</v>
      </c>
      <c r="AX475" s="1">
        <v>0.802</v>
      </c>
      <c r="AY475" s="1">
        <v>23.9</v>
      </c>
      <c r="AZ475" s="1">
        <v>17.0</v>
      </c>
      <c r="BA475" s="1">
        <v>23.1</v>
      </c>
      <c r="BB475" s="1">
        <v>3.06</v>
      </c>
      <c r="BC475" s="1" t="s">
        <v>798</v>
      </c>
      <c r="BD475" s="1">
        <v>14.1</v>
      </c>
      <c r="BE475" s="1">
        <v>43.1</v>
      </c>
      <c r="BF475" s="1">
        <v>26.5</v>
      </c>
      <c r="BG475" s="1">
        <v>16.2</v>
      </c>
      <c r="BH475" s="1" t="s">
        <v>946</v>
      </c>
    </row>
    <row r="476">
      <c r="A476" s="1">
        <v>13177.0</v>
      </c>
      <c r="B476" s="2" t="str">
        <f>IFERROR(__xludf.DUMMYFUNCTION("TO_TEXT(A476)"),"13177")</f>
        <v>13177</v>
      </c>
      <c r="C476" s="1">
        <v>29134.0</v>
      </c>
      <c r="D476" s="1">
        <v>355.879058610718</v>
      </c>
      <c r="E476" s="1" t="s">
        <v>140</v>
      </c>
      <c r="F476" s="1" t="s">
        <v>947</v>
      </c>
      <c r="G476" s="1">
        <v>81.8648900380185</v>
      </c>
      <c r="H476" s="1">
        <v>15.060225912</v>
      </c>
      <c r="I476" s="1">
        <v>3.6489676209</v>
      </c>
      <c r="J476" s="1">
        <v>8.5360459973</v>
      </c>
      <c r="K476" s="1">
        <v>15.883967596</v>
      </c>
      <c r="L476" s="1">
        <v>44.0</v>
      </c>
      <c r="M476" s="1">
        <v>8.3</v>
      </c>
      <c r="N476" s="1">
        <v>23.6</v>
      </c>
      <c r="O476" s="1">
        <v>54.180507456</v>
      </c>
      <c r="P476" s="1">
        <v>12.776500436</v>
      </c>
      <c r="Q476" s="1">
        <v>67.86563</v>
      </c>
      <c r="R476" s="1">
        <v>87.5</v>
      </c>
      <c r="S476" s="1">
        <v>18.0</v>
      </c>
      <c r="T476" s="1">
        <v>7690.0</v>
      </c>
      <c r="U476" s="1">
        <v>27.425227568</v>
      </c>
      <c r="V476" s="1">
        <v>174.70099253</v>
      </c>
      <c r="W476" s="1">
        <v>11.259259259</v>
      </c>
      <c r="X476" s="1">
        <v>10.639360639</v>
      </c>
      <c r="Y476" s="1">
        <v>76.695562289</v>
      </c>
      <c r="Z476" s="1">
        <v>25.3</v>
      </c>
      <c r="AA476" s="1">
        <v>3.7447431506</v>
      </c>
      <c r="AB476" s="1">
        <v>66090.0</v>
      </c>
      <c r="AC476" s="1">
        <v>42.44771495</v>
      </c>
      <c r="AD476" s="1">
        <v>72.368166892</v>
      </c>
      <c r="AE476" s="1">
        <v>10.452201507</v>
      </c>
      <c r="AF476" s="1">
        <v>21.757828249</v>
      </c>
      <c r="AG476" s="1">
        <v>0.3225372934</v>
      </c>
      <c r="AH476" s="1">
        <v>2.8524391883</v>
      </c>
      <c r="AI476" s="1">
        <v>0.0907136138</v>
      </c>
      <c r="AJ476" s="1">
        <v>2.9633113829</v>
      </c>
      <c r="AK476" s="1">
        <v>70.9447654889999</v>
      </c>
      <c r="AL476" s="1">
        <v>0.2213915</v>
      </c>
      <c r="AM476" s="1">
        <v>49.858889934</v>
      </c>
      <c r="AN476" s="1">
        <v>36.228708743</v>
      </c>
      <c r="AO476" s="1">
        <v>28175.0</v>
      </c>
      <c r="AP476" s="1">
        <v>11.9</v>
      </c>
      <c r="AQ476" s="1">
        <v>6.9</v>
      </c>
      <c r="AR476" s="1">
        <v>11.5</v>
      </c>
      <c r="AS476" s="1">
        <v>10.6</v>
      </c>
      <c r="AT476" s="1">
        <v>26.9</v>
      </c>
      <c r="AU476" s="1">
        <v>10.1</v>
      </c>
      <c r="AV476" s="1">
        <v>26.8</v>
      </c>
      <c r="AW476" s="1">
        <v>0.9</v>
      </c>
      <c r="AX476" s="1">
        <v>0.3018</v>
      </c>
      <c r="AY476" s="1">
        <v>9.3</v>
      </c>
      <c r="AZ476" s="1">
        <v>10.6</v>
      </c>
      <c r="BA476" s="1">
        <v>15.6</v>
      </c>
      <c r="BB476" s="1">
        <v>3.4</v>
      </c>
      <c r="BC476" s="1" t="s">
        <v>798</v>
      </c>
      <c r="BD476" s="1">
        <v>9.1</v>
      </c>
      <c r="BE476" s="1">
        <v>29.8</v>
      </c>
      <c r="BF476" s="1">
        <v>35.7</v>
      </c>
      <c r="BG476" s="1">
        <v>25.4</v>
      </c>
      <c r="BH476" s="1" t="s">
        <v>947</v>
      </c>
    </row>
    <row r="477">
      <c r="A477" s="1">
        <v>13179.0</v>
      </c>
      <c r="B477" s="2" t="str">
        <f>IFERROR(__xludf.DUMMYFUNCTION("TO_TEXT(A477)"),"13179")</f>
        <v>13179</v>
      </c>
      <c r="C477" s="1">
        <v>63949.0</v>
      </c>
      <c r="D477" s="1">
        <v>516.328633920344</v>
      </c>
      <c r="E477" s="1" t="s">
        <v>744</v>
      </c>
      <c r="F477" s="1" t="s">
        <v>948</v>
      </c>
      <c r="G477" s="1">
        <v>123.853289937559</v>
      </c>
      <c r="H477" s="1">
        <v>21.679645653</v>
      </c>
      <c r="I477" s="1">
        <v>3.8756083467</v>
      </c>
      <c r="J477" s="1">
        <v>8.7142163998</v>
      </c>
      <c r="K477" s="1">
        <v>18.919600826</v>
      </c>
      <c r="L477" s="1">
        <v>37.6</v>
      </c>
      <c r="M477" s="1">
        <v>5.5</v>
      </c>
      <c r="N477" s="1">
        <v>35.2</v>
      </c>
      <c r="O477" s="1">
        <v>69.096811813</v>
      </c>
      <c r="P477" s="1">
        <v>12.08328698</v>
      </c>
      <c r="Q477" s="1">
        <v>39.09686</v>
      </c>
      <c r="R477" s="1">
        <v>84.978540773</v>
      </c>
      <c r="S477" s="1">
        <v>22.7</v>
      </c>
      <c r="T477" s="1">
        <v>17548.0</v>
      </c>
      <c r="U477" s="1">
        <v>40.53453385</v>
      </c>
      <c r="V477" s="1">
        <v>478.32962261</v>
      </c>
      <c r="W477" s="1">
        <v>17.142230026</v>
      </c>
      <c r="X477" s="1">
        <v>15.689346464</v>
      </c>
      <c r="Y477" s="1">
        <v>75.990459517</v>
      </c>
      <c r="Z477" s="1">
        <v>13.0</v>
      </c>
      <c r="AA477" s="1">
        <v>21.606699186</v>
      </c>
      <c r="AB477" s="1">
        <v>47685.0</v>
      </c>
      <c r="AC477" s="1">
        <v>67.0506912439999</v>
      </c>
      <c r="AD477" s="1">
        <v>44.473140496</v>
      </c>
      <c r="AE477" s="1">
        <v>15.872588605</v>
      </c>
      <c r="AF477" s="1">
        <v>42.148397483</v>
      </c>
      <c r="AG477" s="1">
        <v>0.715482055999999</v>
      </c>
      <c r="AH477" s="1">
        <v>2.1838463665</v>
      </c>
      <c r="AI477" s="1">
        <v>0.6325511814</v>
      </c>
      <c r="AJ477" s="1">
        <v>12.755093744</v>
      </c>
      <c r="AK477" s="1">
        <v>38.193733028</v>
      </c>
      <c r="AL477" s="1">
        <v>1.5140655796</v>
      </c>
      <c r="AM477" s="1">
        <v>49.317852903</v>
      </c>
      <c r="AN477" s="1">
        <v>23.160449467</v>
      </c>
      <c r="AO477" s="1">
        <v>20065.0</v>
      </c>
      <c r="AP477" s="1">
        <v>16.9</v>
      </c>
      <c r="AQ477" s="1">
        <v>13.0</v>
      </c>
      <c r="AR477" s="1">
        <v>10.3</v>
      </c>
      <c r="AS477" s="1">
        <v>7.5</v>
      </c>
      <c r="AT477" s="1">
        <v>28.6</v>
      </c>
      <c r="AU477" s="1">
        <v>12.7</v>
      </c>
      <c r="AV477" s="1">
        <v>58.7</v>
      </c>
      <c r="AW477" s="1">
        <v>1.4</v>
      </c>
      <c r="AX477" s="1">
        <v>0.8106</v>
      </c>
      <c r="AY477" s="1">
        <v>14.5</v>
      </c>
      <c r="AZ477" s="1">
        <v>14.4</v>
      </c>
      <c r="BA477" s="1">
        <v>17.3</v>
      </c>
      <c r="BB477" s="1">
        <v>3.0</v>
      </c>
      <c r="BC477" s="1" t="s">
        <v>798</v>
      </c>
      <c r="BD477" s="1">
        <v>9.3</v>
      </c>
      <c r="BE477" s="1">
        <v>31.6</v>
      </c>
      <c r="BF477" s="1">
        <v>40.9</v>
      </c>
      <c r="BG477" s="1">
        <v>18.3</v>
      </c>
      <c r="BH477" s="1" t="s">
        <v>948</v>
      </c>
    </row>
    <row r="478">
      <c r="A478" s="1">
        <v>13181.0</v>
      </c>
      <c r="B478" s="2" t="str">
        <f>IFERROR(__xludf.DUMMYFUNCTION("TO_TEXT(A478)"),"13181")</f>
        <v>13181</v>
      </c>
      <c r="C478" s="1">
        <v>7712.0</v>
      </c>
      <c r="D478" s="1">
        <v>210.379561622274</v>
      </c>
      <c r="E478" s="1" t="s">
        <v>353</v>
      </c>
      <c r="F478" s="1" t="s">
        <v>949</v>
      </c>
      <c r="G478" s="1">
        <v>36.6575533313759</v>
      </c>
      <c r="H478" s="1">
        <v>18.760430356</v>
      </c>
      <c r="I478" s="1">
        <v>4.0116629033</v>
      </c>
      <c r="J478" s="1">
        <v>10.1102941179999</v>
      </c>
      <c r="K478" s="1">
        <v>17.112047677</v>
      </c>
      <c r="L478" s="1">
        <v>24.2</v>
      </c>
      <c r="M478" s="1">
        <v>7.3</v>
      </c>
      <c r="N478" s="1">
        <v>32.3</v>
      </c>
      <c r="O478" s="1">
        <v>87.88144072</v>
      </c>
      <c r="P478" s="1">
        <v>16.456547319</v>
      </c>
      <c r="Q478" s="1">
        <v>25.38071</v>
      </c>
      <c r="R478" s="1">
        <v>84.615384615</v>
      </c>
      <c r="S478" s="1">
        <v>25.4</v>
      </c>
      <c r="T478" s="1">
        <v>1520.0</v>
      </c>
      <c r="U478" s="1">
        <v>47.5</v>
      </c>
      <c r="V478" s="1">
        <v>417.64552336</v>
      </c>
      <c r="W478" s="1">
        <v>13.0246020259999</v>
      </c>
      <c r="X478" s="1">
        <v>12.197962154</v>
      </c>
      <c r="Y478" s="1">
        <v>77.1649265189999</v>
      </c>
      <c r="Z478" s="1">
        <v>16.8</v>
      </c>
      <c r="AA478" s="1">
        <v>2.7983914872</v>
      </c>
      <c r="AB478" s="1">
        <v>46967.0</v>
      </c>
      <c r="AC478" s="1">
        <v>66.666666667</v>
      </c>
      <c r="AD478" s="1">
        <v>72.34228972</v>
      </c>
      <c r="AE478" s="1">
        <v>16.211000322</v>
      </c>
      <c r="AF478" s="1">
        <v>28.982943778</v>
      </c>
      <c r="AG478" s="1">
        <v>0.5432722678</v>
      </c>
      <c r="AH478" s="1">
        <v>0.4674668351</v>
      </c>
      <c r="AI478" s="1">
        <v>0.0631711938999999</v>
      </c>
      <c r="AJ478" s="1">
        <v>1.958307012</v>
      </c>
      <c r="AK478" s="1">
        <v>66.519267214</v>
      </c>
      <c r="AL478" s="1">
        <v>0.3100148268</v>
      </c>
      <c r="AM478" s="1">
        <v>51.535060013</v>
      </c>
      <c r="AN478" s="1">
        <v>100.0</v>
      </c>
      <c r="AO478" s="1">
        <v>23582.0</v>
      </c>
      <c r="AP478" s="1">
        <v>25.4</v>
      </c>
      <c r="AQ478" s="1">
        <v>9.1</v>
      </c>
      <c r="AR478" s="1">
        <v>16.6</v>
      </c>
      <c r="AS478" s="1">
        <v>20.5</v>
      </c>
      <c r="AT478" s="1">
        <v>19.5</v>
      </c>
      <c r="AU478" s="1">
        <v>17.0</v>
      </c>
      <c r="AV478" s="1">
        <v>34.7</v>
      </c>
      <c r="AW478" s="1">
        <v>0.3</v>
      </c>
      <c r="AX478" s="1">
        <v>0.6988</v>
      </c>
      <c r="AY478" s="1">
        <v>17.3</v>
      </c>
      <c r="AZ478" s="1">
        <v>15.2</v>
      </c>
      <c r="BA478" s="1">
        <v>23.8</v>
      </c>
      <c r="BB478" s="1">
        <v>3.06</v>
      </c>
      <c r="BC478" s="1" t="s">
        <v>798</v>
      </c>
      <c r="BD478" s="1">
        <v>17.9</v>
      </c>
      <c r="BE478" s="1">
        <v>39.7</v>
      </c>
      <c r="BF478" s="1">
        <v>26.6</v>
      </c>
      <c r="BG478" s="1">
        <v>15.9</v>
      </c>
      <c r="BH478" s="1" t="s">
        <v>949</v>
      </c>
    </row>
    <row r="479">
      <c r="A479" s="1">
        <v>13183.0</v>
      </c>
      <c r="B479" s="2" t="str">
        <f>IFERROR(__xludf.DUMMYFUNCTION("TO_TEXT(A479)"),"13183")</f>
        <v>13183</v>
      </c>
      <c r="C479" s="1">
        <v>17243.0</v>
      </c>
      <c r="D479" s="1">
        <v>400.424520099544</v>
      </c>
      <c r="E479" s="1" t="s">
        <v>950</v>
      </c>
      <c r="F479" s="1" t="s">
        <v>951</v>
      </c>
      <c r="G479" s="1">
        <v>43.0617985025329</v>
      </c>
      <c r="H479" s="1">
        <v>20.3638041229999</v>
      </c>
      <c r="I479" s="1">
        <v>4.0060790181</v>
      </c>
      <c r="J479" s="1">
        <v>9.2459016393</v>
      </c>
      <c r="K479" s="1">
        <v>19.516502065</v>
      </c>
      <c r="L479" s="1">
        <v>34.3</v>
      </c>
      <c r="M479" s="1">
        <v>7.7</v>
      </c>
      <c r="N479" s="1">
        <v>28.8</v>
      </c>
      <c r="O479" s="1">
        <v>12.589878319</v>
      </c>
      <c r="P479" s="1">
        <v>16.353205583</v>
      </c>
      <c r="Q479" s="1">
        <v>48.31939</v>
      </c>
      <c r="R479" s="1">
        <v>92.372881356</v>
      </c>
      <c r="S479" s="1">
        <v>23.7</v>
      </c>
      <c r="T479" s="1">
        <v>5033.0</v>
      </c>
      <c r="U479" s="1">
        <v>30.0019868869999</v>
      </c>
      <c r="V479" s="1">
        <v>95.47611693</v>
      </c>
      <c r="W479" s="1">
        <v>13.6231884059999</v>
      </c>
      <c r="X479" s="1">
        <v>10.609037328</v>
      </c>
      <c r="Y479" s="1">
        <v>80.728297357</v>
      </c>
      <c r="Z479" s="1">
        <v>9.1</v>
      </c>
      <c r="AA479" s="1">
        <v>4.5295129308</v>
      </c>
      <c r="AB479" s="1">
        <v>46428.0</v>
      </c>
      <c r="AC479" s="1">
        <v>74.044157243</v>
      </c>
      <c r="AD479" s="1">
        <v>69.594715229</v>
      </c>
      <c r="AE479" s="1">
        <v>9.5112781955</v>
      </c>
      <c r="AF479" s="1">
        <v>25.6869144119999</v>
      </c>
      <c r="AG479" s="1">
        <v>0.8106116433</v>
      </c>
      <c r="AH479" s="1">
        <v>1.3211917044</v>
      </c>
      <c r="AI479" s="1">
        <v>0.4579429414</v>
      </c>
      <c r="AJ479" s="1">
        <v>11.238025055</v>
      </c>
      <c r="AK479" s="1">
        <v>57.742920307</v>
      </c>
      <c r="AL479" s="1">
        <v>2.2769377876</v>
      </c>
      <c r="AM479" s="1">
        <v>49.557848195</v>
      </c>
      <c r="AN479" s="1">
        <v>81.339878319</v>
      </c>
      <c r="AO479" s="1">
        <v>19176.0</v>
      </c>
      <c r="AP479" s="1">
        <v>16.2</v>
      </c>
      <c r="AQ479" s="1">
        <v>16.3</v>
      </c>
      <c r="AR479" s="1">
        <v>12.7</v>
      </c>
      <c r="AS479" s="1">
        <v>8.6</v>
      </c>
      <c r="AT479" s="1">
        <v>29.0</v>
      </c>
      <c r="AU479" s="1">
        <v>16.1</v>
      </c>
      <c r="AV479" s="1">
        <v>41.0</v>
      </c>
      <c r="AW479" s="1">
        <v>1.6</v>
      </c>
      <c r="AX479" s="1">
        <v>0.7927</v>
      </c>
      <c r="AY479" s="1">
        <v>14.2</v>
      </c>
      <c r="AZ479" s="1">
        <v>14.6</v>
      </c>
      <c r="BA479" s="1">
        <v>19.0</v>
      </c>
      <c r="BB479" s="1">
        <v>2.96</v>
      </c>
      <c r="BC479" s="1" t="s">
        <v>798</v>
      </c>
      <c r="BD479" s="1">
        <v>12.3</v>
      </c>
      <c r="BE479" s="1">
        <v>34.7</v>
      </c>
      <c r="BF479" s="1">
        <v>35.5</v>
      </c>
      <c r="BG479" s="1">
        <v>17.4</v>
      </c>
      <c r="BH479" s="1" t="s">
        <v>951</v>
      </c>
    </row>
    <row r="480">
      <c r="A480" s="1">
        <v>13185.0</v>
      </c>
      <c r="B480" s="2" t="str">
        <f>IFERROR(__xludf.DUMMYFUNCTION("TO_TEXT(A480)"),"13185")</f>
        <v>13185</v>
      </c>
      <c r="C480" s="1">
        <v>113898.0</v>
      </c>
      <c r="D480" s="1">
        <v>496.08648676026</v>
      </c>
      <c r="E480" s="1" t="s">
        <v>144</v>
      </c>
      <c r="F480" s="1" t="s">
        <v>952</v>
      </c>
      <c r="G480" s="1">
        <v>229.593030731036</v>
      </c>
      <c r="H480" s="1">
        <v>21.170437638</v>
      </c>
      <c r="I480" s="1">
        <v>4.1278610187</v>
      </c>
      <c r="J480" s="1">
        <v>10.499316005</v>
      </c>
      <c r="K480" s="1">
        <v>19.849226909</v>
      </c>
      <c r="L480" s="1">
        <v>38.4</v>
      </c>
      <c r="M480" s="1">
        <v>6.2</v>
      </c>
      <c r="N480" s="1">
        <v>33.5</v>
      </c>
      <c r="O480" s="1">
        <v>72.9605522139999</v>
      </c>
      <c r="P480" s="1">
        <v>17.251474305</v>
      </c>
      <c r="Q480" s="1">
        <v>58.88007</v>
      </c>
      <c r="R480" s="1">
        <v>90.33649698</v>
      </c>
      <c r="S480" s="1">
        <v>33.4</v>
      </c>
      <c r="T480" s="1">
        <v>27241.0</v>
      </c>
      <c r="U480" s="1">
        <v>40.813479681</v>
      </c>
      <c r="V480" s="1">
        <v>279.97415623</v>
      </c>
      <c r="W480" s="1">
        <v>17.395126853</v>
      </c>
      <c r="X480" s="1">
        <v>15.406525117</v>
      </c>
      <c r="Y480" s="1">
        <v>75.802998908</v>
      </c>
      <c r="Z480" s="1">
        <v>15.8</v>
      </c>
      <c r="AA480" s="1">
        <v>11.072043119</v>
      </c>
      <c r="AB480" s="1">
        <v>41820.0</v>
      </c>
      <c r="AC480" s="1">
        <v>71.421985452</v>
      </c>
      <c r="AD480" s="1">
        <v>52.283059893</v>
      </c>
      <c r="AE480" s="1">
        <v>16.500418998</v>
      </c>
      <c r="AF480" s="1">
        <v>36.3734837219999</v>
      </c>
      <c r="AG480" s="1">
        <v>0.4582147678</v>
      </c>
      <c r="AH480" s="1">
        <v>2.0761513398</v>
      </c>
      <c r="AI480" s="1">
        <v>0.1633410992</v>
      </c>
      <c r="AJ480" s="1">
        <v>5.9395981809</v>
      </c>
      <c r="AK480" s="1">
        <v>53.464120838</v>
      </c>
      <c r="AL480" s="1">
        <v>0.8615182262</v>
      </c>
      <c r="AM480" s="1">
        <v>51.582259437</v>
      </c>
      <c r="AN480" s="1">
        <v>27.204233153</v>
      </c>
      <c r="AO480" s="1">
        <v>20428.0</v>
      </c>
      <c r="AP480" s="1">
        <v>25.0</v>
      </c>
      <c r="AQ480" s="1">
        <v>11.0</v>
      </c>
      <c r="AR480" s="1">
        <v>15.6</v>
      </c>
      <c r="AS480" s="1">
        <v>10.8</v>
      </c>
      <c r="AT480" s="1">
        <v>23.9</v>
      </c>
      <c r="AU480" s="1">
        <v>13.0</v>
      </c>
      <c r="AV480" s="1">
        <v>45.3</v>
      </c>
      <c r="AW480" s="1">
        <v>1.3</v>
      </c>
      <c r="AX480" s="1">
        <v>0.901</v>
      </c>
      <c r="AY480" s="1">
        <v>20.4</v>
      </c>
      <c r="AZ480" s="1">
        <v>15.7</v>
      </c>
      <c r="BA480" s="1">
        <v>19.8</v>
      </c>
      <c r="BB480" s="1">
        <v>3.12</v>
      </c>
      <c r="BC480" s="1" t="s">
        <v>798</v>
      </c>
      <c r="BD480" s="1">
        <v>13.4</v>
      </c>
      <c r="BE480" s="1">
        <v>31.4</v>
      </c>
      <c r="BF480" s="1">
        <v>29.9</v>
      </c>
      <c r="BG480" s="1">
        <v>25.3</v>
      </c>
      <c r="BH480" s="1" t="s">
        <v>952</v>
      </c>
    </row>
    <row r="481">
      <c r="A481" s="1">
        <v>13187.0</v>
      </c>
      <c r="B481" s="2" t="str">
        <f>IFERROR(__xludf.DUMMYFUNCTION("TO_TEXT(A481)"),"13187")</f>
        <v>13187</v>
      </c>
      <c r="C481" s="1">
        <v>31094.0</v>
      </c>
      <c r="D481" s="1">
        <v>282.932950222356</v>
      </c>
      <c r="E481" s="1" t="s">
        <v>953</v>
      </c>
      <c r="F481" s="1" t="s">
        <v>954</v>
      </c>
      <c r="G481" s="1">
        <v>109.898829300593</v>
      </c>
      <c r="H481" s="1">
        <v>17.208846791</v>
      </c>
      <c r="I481" s="1">
        <v>4.1603240257</v>
      </c>
      <c r="J481" s="1">
        <v>7.338501292</v>
      </c>
      <c r="K481" s="1">
        <v>17.301286589</v>
      </c>
      <c r="L481" s="1">
        <v>34.7</v>
      </c>
      <c r="M481" s="1">
        <v>8.3</v>
      </c>
      <c r="N481" s="1">
        <v>28.0</v>
      </c>
      <c r="O481" s="1">
        <v>84.932923981</v>
      </c>
      <c r="P481" s="1">
        <v>19.904458599</v>
      </c>
      <c r="Q481" s="1">
        <v>36.50412</v>
      </c>
      <c r="R481" s="1">
        <v>90.0</v>
      </c>
      <c r="S481" s="1">
        <v>18.6</v>
      </c>
      <c r="T481" s="1">
        <v>5752.0</v>
      </c>
      <c r="U481" s="1">
        <v>29.18984701</v>
      </c>
      <c r="V481" s="1">
        <v>41.419081452</v>
      </c>
      <c r="W481" s="1">
        <v>17.458907152</v>
      </c>
      <c r="X481" s="1">
        <v>15.68088033</v>
      </c>
      <c r="Y481" s="1">
        <v>77.850876489</v>
      </c>
      <c r="Z481" s="1">
        <v>11.3</v>
      </c>
      <c r="AA481" s="1">
        <v>0.563499184799999</v>
      </c>
      <c r="AB481" s="1">
        <v>55583.0</v>
      </c>
      <c r="AC481" s="1">
        <v>50.12966805</v>
      </c>
      <c r="AD481" s="1">
        <v>67.919993132</v>
      </c>
      <c r="AE481" s="1">
        <v>15.333211278</v>
      </c>
      <c r="AF481" s="1">
        <v>1.5293582157</v>
      </c>
      <c r="AG481" s="1">
        <v>0.7404035806</v>
      </c>
      <c r="AH481" s="1">
        <v>0.7525413443</v>
      </c>
      <c r="AI481" s="1">
        <v>0.1365498407</v>
      </c>
      <c r="AJ481" s="1">
        <v>5.0311030193</v>
      </c>
      <c r="AK481" s="1">
        <v>90.399028979</v>
      </c>
      <c r="AL481" s="1">
        <v>1.2000523184</v>
      </c>
      <c r="AM481" s="1">
        <v>50.432407829</v>
      </c>
      <c r="AN481" s="1">
        <v>83.941800707</v>
      </c>
      <c r="AO481" s="1">
        <v>21814.0</v>
      </c>
      <c r="AP481" s="1">
        <v>21.6</v>
      </c>
      <c r="AQ481" s="1">
        <v>6.8</v>
      </c>
      <c r="AR481" s="1">
        <v>15.8</v>
      </c>
      <c r="AS481" s="1">
        <v>15.7</v>
      </c>
      <c r="AT481" s="1">
        <v>19.3</v>
      </c>
      <c r="AU481" s="1">
        <v>15.1</v>
      </c>
      <c r="AV481" s="1">
        <v>9.0</v>
      </c>
      <c r="AW481" s="1">
        <v>1.4</v>
      </c>
      <c r="AX481" s="1">
        <v>0.5425</v>
      </c>
      <c r="AY481" s="1">
        <v>14.5</v>
      </c>
      <c r="AZ481" s="1">
        <v>12.0</v>
      </c>
      <c r="BA481" s="1">
        <v>15.6</v>
      </c>
      <c r="BB481" s="1">
        <v>3.17</v>
      </c>
      <c r="BC481" s="1" t="s">
        <v>798</v>
      </c>
      <c r="BD481" s="1">
        <v>15.2</v>
      </c>
      <c r="BE481" s="1">
        <v>30.4</v>
      </c>
      <c r="BF481" s="1">
        <v>28.0</v>
      </c>
      <c r="BG481" s="1">
        <v>26.4</v>
      </c>
      <c r="BH481" s="1" t="s">
        <v>954</v>
      </c>
    </row>
    <row r="482">
      <c r="A482" s="1">
        <v>13189.0</v>
      </c>
      <c r="B482" s="2" t="str">
        <f>IFERROR(__xludf.DUMMYFUNCTION("TO_TEXT(A482)"),"13189")</f>
        <v>13189</v>
      </c>
      <c r="C482" s="1">
        <v>21558.0</v>
      </c>
      <c r="D482" s="1">
        <v>257.459237178974</v>
      </c>
      <c r="E482" s="1" t="s">
        <v>955</v>
      </c>
      <c r="F482" s="1" t="s">
        <v>956</v>
      </c>
      <c r="G482" s="1">
        <v>83.7336435709775</v>
      </c>
      <c r="H482" s="1">
        <v>21.081750485</v>
      </c>
      <c r="I482" s="1">
        <v>4.2509002863</v>
      </c>
      <c r="J482" s="1">
        <v>11.75257732</v>
      </c>
      <c r="K482" s="1">
        <v>19.202845615</v>
      </c>
      <c r="L482" s="1">
        <v>24.1</v>
      </c>
      <c r="M482" s="1">
        <v>6.6</v>
      </c>
      <c r="N482" s="1">
        <v>36.8</v>
      </c>
      <c r="O482" s="1">
        <v>64.306285714</v>
      </c>
      <c r="P482" s="1">
        <v>15.105151567</v>
      </c>
      <c r="Q482" s="1">
        <v>51.16755</v>
      </c>
      <c r="R482" s="1">
        <v>76.54723127</v>
      </c>
      <c r="S482" s="1">
        <v>31.3</v>
      </c>
      <c r="T482" s="1">
        <v>5472.0</v>
      </c>
      <c r="U482" s="1">
        <v>58.351608187</v>
      </c>
      <c r="V482" s="1">
        <v>154.1086466</v>
      </c>
      <c r="W482" s="1">
        <v>17.854928704</v>
      </c>
      <c r="X482" s="1">
        <v>15.676359039</v>
      </c>
      <c r="Y482" s="1">
        <v>74.180091428</v>
      </c>
      <c r="Z482" s="1">
        <v>19.3</v>
      </c>
      <c r="AA482" s="1">
        <v>4.448396561</v>
      </c>
      <c r="AB482" s="1">
        <v>42768.0</v>
      </c>
      <c r="AC482" s="1">
        <v>75.893306492</v>
      </c>
      <c r="AD482" s="1">
        <v>60.841663581</v>
      </c>
      <c r="AE482" s="1">
        <v>14.368482039</v>
      </c>
      <c r="AF482" s="1">
        <v>41.159258743</v>
      </c>
      <c r="AG482" s="1">
        <v>0.431935349</v>
      </c>
      <c r="AH482" s="1">
        <v>0.5201802053</v>
      </c>
      <c r="AI482" s="1">
        <v>0.0928893224</v>
      </c>
      <c r="AJ482" s="1">
        <v>3.2139705541</v>
      </c>
      <c r="AK482" s="1">
        <v>53.086247736</v>
      </c>
      <c r="AL482" s="1">
        <v>0.6986376566</v>
      </c>
      <c r="AM482" s="1">
        <v>53.179137058</v>
      </c>
      <c r="AN482" s="1">
        <v>60.96</v>
      </c>
      <c r="AO482" s="1">
        <v>19497.0</v>
      </c>
      <c r="AP482" s="1">
        <v>26.1</v>
      </c>
      <c r="AQ482" s="1">
        <v>8.6</v>
      </c>
      <c r="AR482" s="1">
        <v>20.1</v>
      </c>
      <c r="AS482" s="1">
        <v>15.8</v>
      </c>
      <c r="AT482" s="1">
        <v>25.8</v>
      </c>
      <c r="AU482" s="1">
        <v>14.8</v>
      </c>
      <c r="AV482" s="1">
        <v>45.5</v>
      </c>
      <c r="AW482" s="1">
        <v>0.8</v>
      </c>
      <c r="AX482" s="1">
        <v>0.9484</v>
      </c>
      <c r="AY482" s="1">
        <v>18.0</v>
      </c>
      <c r="AZ482" s="1">
        <v>17.0</v>
      </c>
      <c r="BA482" s="1">
        <v>25.6</v>
      </c>
      <c r="BB482" s="1">
        <v>2.81</v>
      </c>
      <c r="BC482" s="1" t="s">
        <v>798</v>
      </c>
      <c r="BD482" s="1">
        <v>16.6</v>
      </c>
      <c r="BE482" s="1">
        <v>41.6</v>
      </c>
      <c r="BF482" s="1">
        <v>27.7</v>
      </c>
      <c r="BG482" s="1">
        <v>14.0</v>
      </c>
      <c r="BH482" s="1" t="s">
        <v>956</v>
      </c>
    </row>
    <row r="483">
      <c r="A483" s="1">
        <v>13191.0</v>
      </c>
      <c r="B483" s="2" t="str">
        <f>IFERROR(__xludf.DUMMYFUNCTION("TO_TEXT(A483)"),"13191")</f>
        <v>13191</v>
      </c>
      <c r="C483" s="1">
        <v>13941.0</v>
      </c>
      <c r="D483" s="1">
        <v>424.34610966666</v>
      </c>
      <c r="E483" s="1" t="s">
        <v>957</v>
      </c>
      <c r="F483" s="1" t="s">
        <v>958</v>
      </c>
      <c r="G483" s="1">
        <v>32.8528992782593</v>
      </c>
      <c r="H483" s="1">
        <v>18.9197226629999</v>
      </c>
      <c r="I483" s="1">
        <v>3.958301426</v>
      </c>
      <c r="J483" s="1">
        <v>11.04368932</v>
      </c>
      <c r="K483" s="1">
        <v>17.193408145</v>
      </c>
      <c r="L483" s="1">
        <v>30.3</v>
      </c>
      <c r="M483" s="1">
        <v>7.4</v>
      </c>
      <c r="N483" s="1">
        <v>35.0</v>
      </c>
      <c r="O483" s="1">
        <v>60.6432707739999</v>
      </c>
      <c r="P483" s="1">
        <v>16.413432691</v>
      </c>
      <c r="Q483" s="1">
        <v>48.31939</v>
      </c>
      <c r="R483" s="1">
        <v>77.192982456</v>
      </c>
      <c r="S483" s="1">
        <v>35.7</v>
      </c>
      <c r="T483" s="1">
        <v>2407.0</v>
      </c>
      <c r="U483" s="1">
        <v>44.038221853</v>
      </c>
      <c r="V483" s="1">
        <v>138.41362605</v>
      </c>
      <c r="W483" s="1">
        <v>11.911623439</v>
      </c>
      <c r="X483" s="1">
        <v>11.271676301</v>
      </c>
      <c r="Y483" s="1">
        <v>81.270745462</v>
      </c>
      <c r="Z483" s="1">
        <v>15.7</v>
      </c>
      <c r="AA483" s="1">
        <v>3.4601573129</v>
      </c>
      <c r="AB483" s="1">
        <v>42513.0</v>
      </c>
      <c r="AC483" s="1">
        <v>85.579710145</v>
      </c>
      <c r="AD483" s="1">
        <v>77.7556771089999</v>
      </c>
      <c r="AE483" s="1">
        <v>15.391380827</v>
      </c>
      <c r="AF483" s="1">
        <v>33.577405858</v>
      </c>
      <c r="AG483" s="1">
        <v>0.6345885635</v>
      </c>
      <c r="AH483" s="1">
        <v>0.4463040446</v>
      </c>
      <c r="AI483" s="1">
        <v>0.1115760112</v>
      </c>
      <c r="AJ483" s="1">
        <v>2.2036262204</v>
      </c>
      <c r="AK483" s="1">
        <v>62.1408647139999</v>
      </c>
      <c r="AL483" s="1">
        <v>0.170319905199999</v>
      </c>
      <c r="AM483" s="1">
        <v>51.178521618</v>
      </c>
      <c r="AN483" s="1">
        <v>74.3110304889999</v>
      </c>
      <c r="AO483" s="1">
        <v>23826.0</v>
      </c>
      <c r="AP483" s="1">
        <v>20.1</v>
      </c>
      <c r="AQ483" s="1">
        <v>9.9</v>
      </c>
      <c r="AR483" s="1">
        <v>17.6</v>
      </c>
      <c r="AS483" s="1">
        <v>20.1</v>
      </c>
      <c r="AT483" s="1">
        <v>18.5</v>
      </c>
      <c r="AU483" s="1">
        <v>26.7</v>
      </c>
      <c r="AV483" s="1">
        <v>38.5</v>
      </c>
      <c r="AW483" s="1">
        <v>0.2</v>
      </c>
      <c r="AX483" s="1">
        <v>0.5817</v>
      </c>
      <c r="AY483" s="1">
        <v>18.7</v>
      </c>
      <c r="AZ483" s="1">
        <v>15.2</v>
      </c>
      <c r="BA483" s="1">
        <v>24.5</v>
      </c>
      <c r="BB483" s="1">
        <v>3.19</v>
      </c>
      <c r="BC483" s="1" t="s">
        <v>798</v>
      </c>
      <c r="BD483" s="1">
        <v>14.8</v>
      </c>
      <c r="BE483" s="1">
        <v>37.4</v>
      </c>
      <c r="BF483" s="1">
        <v>30.2</v>
      </c>
      <c r="BG483" s="1">
        <v>17.6</v>
      </c>
      <c r="BH483" s="1" t="s">
        <v>958</v>
      </c>
    </row>
    <row r="484">
      <c r="A484" s="1">
        <v>13193.0</v>
      </c>
      <c r="B484" s="2" t="str">
        <f>IFERROR(__xludf.DUMMYFUNCTION("TO_TEXT(A484)"),"13193")</f>
        <v>13193</v>
      </c>
      <c r="C484" s="1">
        <v>13846.0</v>
      </c>
      <c r="D484" s="1">
        <v>400.640311349038</v>
      </c>
      <c r="E484" s="1" t="s">
        <v>146</v>
      </c>
      <c r="F484" s="1" t="s">
        <v>959</v>
      </c>
      <c r="G484" s="1">
        <v>34.5596776155092</v>
      </c>
      <c r="H484" s="1">
        <v>25.809844373</v>
      </c>
      <c r="I484" s="1">
        <v>4.2825162443</v>
      </c>
      <c r="J484" s="1">
        <v>13.421342134</v>
      </c>
      <c r="K484" s="1">
        <v>21.561396529</v>
      </c>
      <c r="L484" s="1">
        <v>31.8</v>
      </c>
      <c r="M484" s="1">
        <v>5.6</v>
      </c>
      <c r="N484" s="1">
        <v>35.4</v>
      </c>
      <c r="O484" s="1">
        <v>45.474898236</v>
      </c>
      <c r="P484" s="1">
        <v>19.164107065</v>
      </c>
      <c r="Q484" s="1">
        <v>7.51089</v>
      </c>
      <c r="R484" s="1">
        <v>86.861313869</v>
      </c>
      <c r="S484" s="1">
        <v>39.2</v>
      </c>
      <c r="T484" s="1">
        <v>2628.0</v>
      </c>
      <c r="U484" s="1">
        <v>54.832572298</v>
      </c>
      <c r="V484" s="1">
        <v>310.55900621</v>
      </c>
      <c r="W484" s="1">
        <v>21.01210121</v>
      </c>
      <c r="X484" s="1">
        <v>19.068181818</v>
      </c>
      <c r="Y484" s="1">
        <v>73.381529177</v>
      </c>
      <c r="Z484" s="1">
        <v>17.3</v>
      </c>
      <c r="AA484" s="1">
        <v>8.9781440773</v>
      </c>
      <c r="AB484" s="1">
        <v>32868.0</v>
      </c>
      <c r="AC484" s="1">
        <v>99.3430656929999</v>
      </c>
      <c r="AD484" s="1">
        <v>64.990370212</v>
      </c>
      <c r="AE484" s="1">
        <v>17.571661617</v>
      </c>
      <c r="AF484" s="1">
        <v>59.826523625</v>
      </c>
      <c r="AG484" s="1">
        <v>0.570645971199999</v>
      </c>
      <c r="AH484" s="1">
        <v>1.49128813819999</v>
      </c>
      <c r="AI484" s="1">
        <v>0.1369550331</v>
      </c>
      <c r="AJ484" s="1">
        <v>4.4434299627</v>
      </c>
      <c r="AK484" s="1">
        <v>33.173552461</v>
      </c>
      <c r="AL484" s="1">
        <v>0.5861664713</v>
      </c>
      <c r="AM484" s="1">
        <v>45.195160922</v>
      </c>
      <c r="AN484" s="1">
        <v>53.188602442</v>
      </c>
      <c r="AO484" s="1">
        <v>14039.0</v>
      </c>
      <c r="AP484" s="1">
        <v>32.6</v>
      </c>
      <c r="AQ484" s="1">
        <v>16.9</v>
      </c>
      <c r="AR484" s="1">
        <v>27.8</v>
      </c>
      <c r="AS484" s="1">
        <v>14.4</v>
      </c>
      <c r="AT484" s="1">
        <v>20.2</v>
      </c>
      <c r="AU484" s="1">
        <v>20.0</v>
      </c>
      <c r="AV484" s="1">
        <v>67.1</v>
      </c>
      <c r="AW484" s="1">
        <v>1.2</v>
      </c>
      <c r="AX484" s="1">
        <v>0.9866</v>
      </c>
      <c r="AY484" s="1">
        <v>29.4</v>
      </c>
      <c r="AZ484" s="1">
        <v>18.5</v>
      </c>
      <c r="BA484" s="1">
        <v>26.2</v>
      </c>
      <c r="BB484" s="1">
        <v>3.07</v>
      </c>
      <c r="BC484" s="1" t="s">
        <v>798</v>
      </c>
      <c r="BD484" s="1">
        <v>26.4</v>
      </c>
      <c r="BE484" s="1">
        <v>34.8</v>
      </c>
      <c r="BF484" s="1">
        <v>30.1</v>
      </c>
      <c r="BG484" s="1">
        <v>8.8</v>
      </c>
      <c r="BH484" s="1" t="s">
        <v>959</v>
      </c>
    </row>
    <row r="485">
      <c r="A485" s="1">
        <v>13195.0</v>
      </c>
      <c r="B485" s="2" t="str">
        <f>IFERROR(__xludf.DUMMYFUNCTION("TO_TEXT(A485)"),"13195")</f>
        <v>13195</v>
      </c>
      <c r="C485" s="1">
        <v>28362.0</v>
      </c>
      <c r="D485" s="1">
        <v>282.311930638088</v>
      </c>
      <c r="E485" s="1" t="s">
        <v>148</v>
      </c>
      <c r="F485" s="1" t="s">
        <v>960</v>
      </c>
      <c r="G485" s="1">
        <v>100.463341864071</v>
      </c>
      <c r="H485" s="1">
        <v>17.953788903</v>
      </c>
      <c r="I485" s="1">
        <v>4.1022888912</v>
      </c>
      <c r="J485" s="1">
        <v>8.204467354</v>
      </c>
      <c r="K485" s="1">
        <v>17.271699581</v>
      </c>
      <c r="L485" s="1">
        <v>33.5</v>
      </c>
      <c r="M485" s="1">
        <v>8.4</v>
      </c>
      <c r="N485" s="1">
        <v>31.8</v>
      </c>
      <c r="O485" s="1">
        <v>4.4025604552</v>
      </c>
      <c r="P485" s="1">
        <v>18.274321641</v>
      </c>
      <c r="Q485" s="1">
        <v>13.65095</v>
      </c>
      <c r="R485" s="1">
        <v>90.419161677</v>
      </c>
      <c r="S485" s="1">
        <v>24.6</v>
      </c>
      <c r="T485" s="1">
        <v>6562.0</v>
      </c>
      <c r="U485" s="1">
        <v>34.760743676</v>
      </c>
      <c r="V485" s="1">
        <v>191.18389727</v>
      </c>
      <c r="W485" s="1">
        <v>14.975845411</v>
      </c>
      <c r="X485" s="1">
        <v>11.420204978</v>
      </c>
      <c r="Y485" s="1">
        <v>76.45687586</v>
      </c>
      <c r="Z485" s="1">
        <v>15.9</v>
      </c>
      <c r="AA485" s="1">
        <v>1.3058596526</v>
      </c>
      <c r="AB485" s="1">
        <v>51338.0</v>
      </c>
      <c r="AC485" s="1">
        <v>53.834951456</v>
      </c>
      <c r="AD485" s="1">
        <v>75.886855863</v>
      </c>
      <c r="AE485" s="1">
        <v>10.759493671</v>
      </c>
      <c r="AF485" s="1">
        <v>8.981450253</v>
      </c>
      <c r="AG485" s="1">
        <v>0.4249578415</v>
      </c>
      <c r="AH485" s="1">
        <v>1.9629005059</v>
      </c>
      <c r="AI485" s="1">
        <v>0.0303541315</v>
      </c>
      <c r="AJ485" s="1">
        <v>5.7706576728</v>
      </c>
      <c r="AK485" s="1">
        <v>81.507588533</v>
      </c>
      <c r="AL485" s="1">
        <v>1.4331912392</v>
      </c>
      <c r="AM485" s="1">
        <v>50.55311973</v>
      </c>
      <c r="AN485" s="1">
        <v>91.877667141</v>
      </c>
      <c r="AO485" s="1">
        <v>21883.0</v>
      </c>
      <c r="AP485" s="1">
        <v>16.1</v>
      </c>
      <c r="AQ485" s="1">
        <v>8.0</v>
      </c>
      <c r="AR485" s="1">
        <v>17.2</v>
      </c>
      <c r="AS485" s="1">
        <v>15.9</v>
      </c>
      <c r="AT485" s="1">
        <v>23.1</v>
      </c>
      <c r="AU485" s="1">
        <v>18.1</v>
      </c>
      <c r="AV485" s="1">
        <v>16.6</v>
      </c>
      <c r="AW485" s="1">
        <v>1.6</v>
      </c>
      <c r="AX485" s="1">
        <v>0.6383</v>
      </c>
      <c r="AY485" s="1">
        <v>15.6</v>
      </c>
      <c r="AZ485" s="1">
        <v>13.3</v>
      </c>
      <c r="BA485" s="1">
        <v>18.8</v>
      </c>
      <c r="BB485" s="1">
        <v>3.2</v>
      </c>
      <c r="BC485" s="1" t="s">
        <v>798</v>
      </c>
      <c r="BD485" s="1">
        <v>16.8</v>
      </c>
      <c r="BE485" s="1">
        <v>39.8</v>
      </c>
      <c r="BF485" s="1">
        <v>24.9</v>
      </c>
      <c r="BG485" s="1">
        <v>18.5</v>
      </c>
      <c r="BH485" s="1" t="s">
        <v>960</v>
      </c>
    </row>
    <row r="486">
      <c r="A486" s="1">
        <v>13197.0</v>
      </c>
      <c r="B486" s="2" t="str">
        <f>IFERROR(__xludf.DUMMYFUNCTION("TO_TEXT(A486)"),"13197")</f>
        <v>13197</v>
      </c>
      <c r="C486" s="1">
        <v>8646.0</v>
      </c>
      <c r="D486" s="1">
        <v>366.016281293012</v>
      </c>
      <c r="E486" s="1" t="s">
        <v>152</v>
      </c>
      <c r="F486" s="1" t="s">
        <v>961</v>
      </c>
      <c r="G486" s="1">
        <v>23.6219000134546</v>
      </c>
      <c r="H486" s="1">
        <v>20.89244652</v>
      </c>
      <c r="I486" s="1">
        <v>4.1338634574</v>
      </c>
      <c r="J486" s="1">
        <v>9.2105263158</v>
      </c>
      <c r="K486" s="1">
        <v>18.60120943</v>
      </c>
      <c r="L486" s="1">
        <v>33.4</v>
      </c>
      <c r="M486" s="1">
        <v>7.4</v>
      </c>
      <c r="N486" s="1">
        <v>31.8</v>
      </c>
      <c r="O486" s="1">
        <v>0.0</v>
      </c>
      <c r="P486" s="1">
        <v>17.062602719</v>
      </c>
      <c r="Q486" s="1">
        <v>11.83432</v>
      </c>
      <c r="R486" s="1">
        <v>92.7927927929999</v>
      </c>
      <c r="S486" s="1">
        <v>36.7</v>
      </c>
      <c r="T486" s="1">
        <v>1620.0</v>
      </c>
      <c r="U486" s="1">
        <v>42.839506173</v>
      </c>
      <c r="V486" s="1">
        <v>57.10370032</v>
      </c>
      <c r="W486" s="1">
        <v>14.072847682</v>
      </c>
      <c r="X486" s="1">
        <v>9.9145299145</v>
      </c>
      <c r="Y486" s="1">
        <v>76.749812678</v>
      </c>
      <c r="Z486" s="1">
        <v>23.5</v>
      </c>
      <c r="AA486" s="1">
        <v>0.0288114173</v>
      </c>
      <c r="AB486" s="1">
        <v>39114.0</v>
      </c>
      <c r="AC486" s="1">
        <v>91.832386364</v>
      </c>
      <c r="AD486" s="1">
        <v>73.761633143</v>
      </c>
      <c r="AE486" s="1">
        <v>8.72374798059999</v>
      </c>
      <c r="AF486" s="1">
        <v>30.583163693</v>
      </c>
      <c r="AG486" s="1">
        <v>1.0058675608</v>
      </c>
      <c r="AH486" s="1">
        <v>0.8621721949</v>
      </c>
      <c r="AI486" s="1">
        <v>0.7065022153</v>
      </c>
      <c r="AJ486" s="1">
        <v>7.1727936774</v>
      </c>
      <c r="AK486" s="1">
        <v>59.166566878</v>
      </c>
      <c r="AL486" s="1">
        <v>3.7027863777</v>
      </c>
      <c r="AM486" s="1">
        <v>50.760387977</v>
      </c>
      <c r="AN486" s="1">
        <v>100.0</v>
      </c>
      <c r="AO486" s="1">
        <v>17522.0</v>
      </c>
      <c r="AP486" s="1">
        <v>25.2</v>
      </c>
      <c r="AQ486" s="1">
        <v>14.5</v>
      </c>
      <c r="AR486" s="1">
        <v>21.6</v>
      </c>
      <c r="AS486" s="1">
        <v>17.4</v>
      </c>
      <c r="AT486" s="1">
        <v>22.2</v>
      </c>
      <c r="AU486" s="1">
        <v>18.6</v>
      </c>
      <c r="AV486" s="1">
        <v>40.7</v>
      </c>
      <c r="AW486" s="1">
        <v>1.8</v>
      </c>
      <c r="AX486" s="1">
        <v>0.9494</v>
      </c>
      <c r="AY486" s="1">
        <v>21.1</v>
      </c>
      <c r="AZ486" s="1">
        <v>14.8</v>
      </c>
      <c r="BA486" s="1">
        <v>21.8</v>
      </c>
      <c r="BB486" s="1">
        <v>3.13</v>
      </c>
      <c r="BC486" s="1" t="s">
        <v>798</v>
      </c>
      <c r="BD486" s="1">
        <v>22.2</v>
      </c>
      <c r="BE486" s="1">
        <v>35.5</v>
      </c>
      <c r="BF486" s="1">
        <v>28.9</v>
      </c>
      <c r="BG486" s="1">
        <v>13.4</v>
      </c>
      <c r="BH486" s="1" t="s">
        <v>961</v>
      </c>
    </row>
    <row r="487">
      <c r="A487" s="1">
        <v>13199.0</v>
      </c>
      <c r="B487" s="2" t="str">
        <f>IFERROR(__xludf.DUMMYFUNCTION("TO_TEXT(A487)"),"13199")</f>
        <v>13199</v>
      </c>
      <c r="C487" s="1">
        <v>21195.0</v>
      </c>
      <c r="D487" s="1">
        <v>501.222555333183</v>
      </c>
      <c r="E487" s="1" t="s">
        <v>962</v>
      </c>
      <c r="F487" s="1" t="s">
        <v>963</v>
      </c>
      <c r="G487" s="1">
        <v>42.2866045721162</v>
      </c>
      <c r="H487" s="1">
        <v>21.742211961</v>
      </c>
      <c r="I487" s="1">
        <v>4.2610526694</v>
      </c>
      <c r="J487" s="1">
        <v>11.516677155</v>
      </c>
      <c r="K487" s="1">
        <v>18.210307012</v>
      </c>
      <c r="L487" s="1">
        <v>33.3</v>
      </c>
      <c r="M487" s="1">
        <v>7.1</v>
      </c>
      <c r="N487" s="1">
        <v>43.6</v>
      </c>
      <c r="O487" s="1">
        <v>39.696253183</v>
      </c>
      <c r="P487" s="1">
        <v>16.202164319</v>
      </c>
      <c r="Q487" s="1">
        <v>33.25574</v>
      </c>
      <c r="R487" s="1">
        <v>83.854166667</v>
      </c>
      <c r="S487" s="1">
        <v>35.6</v>
      </c>
      <c r="T487" s="1">
        <v>4578.0</v>
      </c>
      <c r="U487" s="1">
        <v>45.8060288339999</v>
      </c>
      <c r="V487" s="1">
        <v>321.27913927</v>
      </c>
      <c r="W487" s="1">
        <v>18.35839599</v>
      </c>
      <c r="X487" s="1">
        <v>16.694533762</v>
      </c>
      <c r="Y487" s="1">
        <v>74.2392158489999</v>
      </c>
      <c r="Z487" s="1">
        <v>20.8</v>
      </c>
      <c r="AA487" s="1">
        <v>2.2571992261</v>
      </c>
      <c r="AB487" s="1">
        <v>38886.0</v>
      </c>
      <c r="AC487" s="1">
        <v>100.0</v>
      </c>
      <c r="AD487" s="1">
        <v>67.108330266</v>
      </c>
      <c r="AE487" s="1">
        <v>14.931763447</v>
      </c>
      <c r="AF487" s="1">
        <v>38.745965445</v>
      </c>
      <c r="AG487" s="1">
        <v>0.5221188532</v>
      </c>
      <c r="AH487" s="1">
        <v>0.5885703436</v>
      </c>
      <c r="AI487" s="1">
        <v>0.0379722802</v>
      </c>
      <c r="AJ487" s="1">
        <v>2.1501803683</v>
      </c>
      <c r="AK487" s="1">
        <v>56.640402506</v>
      </c>
      <c r="AL487" s="1">
        <v>0.1208276695</v>
      </c>
      <c r="AM487" s="1">
        <v>52.131194228</v>
      </c>
      <c r="AN487" s="1">
        <v>83.284830848</v>
      </c>
      <c r="AO487" s="1">
        <v>19626.0</v>
      </c>
      <c r="AP487" s="1">
        <v>23.7</v>
      </c>
      <c r="AQ487" s="1">
        <v>11.2</v>
      </c>
      <c r="AR487" s="1">
        <v>22.9</v>
      </c>
      <c r="AS487" s="1">
        <v>18.4</v>
      </c>
      <c r="AT487" s="1">
        <v>22.3</v>
      </c>
      <c r="AU487" s="1">
        <v>20.6</v>
      </c>
      <c r="AV487" s="1">
        <v>43.5</v>
      </c>
      <c r="AW487" s="1">
        <v>0.2</v>
      </c>
      <c r="AX487" s="1">
        <v>0.923</v>
      </c>
      <c r="AY487" s="1">
        <v>22.2</v>
      </c>
      <c r="AZ487" s="1">
        <v>17.1</v>
      </c>
      <c r="BA487" s="1">
        <v>23.0</v>
      </c>
      <c r="BB487" s="1">
        <v>3.16</v>
      </c>
      <c r="BC487" s="1" t="s">
        <v>798</v>
      </c>
      <c r="BD487" s="1">
        <v>20.3</v>
      </c>
      <c r="BE487" s="1">
        <v>39.8</v>
      </c>
      <c r="BF487" s="1">
        <v>29.5</v>
      </c>
      <c r="BG487" s="1">
        <v>10.4</v>
      </c>
      <c r="BH487" s="1" t="s">
        <v>963</v>
      </c>
    </row>
    <row r="488">
      <c r="A488" s="1">
        <v>13201.0</v>
      </c>
      <c r="B488" s="2" t="str">
        <f>IFERROR(__xludf.DUMMYFUNCTION("TO_TEXT(A488)"),"13201")</f>
        <v>13201</v>
      </c>
      <c r="C488" s="1">
        <v>5911.0</v>
      </c>
      <c r="D488" s="1">
        <v>282.420810243782</v>
      </c>
      <c r="E488" s="1" t="s">
        <v>363</v>
      </c>
      <c r="F488" s="1" t="s">
        <v>964</v>
      </c>
      <c r="G488" s="1">
        <v>20.9297607881576</v>
      </c>
      <c r="H488" s="1">
        <v>20.186456832</v>
      </c>
      <c r="I488" s="1">
        <v>4.1919780511</v>
      </c>
      <c r="J488" s="1">
        <v>10.893246187</v>
      </c>
      <c r="K488" s="1">
        <v>18.011353819</v>
      </c>
      <c r="L488" s="1">
        <v>23.7</v>
      </c>
      <c r="M488" s="1">
        <v>7.4</v>
      </c>
      <c r="N488" s="1">
        <v>26.3</v>
      </c>
      <c r="O488" s="1">
        <v>30.073469388</v>
      </c>
      <c r="P488" s="1">
        <v>16.522893165</v>
      </c>
      <c r="Q488" s="1">
        <v>34.2583099999999</v>
      </c>
      <c r="R488" s="1">
        <v>83.333333333</v>
      </c>
      <c r="S488" s="1">
        <v>31.2</v>
      </c>
      <c r="T488" s="1">
        <v>1298.0</v>
      </c>
      <c r="U488" s="1">
        <v>45.30046225</v>
      </c>
      <c r="V488" s="1">
        <v>188.21113868</v>
      </c>
      <c r="W488" s="1">
        <v>16.666666667</v>
      </c>
      <c r="X488" s="1">
        <v>10.801886792</v>
      </c>
      <c r="Y488" s="1">
        <v>71.521436188</v>
      </c>
      <c r="Z488" s="1">
        <v>18.9</v>
      </c>
      <c r="AA488" s="1">
        <v>1.4672234242</v>
      </c>
      <c r="AB488" s="1">
        <v>42483.0</v>
      </c>
      <c r="AC488" s="1">
        <v>90.646766169</v>
      </c>
      <c r="AD488" s="1">
        <v>67.086956522</v>
      </c>
      <c r="AE488" s="1">
        <v>8.7745098039</v>
      </c>
      <c r="AF488" s="1">
        <v>27.699613085</v>
      </c>
      <c r="AG488" s="1">
        <v>0.4220893422</v>
      </c>
      <c r="AH488" s="1">
        <v>0.5627857897</v>
      </c>
      <c r="AI488" s="1">
        <v>0.0351741119</v>
      </c>
      <c r="AJ488" s="1">
        <v>2.638058389</v>
      </c>
      <c r="AK488" s="1">
        <v>67.499120647</v>
      </c>
      <c r="AL488" s="1">
        <v>0.0</v>
      </c>
      <c r="AM488" s="1">
        <v>52.0752725989999</v>
      </c>
      <c r="AN488" s="1">
        <v>100.0</v>
      </c>
      <c r="AO488" s="1">
        <v>21093.0</v>
      </c>
      <c r="AP488" s="1">
        <v>25.1</v>
      </c>
      <c r="AQ488" s="1">
        <v>7.9</v>
      </c>
      <c r="AR488" s="1">
        <v>21.0</v>
      </c>
      <c r="AS488" s="1">
        <v>19.9</v>
      </c>
      <c r="AT488" s="1">
        <v>23.1</v>
      </c>
      <c r="AU488" s="1">
        <v>14.9</v>
      </c>
      <c r="AV488" s="1">
        <v>31.2</v>
      </c>
      <c r="AW488" s="1">
        <v>0.0</v>
      </c>
      <c r="AX488" s="1">
        <v>0.8504</v>
      </c>
      <c r="AY488" s="1">
        <v>21.3</v>
      </c>
      <c r="AZ488" s="1">
        <v>15.1</v>
      </c>
      <c r="BA488" s="1">
        <v>21.1</v>
      </c>
      <c r="BB488" s="1">
        <v>2.99</v>
      </c>
      <c r="BC488" s="1" t="s">
        <v>798</v>
      </c>
      <c r="BD488" s="1">
        <v>17.4</v>
      </c>
      <c r="BE488" s="1">
        <v>36.5</v>
      </c>
      <c r="BF488" s="1">
        <v>32.1</v>
      </c>
      <c r="BG488" s="1">
        <v>14.0</v>
      </c>
      <c r="BH488" s="1" t="s">
        <v>964</v>
      </c>
    </row>
    <row r="489">
      <c r="A489" s="1">
        <v>13205.0</v>
      </c>
      <c r="B489" s="2" t="str">
        <f>IFERROR(__xludf.DUMMYFUNCTION("TO_TEXT(A489)"),"13205")</f>
        <v>13205</v>
      </c>
      <c r="C489" s="1">
        <v>22778.0</v>
      </c>
      <c r="D489" s="1">
        <v>512.084438959606</v>
      </c>
      <c r="E489" s="1" t="s">
        <v>965</v>
      </c>
      <c r="F489" s="1" t="s">
        <v>966</v>
      </c>
      <c r="G489" s="1">
        <v>44.4809454594592</v>
      </c>
      <c r="H489" s="1">
        <v>23.3482333469999</v>
      </c>
      <c r="I489" s="1">
        <v>4.1935496275</v>
      </c>
      <c r="J489" s="1">
        <v>10.842696629</v>
      </c>
      <c r="K489" s="1">
        <v>20.400288606</v>
      </c>
      <c r="L489" s="1">
        <v>34.5</v>
      </c>
      <c r="M489" s="1">
        <v>6.1</v>
      </c>
      <c r="N489" s="1">
        <v>31.0</v>
      </c>
      <c r="O489" s="1">
        <v>64.801259682</v>
      </c>
      <c r="P489" s="1">
        <v>17.641681901</v>
      </c>
      <c r="Q489" s="1">
        <v>35.88731</v>
      </c>
      <c r="R489" s="1">
        <v>93.307086614</v>
      </c>
      <c r="S489" s="1">
        <v>39.6</v>
      </c>
      <c r="T489" s="1">
        <v>5021.0</v>
      </c>
      <c r="U489" s="1">
        <v>56.582354113</v>
      </c>
      <c r="V489" s="1">
        <v>262.40298873</v>
      </c>
      <c r="W489" s="1">
        <v>19.402985075</v>
      </c>
      <c r="X489" s="1">
        <v>16.933932008</v>
      </c>
      <c r="Y489" s="1">
        <v>73.726822617</v>
      </c>
      <c r="Z489" s="1">
        <v>11.3</v>
      </c>
      <c r="AA489" s="1">
        <v>8.0978660109</v>
      </c>
      <c r="AB489" s="1">
        <v>36788.0</v>
      </c>
      <c r="AC489" s="1">
        <v>98.518924849</v>
      </c>
      <c r="AD489" s="1">
        <v>63.075167955</v>
      </c>
      <c r="AE489" s="1">
        <v>14.650194709</v>
      </c>
      <c r="AF489" s="1">
        <v>47.683850036</v>
      </c>
      <c r="AG489" s="1">
        <v>0.6263518385</v>
      </c>
      <c r="AH489" s="1">
        <v>0.9012256669</v>
      </c>
      <c r="AI489" s="1">
        <v>0.0720980534</v>
      </c>
      <c r="AJ489" s="1">
        <v>4.5917447729</v>
      </c>
      <c r="AK489" s="1">
        <v>45.50739005</v>
      </c>
      <c r="AL489" s="1">
        <v>1.5088967972</v>
      </c>
      <c r="AM489" s="1">
        <v>48.13446287</v>
      </c>
      <c r="AN489" s="1">
        <v>54.511022215</v>
      </c>
      <c r="AO489" s="1">
        <v>15027.0</v>
      </c>
      <c r="AP489" s="1">
        <v>29.9</v>
      </c>
      <c r="AQ489" s="1">
        <v>16.6</v>
      </c>
      <c r="AR489" s="1">
        <v>23.4</v>
      </c>
      <c r="AS489" s="1">
        <v>14.8</v>
      </c>
      <c r="AT489" s="1">
        <v>23.9</v>
      </c>
      <c r="AU489" s="1">
        <v>19.4</v>
      </c>
      <c r="AV489" s="1">
        <v>53.6</v>
      </c>
      <c r="AW489" s="1">
        <v>1.6</v>
      </c>
      <c r="AX489" s="1">
        <v>0.9936</v>
      </c>
      <c r="AY489" s="1">
        <v>30.7</v>
      </c>
      <c r="AZ489" s="1">
        <v>17.3</v>
      </c>
      <c r="BA489" s="1">
        <v>23.7</v>
      </c>
      <c r="BB489" s="1">
        <v>2.86</v>
      </c>
      <c r="BC489" s="1" t="s">
        <v>798</v>
      </c>
      <c r="BD489" s="1">
        <v>22.8</v>
      </c>
      <c r="BE489" s="1">
        <v>39.5</v>
      </c>
      <c r="BF489" s="1">
        <v>28.0</v>
      </c>
      <c r="BG489" s="1">
        <v>9.7</v>
      </c>
      <c r="BH489" s="1" t="s">
        <v>966</v>
      </c>
    </row>
    <row r="490">
      <c r="A490" s="1">
        <v>13207.0</v>
      </c>
      <c r="B490" s="2" t="str">
        <f>IFERROR(__xludf.DUMMYFUNCTION("TO_TEXT(A490)"),"13207")</f>
        <v>13207</v>
      </c>
      <c r="C490" s="1">
        <v>27044.0</v>
      </c>
      <c r="D490" s="1">
        <v>396.107019813086</v>
      </c>
      <c r="E490" s="1" t="s">
        <v>158</v>
      </c>
      <c r="F490" s="1" t="s">
        <v>967</v>
      </c>
      <c r="G490" s="1">
        <v>68.2744779750721</v>
      </c>
      <c r="H490" s="1">
        <v>15.470473532</v>
      </c>
      <c r="I490" s="1">
        <v>3.7213994053</v>
      </c>
      <c r="J490" s="1">
        <v>11.882998172</v>
      </c>
      <c r="K490" s="1">
        <v>15.555740625</v>
      </c>
      <c r="L490" s="1">
        <v>35.9</v>
      </c>
      <c r="M490" s="1">
        <v>8.0</v>
      </c>
      <c r="N490" s="1">
        <v>36.1</v>
      </c>
      <c r="O490" s="1">
        <v>69.675295186</v>
      </c>
      <c r="P490" s="1">
        <v>13.811508029</v>
      </c>
      <c r="Q490" s="1">
        <v>62.70055</v>
      </c>
      <c r="R490" s="1">
        <v>84.821428571</v>
      </c>
      <c r="S490" s="1">
        <v>18.5</v>
      </c>
      <c r="T490" s="1">
        <v>5567.0</v>
      </c>
      <c r="U490" s="1">
        <v>34.453026765</v>
      </c>
      <c r="V490" s="1">
        <v>178.27932879</v>
      </c>
      <c r="W490" s="1">
        <v>14.911366006</v>
      </c>
      <c r="X490" s="1">
        <v>12.292002147</v>
      </c>
      <c r="Y490" s="1">
        <v>77.1629425989999</v>
      </c>
      <c r="Z490" s="1">
        <v>10.9</v>
      </c>
      <c r="AA490" s="1">
        <v>4.5723360589</v>
      </c>
      <c r="AB490" s="1">
        <v>59362.0</v>
      </c>
      <c r="AC490" s="1">
        <v>52.670440561</v>
      </c>
      <c r="AD490" s="1">
        <v>79.190043864</v>
      </c>
      <c r="AE490" s="1">
        <v>12.7983358879999</v>
      </c>
      <c r="AF490" s="1">
        <v>22.532703488</v>
      </c>
      <c r="AG490" s="1">
        <v>0.3924418605</v>
      </c>
      <c r="AH490" s="1">
        <v>1.0319767442</v>
      </c>
      <c r="AI490" s="1">
        <v>0.0399709302</v>
      </c>
      <c r="AJ490" s="1">
        <v>2.445494186</v>
      </c>
      <c r="AK490" s="1">
        <v>72.46002907</v>
      </c>
      <c r="AL490" s="1">
        <v>0.5899589764</v>
      </c>
      <c r="AM490" s="1">
        <v>50.1344476739999</v>
      </c>
      <c r="AN490" s="1">
        <v>80.230093854</v>
      </c>
      <c r="AO490" s="1">
        <v>29053.0</v>
      </c>
      <c r="AP490" s="1">
        <v>13.2</v>
      </c>
      <c r="AQ490" s="1">
        <v>9.0</v>
      </c>
      <c r="AR490" s="1">
        <v>15.8</v>
      </c>
      <c r="AS490" s="1">
        <v>16.7</v>
      </c>
      <c r="AT490" s="1">
        <v>21.1</v>
      </c>
      <c r="AU490" s="1">
        <v>15.0</v>
      </c>
      <c r="AV490" s="1">
        <v>27.9</v>
      </c>
      <c r="AW490" s="1">
        <v>0.5</v>
      </c>
      <c r="AX490" s="1">
        <v>0.5377</v>
      </c>
      <c r="AY490" s="1">
        <v>10.6</v>
      </c>
      <c r="AZ490" s="1">
        <v>11.9</v>
      </c>
      <c r="BA490" s="1">
        <v>13.3</v>
      </c>
      <c r="BB490" s="1">
        <v>2.97</v>
      </c>
      <c r="BC490" s="1" t="s">
        <v>798</v>
      </c>
      <c r="BD490" s="1">
        <v>14.3</v>
      </c>
      <c r="BE490" s="1">
        <v>33.3</v>
      </c>
      <c r="BF490" s="1">
        <v>25.6</v>
      </c>
      <c r="BG490" s="1">
        <v>26.8</v>
      </c>
      <c r="BH490" s="1" t="s">
        <v>967</v>
      </c>
    </row>
    <row r="491">
      <c r="A491" s="1">
        <v>13209.0</v>
      </c>
      <c r="B491" s="2" t="str">
        <f>IFERROR(__xludf.DUMMYFUNCTION("TO_TEXT(A491)"),"13209")</f>
        <v>13209</v>
      </c>
      <c r="C491" s="1">
        <v>9005.0</v>
      </c>
      <c r="D491" s="1">
        <v>239.52627534692</v>
      </c>
      <c r="E491" s="1" t="s">
        <v>160</v>
      </c>
      <c r="F491" s="1" t="s">
        <v>968</v>
      </c>
      <c r="G491" s="1">
        <v>37.5950404061414</v>
      </c>
      <c r="H491" s="1">
        <v>18.113404119</v>
      </c>
      <c r="I491" s="1">
        <v>3.9397665966</v>
      </c>
      <c r="J491" s="1">
        <v>9.509202454</v>
      </c>
      <c r="K491" s="1">
        <v>17.094514732</v>
      </c>
      <c r="L491" s="1">
        <v>40.0</v>
      </c>
      <c r="M491" s="1">
        <v>7.2</v>
      </c>
      <c r="N491" s="1">
        <v>33.1</v>
      </c>
      <c r="O491" s="1">
        <v>24.136797106</v>
      </c>
      <c r="P491" s="1">
        <v>16.897670304</v>
      </c>
      <c r="Q491" s="1">
        <v>48.31939</v>
      </c>
      <c r="R491" s="1">
        <v>89.285714286</v>
      </c>
      <c r="S491" s="1">
        <v>28.9</v>
      </c>
      <c r="T491" s="1">
        <v>1892.0</v>
      </c>
      <c r="U491" s="1">
        <v>29.862579281</v>
      </c>
      <c r="V491" s="1">
        <v>204.509002055</v>
      </c>
      <c r="W491" s="1">
        <v>15.079365079</v>
      </c>
      <c r="X491" s="1">
        <v>13.03630363</v>
      </c>
      <c r="Y491" s="1">
        <v>76.324215784</v>
      </c>
      <c r="Z491" s="1">
        <v>9.1</v>
      </c>
      <c r="AA491" s="1">
        <v>7.44174434549999</v>
      </c>
      <c r="AB491" s="1">
        <v>41834.0</v>
      </c>
      <c r="AC491" s="1">
        <v>100.0</v>
      </c>
      <c r="AD491" s="1">
        <v>72.293517604</v>
      </c>
      <c r="AE491" s="1">
        <v>11.4122681879999</v>
      </c>
      <c r="AF491" s="1">
        <v>24.7470901769999</v>
      </c>
      <c r="AG491" s="1">
        <v>0.130534102</v>
      </c>
      <c r="AH491" s="1">
        <v>0.6417926683</v>
      </c>
      <c r="AI491" s="1">
        <v>0.0217556837</v>
      </c>
      <c r="AJ491" s="1">
        <v>6.7768954639</v>
      </c>
      <c r="AK491" s="1">
        <v>66.398346568</v>
      </c>
      <c r="AL491" s="1">
        <v>3.1326709527</v>
      </c>
      <c r="AM491" s="1">
        <v>48.58044164</v>
      </c>
      <c r="AN491" s="1">
        <v>98.7065658229999</v>
      </c>
      <c r="AO491" s="1">
        <v>19131.0</v>
      </c>
      <c r="AP491" s="1">
        <v>22.8</v>
      </c>
      <c r="AQ491" s="1">
        <v>5.8</v>
      </c>
      <c r="AR491" s="1">
        <v>18.0</v>
      </c>
      <c r="AS491" s="1">
        <v>15.5</v>
      </c>
      <c r="AT491" s="1">
        <v>21.8</v>
      </c>
      <c r="AU491" s="1">
        <v>17.1</v>
      </c>
      <c r="AV491" s="1">
        <v>35.2</v>
      </c>
      <c r="AW491" s="1">
        <v>2.6</v>
      </c>
      <c r="AX491" s="1">
        <v>0.7603</v>
      </c>
      <c r="AY491" s="1">
        <v>19.4</v>
      </c>
      <c r="AZ491" s="1">
        <v>15.8</v>
      </c>
      <c r="BA491" s="1">
        <v>22.0</v>
      </c>
      <c r="BB491" s="1">
        <v>2.88</v>
      </c>
      <c r="BC491" s="1" t="s">
        <v>798</v>
      </c>
      <c r="BD491" s="1">
        <v>18.3</v>
      </c>
      <c r="BE491" s="1">
        <v>38.1</v>
      </c>
      <c r="BF491" s="1">
        <v>27.7</v>
      </c>
      <c r="BG491" s="1">
        <v>16.0</v>
      </c>
      <c r="BH491" s="1" t="s">
        <v>968</v>
      </c>
    </row>
    <row r="492">
      <c r="A492" s="1">
        <v>13211.0</v>
      </c>
      <c r="B492" s="2" t="str">
        <f>IFERROR(__xludf.DUMMYFUNCTION("TO_TEXT(A492)"),"13211")</f>
        <v>13211</v>
      </c>
      <c r="C492" s="1">
        <v>17943.0</v>
      </c>
      <c r="D492" s="1">
        <v>347.354937265754</v>
      </c>
      <c r="E492" s="1" t="s">
        <v>162</v>
      </c>
      <c r="F492" s="1" t="s">
        <v>969</v>
      </c>
      <c r="G492" s="1">
        <v>51.6560960418196</v>
      </c>
      <c r="H492" s="1">
        <v>15.117331186</v>
      </c>
      <c r="I492" s="1">
        <v>3.6872822808</v>
      </c>
      <c r="J492" s="1">
        <v>8.45697329379999</v>
      </c>
      <c r="K492" s="1">
        <v>15.20223466</v>
      </c>
      <c r="L492" s="1">
        <v>34.7</v>
      </c>
      <c r="M492" s="1">
        <v>7.8</v>
      </c>
      <c r="N492" s="1">
        <v>23.5</v>
      </c>
      <c r="O492" s="1">
        <v>34.100067159</v>
      </c>
      <c r="P492" s="1">
        <v>15.897819145</v>
      </c>
      <c r="Q492" s="1">
        <v>54.3124</v>
      </c>
      <c r="R492" s="1">
        <v>89.669421488</v>
      </c>
      <c r="S492" s="1">
        <v>20.4</v>
      </c>
      <c r="T492" s="1">
        <v>3922.0</v>
      </c>
      <c r="U492" s="1">
        <v>24.222335543</v>
      </c>
      <c r="V492" s="1">
        <v>176.13903241</v>
      </c>
      <c r="W492" s="1">
        <v>13.909774436</v>
      </c>
      <c r="X492" s="1">
        <v>12.30418251</v>
      </c>
      <c r="Y492" s="1">
        <v>77.645524876</v>
      </c>
      <c r="Z492" s="1">
        <v>13.7</v>
      </c>
      <c r="AA492" s="1">
        <v>6.9511365998</v>
      </c>
      <c r="AB492" s="1">
        <v>57978.0</v>
      </c>
      <c r="AC492" s="1">
        <v>44.642279055</v>
      </c>
      <c r="AD492" s="1">
        <v>74.729567308</v>
      </c>
      <c r="AE492" s="1">
        <v>12.179487179</v>
      </c>
      <c r="AF492" s="1">
        <v>21.9964992309999</v>
      </c>
      <c r="AG492" s="1">
        <v>0.6577202567</v>
      </c>
      <c r="AH492" s="1">
        <v>0.6842412348</v>
      </c>
      <c r="AI492" s="1">
        <v>0.0424335649</v>
      </c>
      <c r="AJ492" s="1">
        <v>3.3363390442</v>
      </c>
      <c r="AK492" s="1">
        <v>72.26436111</v>
      </c>
      <c r="AL492" s="1">
        <v>1.1147236414</v>
      </c>
      <c r="AM492" s="1">
        <v>51.901554129</v>
      </c>
      <c r="AN492" s="1">
        <v>75.36937542</v>
      </c>
      <c r="AO492" s="1">
        <v>26298.0</v>
      </c>
      <c r="AP492" s="1">
        <v>13.3</v>
      </c>
      <c r="AQ492" s="1">
        <v>6.9</v>
      </c>
      <c r="AR492" s="1">
        <v>16.6</v>
      </c>
      <c r="AS492" s="1">
        <v>18.0</v>
      </c>
      <c r="AT492" s="1">
        <v>23.1</v>
      </c>
      <c r="AU492" s="1">
        <v>16.0</v>
      </c>
      <c r="AV492" s="1">
        <v>28.3</v>
      </c>
      <c r="AW492" s="1">
        <v>0.9</v>
      </c>
      <c r="AX492" s="1">
        <v>0.3897</v>
      </c>
      <c r="AY492" s="1">
        <v>11.1</v>
      </c>
      <c r="AZ492" s="1">
        <v>10.7</v>
      </c>
      <c r="BA492" s="1">
        <v>14.2</v>
      </c>
      <c r="BB492" s="1">
        <v>3.09</v>
      </c>
      <c r="BC492" s="1" t="s">
        <v>798</v>
      </c>
      <c r="BD492" s="1">
        <v>12.3</v>
      </c>
      <c r="BE492" s="1">
        <v>36.0</v>
      </c>
      <c r="BF492" s="1">
        <v>30.9</v>
      </c>
      <c r="BG492" s="1">
        <v>20.7</v>
      </c>
      <c r="BH492" s="1" t="s">
        <v>969</v>
      </c>
    </row>
    <row r="493">
      <c r="A493" s="1">
        <v>13213.0</v>
      </c>
      <c r="B493" s="2" t="str">
        <f>IFERROR(__xludf.DUMMYFUNCTION("TO_TEXT(A493)"),"13213")</f>
        <v>13213</v>
      </c>
      <c r="C493" s="1">
        <v>39358.0</v>
      </c>
      <c r="D493" s="1">
        <v>344.494238821598</v>
      </c>
      <c r="E493" s="1" t="s">
        <v>970</v>
      </c>
      <c r="F493" s="1" t="s">
        <v>971</v>
      </c>
      <c r="G493" s="1">
        <v>114.248645012558</v>
      </c>
      <c r="H493" s="1">
        <v>19.1223422779999</v>
      </c>
      <c r="I493" s="1">
        <v>4.108606613</v>
      </c>
      <c r="J493" s="1">
        <v>8.7411511234</v>
      </c>
      <c r="K493" s="1">
        <v>17.836136355</v>
      </c>
      <c r="L493" s="1">
        <v>34.3</v>
      </c>
      <c r="M493" s="1">
        <v>8.0</v>
      </c>
      <c r="N493" s="1">
        <v>28.7</v>
      </c>
      <c r="O493" s="1">
        <v>84.003734733</v>
      </c>
      <c r="P493" s="1">
        <v>20.454410454</v>
      </c>
      <c r="Q493" s="1">
        <v>17.5959</v>
      </c>
      <c r="R493" s="1">
        <v>92.6565874729999</v>
      </c>
      <c r="S493" s="1">
        <v>22.1</v>
      </c>
      <c r="T493" s="1">
        <v>9685.0</v>
      </c>
      <c r="U493" s="1">
        <v>27.940113578</v>
      </c>
      <c r="V493" s="1">
        <v>447.67980114</v>
      </c>
      <c r="W493" s="1">
        <v>14.931650894</v>
      </c>
      <c r="X493" s="1">
        <v>10.891089109</v>
      </c>
      <c r="Y493" s="1">
        <v>75.47106737</v>
      </c>
      <c r="Z493" s="1">
        <v>20.5</v>
      </c>
      <c r="AA493" s="1">
        <v>6.8102367293</v>
      </c>
      <c r="AB493" s="1">
        <v>46810.0</v>
      </c>
      <c r="AC493" s="1">
        <v>74.610215054</v>
      </c>
      <c r="AD493" s="1">
        <v>69.19252894</v>
      </c>
      <c r="AE493" s="1">
        <v>8.5652946402</v>
      </c>
      <c r="AF493" s="1">
        <v>0.756494075799999</v>
      </c>
      <c r="AG493" s="1">
        <v>0.9919591193</v>
      </c>
      <c r="AH493" s="1">
        <v>0.5811477668</v>
      </c>
      <c r="AI493" s="1">
        <v>0.2905738834</v>
      </c>
      <c r="AJ493" s="1">
        <v>15.595801708</v>
      </c>
      <c r="AK493" s="1">
        <v>81.979409333</v>
      </c>
      <c r="AL493" s="1">
        <v>3.0084917105</v>
      </c>
      <c r="AM493" s="1">
        <v>50.8454197039999</v>
      </c>
      <c r="AN493" s="1">
        <v>70.1271828</v>
      </c>
      <c r="AO493" s="1">
        <v>17856.0</v>
      </c>
      <c r="AP493" s="1">
        <v>18.8</v>
      </c>
      <c r="AQ493" s="1">
        <v>8.9</v>
      </c>
      <c r="AR493" s="1">
        <v>31.2</v>
      </c>
      <c r="AS493" s="1">
        <v>13.0</v>
      </c>
      <c r="AT493" s="1">
        <v>25.5</v>
      </c>
      <c r="AU493" s="1">
        <v>15.7</v>
      </c>
      <c r="AV493" s="1">
        <v>16.2</v>
      </c>
      <c r="AW493" s="1">
        <v>2.7</v>
      </c>
      <c r="AX493" s="1">
        <v>0.8246</v>
      </c>
      <c r="AY493" s="1">
        <v>14.5</v>
      </c>
      <c r="AZ493" s="1">
        <v>12.8</v>
      </c>
      <c r="BA493" s="1">
        <v>18.5</v>
      </c>
      <c r="BB493" s="1">
        <v>2.92</v>
      </c>
      <c r="BC493" s="1" t="s">
        <v>798</v>
      </c>
      <c r="BD493" s="1">
        <v>29.3</v>
      </c>
      <c r="BE493" s="1">
        <v>37.4</v>
      </c>
      <c r="BF493" s="1">
        <v>23.2</v>
      </c>
      <c r="BG493" s="1">
        <v>10.1</v>
      </c>
      <c r="BH493" s="1" t="s">
        <v>971</v>
      </c>
    </row>
    <row r="494">
      <c r="A494" s="1">
        <v>13215.0</v>
      </c>
      <c r="B494" s="2" t="str">
        <f>IFERROR(__xludf.DUMMYFUNCTION("TO_TEXT(A494)"),"13215")</f>
        <v>13215</v>
      </c>
      <c r="C494" s="1">
        <v>200303.0</v>
      </c>
      <c r="D494" s="1">
        <v>216.421847882785</v>
      </c>
      <c r="E494" s="1" t="s">
        <v>972</v>
      </c>
      <c r="F494" s="1" t="s">
        <v>973</v>
      </c>
      <c r="G494" s="1">
        <v>925.521161377774</v>
      </c>
      <c r="H494" s="1">
        <v>20.734606422</v>
      </c>
      <c r="I494" s="1">
        <v>4.1472755651</v>
      </c>
      <c r="J494" s="1">
        <v>11.668633467</v>
      </c>
      <c r="K494" s="1">
        <v>20.058142913</v>
      </c>
      <c r="L494" s="1">
        <v>38.5</v>
      </c>
      <c r="M494" s="1">
        <v>6.0</v>
      </c>
      <c r="N494" s="1">
        <v>31.7</v>
      </c>
      <c r="O494" s="1">
        <v>87.653579798</v>
      </c>
      <c r="P494" s="1">
        <v>13.473172177</v>
      </c>
      <c r="Q494" s="1">
        <v>102.03135</v>
      </c>
      <c r="R494" s="1">
        <v>89.468906037</v>
      </c>
      <c r="S494" s="1">
        <v>28.4</v>
      </c>
      <c r="T494" s="1">
        <v>48238.0</v>
      </c>
      <c r="U494" s="1">
        <v>48.810066752</v>
      </c>
      <c r="V494" s="1">
        <v>566.92058711</v>
      </c>
      <c r="W494" s="1">
        <v>19.516678012</v>
      </c>
      <c r="X494" s="1">
        <v>16.999791072</v>
      </c>
      <c r="Y494" s="1">
        <v>73.969553725</v>
      </c>
      <c r="Z494" s="1">
        <v>13.1</v>
      </c>
      <c r="AA494" s="1">
        <v>11.82370708</v>
      </c>
      <c r="AB494" s="1">
        <v>46628.0</v>
      </c>
      <c r="AC494" s="1">
        <v>77.8814144839999</v>
      </c>
      <c r="AD494" s="1">
        <v>48.017113707</v>
      </c>
      <c r="AE494" s="1">
        <v>18.299995747</v>
      </c>
      <c r="AF494" s="1">
        <v>46.4220230739999</v>
      </c>
      <c r="AG494" s="1">
        <v>0.5098887515</v>
      </c>
      <c r="AH494" s="1">
        <v>2.7946023898</v>
      </c>
      <c r="AI494" s="1">
        <v>0.2487639061</v>
      </c>
      <c r="AJ494" s="1">
        <v>7.6679027606</v>
      </c>
      <c r="AK494" s="1">
        <v>40.048413679</v>
      </c>
      <c r="AL494" s="1">
        <v>1.2016790584</v>
      </c>
      <c r="AM494" s="1">
        <v>51.406571899</v>
      </c>
      <c r="AN494" s="1">
        <v>2.9775917002</v>
      </c>
      <c r="AO494" s="1">
        <v>23747.0</v>
      </c>
      <c r="AP494" s="1">
        <v>20.9</v>
      </c>
      <c r="AQ494" s="1">
        <v>10.1</v>
      </c>
      <c r="AR494" s="1">
        <v>13.4</v>
      </c>
      <c r="AS494" s="1">
        <v>12.0</v>
      </c>
      <c r="AT494" s="1">
        <v>24.6</v>
      </c>
      <c r="AU494" s="1">
        <v>18.7</v>
      </c>
      <c r="AV494" s="1">
        <v>58.2</v>
      </c>
      <c r="AW494" s="1">
        <v>1.5</v>
      </c>
      <c r="AX494" s="1">
        <v>0.9051</v>
      </c>
      <c r="AY494" s="1">
        <v>18.4</v>
      </c>
      <c r="AZ494" s="1">
        <v>16.9</v>
      </c>
      <c r="BA494" s="1">
        <v>21.8</v>
      </c>
      <c r="BB494" s="1">
        <v>3.25</v>
      </c>
      <c r="BC494" s="1" t="s">
        <v>798</v>
      </c>
      <c r="BD494" s="1">
        <v>12.0</v>
      </c>
      <c r="BE494" s="1">
        <v>27.4</v>
      </c>
      <c r="BF494" s="1">
        <v>34.9</v>
      </c>
      <c r="BG494" s="1">
        <v>25.8</v>
      </c>
      <c r="BH494" s="1" t="s">
        <v>973</v>
      </c>
    </row>
    <row r="495">
      <c r="A495" s="1">
        <v>13217.0</v>
      </c>
      <c r="B495" s="2" t="str">
        <f>IFERROR(__xludf.DUMMYFUNCTION("TO_TEXT(A495)"),"13217")</f>
        <v>13217</v>
      </c>
      <c r="C495" s="1">
        <v>103901.0</v>
      </c>
      <c r="D495" s="1">
        <v>272.197473301917</v>
      </c>
      <c r="E495" s="1" t="s">
        <v>371</v>
      </c>
      <c r="F495" s="1" t="s">
        <v>974</v>
      </c>
      <c r="G495" s="1">
        <v>381.711845961018</v>
      </c>
      <c r="H495" s="1">
        <v>18.301802455</v>
      </c>
      <c r="I495" s="1">
        <v>3.9871602969</v>
      </c>
      <c r="J495" s="1">
        <v>9.821899041</v>
      </c>
      <c r="K495" s="1">
        <v>17.09154095</v>
      </c>
      <c r="L495" s="1">
        <v>38.6</v>
      </c>
      <c r="M495" s="1">
        <v>6.7</v>
      </c>
      <c r="N495" s="1">
        <v>30.9</v>
      </c>
      <c r="O495" s="1">
        <v>72.807579183</v>
      </c>
      <c r="P495" s="1">
        <v>14.783633062</v>
      </c>
      <c r="Q495" s="1">
        <v>27.75773</v>
      </c>
      <c r="R495" s="1">
        <v>86.980999296</v>
      </c>
      <c r="S495" s="1">
        <v>22.4</v>
      </c>
      <c r="T495" s="1">
        <v>28261.0</v>
      </c>
      <c r="U495" s="1">
        <v>38.303669368</v>
      </c>
      <c r="V495" s="1">
        <v>396.49067627</v>
      </c>
      <c r="W495" s="1">
        <v>16.714163579</v>
      </c>
      <c r="X495" s="1">
        <v>14.808940159</v>
      </c>
      <c r="Y495" s="1">
        <v>76.74526221</v>
      </c>
      <c r="Z495" s="1">
        <v>17.8</v>
      </c>
      <c r="AA495" s="1">
        <v>11.10055283</v>
      </c>
      <c r="AB495" s="1">
        <v>56598.0</v>
      </c>
      <c r="AC495" s="1">
        <v>68.550643537</v>
      </c>
      <c r="AD495" s="1">
        <v>67.697810299</v>
      </c>
      <c r="AE495" s="1">
        <v>15.56633027</v>
      </c>
      <c r="AF495" s="1">
        <v>45.54641641</v>
      </c>
      <c r="AG495" s="1">
        <v>0.4610145973</v>
      </c>
      <c r="AH495" s="1">
        <v>1.1822057494</v>
      </c>
      <c r="AI495" s="1">
        <v>0.1077222227</v>
      </c>
      <c r="AJ495" s="1">
        <v>5.9320254517</v>
      </c>
      <c r="AK495" s="1">
        <v>45.263417351</v>
      </c>
      <c r="AL495" s="1">
        <v>0.802192727099999</v>
      </c>
      <c r="AM495" s="1">
        <v>52.774760135</v>
      </c>
      <c r="AN495" s="1">
        <v>31.244122531</v>
      </c>
      <c r="AO495" s="1">
        <v>22478.0</v>
      </c>
      <c r="AP495" s="1">
        <v>17.0</v>
      </c>
      <c r="AQ495" s="1">
        <v>10.6</v>
      </c>
      <c r="AR495" s="1">
        <v>15.6</v>
      </c>
      <c r="AS495" s="1">
        <v>11.8</v>
      </c>
      <c r="AT495" s="1">
        <v>27.2</v>
      </c>
      <c r="AU495" s="1">
        <v>14.9</v>
      </c>
      <c r="AV495" s="1">
        <v>50.4</v>
      </c>
      <c r="AW495" s="1">
        <v>1.1</v>
      </c>
      <c r="AX495" s="1">
        <v>0.7074</v>
      </c>
      <c r="AY495" s="1">
        <v>11.2</v>
      </c>
      <c r="AZ495" s="1">
        <v>14.2</v>
      </c>
      <c r="BA495" s="1">
        <v>19.0</v>
      </c>
      <c r="BB495" s="1">
        <v>2.93</v>
      </c>
      <c r="BC495" s="1" t="s">
        <v>798</v>
      </c>
      <c r="BD495" s="1">
        <v>13.4</v>
      </c>
      <c r="BE495" s="1">
        <v>33.8</v>
      </c>
      <c r="BF495" s="1">
        <v>33.1</v>
      </c>
      <c r="BG495" s="1">
        <v>19.8</v>
      </c>
      <c r="BH495" s="1" t="s">
        <v>974</v>
      </c>
    </row>
    <row r="496">
      <c r="A496" s="1">
        <v>13219.0</v>
      </c>
      <c r="B496" s="2" t="str">
        <f>IFERROR(__xludf.DUMMYFUNCTION("TO_TEXT(A496)"),"13219")</f>
        <v>13219</v>
      </c>
      <c r="C496" s="1">
        <v>35071.0</v>
      </c>
      <c r="D496" s="1">
        <v>184.323455024805</v>
      </c>
      <c r="E496" s="1" t="s">
        <v>975</v>
      </c>
      <c r="F496" s="1" t="s">
        <v>976</v>
      </c>
      <c r="G496" s="1">
        <v>190.268785897488</v>
      </c>
      <c r="H496" s="1">
        <v>12.542181169</v>
      </c>
      <c r="I496" s="1">
        <v>3.3830317946</v>
      </c>
      <c r="J496" s="1">
        <v>5.3959965187</v>
      </c>
      <c r="K496" s="1">
        <v>13.7441212809999</v>
      </c>
      <c r="L496" s="1">
        <v>24.2</v>
      </c>
      <c r="M496" s="1">
        <v>8.9</v>
      </c>
      <c r="N496" s="1">
        <v>24.9</v>
      </c>
      <c r="O496" s="1">
        <v>81.693489393</v>
      </c>
      <c r="P496" s="1">
        <v>11.77428273</v>
      </c>
      <c r="Q496" s="1">
        <v>139.370989999999</v>
      </c>
      <c r="R496" s="1">
        <v>94.513274336</v>
      </c>
      <c r="S496" s="1">
        <v>6.9</v>
      </c>
      <c r="T496" s="1">
        <v>9926.0</v>
      </c>
      <c r="U496" s="1">
        <v>17.18718517</v>
      </c>
      <c r="V496" s="1">
        <v>114.12308386</v>
      </c>
      <c r="W496" s="1">
        <v>9.64198535389999</v>
      </c>
      <c r="X496" s="1">
        <v>8.7053020962</v>
      </c>
      <c r="Y496" s="1">
        <v>81.435341358</v>
      </c>
      <c r="Z496" s="1">
        <v>6.0</v>
      </c>
      <c r="AA496" s="1">
        <v>6.3743343376</v>
      </c>
      <c r="AB496" s="1">
        <v>99497.0</v>
      </c>
      <c r="AC496" s="1">
        <v>17.84516129</v>
      </c>
      <c r="AD496" s="1">
        <v>82.693042084</v>
      </c>
      <c r="AE496" s="1">
        <v>8.2213070169</v>
      </c>
      <c r="AF496" s="1">
        <v>5.02393562839999</v>
      </c>
      <c r="AG496" s="1">
        <v>0.2750050927</v>
      </c>
      <c r="AH496" s="1">
        <v>4.1581788552</v>
      </c>
      <c r="AI496" s="1">
        <v>0.050926869</v>
      </c>
      <c r="AJ496" s="1">
        <v>5.0875942147</v>
      </c>
      <c r="AK496" s="1">
        <v>84.281421878</v>
      </c>
      <c r="AL496" s="1">
        <v>1.2111171413</v>
      </c>
      <c r="AM496" s="1">
        <v>50.92941536</v>
      </c>
      <c r="AN496" s="1">
        <v>50.316995855</v>
      </c>
      <c r="AO496" s="1">
        <v>37054.0</v>
      </c>
      <c r="AP496" s="1">
        <v>7.1</v>
      </c>
      <c r="AQ496" s="1">
        <v>4.2</v>
      </c>
      <c r="AR496" s="1">
        <v>6.6</v>
      </c>
      <c r="AS496" s="1">
        <v>13.5</v>
      </c>
      <c r="AT496" s="1">
        <v>27.0</v>
      </c>
      <c r="AU496" s="1">
        <v>9.5</v>
      </c>
      <c r="AV496" s="1">
        <v>14.8</v>
      </c>
      <c r="AW496" s="1">
        <v>1.6</v>
      </c>
      <c r="AX496" s="1">
        <v>0.0331</v>
      </c>
      <c r="AY496" s="1">
        <v>5.6</v>
      </c>
      <c r="AZ496" s="1">
        <v>7.1</v>
      </c>
      <c r="BA496" s="1">
        <v>9.8</v>
      </c>
      <c r="BB496" s="1">
        <v>3.49</v>
      </c>
      <c r="BC496" s="1" t="s">
        <v>798</v>
      </c>
      <c r="BD496" s="1">
        <v>5.5</v>
      </c>
      <c r="BE496" s="1">
        <v>19.3</v>
      </c>
      <c r="BF496" s="1">
        <v>22.9</v>
      </c>
      <c r="BG496" s="1">
        <v>52.3</v>
      </c>
      <c r="BH496" s="1" t="s">
        <v>976</v>
      </c>
    </row>
    <row r="497">
      <c r="A497" s="1">
        <v>13221.0</v>
      </c>
      <c r="B497" s="2" t="str">
        <f>IFERROR(__xludf.DUMMYFUNCTION("TO_TEXT(A497)"),"13221")</f>
        <v>13221</v>
      </c>
      <c r="C497" s="1">
        <v>14743.0</v>
      </c>
      <c r="D497" s="1">
        <v>439.011117298182</v>
      </c>
      <c r="E497" s="1" t="s">
        <v>977</v>
      </c>
      <c r="F497" s="1" t="s">
        <v>978</v>
      </c>
      <c r="G497" s="1">
        <v>33.5822930652263</v>
      </c>
      <c r="H497" s="1">
        <v>17.143860366</v>
      </c>
      <c r="I497" s="1">
        <v>3.9571956626</v>
      </c>
      <c r="J497" s="1">
        <v>8.6172344689</v>
      </c>
      <c r="K497" s="1">
        <v>16.893022406</v>
      </c>
      <c r="L497" s="1">
        <v>34.7</v>
      </c>
      <c r="M497" s="1">
        <v>8.2</v>
      </c>
      <c r="N497" s="1">
        <v>26.0</v>
      </c>
      <c r="O497" s="1">
        <v>25.3842539769999</v>
      </c>
      <c r="P497" s="1">
        <v>18.933976385</v>
      </c>
      <c r="Q497" s="1">
        <v>6.72179</v>
      </c>
      <c r="R497" s="1">
        <v>90.909090909</v>
      </c>
      <c r="S497" s="1">
        <v>21.4</v>
      </c>
      <c r="T497" s="1">
        <v>3150.0</v>
      </c>
      <c r="U497" s="1">
        <v>30.53968254</v>
      </c>
      <c r="V497" s="1">
        <v>357.67815779</v>
      </c>
      <c r="W497" s="1">
        <v>13.187772926</v>
      </c>
      <c r="X497" s="1">
        <v>12.1265377859999</v>
      </c>
      <c r="Y497" s="1">
        <v>78.746809878</v>
      </c>
      <c r="Z497" s="1">
        <v>12.0</v>
      </c>
      <c r="AA497" s="1">
        <v>1.9962360752</v>
      </c>
      <c r="AB497" s="1">
        <v>51105.0</v>
      </c>
      <c r="AC497" s="1">
        <v>62.157136216</v>
      </c>
      <c r="AD497" s="1">
        <v>78.829389788</v>
      </c>
      <c r="AE497" s="1">
        <v>13.401091662</v>
      </c>
      <c r="AF497" s="1">
        <v>16.7463797</v>
      </c>
      <c r="AG497" s="1">
        <v>0.3852796599</v>
      </c>
      <c r="AH497" s="1">
        <v>1.0362694301</v>
      </c>
      <c r="AI497" s="1">
        <v>0.0464992693</v>
      </c>
      <c r="AJ497" s="1">
        <v>5.0352065896</v>
      </c>
      <c r="AK497" s="1">
        <v>75.096319915</v>
      </c>
      <c r="AL497" s="1">
        <v>1.9365442332</v>
      </c>
      <c r="AM497" s="1">
        <v>50.584562243</v>
      </c>
      <c r="AN497" s="1">
        <v>99.254983556</v>
      </c>
      <c r="AO497" s="1">
        <v>20987.0</v>
      </c>
      <c r="AP497" s="1">
        <v>17.9</v>
      </c>
      <c r="AQ497" s="1">
        <v>5.6</v>
      </c>
      <c r="AR497" s="1">
        <v>20.4</v>
      </c>
      <c r="AS497" s="1">
        <v>17.3</v>
      </c>
      <c r="AT497" s="1">
        <v>22.2</v>
      </c>
      <c r="AU497" s="1">
        <v>17.8</v>
      </c>
      <c r="AV497" s="1">
        <v>23.9</v>
      </c>
      <c r="AW497" s="1">
        <v>1.5</v>
      </c>
      <c r="AX497" s="1">
        <v>0.5018</v>
      </c>
      <c r="AY497" s="1">
        <v>12.8</v>
      </c>
      <c r="AZ497" s="1">
        <v>12.4</v>
      </c>
      <c r="BA497" s="1">
        <v>19.0</v>
      </c>
      <c r="BB497" s="1">
        <v>3.28</v>
      </c>
      <c r="BC497" s="1" t="s">
        <v>798</v>
      </c>
      <c r="BD497" s="1">
        <v>20.3</v>
      </c>
      <c r="BE497" s="1">
        <v>38.9</v>
      </c>
      <c r="BF497" s="1">
        <v>23.8</v>
      </c>
      <c r="BG497" s="1">
        <v>17.1</v>
      </c>
      <c r="BH497" s="1" t="s">
        <v>978</v>
      </c>
    </row>
    <row r="498">
      <c r="A498" s="1">
        <v>13223.0</v>
      </c>
      <c r="B498" s="2" t="str">
        <f>IFERROR(__xludf.DUMMYFUNCTION("TO_TEXT(A498)"),"13223")</f>
        <v>13223</v>
      </c>
      <c r="C498" s="1">
        <v>149830.0</v>
      </c>
      <c r="D498" s="1">
        <v>312.29167023859</v>
      </c>
      <c r="E498" s="1" t="s">
        <v>979</v>
      </c>
      <c r="F498" s="1" t="s">
        <v>980</v>
      </c>
      <c r="G498" s="1">
        <v>479.775845079474</v>
      </c>
      <c r="H498" s="1">
        <v>15.339575775</v>
      </c>
      <c r="I498" s="1">
        <v>3.7018672742</v>
      </c>
      <c r="J498" s="1">
        <v>7.40013656539999</v>
      </c>
      <c r="K498" s="1">
        <v>15.505948313</v>
      </c>
      <c r="L498" s="1">
        <v>34.0</v>
      </c>
      <c r="M498" s="1">
        <v>8.2</v>
      </c>
      <c r="N498" s="1">
        <v>27.1</v>
      </c>
      <c r="O498" s="1">
        <v>79.662600826</v>
      </c>
      <c r="P498" s="1">
        <v>12.8482032609999</v>
      </c>
      <c r="Q498" s="1">
        <v>15.67939</v>
      </c>
      <c r="R498" s="1">
        <v>86.345200541</v>
      </c>
      <c r="S498" s="1">
        <v>11.7</v>
      </c>
      <c r="T498" s="1">
        <v>41936.0</v>
      </c>
      <c r="U498" s="1">
        <v>27.320202213</v>
      </c>
      <c r="V498" s="1">
        <v>143.32230346</v>
      </c>
      <c r="W498" s="1">
        <v>14.425672298</v>
      </c>
      <c r="X498" s="1">
        <v>12.449392713</v>
      </c>
      <c r="Y498" s="1">
        <v>78.92558192</v>
      </c>
      <c r="Z498" s="1">
        <v>12.2</v>
      </c>
      <c r="AA498" s="1">
        <v>7.43633789549999</v>
      </c>
      <c r="AB498" s="1">
        <v>73309.0</v>
      </c>
      <c r="AC498" s="1">
        <v>40.564146134</v>
      </c>
      <c r="AD498" s="1">
        <v>76.376720304</v>
      </c>
      <c r="AE498" s="1">
        <v>11.665371162</v>
      </c>
      <c r="AF498" s="1">
        <v>20.006217844</v>
      </c>
      <c r="AG498" s="1">
        <v>0.422447636</v>
      </c>
      <c r="AH498" s="1">
        <v>1.22406183709999</v>
      </c>
      <c r="AI498" s="1">
        <v>0.0896101046</v>
      </c>
      <c r="AJ498" s="1">
        <v>6.7006412914</v>
      </c>
      <c r="AK498" s="1">
        <v>69.82577845</v>
      </c>
      <c r="AL498" s="1">
        <v>0.6542716256</v>
      </c>
      <c r="AM498" s="1">
        <v>51.3197678669999</v>
      </c>
      <c r="AN498" s="1">
        <v>20.0528371879999</v>
      </c>
      <c r="AO498" s="1">
        <v>25655.0</v>
      </c>
      <c r="AP498" s="1">
        <v>10.7</v>
      </c>
      <c r="AQ498" s="1">
        <v>6.8</v>
      </c>
      <c r="AR498" s="1">
        <v>10.4</v>
      </c>
      <c r="AS498" s="1">
        <v>9.4</v>
      </c>
      <c r="AT498" s="1">
        <v>28.0</v>
      </c>
      <c r="AU498" s="1">
        <v>10.3</v>
      </c>
      <c r="AV498" s="1">
        <v>26.3</v>
      </c>
      <c r="AW498" s="1">
        <v>0.9</v>
      </c>
      <c r="AX498" s="1">
        <v>0.1952</v>
      </c>
      <c r="AY498" s="1">
        <v>6.8</v>
      </c>
      <c r="AZ498" s="1">
        <v>9.0</v>
      </c>
      <c r="BA498" s="1">
        <v>12.4</v>
      </c>
      <c r="BB498" s="1">
        <v>3.04</v>
      </c>
      <c r="BC498" s="1" t="s">
        <v>798</v>
      </c>
      <c r="BD498" s="1">
        <v>10.6</v>
      </c>
      <c r="BE498" s="1">
        <v>32.9</v>
      </c>
      <c r="BF498" s="1">
        <v>33.8</v>
      </c>
      <c r="BG498" s="1">
        <v>22.6</v>
      </c>
      <c r="BH498" s="1" t="s">
        <v>980</v>
      </c>
    </row>
    <row r="499">
      <c r="A499" s="1">
        <v>13225.0</v>
      </c>
      <c r="B499" s="2" t="str">
        <f>IFERROR(__xludf.DUMMYFUNCTION("TO_TEXT(A499)"),"13225")</f>
        <v>13225</v>
      </c>
      <c r="C499" s="1">
        <v>26907.0</v>
      </c>
      <c r="D499" s="1">
        <v>150.267120005828</v>
      </c>
      <c r="E499" s="1" t="s">
        <v>981</v>
      </c>
      <c r="F499" s="1" t="s">
        <v>982</v>
      </c>
      <c r="G499" s="1">
        <v>179.061127936413</v>
      </c>
      <c r="H499" s="1">
        <v>20.40412568</v>
      </c>
      <c r="I499" s="1">
        <v>3.9841798441</v>
      </c>
      <c r="J499" s="1">
        <v>10.081112399</v>
      </c>
      <c r="K499" s="1">
        <v>17.8564164</v>
      </c>
      <c r="L499" s="1">
        <v>37.4</v>
      </c>
      <c r="M499" s="1">
        <v>6.8</v>
      </c>
      <c r="N499" s="1">
        <v>30.2</v>
      </c>
      <c r="O499" s="1">
        <v>67.384004333</v>
      </c>
      <c r="P499" s="1">
        <v>17.335058215</v>
      </c>
      <c r="Q499" s="1">
        <v>25.83121</v>
      </c>
      <c r="R499" s="1">
        <v>81.297709924</v>
      </c>
      <c r="S499" s="1">
        <v>33.2</v>
      </c>
      <c r="T499" s="1">
        <v>5784.0</v>
      </c>
      <c r="U499" s="1">
        <v>45.245504841</v>
      </c>
      <c r="V499" s="1">
        <v>514.94270092</v>
      </c>
      <c r="W499" s="1">
        <v>16.156547918</v>
      </c>
      <c r="X499" s="1">
        <v>14.715238584</v>
      </c>
      <c r="Y499" s="1">
        <v>73.19073758</v>
      </c>
      <c r="Z499" s="1">
        <v>15.1</v>
      </c>
      <c r="AA499" s="1">
        <v>8.2241822486</v>
      </c>
      <c r="AB499" s="1">
        <v>46525.0</v>
      </c>
      <c r="AC499" s="1">
        <v>87.547997806</v>
      </c>
      <c r="AD499" s="1">
        <v>63.218845887</v>
      </c>
      <c r="AE499" s="1">
        <v>12.4896694209999</v>
      </c>
      <c r="AF499" s="1">
        <v>43.993845478</v>
      </c>
      <c r="AG499" s="1">
        <v>0.5055500604</v>
      </c>
      <c r="AH499" s="1">
        <v>1.1649631828</v>
      </c>
      <c r="AI499" s="1">
        <v>0.0696047185</v>
      </c>
      <c r="AJ499" s="1">
        <v>7.8323625307</v>
      </c>
      <c r="AK499" s="1">
        <v>45.144155035</v>
      </c>
      <c r="AL499" s="1">
        <v>1.8792576932</v>
      </c>
      <c r="AM499" s="1">
        <v>51.796900758</v>
      </c>
      <c r="AN499" s="1">
        <v>38.223506048</v>
      </c>
      <c r="AO499" s="1">
        <v>20746.0</v>
      </c>
      <c r="AP499" s="1">
        <v>21.0</v>
      </c>
      <c r="AQ499" s="1">
        <v>10.4</v>
      </c>
      <c r="AR499" s="1">
        <v>14.9</v>
      </c>
      <c r="AS499" s="1">
        <v>13.1</v>
      </c>
      <c r="AT499" s="1">
        <v>22.1</v>
      </c>
      <c r="AU499" s="1">
        <v>14.3</v>
      </c>
      <c r="AV499" s="1">
        <v>54.2</v>
      </c>
      <c r="AW499" s="1">
        <v>1.7</v>
      </c>
      <c r="AX499" s="1">
        <v>0.8809</v>
      </c>
      <c r="AY499" s="1">
        <v>19.8</v>
      </c>
      <c r="AZ499" s="1">
        <v>16.1</v>
      </c>
      <c r="BA499" s="1">
        <v>21.3</v>
      </c>
      <c r="BB499" s="1">
        <v>3.6</v>
      </c>
      <c r="BC499" s="1" t="s">
        <v>798</v>
      </c>
      <c r="BD499" s="1">
        <v>17.0</v>
      </c>
      <c r="BE499" s="1">
        <v>29.8</v>
      </c>
      <c r="BF499" s="1">
        <v>32.6</v>
      </c>
      <c r="BG499" s="1">
        <v>20.5</v>
      </c>
      <c r="BH499" s="1" t="s">
        <v>982</v>
      </c>
    </row>
    <row r="500">
      <c r="A500" s="1">
        <v>13227.0</v>
      </c>
      <c r="B500" s="2" t="str">
        <f>IFERROR(__xludf.DUMMYFUNCTION("TO_TEXT(A500)"),"13227")</f>
        <v>13227</v>
      </c>
      <c r="C500" s="1">
        <v>29992.0</v>
      </c>
      <c r="D500" s="1">
        <v>232.058088917676</v>
      </c>
      <c r="E500" s="1" t="s">
        <v>166</v>
      </c>
      <c r="F500" s="1" t="s">
        <v>983</v>
      </c>
      <c r="G500" s="1">
        <v>129.243501658931</v>
      </c>
      <c r="H500" s="1">
        <v>13.352190197</v>
      </c>
      <c r="I500" s="1">
        <v>3.651159646</v>
      </c>
      <c r="J500" s="1">
        <v>8.7598425197</v>
      </c>
      <c r="K500" s="1">
        <v>14.577547745</v>
      </c>
      <c r="L500" s="1">
        <v>29.3</v>
      </c>
      <c r="M500" s="1">
        <v>9.0</v>
      </c>
      <c r="N500" s="1">
        <v>31.4</v>
      </c>
      <c r="O500" s="1">
        <v>52.6485678369999</v>
      </c>
      <c r="P500" s="1">
        <v>17.5152420559999</v>
      </c>
      <c r="Q500" s="1">
        <v>41.15487</v>
      </c>
      <c r="R500" s="1">
        <v>95.667870036</v>
      </c>
      <c r="S500" s="1">
        <v>19.8</v>
      </c>
      <c r="T500" s="1">
        <v>6305.0</v>
      </c>
      <c r="U500" s="1">
        <v>23.647898493</v>
      </c>
      <c r="V500" s="1">
        <v>226.126595</v>
      </c>
      <c r="W500" s="1">
        <v>13.098901099</v>
      </c>
      <c r="X500" s="1">
        <v>10.233995585</v>
      </c>
      <c r="Y500" s="1">
        <v>77.375337648</v>
      </c>
      <c r="Z500" s="1">
        <v>14.0</v>
      </c>
      <c r="AA500" s="1">
        <v>1.686091679</v>
      </c>
      <c r="AB500" s="1">
        <v>65062.0</v>
      </c>
      <c r="AC500" s="1">
        <v>51.309496698</v>
      </c>
      <c r="AD500" s="1">
        <v>75.897305971</v>
      </c>
      <c r="AE500" s="1">
        <v>10.636269071</v>
      </c>
      <c r="AF500" s="1">
        <v>1.0318949343</v>
      </c>
      <c r="AG500" s="1">
        <v>0.5284552846</v>
      </c>
      <c r="AH500" s="1">
        <v>0.669168230099999</v>
      </c>
      <c r="AI500" s="1">
        <v>0.0437773609</v>
      </c>
      <c r="AJ500" s="1">
        <v>3.0519074422</v>
      </c>
      <c r="AK500" s="1">
        <v>93.561601001</v>
      </c>
      <c r="AL500" s="1">
        <v>0.2722940776</v>
      </c>
      <c r="AM500" s="1">
        <v>50.919324578</v>
      </c>
      <c r="AN500" s="1">
        <v>73.103190513</v>
      </c>
      <c r="AO500" s="1">
        <v>28637.0</v>
      </c>
      <c r="AP500" s="1">
        <v>10.3</v>
      </c>
      <c r="AQ500" s="1">
        <v>7.2</v>
      </c>
      <c r="AR500" s="1">
        <v>16.8</v>
      </c>
      <c r="AS500" s="1">
        <v>20.3</v>
      </c>
      <c r="AT500" s="1">
        <v>20.8</v>
      </c>
      <c r="AU500" s="1">
        <v>16.4</v>
      </c>
      <c r="AV500" s="1">
        <v>6.3</v>
      </c>
      <c r="AW500" s="1">
        <v>0.5</v>
      </c>
      <c r="AX500" s="1">
        <v>0.2525</v>
      </c>
      <c r="AY500" s="1">
        <v>10.3</v>
      </c>
      <c r="AZ500" s="1">
        <v>10.5</v>
      </c>
      <c r="BA500" s="1">
        <v>14.3</v>
      </c>
      <c r="BB500" s="1">
        <v>3.25</v>
      </c>
      <c r="BC500" s="1" t="s">
        <v>798</v>
      </c>
      <c r="BD500" s="1">
        <v>14.7</v>
      </c>
      <c r="BE500" s="1">
        <v>31.5</v>
      </c>
      <c r="BF500" s="1">
        <v>30.7</v>
      </c>
      <c r="BG500" s="1">
        <v>23.1</v>
      </c>
      <c r="BH500" s="1" t="s">
        <v>983</v>
      </c>
    </row>
    <row r="501">
      <c r="A501" s="1">
        <v>13229.0</v>
      </c>
      <c r="B501" s="2" t="str">
        <f>IFERROR(__xludf.DUMMYFUNCTION("TO_TEXT(A501)"),"13229")</f>
        <v>13229</v>
      </c>
      <c r="C501" s="1">
        <v>19030.0</v>
      </c>
      <c r="D501" s="1">
        <v>340.175597603729</v>
      </c>
      <c r="E501" s="1" t="s">
        <v>984</v>
      </c>
      <c r="F501" s="1" t="s">
        <v>985</v>
      </c>
      <c r="G501" s="1">
        <v>55.9416963887222</v>
      </c>
      <c r="H501" s="1">
        <v>18.16523767</v>
      </c>
      <c r="I501" s="1">
        <v>4.1116707987</v>
      </c>
      <c r="J501" s="1">
        <v>8.2658959538</v>
      </c>
      <c r="K501" s="1">
        <v>18.248512222</v>
      </c>
      <c r="L501" s="1">
        <v>36.2</v>
      </c>
      <c r="M501" s="1">
        <v>7.8</v>
      </c>
      <c r="N501" s="1">
        <v>39.3</v>
      </c>
      <c r="O501" s="1">
        <v>65.817251306</v>
      </c>
      <c r="P501" s="1">
        <v>15.991444389</v>
      </c>
      <c r="Q501" s="1">
        <v>25.89734</v>
      </c>
      <c r="R501" s="1">
        <v>90.842490842</v>
      </c>
      <c r="S501" s="1">
        <v>27.4</v>
      </c>
      <c r="T501" s="1">
        <v>4806.0</v>
      </c>
      <c r="U501" s="1">
        <v>39.637952559</v>
      </c>
      <c r="V501" s="1">
        <v>324.81990832</v>
      </c>
      <c r="W501" s="1">
        <v>12.239020878</v>
      </c>
      <c r="X501" s="1">
        <v>10.71791153</v>
      </c>
      <c r="Y501" s="1">
        <v>75.627609528</v>
      </c>
      <c r="Z501" s="1">
        <v>20.7</v>
      </c>
      <c r="AA501" s="1">
        <v>5.2339483684</v>
      </c>
      <c r="AB501" s="1">
        <v>44389.0</v>
      </c>
      <c r="AC501" s="1">
        <v>57.818480044</v>
      </c>
      <c r="AD501" s="1">
        <v>76.187782805</v>
      </c>
      <c r="AE501" s="1">
        <v>9.6016343207</v>
      </c>
      <c r="AF501" s="1">
        <v>8.4738769405</v>
      </c>
      <c r="AG501" s="1">
        <v>0.8664706793</v>
      </c>
      <c r="AH501" s="1">
        <v>0.6601681366</v>
      </c>
      <c r="AI501" s="1">
        <v>0.0876785806</v>
      </c>
      <c r="AJ501" s="1">
        <v>5.0595698592</v>
      </c>
      <c r="AK501" s="1">
        <v>83.918716798</v>
      </c>
      <c r="AL501" s="1">
        <v>0.8408977001</v>
      </c>
      <c r="AM501" s="1">
        <v>50.5595956469999</v>
      </c>
      <c r="AN501" s="1">
        <v>79.352809468</v>
      </c>
      <c r="AO501" s="1">
        <v>23470.0</v>
      </c>
      <c r="AP501" s="1">
        <v>19.9</v>
      </c>
      <c r="AQ501" s="1">
        <v>8.3</v>
      </c>
      <c r="AR501" s="1">
        <v>18.0</v>
      </c>
      <c r="AS501" s="1">
        <v>15.5</v>
      </c>
      <c r="AT501" s="1">
        <v>25.4</v>
      </c>
      <c r="AU501" s="1">
        <v>19.8</v>
      </c>
      <c r="AV501" s="1">
        <v>16.0</v>
      </c>
      <c r="AW501" s="1">
        <v>1.6</v>
      </c>
      <c r="AX501" s="1">
        <v>0.7297</v>
      </c>
      <c r="AY501" s="1">
        <v>16.4</v>
      </c>
      <c r="AZ501" s="1">
        <v>14.6</v>
      </c>
      <c r="BA501" s="1">
        <v>21.1</v>
      </c>
      <c r="BB501" s="1">
        <v>2.83</v>
      </c>
      <c r="BC501" s="1" t="s">
        <v>798</v>
      </c>
      <c r="BD501" s="1">
        <v>16.6</v>
      </c>
      <c r="BE501" s="1">
        <v>42.8</v>
      </c>
      <c r="BF501" s="1">
        <v>28.1</v>
      </c>
      <c r="BG501" s="1">
        <v>12.6</v>
      </c>
      <c r="BH501" s="1" t="s">
        <v>985</v>
      </c>
    </row>
    <row r="502">
      <c r="A502" s="1">
        <v>13231.0</v>
      </c>
      <c r="B502" s="2" t="str">
        <f>IFERROR(__xludf.DUMMYFUNCTION("TO_TEXT(A502)"),"13231")</f>
        <v>13231</v>
      </c>
      <c r="C502" s="1">
        <v>17843.0</v>
      </c>
      <c r="D502" s="1">
        <v>216.085672346304</v>
      </c>
      <c r="E502" s="1" t="s">
        <v>168</v>
      </c>
      <c r="F502" s="1" t="s">
        <v>986</v>
      </c>
      <c r="G502" s="1">
        <v>82.5737301610835</v>
      </c>
      <c r="H502" s="1">
        <v>14.068563952</v>
      </c>
      <c r="I502" s="1">
        <v>3.6358201208</v>
      </c>
      <c r="J502" s="1">
        <v>8.7929656275</v>
      </c>
      <c r="K502" s="1">
        <v>14.951481633</v>
      </c>
      <c r="L502" s="1">
        <v>34.3</v>
      </c>
      <c r="M502" s="1">
        <v>8.8</v>
      </c>
      <c r="N502" s="1">
        <v>26.7</v>
      </c>
      <c r="O502" s="1">
        <v>38.866192848</v>
      </c>
      <c r="P502" s="1">
        <v>14.434073879</v>
      </c>
      <c r="Q502" s="1">
        <v>21.95751</v>
      </c>
      <c r="R502" s="1">
        <v>87.987012987</v>
      </c>
      <c r="S502" s="1">
        <v>14.6</v>
      </c>
      <c r="T502" s="1">
        <v>4261.0</v>
      </c>
      <c r="U502" s="1">
        <v>17.390283971</v>
      </c>
      <c r="V502" s="1">
        <v>93.262491522</v>
      </c>
      <c r="W502" s="1">
        <v>16.182572614</v>
      </c>
      <c r="X502" s="1">
        <v>13.8879456709999</v>
      </c>
      <c r="Y502" s="1">
        <v>76.617800304</v>
      </c>
      <c r="Z502" s="1">
        <v>5.6</v>
      </c>
      <c r="AA502" s="1">
        <v>0.0070866265</v>
      </c>
      <c r="AB502" s="1">
        <v>66901.0</v>
      </c>
      <c r="AC502" s="1">
        <v>40.244265713</v>
      </c>
      <c r="AD502" s="1">
        <v>82.820176875</v>
      </c>
      <c r="AE502" s="1">
        <v>11.084086171</v>
      </c>
      <c r="AF502" s="1">
        <v>9.1392078995</v>
      </c>
      <c r="AG502" s="1">
        <v>0.3112589889</v>
      </c>
      <c r="AH502" s="1">
        <v>0.4722550177</v>
      </c>
      <c r="AI502" s="1">
        <v>0.0321992058</v>
      </c>
      <c r="AJ502" s="1">
        <v>1.5884941505</v>
      </c>
      <c r="AK502" s="1">
        <v>87.066652356</v>
      </c>
      <c r="AL502" s="1">
        <v>0.0523103749</v>
      </c>
      <c r="AM502" s="1">
        <v>50.821079747</v>
      </c>
      <c r="AN502" s="1">
        <v>98.9646874479999</v>
      </c>
      <c r="AO502" s="1">
        <v>23783.0</v>
      </c>
      <c r="AP502" s="1">
        <v>12.1</v>
      </c>
      <c r="AQ502" s="1">
        <v>10.0</v>
      </c>
      <c r="AR502" s="1">
        <v>12.1</v>
      </c>
      <c r="AS502" s="1">
        <v>14.5</v>
      </c>
      <c r="AT502" s="1">
        <v>25.0</v>
      </c>
      <c r="AU502" s="1">
        <v>13.6</v>
      </c>
      <c r="AV502" s="1">
        <v>13.3</v>
      </c>
      <c r="AW502" s="1">
        <v>0.1</v>
      </c>
      <c r="AX502" s="1">
        <v>0.2359</v>
      </c>
      <c r="AY502" s="1">
        <v>8.7</v>
      </c>
      <c r="AZ502" s="1">
        <v>10.5</v>
      </c>
      <c r="BA502" s="1">
        <v>14.3</v>
      </c>
      <c r="BB502" s="1">
        <v>2.86</v>
      </c>
      <c r="BC502" s="1" t="s">
        <v>798</v>
      </c>
      <c r="BD502" s="1">
        <v>11.8</v>
      </c>
      <c r="BE502" s="1">
        <v>41.8</v>
      </c>
      <c r="BF502" s="1">
        <v>29.3</v>
      </c>
      <c r="BG502" s="1">
        <v>17.1</v>
      </c>
      <c r="BH502" s="1" t="s">
        <v>986</v>
      </c>
    </row>
    <row r="503">
      <c r="A503" s="1">
        <v>13233.0</v>
      </c>
      <c r="B503" s="2" t="str">
        <f>IFERROR(__xludf.DUMMYFUNCTION("TO_TEXT(A503)"),"13233")</f>
        <v>13233</v>
      </c>
      <c r="C503" s="1">
        <v>41263.0</v>
      </c>
      <c r="D503" s="1">
        <v>310.338298366966</v>
      </c>
      <c r="E503" s="1" t="s">
        <v>381</v>
      </c>
      <c r="F503" s="1" t="s">
        <v>987</v>
      </c>
      <c r="G503" s="1">
        <v>132.961352875653</v>
      </c>
      <c r="H503" s="1">
        <v>19.573404058</v>
      </c>
      <c r="I503" s="1">
        <v>4.0974714403</v>
      </c>
      <c r="J503" s="1">
        <v>9.0953307393</v>
      </c>
      <c r="K503" s="1">
        <v>17.857887857</v>
      </c>
      <c r="L503" s="1">
        <v>37.8</v>
      </c>
      <c r="M503" s="1">
        <v>7.8</v>
      </c>
      <c r="N503" s="1">
        <v>29.2</v>
      </c>
      <c r="O503" s="1">
        <v>79.758890898</v>
      </c>
      <c r="P503" s="1">
        <v>19.108408159</v>
      </c>
      <c r="Q503" s="1">
        <v>28.51372</v>
      </c>
      <c r="R503" s="1">
        <v>80.487804878</v>
      </c>
      <c r="S503" s="1">
        <v>31.2</v>
      </c>
      <c r="T503" s="1">
        <v>10609.0</v>
      </c>
      <c r="U503" s="1">
        <v>42.605335093</v>
      </c>
      <c r="V503" s="1">
        <v>568.9745114</v>
      </c>
      <c r="W503" s="1">
        <v>17.417619368</v>
      </c>
      <c r="X503" s="1">
        <v>12.797821647</v>
      </c>
      <c r="Y503" s="1">
        <v>73.8506338569999</v>
      </c>
      <c r="Z503" s="1">
        <v>16.0</v>
      </c>
      <c r="AA503" s="1">
        <v>5.1551912155</v>
      </c>
      <c r="AB503" s="1">
        <v>43679.0</v>
      </c>
      <c r="AC503" s="1">
        <v>85.530177364</v>
      </c>
      <c r="AD503" s="1">
        <v>65.018986077</v>
      </c>
      <c r="AE503" s="1">
        <v>13.946981884</v>
      </c>
      <c r="AF503" s="1">
        <v>12.295738168</v>
      </c>
      <c r="AG503" s="1">
        <v>0.802919708</v>
      </c>
      <c r="AH503" s="1">
        <v>0.7393454203</v>
      </c>
      <c r="AI503" s="1">
        <v>0.1954320697</v>
      </c>
      <c r="AJ503" s="1">
        <v>13.656698846</v>
      </c>
      <c r="AK503" s="1">
        <v>71.603484813</v>
      </c>
      <c r="AL503" s="1">
        <v>3.3816176092</v>
      </c>
      <c r="AM503" s="1">
        <v>50.57216859</v>
      </c>
      <c r="AN503" s="1">
        <v>51.421338156</v>
      </c>
      <c r="AO503" s="1">
        <v>21582.0</v>
      </c>
      <c r="AP503" s="1">
        <v>20.1</v>
      </c>
      <c r="AQ503" s="1">
        <v>8.7</v>
      </c>
      <c r="AR503" s="1">
        <v>24.3</v>
      </c>
      <c r="AS503" s="1">
        <v>14.9</v>
      </c>
      <c r="AT503" s="1">
        <v>26.2</v>
      </c>
      <c r="AU503" s="1">
        <v>16.3</v>
      </c>
      <c r="AV503" s="1">
        <v>28.0</v>
      </c>
      <c r="AW503" s="1">
        <v>3.9</v>
      </c>
      <c r="AX503" s="1">
        <v>0.866</v>
      </c>
      <c r="AY503" s="1">
        <v>16.2</v>
      </c>
      <c r="AZ503" s="1">
        <v>13.6</v>
      </c>
      <c r="BA503" s="1">
        <v>19.2</v>
      </c>
      <c r="BB503" s="1">
        <v>2.83</v>
      </c>
      <c r="BC503" s="1" t="s">
        <v>798</v>
      </c>
      <c r="BD503" s="1">
        <v>21.2</v>
      </c>
      <c r="BE503" s="1">
        <v>37.9</v>
      </c>
      <c r="BF503" s="1">
        <v>27.2</v>
      </c>
      <c r="BG503" s="1">
        <v>13.7</v>
      </c>
      <c r="BH503" s="1" t="s">
        <v>987</v>
      </c>
    </row>
    <row r="504">
      <c r="A504" s="1">
        <v>13235.0</v>
      </c>
      <c r="B504" s="2" t="str">
        <f>IFERROR(__xludf.DUMMYFUNCTION("TO_TEXT(A504)"),"13235")</f>
        <v>13235</v>
      </c>
      <c r="C504" s="1">
        <v>11460.0</v>
      </c>
      <c r="D504" s="1">
        <v>249.059707860594</v>
      </c>
      <c r="E504" s="1" t="s">
        <v>387</v>
      </c>
      <c r="F504" s="1" t="s">
        <v>988</v>
      </c>
      <c r="G504" s="1">
        <v>46.0130628853644</v>
      </c>
      <c r="H504" s="1">
        <v>20.88762413</v>
      </c>
      <c r="I504" s="1">
        <v>4.3338811393</v>
      </c>
      <c r="J504" s="1">
        <v>8.7976539589</v>
      </c>
      <c r="K504" s="1">
        <v>18.316139428</v>
      </c>
      <c r="L504" s="1">
        <v>41.9</v>
      </c>
      <c r="M504" s="1">
        <v>7.0</v>
      </c>
      <c r="N504" s="1">
        <v>37.5</v>
      </c>
      <c r="O504" s="1">
        <v>71.773522065</v>
      </c>
      <c r="P504" s="1">
        <v>15.705086082</v>
      </c>
      <c r="Q504" s="1">
        <v>71.42219</v>
      </c>
      <c r="R504" s="1">
        <v>90.476190476</v>
      </c>
      <c r="S504" s="1">
        <v>36.6</v>
      </c>
      <c r="T504" s="1">
        <v>1861.0</v>
      </c>
      <c r="U504" s="1">
        <v>54.916711445</v>
      </c>
      <c r="V504" s="1">
        <v>632.25058005</v>
      </c>
      <c r="W504" s="1">
        <v>18.9295039159999</v>
      </c>
      <c r="X504" s="1">
        <v>15.040431267</v>
      </c>
      <c r="Y504" s="1">
        <v>78.71801165</v>
      </c>
      <c r="Z504" s="1">
        <v>21.6</v>
      </c>
      <c r="AA504" s="1">
        <v>4.5153221737</v>
      </c>
      <c r="AB504" s="1">
        <v>40582.0</v>
      </c>
      <c r="AC504" s="1">
        <v>91.43501127</v>
      </c>
      <c r="AD504" s="1">
        <v>62.9028032489999</v>
      </c>
      <c r="AE504" s="1">
        <v>17.253714915</v>
      </c>
      <c r="AF504" s="1">
        <v>31.24040112</v>
      </c>
      <c r="AG504" s="1">
        <v>0.4426777487</v>
      </c>
      <c r="AH504" s="1">
        <v>1.1112114916</v>
      </c>
      <c r="AI504" s="1">
        <v>0.0903423977</v>
      </c>
      <c r="AJ504" s="1">
        <v>3.478182311</v>
      </c>
      <c r="AK504" s="1">
        <v>62.49887072</v>
      </c>
      <c r="AL504" s="1">
        <v>0.0184094256</v>
      </c>
      <c r="AM504" s="1">
        <v>56.8705393439999</v>
      </c>
      <c r="AN504" s="1">
        <v>66.70274771</v>
      </c>
      <c r="AO504" s="1">
        <v>17587.0</v>
      </c>
      <c r="AP504" s="1">
        <v>23.8</v>
      </c>
      <c r="AQ504" s="1">
        <v>5.9</v>
      </c>
      <c r="AR504" s="1">
        <v>19.5</v>
      </c>
      <c r="AS504" s="1">
        <v>18.2</v>
      </c>
      <c r="AT504" s="1">
        <v>18.4</v>
      </c>
      <c r="AU504" s="1">
        <v>21.2</v>
      </c>
      <c r="AV504" s="1">
        <v>40.6</v>
      </c>
      <c r="AW504" s="1">
        <v>0.4</v>
      </c>
      <c r="AX504" s="1">
        <v>0.8784</v>
      </c>
      <c r="AY504" s="1">
        <v>20.7</v>
      </c>
      <c r="AZ504" s="1">
        <v>17.9</v>
      </c>
      <c r="BA504" s="1">
        <v>27.9</v>
      </c>
      <c r="BB504" s="1">
        <v>3.0</v>
      </c>
      <c r="BC504" s="1" t="s">
        <v>798</v>
      </c>
      <c r="BD504" s="1">
        <v>18.9</v>
      </c>
      <c r="BE504" s="1">
        <v>36.8</v>
      </c>
      <c r="BF504" s="1">
        <v>31.1</v>
      </c>
      <c r="BG504" s="1">
        <v>13.2</v>
      </c>
      <c r="BH504" s="1" t="s">
        <v>988</v>
      </c>
    </row>
    <row r="505">
      <c r="A505" s="1">
        <v>13237.0</v>
      </c>
      <c r="B505" s="2" t="str">
        <f>IFERROR(__xludf.DUMMYFUNCTION("TO_TEXT(A505)"),"13237")</f>
        <v>13237</v>
      </c>
      <c r="C505" s="1">
        <v>21259.0</v>
      </c>
      <c r="D505" s="1">
        <v>344.647835602626</v>
      </c>
      <c r="E505" s="1" t="s">
        <v>771</v>
      </c>
      <c r="F505" s="1" t="s">
        <v>989</v>
      </c>
      <c r="G505" s="1">
        <v>61.6832540463457</v>
      </c>
      <c r="H505" s="1">
        <v>18.595805943</v>
      </c>
      <c r="I505" s="1">
        <v>3.9838421169</v>
      </c>
      <c r="J505" s="1">
        <v>9.6253229974</v>
      </c>
      <c r="K505" s="1">
        <v>16.0057347859999</v>
      </c>
      <c r="L505" s="1">
        <v>34.3</v>
      </c>
      <c r="M505" s="1">
        <v>8.0</v>
      </c>
      <c r="N505" s="1">
        <v>37.6</v>
      </c>
      <c r="O505" s="1">
        <v>64.120086719</v>
      </c>
      <c r="P505" s="1">
        <v>18.721071864</v>
      </c>
      <c r="Q505" s="1">
        <v>36.81546</v>
      </c>
      <c r="R505" s="1">
        <v>92.5925925929999</v>
      </c>
      <c r="S505" s="1">
        <v>29.5</v>
      </c>
      <c r="T505" s="1">
        <v>4310.0</v>
      </c>
      <c r="U505" s="1">
        <v>41.20649652</v>
      </c>
      <c r="V505" s="1">
        <v>422.47274934</v>
      </c>
      <c r="W505" s="1">
        <v>14.84375</v>
      </c>
      <c r="X505" s="1">
        <v>13.600485732</v>
      </c>
      <c r="Y505" s="1">
        <v>78.854714387</v>
      </c>
      <c r="Z505" s="1">
        <v>22.3</v>
      </c>
      <c r="AA505" s="1">
        <v>1.3213250265</v>
      </c>
      <c r="AB505" s="1">
        <v>51205.0</v>
      </c>
      <c r="AC505" s="1">
        <v>76.208304969</v>
      </c>
      <c r="AD505" s="1">
        <v>77.909930716</v>
      </c>
      <c r="AE505" s="1">
        <v>14.5487148829999</v>
      </c>
      <c r="AF505" s="1">
        <v>26.140584163</v>
      </c>
      <c r="AG505" s="1">
        <v>0.4952084002</v>
      </c>
      <c r="AH505" s="1">
        <v>0.6419368151</v>
      </c>
      <c r="AI505" s="1">
        <v>0.256774726</v>
      </c>
      <c r="AJ505" s="1">
        <v>6.4422944656</v>
      </c>
      <c r="AK505" s="1">
        <v>65.482140401</v>
      </c>
      <c r="AL505" s="1">
        <v>1.3639906469</v>
      </c>
      <c r="AM505" s="1">
        <v>51.199046265</v>
      </c>
      <c r="AN505" s="1">
        <v>80.945423697</v>
      </c>
      <c r="AO505" s="1">
        <v>25164.0</v>
      </c>
      <c r="AP505" s="1">
        <v>17.8</v>
      </c>
      <c r="AQ505" s="1">
        <v>8.0</v>
      </c>
      <c r="AR505" s="1">
        <v>15.9</v>
      </c>
      <c r="AS505" s="1">
        <v>21.3</v>
      </c>
      <c r="AT505" s="1">
        <v>19.6</v>
      </c>
      <c r="AU505" s="1">
        <v>14.4</v>
      </c>
      <c r="AV505" s="1">
        <v>34.6</v>
      </c>
      <c r="AW505" s="1">
        <v>3.8</v>
      </c>
      <c r="AX505" s="1">
        <v>0.5864</v>
      </c>
      <c r="AY505" s="1">
        <v>15.1</v>
      </c>
      <c r="AZ505" s="1">
        <v>12.6</v>
      </c>
      <c r="BA505" s="1">
        <v>20.1</v>
      </c>
      <c r="BB505" s="1">
        <v>2.88</v>
      </c>
      <c r="BC505" s="1" t="s">
        <v>798</v>
      </c>
      <c r="BD505" s="1">
        <v>12.4</v>
      </c>
      <c r="BE505" s="1">
        <v>37.6</v>
      </c>
      <c r="BF505" s="1">
        <v>26.6</v>
      </c>
      <c r="BG505" s="1">
        <v>23.4</v>
      </c>
      <c r="BH505" s="1" t="s">
        <v>989</v>
      </c>
    </row>
    <row r="506">
      <c r="A506" s="1">
        <v>13239.0</v>
      </c>
      <c r="B506" s="2" t="str">
        <f>IFERROR(__xludf.DUMMYFUNCTION("TO_TEXT(A506)"),"13239")</f>
        <v>13239</v>
      </c>
      <c r="C506" s="1">
        <v>2095.0</v>
      </c>
      <c r="D506" s="1">
        <v>151.237341821956</v>
      </c>
      <c r="E506" s="1" t="s">
        <v>990</v>
      </c>
      <c r="F506" s="1" t="s">
        <v>991</v>
      </c>
      <c r="G506" s="1">
        <v>13.8523989826953</v>
      </c>
      <c r="H506" s="1">
        <v>23.06716999</v>
      </c>
      <c r="I506" s="1">
        <v>4.2269979798</v>
      </c>
      <c r="J506" s="1">
        <v>11.464968153</v>
      </c>
      <c r="K506" s="1">
        <v>18.1070919159999</v>
      </c>
      <c r="L506" s="1">
        <v>29.0</v>
      </c>
      <c r="M506" s="1">
        <v>5.2</v>
      </c>
      <c r="N506" s="1">
        <v>27.5</v>
      </c>
      <c r="O506" s="1">
        <v>49.184241942</v>
      </c>
      <c r="P506" s="1">
        <v>17.2009864359999</v>
      </c>
      <c r="Q506" s="1">
        <v>48.31939</v>
      </c>
      <c r="R506" s="1">
        <v>95.652173913</v>
      </c>
      <c r="S506" s="1">
        <v>40.5</v>
      </c>
      <c r="T506" s="1">
        <v>421.0</v>
      </c>
      <c r="U506" s="1">
        <v>60.80760095</v>
      </c>
      <c r="V506" s="1">
        <v>152.07473387</v>
      </c>
      <c r="W506" s="1">
        <v>18.579234973</v>
      </c>
      <c r="X506" s="1">
        <v>18.953488372</v>
      </c>
      <c r="Y506" s="1">
        <v>76.7136241039999</v>
      </c>
      <c r="Z506" s="1">
        <v>17.2</v>
      </c>
      <c r="AA506" s="1">
        <v>20.146473512</v>
      </c>
      <c r="AB506" s="1">
        <v>33908.0</v>
      </c>
      <c r="AC506" s="1">
        <v>100.0</v>
      </c>
      <c r="AD506" s="1">
        <v>68.7366167019999</v>
      </c>
      <c r="AE506" s="1">
        <v>21.688159437</v>
      </c>
      <c r="AF506" s="1">
        <v>46.994295744</v>
      </c>
      <c r="AG506" s="1">
        <v>0.702062308</v>
      </c>
      <c r="AH506" s="1">
        <v>0.2632733655</v>
      </c>
      <c r="AI506" s="1">
        <v>0.0</v>
      </c>
      <c r="AJ506" s="1">
        <v>1.7112768758</v>
      </c>
      <c r="AK506" s="1">
        <v>49.319877139</v>
      </c>
      <c r="AL506" s="1">
        <v>0.8372093023</v>
      </c>
      <c r="AM506" s="1">
        <v>52.172005265</v>
      </c>
      <c r="AN506" s="1">
        <v>73.099880621</v>
      </c>
      <c r="AO506" s="1">
        <v>18499.0</v>
      </c>
      <c r="AP506" s="1">
        <v>25.7</v>
      </c>
      <c r="AQ506" s="1">
        <v>18.5</v>
      </c>
      <c r="AR506" s="1">
        <v>23.1</v>
      </c>
      <c r="AS506" s="1">
        <v>25.5</v>
      </c>
      <c r="AT506" s="1">
        <v>19.3</v>
      </c>
      <c r="AU506" s="1">
        <v>27.0</v>
      </c>
      <c r="AV506" s="1">
        <v>51.8</v>
      </c>
      <c r="AW506" s="1">
        <v>0.0</v>
      </c>
      <c r="AX506" s="1">
        <v>0.8017</v>
      </c>
      <c r="AY506" s="1">
        <v>22.8</v>
      </c>
      <c r="AZ506" s="1">
        <v>18.0</v>
      </c>
      <c r="BA506" s="1">
        <v>30.0</v>
      </c>
      <c r="BB506" s="1">
        <v>3.09</v>
      </c>
      <c r="BC506" s="1" t="s">
        <v>798</v>
      </c>
      <c r="BD506" s="1">
        <v>35.3</v>
      </c>
      <c r="BE506" s="1">
        <v>35.4</v>
      </c>
      <c r="BF506" s="1">
        <v>22.2</v>
      </c>
      <c r="BG506" s="1">
        <v>7.1</v>
      </c>
      <c r="BH506" s="1" t="s">
        <v>991</v>
      </c>
    </row>
    <row r="507">
      <c r="A507" s="1">
        <v>13241.0</v>
      </c>
      <c r="B507" s="2" t="str">
        <f>IFERROR(__xludf.DUMMYFUNCTION("TO_TEXT(A507)"),"13241")</f>
        <v>13241</v>
      </c>
      <c r="C507" s="1">
        <v>16312.0</v>
      </c>
      <c r="D507" s="1">
        <v>370.130489996123</v>
      </c>
      <c r="E507" s="1" t="s">
        <v>992</v>
      </c>
      <c r="F507" s="1" t="s">
        <v>993</v>
      </c>
      <c r="G507" s="1">
        <v>44.070943737088</v>
      </c>
      <c r="H507" s="1">
        <v>17.795756519</v>
      </c>
      <c r="I507" s="1">
        <v>4.0800253147</v>
      </c>
      <c r="J507" s="1">
        <v>7.68500948769999</v>
      </c>
      <c r="K507" s="1">
        <v>17.016575575</v>
      </c>
      <c r="L507" s="1">
        <v>32.1</v>
      </c>
      <c r="M507" s="1">
        <v>8.5</v>
      </c>
      <c r="N507" s="1">
        <v>31.9</v>
      </c>
      <c r="O507" s="1">
        <v>100.0</v>
      </c>
      <c r="P507" s="1">
        <v>21.272666219</v>
      </c>
      <c r="Q507" s="1">
        <v>60.23371</v>
      </c>
      <c r="R507" s="1">
        <v>94.444444444</v>
      </c>
      <c r="S507" s="1">
        <v>25.1</v>
      </c>
      <c r="T507" s="1">
        <v>2693.0</v>
      </c>
      <c r="U507" s="1">
        <v>31.934645377</v>
      </c>
      <c r="V507" s="1">
        <v>125.9678014</v>
      </c>
      <c r="W507" s="1">
        <v>16.515837104</v>
      </c>
      <c r="X507" s="1">
        <v>15.21875</v>
      </c>
      <c r="Y507" s="1">
        <v>78.546216383</v>
      </c>
      <c r="Z507" s="1">
        <v>17.6</v>
      </c>
      <c r="AA507" s="1">
        <v>0.1360289217</v>
      </c>
      <c r="AB507" s="1">
        <v>44213.0</v>
      </c>
      <c r="AC507" s="1">
        <v>64.904486895</v>
      </c>
      <c r="AD507" s="1">
        <v>74.8133475539999</v>
      </c>
      <c r="AE507" s="1">
        <v>14.160725859</v>
      </c>
      <c r="AF507" s="1">
        <v>1.2865358392</v>
      </c>
      <c r="AG507" s="1">
        <v>0.5513725025</v>
      </c>
      <c r="AH507" s="1">
        <v>1.0790300587</v>
      </c>
      <c r="AI507" s="1">
        <v>0.0652161024</v>
      </c>
      <c r="AJ507" s="1">
        <v>8.2350151183</v>
      </c>
      <c r="AK507" s="1">
        <v>87.620798008</v>
      </c>
      <c r="AL507" s="1">
        <v>1.4407209952</v>
      </c>
      <c r="AM507" s="1">
        <v>50.821130017</v>
      </c>
      <c r="AN507" s="1">
        <v>79.282378963</v>
      </c>
      <c r="AO507" s="1">
        <v>24374.0</v>
      </c>
      <c r="AP507" s="1">
        <v>21.8</v>
      </c>
      <c r="AQ507" s="1">
        <v>6.8</v>
      </c>
      <c r="AR507" s="1">
        <v>14.4</v>
      </c>
      <c r="AS507" s="1">
        <v>25.5</v>
      </c>
      <c r="AT507" s="1">
        <v>17.8</v>
      </c>
      <c r="AU507" s="1">
        <v>16.9</v>
      </c>
      <c r="AV507" s="1">
        <v>12.9</v>
      </c>
      <c r="AW507" s="1">
        <v>1.7</v>
      </c>
      <c r="AX507" s="1">
        <v>0.4976</v>
      </c>
      <c r="AY507" s="1">
        <v>13.0</v>
      </c>
      <c r="AZ507" s="1">
        <v>14.5</v>
      </c>
      <c r="BA507" s="1">
        <v>21.6</v>
      </c>
      <c r="BB507" s="1">
        <v>2.89</v>
      </c>
      <c r="BC507" s="1" t="s">
        <v>798</v>
      </c>
      <c r="BD507" s="1">
        <v>15.2</v>
      </c>
      <c r="BE507" s="1">
        <v>33.1</v>
      </c>
      <c r="BF507" s="1">
        <v>27.5</v>
      </c>
      <c r="BG507" s="1">
        <v>24.2</v>
      </c>
      <c r="BH507" s="1" t="s">
        <v>993</v>
      </c>
    </row>
    <row r="508">
      <c r="A508" s="1">
        <v>13243.0</v>
      </c>
      <c r="B508" s="2" t="str">
        <f>IFERROR(__xludf.DUMMYFUNCTION("TO_TEXT(A508)"),"13243")</f>
        <v>13243</v>
      </c>
      <c r="C508" s="1">
        <v>7224.0</v>
      </c>
      <c r="D508" s="1">
        <v>428.235859130378</v>
      </c>
      <c r="E508" s="1" t="s">
        <v>170</v>
      </c>
      <c r="F508" s="1" t="s">
        <v>994</v>
      </c>
      <c r="G508" s="1">
        <v>16.8692085120331</v>
      </c>
      <c r="H508" s="1">
        <v>28.312464499</v>
      </c>
      <c r="I508" s="1">
        <v>4.6688131608</v>
      </c>
      <c r="J508" s="1">
        <v>13.686131387</v>
      </c>
      <c r="K508" s="1">
        <v>21.368224221</v>
      </c>
      <c r="L508" s="1">
        <v>36.1</v>
      </c>
      <c r="M508" s="1">
        <v>4.6</v>
      </c>
      <c r="N508" s="1">
        <v>23.3</v>
      </c>
      <c r="O508" s="1">
        <v>0.0</v>
      </c>
      <c r="P508" s="1">
        <v>15.886354542</v>
      </c>
      <c r="Q508" s="1">
        <v>28.26855</v>
      </c>
      <c r="R508" s="1">
        <v>83.13253012</v>
      </c>
      <c r="S508" s="1">
        <v>44.3</v>
      </c>
      <c r="T508" s="1">
        <v>1770.0</v>
      </c>
      <c r="U508" s="1">
        <v>80.0</v>
      </c>
      <c r="V508" s="1">
        <v>253.48542459</v>
      </c>
      <c r="W508" s="1">
        <v>21.276595745</v>
      </c>
      <c r="X508" s="1">
        <v>16.758747698</v>
      </c>
      <c r="Y508" s="1">
        <v>76.382931481</v>
      </c>
      <c r="Z508" s="1">
        <v>12.3</v>
      </c>
      <c r="AA508" s="1">
        <v>15.6451837659999</v>
      </c>
      <c r="AB508" s="1">
        <v>28298.0</v>
      </c>
      <c r="AC508" s="1">
        <v>93.8282647579999</v>
      </c>
      <c r="AD508" s="1">
        <v>57.415902141</v>
      </c>
      <c r="AE508" s="1">
        <v>17.694369973</v>
      </c>
      <c r="AF508" s="1">
        <v>61.056636909</v>
      </c>
      <c r="AG508" s="1">
        <v>0.1170788819</v>
      </c>
      <c r="AH508" s="1">
        <v>0.5268549685</v>
      </c>
      <c r="AI508" s="1">
        <v>0.1024440217</v>
      </c>
      <c r="AJ508" s="1">
        <v>2.3415776379</v>
      </c>
      <c r="AK508" s="1">
        <v>35.299282892</v>
      </c>
      <c r="AL508" s="1">
        <v>0.0</v>
      </c>
      <c r="AM508" s="1">
        <v>53.797746232</v>
      </c>
      <c r="AN508" s="1">
        <v>50.628319731</v>
      </c>
      <c r="AO508" s="1">
        <v>26198.0</v>
      </c>
      <c r="AP508" s="1">
        <v>28.7</v>
      </c>
      <c r="AQ508" s="1">
        <v>9.7</v>
      </c>
      <c r="AR508" s="1">
        <v>29.3</v>
      </c>
      <c r="AS508" s="1">
        <v>18.3</v>
      </c>
      <c r="AT508" s="1">
        <v>24.8</v>
      </c>
      <c r="AU508" s="1">
        <v>18.8</v>
      </c>
      <c r="AV508" s="1">
        <v>65.0</v>
      </c>
      <c r="AW508" s="1">
        <v>0.0</v>
      </c>
      <c r="AX508" s="1">
        <v>0.9331</v>
      </c>
      <c r="AY508" s="1">
        <v>25.3</v>
      </c>
      <c r="AZ508" s="1">
        <v>21.4</v>
      </c>
      <c r="BA508" s="1">
        <v>33.1</v>
      </c>
      <c r="BB508" s="1">
        <v>3.24</v>
      </c>
      <c r="BC508" s="1" t="s">
        <v>798</v>
      </c>
      <c r="BD508" s="1">
        <v>25.5</v>
      </c>
      <c r="BE508" s="1">
        <v>35.8</v>
      </c>
      <c r="BF508" s="1">
        <v>28.5</v>
      </c>
      <c r="BG508" s="1">
        <v>10.3</v>
      </c>
      <c r="BH508" s="1" t="s">
        <v>994</v>
      </c>
    </row>
    <row r="509">
      <c r="A509" s="1">
        <v>13245.0</v>
      </c>
      <c r="B509" s="2" t="str">
        <f>IFERROR(__xludf.DUMMYFUNCTION("TO_TEXT(A509)"),"13245")</f>
        <v>13245</v>
      </c>
      <c r="C509" s="1">
        <v>201418.0</v>
      </c>
      <c r="D509" s="1">
        <v>324.328920554086</v>
      </c>
      <c r="E509" s="1" t="s">
        <v>995</v>
      </c>
      <c r="F509" s="1" t="s">
        <v>996</v>
      </c>
      <c r="G509" s="1">
        <v>621.030032276789</v>
      </c>
      <c r="H509" s="1">
        <v>20.985110484</v>
      </c>
      <c r="I509" s="1">
        <v>4.2772827308</v>
      </c>
      <c r="J509" s="1">
        <v>11.3771057909999</v>
      </c>
      <c r="K509" s="1">
        <v>19.904427644</v>
      </c>
      <c r="L509" s="1">
        <v>35.6</v>
      </c>
      <c r="M509" s="1">
        <v>5.1</v>
      </c>
      <c r="N509" s="1">
        <v>30.6</v>
      </c>
      <c r="O509" s="1">
        <v>73.0848819989999</v>
      </c>
      <c r="P509" s="1">
        <v>14.237672304</v>
      </c>
      <c r="Q509" s="1">
        <v>98.11695</v>
      </c>
      <c r="R509" s="1">
        <v>78.694638695</v>
      </c>
      <c r="S509" s="1">
        <v>34.1</v>
      </c>
      <c r="T509" s="1">
        <v>46401.0</v>
      </c>
      <c r="U509" s="1">
        <v>53.194974246</v>
      </c>
      <c r="V509" s="1">
        <v>428.73782558</v>
      </c>
      <c r="W509" s="1">
        <v>20.677521733</v>
      </c>
      <c r="X509" s="1">
        <v>19.06120702</v>
      </c>
      <c r="Y509" s="1">
        <v>74.062725012</v>
      </c>
      <c r="Z509" s="1">
        <v>12.0</v>
      </c>
      <c r="AA509" s="1">
        <v>17.941397365</v>
      </c>
      <c r="AB509" s="1">
        <v>40168.0</v>
      </c>
      <c r="AC509" s="1">
        <v>93.90193785</v>
      </c>
      <c r="AD509" s="1">
        <v>53.269590522</v>
      </c>
      <c r="AE509" s="1">
        <v>19.382673153</v>
      </c>
      <c r="AF509" s="1">
        <v>56.004842375</v>
      </c>
      <c r="AG509" s="1">
        <v>0.4375998492</v>
      </c>
      <c r="AH509" s="1">
        <v>1.8129136609</v>
      </c>
      <c r="AI509" s="1">
        <v>0.2331881282</v>
      </c>
      <c r="AJ509" s="1">
        <v>5.0185062068</v>
      </c>
      <c r="AK509" s="1">
        <v>34.34960358</v>
      </c>
      <c r="AL509" s="1">
        <v>0.7335666683</v>
      </c>
      <c r="AM509" s="1">
        <v>51.5643450389999</v>
      </c>
      <c r="AN509" s="1">
        <v>9.21620152679999</v>
      </c>
      <c r="AO509" s="1">
        <v>20956.0</v>
      </c>
      <c r="AP509" s="1">
        <v>25.2</v>
      </c>
      <c r="AQ509" s="1">
        <v>11.5</v>
      </c>
      <c r="AR509" s="1">
        <v>16.4</v>
      </c>
      <c r="AS509" s="1">
        <v>12.6</v>
      </c>
      <c r="AT509" s="1">
        <v>23.7</v>
      </c>
      <c r="AU509" s="1">
        <v>17.3</v>
      </c>
      <c r="AV509" s="1">
        <v>64.0</v>
      </c>
      <c r="AW509" s="1">
        <v>0.7</v>
      </c>
      <c r="AX509" s="1">
        <v>0.93</v>
      </c>
      <c r="AY509" s="1">
        <v>21.7</v>
      </c>
      <c r="AZ509" s="1">
        <v>17.3</v>
      </c>
      <c r="BA509" s="1">
        <v>23.8</v>
      </c>
      <c r="BB509" s="1">
        <v>3.0</v>
      </c>
      <c r="BC509" s="1" t="s">
        <v>798</v>
      </c>
      <c r="BD509" s="1">
        <v>15.9</v>
      </c>
      <c r="BE509" s="1">
        <v>31.4</v>
      </c>
      <c r="BF509" s="1">
        <v>31.4</v>
      </c>
      <c r="BG509" s="1">
        <v>21.4</v>
      </c>
      <c r="BH509" s="1" t="s">
        <v>996</v>
      </c>
    </row>
    <row r="510">
      <c r="A510" s="1">
        <v>13247.0</v>
      </c>
      <c r="B510" s="2" t="str">
        <f>IFERROR(__xludf.DUMMYFUNCTION("TO_TEXT(A510)"),"13247")</f>
        <v>13247</v>
      </c>
      <c r="C510" s="1">
        <v>87569.0</v>
      </c>
      <c r="D510" s="1">
        <v>129.809529860254</v>
      </c>
      <c r="E510" s="1" t="s">
        <v>997</v>
      </c>
      <c r="F510" s="1" t="s">
        <v>998</v>
      </c>
      <c r="G510" s="1">
        <v>674.596080074183</v>
      </c>
      <c r="H510" s="1">
        <v>20.673301913</v>
      </c>
      <c r="I510" s="1">
        <v>4.0464698983</v>
      </c>
      <c r="J510" s="1">
        <v>10.878962536</v>
      </c>
      <c r="K510" s="1">
        <v>18.328330785</v>
      </c>
      <c r="L510" s="1">
        <v>42.2</v>
      </c>
      <c r="M510" s="1">
        <v>6.4</v>
      </c>
      <c r="N510" s="1">
        <v>34.8</v>
      </c>
      <c r="O510" s="1">
        <v>78.925071877</v>
      </c>
      <c r="P510" s="1">
        <v>15.5458674879999</v>
      </c>
      <c r="Q510" s="1">
        <v>73.07999</v>
      </c>
      <c r="R510" s="1">
        <v>82.698170732</v>
      </c>
      <c r="S510" s="1">
        <v>22.9</v>
      </c>
      <c r="T510" s="1">
        <v>22376.0</v>
      </c>
      <c r="U510" s="1">
        <v>48.654808724</v>
      </c>
      <c r="V510" s="1">
        <v>300.47839323</v>
      </c>
      <c r="W510" s="1">
        <v>18.303273213</v>
      </c>
      <c r="X510" s="1">
        <v>15.941046925</v>
      </c>
      <c r="Y510" s="1">
        <v>77.52524885</v>
      </c>
      <c r="Z510" s="1">
        <v>14.6</v>
      </c>
      <c r="AA510" s="1">
        <v>14.70887582</v>
      </c>
      <c r="AB510" s="1">
        <v>59673.0</v>
      </c>
      <c r="AC510" s="1">
        <v>68.245508982</v>
      </c>
      <c r="AD510" s="1">
        <v>68.10065201</v>
      </c>
      <c r="AE510" s="1">
        <v>14.775999464</v>
      </c>
      <c r="AF510" s="1">
        <v>55.408746716</v>
      </c>
      <c r="AG510" s="1">
        <v>0.5585358854</v>
      </c>
      <c r="AH510" s="1">
        <v>1.8621542265</v>
      </c>
      <c r="AI510" s="1">
        <v>0.1534317946</v>
      </c>
      <c r="AJ510" s="1">
        <v>10.403558735</v>
      </c>
      <c r="AK510" s="1">
        <v>30.177495198</v>
      </c>
      <c r="AL510" s="1">
        <v>2.1512308096</v>
      </c>
      <c r="AM510" s="1">
        <v>52.9814336489999</v>
      </c>
      <c r="AN510" s="1">
        <v>14.932816992</v>
      </c>
      <c r="AO510" s="1">
        <v>23003.0</v>
      </c>
      <c r="AP510" s="1">
        <v>17.2</v>
      </c>
      <c r="AQ510" s="1">
        <v>10.3</v>
      </c>
      <c r="AR510" s="1">
        <v>12.9</v>
      </c>
      <c r="AS510" s="1">
        <v>12.6</v>
      </c>
      <c r="AT510" s="1">
        <v>25.8</v>
      </c>
      <c r="AU510" s="1">
        <v>9.2</v>
      </c>
      <c r="AV510" s="1">
        <v>64.0</v>
      </c>
      <c r="AW510" s="1">
        <v>2.8</v>
      </c>
      <c r="AX510" s="1">
        <v>0.6208</v>
      </c>
      <c r="AY510" s="1">
        <v>12.1</v>
      </c>
      <c r="AZ510" s="1">
        <v>11.9</v>
      </c>
      <c r="BA510" s="1">
        <v>16.5</v>
      </c>
      <c r="BB510" s="1">
        <v>3.04</v>
      </c>
      <c r="BC510" s="1" t="s">
        <v>798</v>
      </c>
      <c r="BD510" s="1">
        <v>11.2</v>
      </c>
      <c r="BE510" s="1">
        <v>31.5</v>
      </c>
      <c r="BF510" s="1">
        <v>31.0</v>
      </c>
      <c r="BG510" s="1">
        <v>26.3</v>
      </c>
      <c r="BH510" s="1" t="s">
        <v>998</v>
      </c>
    </row>
    <row r="511">
      <c r="A511" s="1">
        <v>13249.0</v>
      </c>
      <c r="B511" s="2" t="str">
        <f>IFERROR(__xludf.DUMMYFUNCTION("TO_TEXT(A511)"),"13249")</f>
        <v>13249</v>
      </c>
      <c r="C511" s="1">
        <v>5089.0</v>
      </c>
      <c r="D511" s="1">
        <v>166.905893030512</v>
      </c>
      <c r="E511" s="1" t="s">
        <v>999</v>
      </c>
      <c r="F511" s="1" t="s">
        <v>1000</v>
      </c>
      <c r="G511" s="1">
        <v>30.4902355908408</v>
      </c>
      <c r="H511" s="1">
        <v>20.143616073</v>
      </c>
      <c r="I511" s="1">
        <v>4.2186212835</v>
      </c>
      <c r="J511" s="1">
        <v>10.0591715979999</v>
      </c>
      <c r="K511" s="1">
        <v>18.294648496</v>
      </c>
      <c r="L511" s="1">
        <v>26.9</v>
      </c>
      <c r="M511" s="1">
        <v>7.6</v>
      </c>
      <c r="N511" s="1">
        <v>27.9</v>
      </c>
      <c r="O511" s="1">
        <v>25.149700599</v>
      </c>
      <c r="P511" s="1">
        <v>15.117087874</v>
      </c>
      <c r="Q511" s="1">
        <v>48.31939</v>
      </c>
      <c r="R511" s="1">
        <v>97.321428571</v>
      </c>
      <c r="S511" s="1">
        <v>24.6</v>
      </c>
      <c r="T511" s="1">
        <v>1234.0</v>
      </c>
      <c r="U511" s="1">
        <v>37.034035656</v>
      </c>
      <c r="V511" s="1">
        <v>155.0838422</v>
      </c>
      <c r="W511" s="1">
        <v>13.45646438</v>
      </c>
      <c r="X511" s="1">
        <v>11.684782609</v>
      </c>
      <c r="Y511" s="1">
        <v>80.618290859</v>
      </c>
      <c r="Z511" s="1">
        <v>6.4</v>
      </c>
      <c r="AA511" s="1">
        <v>0.2874011903</v>
      </c>
      <c r="AB511" s="1">
        <v>45378.0</v>
      </c>
      <c r="AC511" s="1">
        <v>52.424242424</v>
      </c>
      <c r="AD511" s="1">
        <v>69.738945125</v>
      </c>
      <c r="AE511" s="1">
        <v>15.8682634729999</v>
      </c>
      <c r="AF511" s="1">
        <v>19.805194805</v>
      </c>
      <c r="AG511" s="1">
        <v>0.1145912911</v>
      </c>
      <c r="AH511" s="1">
        <v>0.8403361345</v>
      </c>
      <c r="AI511" s="1">
        <v>0.0</v>
      </c>
      <c r="AJ511" s="1">
        <v>6.24522536289999</v>
      </c>
      <c r="AK511" s="1">
        <v>71.92513369</v>
      </c>
      <c r="AL511" s="1">
        <v>0.3846932577</v>
      </c>
      <c r="AM511" s="1">
        <v>52.5592055</v>
      </c>
      <c r="AN511" s="1">
        <v>100.0</v>
      </c>
      <c r="AO511" s="1">
        <v>21202.0</v>
      </c>
      <c r="AP511" s="1">
        <v>21.9</v>
      </c>
      <c r="AQ511" s="1">
        <v>13.0</v>
      </c>
      <c r="AR511" s="1">
        <v>19.1</v>
      </c>
      <c r="AS511" s="1">
        <v>15.3</v>
      </c>
      <c r="AT511" s="1">
        <v>26.9</v>
      </c>
      <c r="AU511" s="1">
        <v>16.7</v>
      </c>
      <c r="AV511" s="1">
        <v>31.3</v>
      </c>
      <c r="AW511" s="1">
        <v>0.9</v>
      </c>
      <c r="AX511" s="1">
        <v>0.8962</v>
      </c>
      <c r="AY511" s="1">
        <v>15.9</v>
      </c>
      <c r="AZ511" s="1">
        <v>15.6</v>
      </c>
      <c r="BA511" s="1">
        <v>21.6</v>
      </c>
      <c r="BB511" s="1">
        <v>3.07</v>
      </c>
      <c r="BC511" s="1" t="s">
        <v>798</v>
      </c>
      <c r="BD511" s="1">
        <v>12.4</v>
      </c>
      <c r="BE511" s="1">
        <v>34.8</v>
      </c>
      <c r="BF511" s="1">
        <v>39.4</v>
      </c>
      <c r="BG511" s="1">
        <v>13.3</v>
      </c>
      <c r="BH511" s="1" t="s">
        <v>1000</v>
      </c>
    </row>
    <row r="512">
      <c r="A512" s="1">
        <v>13251.0</v>
      </c>
      <c r="B512" s="2" t="str">
        <f>IFERROR(__xludf.DUMMYFUNCTION("TO_TEXT(A512)"),"13251")</f>
        <v>13251</v>
      </c>
      <c r="C512" s="1">
        <v>14114.0</v>
      </c>
      <c r="D512" s="1">
        <v>645.100567937674</v>
      </c>
      <c r="E512" s="1" t="s">
        <v>1001</v>
      </c>
      <c r="F512" s="1" t="s">
        <v>1002</v>
      </c>
      <c r="G512" s="1">
        <v>21.8787592221801</v>
      </c>
      <c r="H512" s="1">
        <v>21.5396946069999</v>
      </c>
      <c r="I512" s="1">
        <v>4.2119127016</v>
      </c>
      <c r="J512" s="1">
        <v>11.19047619</v>
      </c>
      <c r="K512" s="1">
        <v>19.896080873</v>
      </c>
      <c r="L512" s="1">
        <v>29.5</v>
      </c>
      <c r="M512" s="1">
        <v>6.4</v>
      </c>
      <c r="N512" s="1">
        <v>36.7</v>
      </c>
      <c r="O512" s="1">
        <v>54.8619200989999</v>
      </c>
      <c r="P512" s="1">
        <v>16.180104329</v>
      </c>
      <c r="Q512" s="1">
        <v>14.33384</v>
      </c>
      <c r="R512" s="1">
        <v>81.578947368</v>
      </c>
      <c r="S512" s="1">
        <v>41.2</v>
      </c>
      <c r="T512" s="1">
        <v>2960.0</v>
      </c>
      <c r="U512" s="1">
        <v>49.425675676</v>
      </c>
      <c r="V512" s="1">
        <v>341.75334324</v>
      </c>
      <c r="W512" s="1">
        <v>18.120805369</v>
      </c>
      <c r="X512" s="1">
        <v>15.074478649</v>
      </c>
      <c r="Y512" s="1">
        <v>75.411422827</v>
      </c>
      <c r="Z512" s="1">
        <v>12.5</v>
      </c>
      <c r="AA512" s="1">
        <v>9.2666492338</v>
      </c>
      <c r="AB512" s="1">
        <v>39048.0</v>
      </c>
      <c r="AC512" s="1">
        <v>79.113384484</v>
      </c>
      <c r="AD512" s="1">
        <v>71.866083317</v>
      </c>
      <c r="AE512" s="1">
        <v>12.593206297</v>
      </c>
      <c r="AF512" s="1">
        <v>40.902568518</v>
      </c>
      <c r="AG512" s="1">
        <v>0.4663509829</v>
      </c>
      <c r="AH512" s="1">
        <v>0.6528913761</v>
      </c>
      <c r="AI512" s="1">
        <v>0.028698522</v>
      </c>
      <c r="AJ512" s="1">
        <v>2.3245802841</v>
      </c>
      <c r="AK512" s="1">
        <v>54.67785909</v>
      </c>
      <c r="AL512" s="1">
        <v>0.5489897064</v>
      </c>
      <c r="AM512" s="1">
        <v>50.480700244</v>
      </c>
      <c r="AN512" s="1">
        <v>78.921400672</v>
      </c>
      <c r="AO512" s="1">
        <v>19801.0</v>
      </c>
      <c r="AP512" s="1">
        <v>25.0</v>
      </c>
      <c r="AQ512" s="1">
        <v>8.5</v>
      </c>
      <c r="AR512" s="1">
        <v>18.9</v>
      </c>
      <c r="AS512" s="1">
        <v>16.7</v>
      </c>
      <c r="AT512" s="1">
        <v>22.7</v>
      </c>
      <c r="AU512" s="1">
        <v>16.5</v>
      </c>
      <c r="AV512" s="1">
        <v>45.2</v>
      </c>
      <c r="AW512" s="1">
        <v>0.3</v>
      </c>
      <c r="AX512" s="1">
        <v>0.8838</v>
      </c>
      <c r="AY512" s="1">
        <v>24.1</v>
      </c>
      <c r="AZ512" s="1">
        <v>16.2</v>
      </c>
      <c r="BA512" s="1">
        <v>25.1</v>
      </c>
      <c r="BB512" s="1">
        <v>3.08</v>
      </c>
      <c r="BC512" s="1" t="s">
        <v>798</v>
      </c>
      <c r="BD512" s="1">
        <v>16.5</v>
      </c>
      <c r="BE512" s="1">
        <v>41.5</v>
      </c>
      <c r="BF512" s="1">
        <v>26.6</v>
      </c>
      <c r="BG512" s="1">
        <v>15.4</v>
      </c>
      <c r="BH512" s="1" t="s">
        <v>1002</v>
      </c>
    </row>
    <row r="513">
      <c r="A513" s="1">
        <v>13253.0</v>
      </c>
      <c r="B513" s="2" t="str">
        <f>IFERROR(__xludf.DUMMYFUNCTION("TO_TEXT(A513)"),"13253")</f>
        <v>13253</v>
      </c>
      <c r="C513" s="1">
        <v>8696.0</v>
      </c>
      <c r="D513" s="1">
        <v>235.230844264679</v>
      </c>
      <c r="E513" s="1" t="s">
        <v>781</v>
      </c>
      <c r="F513" s="1" t="s">
        <v>1003</v>
      </c>
      <c r="G513" s="1">
        <v>36.9679411183651</v>
      </c>
      <c r="H513" s="1">
        <v>21.028525228</v>
      </c>
      <c r="I513" s="1">
        <v>4.1131954219</v>
      </c>
      <c r="J513" s="1">
        <v>12.8057553959999</v>
      </c>
      <c r="K513" s="1">
        <v>17.925390354</v>
      </c>
      <c r="L513" s="1">
        <v>30.7</v>
      </c>
      <c r="M513" s="1">
        <v>7.0</v>
      </c>
      <c r="N513" s="1">
        <v>32.1</v>
      </c>
      <c r="O513" s="1">
        <v>45.091075725</v>
      </c>
      <c r="P513" s="1">
        <v>16.2705375659999</v>
      </c>
      <c r="Q513" s="1">
        <v>120.59817</v>
      </c>
      <c r="R513" s="1">
        <v>88.3495145629999</v>
      </c>
      <c r="S513" s="1">
        <v>40.1</v>
      </c>
      <c r="T513" s="1">
        <v>1809.0</v>
      </c>
      <c r="U513" s="1">
        <v>50.359314538</v>
      </c>
      <c r="V513" s="1">
        <v>260.62322946</v>
      </c>
      <c r="W513" s="1">
        <v>13.897280967</v>
      </c>
      <c r="X513" s="1">
        <v>12.121212121</v>
      </c>
      <c r="Y513" s="1">
        <v>73.507731113</v>
      </c>
      <c r="Z513" s="1">
        <v>9.6</v>
      </c>
      <c r="AA513" s="1">
        <v>2.4818139497</v>
      </c>
      <c r="AB513" s="1">
        <v>36869.0</v>
      </c>
      <c r="AC513" s="1">
        <v>94.14114514</v>
      </c>
      <c r="AD513" s="1">
        <v>68.45112782</v>
      </c>
      <c r="AE513" s="1">
        <v>14.431295201</v>
      </c>
      <c r="AF513" s="1">
        <v>32.339146121</v>
      </c>
      <c r="AG513" s="1">
        <v>0.3126879134</v>
      </c>
      <c r="AH513" s="1">
        <v>0.7696933253</v>
      </c>
      <c r="AI513" s="1">
        <v>0.0240529164</v>
      </c>
      <c r="AJ513" s="1">
        <v>3.5117257968</v>
      </c>
      <c r="AK513" s="1">
        <v>61.779915815</v>
      </c>
      <c r="AL513" s="1">
        <v>0.5521395407</v>
      </c>
      <c r="AM513" s="1">
        <v>52.1226698739999</v>
      </c>
      <c r="AN513" s="1">
        <v>68.553098866</v>
      </c>
      <c r="AO513" s="1">
        <v>21484.0</v>
      </c>
      <c r="AP513" s="1">
        <v>19.1</v>
      </c>
      <c r="AQ513" s="1">
        <v>8.7</v>
      </c>
      <c r="AR513" s="1">
        <v>17.9</v>
      </c>
      <c r="AS513" s="1">
        <v>21.3</v>
      </c>
      <c r="AT513" s="1">
        <v>22.0</v>
      </c>
      <c r="AU513" s="1">
        <v>16.7</v>
      </c>
      <c r="AV513" s="1">
        <v>38.2</v>
      </c>
      <c r="AW513" s="1">
        <v>0.2</v>
      </c>
      <c r="AX513" s="1">
        <v>0.8122</v>
      </c>
      <c r="AY513" s="1">
        <v>22.6</v>
      </c>
      <c r="AZ513" s="1">
        <v>17.2</v>
      </c>
      <c r="BA513" s="1">
        <v>26.2</v>
      </c>
      <c r="BB513" s="1">
        <v>3.15</v>
      </c>
      <c r="BC513" s="1" t="s">
        <v>798</v>
      </c>
      <c r="BD513" s="1">
        <v>14.0</v>
      </c>
      <c r="BE513" s="1">
        <v>38.3</v>
      </c>
      <c r="BF513" s="1">
        <v>31.5</v>
      </c>
      <c r="BG513" s="1">
        <v>16.2</v>
      </c>
      <c r="BH513" s="1" t="s">
        <v>1003</v>
      </c>
    </row>
    <row r="514">
      <c r="A514" s="1">
        <v>13255.0</v>
      </c>
      <c r="B514" s="2" t="str">
        <f>IFERROR(__xludf.DUMMYFUNCTION("TO_TEXT(A514)"),"13255")</f>
        <v>13255</v>
      </c>
      <c r="C514" s="1">
        <v>64006.0</v>
      </c>
      <c r="D514" s="1">
        <v>195.882667434776</v>
      </c>
      <c r="E514" s="1" t="s">
        <v>1004</v>
      </c>
      <c r="F514" s="1" t="s">
        <v>1005</v>
      </c>
      <c r="G514" s="1">
        <v>326.756832741786</v>
      </c>
      <c r="H514" s="1">
        <v>21.02132195</v>
      </c>
      <c r="I514" s="1">
        <v>4.1883055925</v>
      </c>
      <c r="J514" s="1">
        <v>13.436554547</v>
      </c>
      <c r="K514" s="1">
        <v>18.6915686109999</v>
      </c>
      <c r="L514" s="1">
        <v>39.3</v>
      </c>
      <c r="M514" s="1">
        <v>6.8</v>
      </c>
      <c r="N514" s="1">
        <v>32.8</v>
      </c>
      <c r="O514" s="1">
        <v>72.088087026</v>
      </c>
      <c r="P514" s="1">
        <v>15.6860509309999</v>
      </c>
      <c r="Q514" s="1">
        <v>45.88559</v>
      </c>
      <c r="R514" s="1">
        <v>85.386819484</v>
      </c>
      <c r="S514" s="1">
        <v>29.1</v>
      </c>
      <c r="T514" s="1">
        <v>15491.0</v>
      </c>
      <c r="U514" s="1">
        <v>50.816603189</v>
      </c>
      <c r="V514" s="1">
        <v>584.59422283</v>
      </c>
      <c r="W514" s="1">
        <v>21.165175649</v>
      </c>
      <c r="X514" s="1">
        <v>19.133735209</v>
      </c>
      <c r="Y514" s="1">
        <v>73.853123486</v>
      </c>
      <c r="Z514" s="1">
        <v>15.5</v>
      </c>
      <c r="AA514" s="1">
        <v>7.4131938068</v>
      </c>
      <c r="AB514" s="1">
        <v>43510.0</v>
      </c>
      <c r="AC514" s="1">
        <v>76.904555523</v>
      </c>
      <c r="AD514" s="1">
        <v>60.169035091</v>
      </c>
      <c r="AE514" s="1">
        <v>17.092762135</v>
      </c>
      <c r="AF514" s="1">
        <v>34.110438729</v>
      </c>
      <c r="AG514" s="1">
        <v>0.4916792738</v>
      </c>
      <c r="AH514" s="1">
        <v>1.1089258699</v>
      </c>
      <c r="AI514" s="1">
        <v>0.1013615734</v>
      </c>
      <c r="AJ514" s="1">
        <v>4.7110438729</v>
      </c>
      <c r="AK514" s="1">
        <v>58.116490166</v>
      </c>
      <c r="AL514" s="1">
        <v>0.3950487227</v>
      </c>
      <c r="AM514" s="1">
        <v>51.968229955</v>
      </c>
      <c r="AN514" s="1">
        <v>41.619715013</v>
      </c>
      <c r="AO514" s="1">
        <v>19899.0</v>
      </c>
      <c r="AP514" s="1">
        <v>23.6</v>
      </c>
      <c r="AQ514" s="1">
        <v>10.2</v>
      </c>
      <c r="AR514" s="1">
        <v>20.7</v>
      </c>
      <c r="AS514" s="1">
        <v>16.2</v>
      </c>
      <c r="AT514" s="1">
        <v>24.4</v>
      </c>
      <c r="AU514" s="1">
        <v>16.6</v>
      </c>
      <c r="AV514" s="1">
        <v>40.2</v>
      </c>
      <c r="AW514" s="1">
        <v>0.6</v>
      </c>
      <c r="AX514" s="1">
        <v>0.8997</v>
      </c>
      <c r="AY514" s="1">
        <v>17.7</v>
      </c>
      <c r="AZ514" s="1">
        <v>15.9</v>
      </c>
      <c r="BA514" s="1">
        <v>22.3</v>
      </c>
      <c r="BB514" s="1">
        <v>2.85</v>
      </c>
      <c r="BC514" s="1" t="s">
        <v>798</v>
      </c>
      <c r="BD514" s="1">
        <v>18.1</v>
      </c>
      <c r="BE514" s="1">
        <v>39.8</v>
      </c>
      <c r="BF514" s="1">
        <v>24.3</v>
      </c>
      <c r="BG514" s="1">
        <v>17.8</v>
      </c>
      <c r="BH514" s="1" t="s">
        <v>1005</v>
      </c>
    </row>
    <row r="515">
      <c r="A515" s="1">
        <v>13257.0</v>
      </c>
      <c r="B515" s="2" t="str">
        <f>IFERROR(__xludf.DUMMYFUNCTION("TO_TEXT(A515)"),"13257")</f>
        <v>13257</v>
      </c>
      <c r="C515" s="1">
        <v>25584.0</v>
      </c>
      <c r="D515" s="1">
        <v>179.131275020426</v>
      </c>
      <c r="E515" s="1" t="s">
        <v>1006</v>
      </c>
      <c r="F515" s="1" t="s">
        <v>1007</v>
      </c>
      <c r="G515" s="1">
        <v>142.822631040184</v>
      </c>
      <c r="H515" s="1">
        <v>18.412012735</v>
      </c>
      <c r="I515" s="1">
        <v>4.1509655997</v>
      </c>
      <c r="J515" s="1">
        <v>9.1531223268</v>
      </c>
      <c r="K515" s="1">
        <v>17.247902371</v>
      </c>
      <c r="L515" s="1">
        <v>37.2</v>
      </c>
      <c r="M515" s="1">
        <v>7.6</v>
      </c>
      <c r="N515" s="1">
        <v>27.0</v>
      </c>
      <c r="O515" s="1">
        <v>79.973256925</v>
      </c>
      <c r="P515" s="1">
        <v>15.776458952</v>
      </c>
      <c r="Q515" s="1">
        <v>65.66242</v>
      </c>
      <c r="R515" s="1">
        <v>89.7058823529999</v>
      </c>
      <c r="S515" s="1">
        <v>25.6</v>
      </c>
      <c r="T515" s="1">
        <v>5701.0</v>
      </c>
      <c r="U515" s="1">
        <v>24.942992457</v>
      </c>
      <c r="V515" s="1">
        <v>275.95655152</v>
      </c>
      <c r="W515" s="1">
        <v>15.233949946</v>
      </c>
      <c r="X515" s="1">
        <v>12.775579423</v>
      </c>
      <c r="Y515" s="1">
        <v>73.285085063</v>
      </c>
      <c r="Z515" s="1">
        <v>11.4</v>
      </c>
      <c r="AA515" s="1">
        <v>7.0078739381</v>
      </c>
      <c r="AB515" s="1">
        <v>45850.0</v>
      </c>
      <c r="AC515" s="1">
        <v>73.610765014</v>
      </c>
      <c r="AD515" s="1">
        <v>69.782425011</v>
      </c>
      <c r="AE515" s="1">
        <v>12.3153252479999</v>
      </c>
      <c r="AF515" s="1">
        <v>10.681774534</v>
      </c>
      <c r="AG515" s="1">
        <v>0.5070097945</v>
      </c>
      <c r="AH515" s="1">
        <v>0.9141540234</v>
      </c>
      <c r="AI515" s="1">
        <v>0.0845016324</v>
      </c>
      <c r="AJ515" s="1">
        <v>3.5951603611</v>
      </c>
      <c r="AK515" s="1">
        <v>82.231611292</v>
      </c>
      <c r="AL515" s="1">
        <v>0.818452381</v>
      </c>
      <c r="AM515" s="1">
        <v>51.956980987</v>
      </c>
      <c r="AN515" s="1">
        <v>58.5635148039999</v>
      </c>
      <c r="AO515" s="1">
        <v>20125.0</v>
      </c>
      <c r="AP515" s="1">
        <v>20.0</v>
      </c>
      <c r="AQ515" s="1">
        <v>10.5</v>
      </c>
      <c r="AR515" s="1">
        <v>18.9</v>
      </c>
      <c r="AS515" s="1">
        <v>18.3</v>
      </c>
      <c r="AT515" s="1">
        <v>22.4</v>
      </c>
      <c r="AU515" s="1">
        <v>19.1</v>
      </c>
      <c r="AV515" s="1">
        <v>16.9</v>
      </c>
      <c r="AW515" s="1">
        <v>0.8</v>
      </c>
      <c r="AX515" s="1">
        <v>0.8112</v>
      </c>
      <c r="AY515" s="1">
        <v>15.0</v>
      </c>
      <c r="AZ515" s="1">
        <v>14.4</v>
      </c>
      <c r="BA515" s="1">
        <v>19.4</v>
      </c>
      <c r="BB515" s="1">
        <v>2.82</v>
      </c>
      <c r="BC515" s="1" t="s">
        <v>798</v>
      </c>
      <c r="BD515" s="1">
        <v>17.9</v>
      </c>
      <c r="BE515" s="1">
        <v>38.6</v>
      </c>
      <c r="BF515" s="1">
        <v>22.4</v>
      </c>
      <c r="BG515" s="1">
        <v>21.0</v>
      </c>
      <c r="BH515" s="1" t="s">
        <v>1007</v>
      </c>
    </row>
    <row r="516">
      <c r="A516" s="1">
        <v>13259.0</v>
      </c>
      <c r="B516" s="2" t="str">
        <f>IFERROR(__xludf.DUMMYFUNCTION("TO_TEXT(A516)"),"13259")</f>
        <v>13259</v>
      </c>
      <c r="C516" s="1">
        <v>5791.0</v>
      </c>
      <c r="D516" s="1">
        <v>458.748267752794</v>
      </c>
      <c r="E516" s="1" t="s">
        <v>1008</v>
      </c>
      <c r="F516" s="1" t="s">
        <v>1009</v>
      </c>
      <c r="G516" s="1">
        <v>12.6234809089689</v>
      </c>
      <c r="H516" s="1">
        <v>33.025990848</v>
      </c>
      <c r="I516" s="1">
        <v>4.3955641779</v>
      </c>
      <c r="J516" s="1">
        <v>11.290322581</v>
      </c>
      <c r="K516" s="1">
        <v>23.877681594</v>
      </c>
      <c r="L516" s="1">
        <v>31.6</v>
      </c>
      <c r="M516" s="1">
        <v>6.1</v>
      </c>
      <c r="N516" s="1">
        <v>30.1</v>
      </c>
      <c r="O516" s="1">
        <v>5.0016507098</v>
      </c>
      <c r="P516" s="1">
        <v>17.922374429</v>
      </c>
      <c r="Q516" s="1">
        <v>33.41688</v>
      </c>
      <c r="R516" s="1">
        <v>96.153846154</v>
      </c>
      <c r="S516" s="1">
        <v>39.8</v>
      </c>
      <c r="T516" s="1">
        <v>797.0</v>
      </c>
      <c r="U516" s="1">
        <v>67.879548306</v>
      </c>
      <c r="V516" s="1">
        <v>22.914757104</v>
      </c>
      <c r="W516" s="1">
        <v>18.873239437</v>
      </c>
      <c r="X516" s="1">
        <v>17.595307918</v>
      </c>
      <c r="Y516" s="1">
        <v>73.820175538</v>
      </c>
      <c r="Z516" s="1">
        <v>13.9</v>
      </c>
      <c r="AA516" s="1">
        <v>5.7107587247</v>
      </c>
      <c r="AB516" s="1">
        <v>33053.0</v>
      </c>
      <c r="AC516" s="1">
        <v>100.0</v>
      </c>
      <c r="AD516" s="1">
        <v>70.700985761</v>
      </c>
      <c r="AE516" s="1">
        <v>18.372379778</v>
      </c>
      <c r="AF516" s="1">
        <v>40.393611873</v>
      </c>
      <c r="AG516" s="1">
        <v>1.080819487</v>
      </c>
      <c r="AH516" s="1">
        <v>3.0811421197</v>
      </c>
      <c r="AI516" s="1">
        <v>0.0161316341</v>
      </c>
      <c r="AJ516" s="1">
        <v>31.537344733</v>
      </c>
      <c r="AK516" s="1">
        <v>23.745765446</v>
      </c>
      <c r="AL516" s="1">
        <v>10.909090909</v>
      </c>
      <c r="AM516" s="1">
        <v>33.957089853</v>
      </c>
      <c r="AN516" s="1">
        <v>100.0</v>
      </c>
      <c r="AO516" s="1">
        <v>13883.0</v>
      </c>
      <c r="AP516" s="1">
        <v>41.4</v>
      </c>
      <c r="AQ516" s="1">
        <v>13.9</v>
      </c>
      <c r="AR516" s="1">
        <v>37.9</v>
      </c>
      <c r="AS516" s="1">
        <v>15.2</v>
      </c>
      <c r="AT516" s="1">
        <v>14.5</v>
      </c>
      <c r="AU516" s="1">
        <v>23.0</v>
      </c>
      <c r="AV516" s="1">
        <v>73.2</v>
      </c>
      <c r="AW516" s="1">
        <v>12.2</v>
      </c>
      <c r="AX516" s="1">
        <v>0.9812</v>
      </c>
      <c r="AY516" s="1">
        <v>34.7</v>
      </c>
      <c r="AZ516" s="1">
        <v>20.2</v>
      </c>
      <c r="BA516" s="1">
        <v>29.7</v>
      </c>
      <c r="BB516" s="1">
        <v>3.18</v>
      </c>
      <c r="BC516" s="1" t="s">
        <v>798</v>
      </c>
      <c r="BD516" s="1">
        <v>31.9</v>
      </c>
      <c r="BE516" s="1">
        <v>36.4</v>
      </c>
      <c r="BF516" s="1">
        <v>19.5</v>
      </c>
      <c r="BG516" s="1">
        <v>12.2</v>
      </c>
      <c r="BH516" s="1" t="s">
        <v>1009</v>
      </c>
    </row>
    <row r="517">
      <c r="A517" s="1">
        <v>13261.0</v>
      </c>
      <c r="B517" s="2" t="str">
        <f>IFERROR(__xludf.DUMMYFUNCTION("TO_TEXT(A517)"),"13261")</f>
        <v>13261</v>
      </c>
      <c r="C517" s="1">
        <v>31070.0</v>
      </c>
      <c r="D517" s="1">
        <v>482.693648152946</v>
      </c>
      <c r="E517" s="1" t="s">
        <v>178</v>
      </c>
      <c r="F517" s="1" t="s">
        <v>1010</v>
      </c>
      <c r="G517" s="1">
        <v>64.3679487370323</v>
      </c>
      <c r="H517" s="1">
        <v>24.754691024</v>
      </c>
      <c r="I517" s="1">
        <v>4.5072885972</v>
      </c>
      <c r="J517" s="1">
        <v>12.9464285709999</v>
      </c>
      <c r="K517" s="1">
        <v>20.79132037</v>
      </c>
      <c r="L517" s="1">
        <v>36.7</v>
      </c>
      <c r="M517" s="1">
        <v>5.3</v>
      </c>
      <c r="N517" s="1">
        <v>27.9</v>
      </c>
      <c r="O517" s="1">
        <v>57.616015113</v>
      </c>
      <c r="P517" s="1">
        <v>17.244663809</v>
      </c>
      <c r="Q517" s="1">
        <v>67.00841</v>
      </c>
      <c r="R517" s="1">
        <v>88.590604027</v>
      </c>
      <c r="S517" s="1">
        <v>39.5</v>
      </c>
      <c r="T517" s="1">
        <v>6976.0</v>
      </c>
      <c r="U517" s="1">
        <v>59.1599770639999</v>
      </c>
      <c r="V517" s="1">
        <v>696.18169849</v>
      </c>
      <c r="W517" s="1">
        <v>21.068376068</v>
      </c>
      <c r="X517" s="1">
        <v>18.672527473</v>
      </c>
      <c r="Y517" s="1">
        <v>72.791073457</v>
      </c>
      <c r="Z517" s="1">
        <v>15.0</v>
      </c>
      <c r="AA517" s="1">
        <v>11.261718422</v>
      </c>
      <c r="AB517" s="1">
        <v>37562.0</v>
      </c>
      <c r="AC517" s="1">
        <v>97.927013604</v>
      </c>
      <c r="AD517" s="1">
        <v>55.800306175</v>
      </c>
      <c r="AE517" s="1">
        <v>16.111814728</v>
      </c>
      <c r="AF517" s="1">
        <v>52.403053846</v>
      </c>
      <c r="AG517" s="1">
        <v>0.5482124239</v>
      </c>
      <c r="AH517" s="1">
        <v>1.4462045539</v>
      </c>
      <c r="AI517" s="1">
        <v>0.2152490499</v>
      </c>
      <c r="AJ517" s="1">
        <v>5.731005953</v>
      </c>
      <c r="AK517" s="1">
        <v>39.215686275</v>
      </c>
      <c r="AL517" s="1">
        <v>1.3663025535</v>
      </c>
      <c r="AM517" s="1">
        <v>53.025258131</v>
      </c>
      <c r="AN517" s="1">
        <v>41.783722843</v>
      </c>
      <c r="AO517" s="1">
        <v>18487.0</v>
      </c>
      <c r="AP517" s="1">
        <v>33.6</v>
      </c>
      <c r="AQ517" s="1">
        <v>12.7</v>
      </c>
      <c r="AR517" s="1">
        <v>22.2</v>
      </c>
      <c r="AS517" s="1">
        <v>14.9</v>
      </c>
      <c r="AT517" s="1">
        <v>24.2</v>
      </c>
      <c r="AU517" s="1">
        <v>14.7</v>
      </c>
      <c r="AV517" s="1">
        <v>60.1</v>
      </c>
      <c r="AW517" s="1">
        <v>1.1</v>
      </c>
      <c r="AX517" s="1">
        <v>0.9857</v>
      </c>
      <c r="AY517" s="1">
        <v>26.7</v>
      </c>
      <c r="AZ517" s="1">
        <v>18.2</v>
      </c>
      <c r="BA517" s="1">
        <v>25.9</v>
      </c>
      <c r="BB517" s="1">
        <v>3.07</v>
      </c>
      <c r="BC517" s="1" t="s">
        <v>798</v>
      </c>
      <c r="BD517" s="1">
        <v>18.6</v>
      </c>
      <c r="BE517" s="1">
        <v>34.7</v>
      </c>
      <c r="BF517" s="1">
        <v>28.5</v>
      </c>
      <c r="BG517" s="1">
        <v>18.3</v>
      </c>
      <c r="BH517" s="1" t="s">
        <v>1010</v>
      </c>
    </row>
    <row r="518">
      <c r="A518" s="1">
        <v>13263.0</v>
      </c>
      <c r="B518" s="2" t="str">
        <f>IFERROR(__xludf.DUMMYFUNCTION("TO_TEXT(A518)"),"13263")</f>
        <v>13263</v>
      </c>
      <c r="C518" s="1">
        <v>6373.0</v>
      </c>
      <c r="D518" s="1">
        <v>391.388501634163</v>
      </c>
      <c r="E518" s="1" t="s">
        <v>1011</v>
      </c>
      <c r="F518" s="1" t="s">
        <v>1012</v>
      </c>
      <c r="G518" s="1">
        <v>16.283053726389</v>
      </c>
      <c r="H518" s="1">
        <v>21.452399794</v>
      </c>
      <c r="I518" s="1">
        <v>4.1034159994</v>
      </c>
      <c r="J518" s="1">
        <v>11.405835544</v>
      </c>
      <c r="K518" s="1">
        <v>17.952762149</v>
      </c>
      <c r="L518" s="1">
        <v>37.3</v>
      </c>
      <c r="M518" s="1">
        <v>6.2</v>
      </c>
      <c r="N518" s="1">
        <v>32.2</v>
      </c>
      <c r="O518" s="1">
        <v>13.430444283</v>
      </c>
      <c r="P518" s="1">
        <v>15.1957671959999</v>
      </c>
      <c r="Q518" s="1">
        <v>32.00512</v>
      </c>
      <c r="R518" s="1">
        <v>95.0</v>
      </c>
      <c r="S518" s="1">
        <v>39.5</v>
      </c>
      <c r="T518" s="1">
        <v>1090.0</v>
      </c>
      <c r="U518" s="1">
        <v>59.633027523</v>
      </c>
      <c r="V518" s="1">
        <v>89.781260202</v>
      </c>
      <c r="W518" s="1">
        <v>15.7509157509999</v>
      </c>
      <c r="X518" s="1">
        <v>14.4721689059999</v>
      </c>
      <c r="Y518" s="1">
        <v>77.147790124</v>
      </c>
      <c r="Z518" s="1">
        <v>22.4</v>
      </c>
      <c r="AA518" s="1">
        <v>12.911280919</v>
      </c>
      <c r="AB518" s="1">
        <v>37265.0</v>
      </c>
      <c r="AC518" s="1">
        <v>100.0</v>
      </c>
      <c r="AD518" s="1">
        <v>78.63340564</v>
      </c>
      <c r="AE518" s="1">
        <v>13.0314960629999</v>
      </c>
      <c r="AF518" s="1">
        <v>54.288903061</v>
      </c>
      <c r="AG518" s="1">
        <v>0.6696428571</v>
      </c>
      <c r="AH518" s="1">
        <v>0.2869897959</v>
      </c>
      <c r="AI518" s="1">
        <v>0.0478316327</v>
      </c>
      <c r="AJ518" s="1">
        <v>2.806122449</v>
      </c>
      <c r="AK518" s="1">
        <v>40.896045918</v>
      </c>
      <c r="AL518" s="1">
        <v>0.3920927953</v>
      </c>
      <c r="AM518" s="1">
        <v>52.136479592</v>
      </c>
      <c r="AN518" s="1">
        <v>93.882010197</v>
      </c>
      <c r="AO518" s="1">
        <v>20366.0</v>
      </c>
      <c r="AP518" s="1">
        <v>20.7</v>
      </c>
      <c r="AQ518" s="1">
        <v>9.3</v>
      </c>
      <c r="AR518" s="1">
        <v>21.4</v>
      </c>
      <c r="AS518" s="1">
        <v>19.6</v>
      </c>
      <c r="AT518" s="1">
        <v>18.5</v>
      </c>
      <c r="AU518" s="1">
        <v>19.3</v>
      </c>
      <c r="AV518" s="1">
        <v>60.1</v>
      </c>
      <c r="AW518" s="1">
        <v>0.7</v>
      </c>
      <c r="AX518" s="1">
        <v>0.7889</v>
      </c>
      <c r="AY518" s="1">
        <v>19.6</v>
      </c>
      <c r="AZ518" s="1">
        <v>15.5</v>
      </c>
      <c r="BA518" s="1">
        <v>22.0</v>
      </c>
      <c r="BB518" s="1">
        <v>3.18</v>
      </c>
      <c r="BC518" s="1" t="s">
        <v>798</v>
      </c>
      <c r="BD518" s="1">
        <v>17.7</v>
      </c>
      <c r="BE518" s="1">
        <v>45.5</v>
      </c>
      <c r="BF518" s="1">
        <v>24.7</v>
      </c>
      <c r="BG518" s="1">
        <v>12.1</v>
      </c>
      <c r="BH518" s="1" t="s">
        <v>1012</v>
      </c>
    </row>
    <row r="519">
      <c r="A519" s="1">
        <v>13265.0</v>
      </c>
      <c r="B519" s="2" t="str">
        <f>IFERROR(__xludf.DUMMYFUNCTION("TO_TEXT(A519)"),"13265")</f>
        <v>13265</v>
      </c>
      <c r="C519" s="1">
        <v>1904.0</v>
      </c>
      <c r="D519" s="1">
        <v>194.607392219977</v>
      </c>
      <c r="E519" s="1" t="s">
        <v>1013</v>
      </c>
      <c r="F519" s="1" t="s">
        <v>1014</v>
      </c>
      <c r="G519" s="1">
        <v>9.78380100714663</v>
      </c>
      <c r="H519" s="1">
        <v>26.1946836</v>
      </c>
      <c r="I519" s="1">
        <v>4.4001016859</v>
      </c>
      <c r="J519" s="1">
        <v>12.5</v>
      </c>
      <c r="K519" s="1">
        <v>20.712152085</v>
      </c>
      <c r="L519" s="1">
        <v>35.6</v>
      </c>
      <c r="M519" s="1">
        <v>2.7</v>
      </c>
      <c r="N519" s="1">
        <v>28.0</v>
      </c>
      <c r="O519" s="1">
        <v>35.294117647</v>
      </c>
      <c r="P519" s="1">
        <v>19.800332779</v>
      </c>
      <c r="Q519" s="1">
        <v>0.0</v>
      </c>
      <c r="R519" s="1">
        <v>89.912280702</v>
      </c>
      <c r="S519" s="1">
        <v>41.8</v>
      </c>
      <c r="T519" s="1">
        <v>240.0</v>
      </c>
      <c r="U519" s="1">
        <v>53.75</v>
      </c>
      <c r="V519" s="1">
        <v>178.41213202</v>
      </c>
      <c r="W519" s="1">
        <v>18.666666667</v>
      </c>
      <c r="X519" s="1">
        <v>16.82626539</v>
      </c>
      <c r="Y519" s="1">
        <v>77.482572377</v>
      </c>
      <c r="Z519" s="1">
        <v>16.0</v>
      </c>
      <c r="AA519" s="1">
        <v>41.896627677</v>
      </c>
      <c r="AB519" s="1">
        <v>34090.0</v>
      </c>
      <c r="AC519" s="1">
        <v>75.144508671</v>
      </c>
      <c r="AD519" s="1">
        <v>69.1176470589999</v>
      </c>
      <c r="AE519" s="1">
        <v>15.625</v>
      </c>
      <c r="AF519" s="1">
        <v>53.482587065</v>
      </c>
      <c r="AG519" s="1">
        <v>0.1865671642</v>
      </c>
      <c r="AH519" s="1">
        <v>1.5547263682</v>
      </c>
      <c r="AI519" s="1">
        <v>0.0</v>
      </c>
      <c r="AJ519" s="1">
        <v>4.3532338308</v>
      </c>
      <c r="AK519" s="1">
        <v>38.743781095</v>
      </c>
      <c r="AL519" s="1">
        <v>0.0</v>
      </c>
      <c r="AM519" s="1">
        <v>50.497512438</v>
      </c>
      <c r="AN519" s="1">
        <v>100.0</v>
      </c>
      <c r="AO519" s="1">
        <v>15469.0</v>
      </c>
      <c r="AP519" s="1">
        <v>31.4</v>
      </c>
      <c r="AQ519" s="1">
        <v>11.7</v>
      </c>
      <c r="AR519" s="1">
        <v>32.8</v>
      </c>
      <c r="AS519" s="1">
        <v>22.3</v>
      </c>
      <c r="AT519" s="1">
        <v>15.4</v>
      </c>
      <c r="AU519" s="1">
        <v>25.9</v>
      </c>
      <c r="AV519" s="1">
        <v>68.5</v>
      </c>
      <c r="AW519" s="1">
        <v>0.0</v>
      </c>
      <c r="AX519" s="1">
        <v>0.8663</v>
      </c>
      <c r="AY519" s="1">
        <v>22.5</v>
      </c>
      <c r="AZ519" s="1">
        <v>19.3</v>
      </c>
      <c r="BA519" s="1">
        <v>31.0</v>
      </c>
      <c r="BB519" s="1">
        <v>3.38</v>
      </c>
      <c r="BC519" s="1" t="s">
        <v>798</v>
      </c>
      <c r="BD519" s="1">
        <v>29.0</v>
      </c>
      <c r="BE519" s="1">
        <v>46.2</v>
      </c>
      <c r="BF519" s="1">
        <v>16.8</v>
      </c>
      <c r="BG519" s="1">
        <v>8.1</v>
      </c>
      <c r="BH519" s="1" t="s">
        <v>1014</v>
      </c>
    </row>
    <row r="520">
      <c r="A520" s="1">
        <v>13267.0</v>
      </c>
      <c r="B520" s="2" t="str">
        <f>IFERROR(__xludf.DUMMYFUNCTION("TO_TEXT(A520)"),"13267")</f>
        <v>13267</v>
      </c>
      <c r="C520" s="1">
        <v>25260.0</v>
      </c>
      <c r="D520" s="1">
        <v>479.520704774268</v>
      </c>
      <c r="E520" s="1" t="s">
        <v>1015</v>
      </c>
      <c r="F520" s="1" t="s">
        <v>1016</v>
      </c>
      <c r="G520" s="1">
        <v>52.6776002548024</v>
      </c>
      <c r="H520" s="1">
        <v>21.97331949</v>
      </c>
      <c r="I520" s="1">
        <v>4.0111307499</v>
      </c>
      <c r="J520" s="1">
        <v>10.45211473</v>
      </c>
      <c r="K520" s="1">
        <v>20.43579877</v>
      </c>
      <c r="L520" s="1">
        <v>43.3</v>
      </c>
      <c r="M520" s="1">
        <v>7.6</v>
      </c>
      <c r="N520" s="1">
        <v>49.9</v>
      </c>
      <c r="O520" s="1">
        <v>39.921630094</v>
      </c>
      <c r="P520" s="1">
        <v>18.954894211</v>
      </c>
      <c r="Q520" s="1">
        <v>27.63085</v>
      </c>
      <c r="R520" s="1">
        <v>84.279475983</v>
      </c>
      <c r="S520" s="1">
        <v>32.7</v>
      </c>
      <c r="T520" s="1">
        <v>5230.0</v>
      </c>
      <c r="U520" s="1">
        <v>45.583173996</v>
      </c>
      <c r="V520" s="1">
        <v>105.20999916</v>
      </c>
      <c r="W520" s="1">
        <v>15.063291139</v>
      </c>
      <c r="X520" s="1">
        <v>11.549839228</v>
      </c>
      <c r="Y520" s="1">
        <v>75.15470349</v>
      </c>
      <c r="Z520" s="1">
        <v>22.8</v>
      </c>
      <c r="AA520" s="1">
        <v>1.4895774049</v>
      </c>
      <c r="AB520" s="1">
        <v>41440.0</v>
      </c>
      <c r="AC520" s="1">
        <v>90.1859504129999</v>
      </c>
      <c r="AD520" s="1">
        <v>65.897778317</v>
      </c>
      <c r="AE520" s="1">
        <v>11.69023569</v>
      </c>
      <c r="AF520" s="1">
        <v>28.7818518369999</v>
      </c>
      <c r="AG520" s="1">
        <v>0.677405379899999</v>
      </c>
      <c r="AH520" s="1">
        <v>0.626206136</v>
      </c>
      <c r="AI520" s="1">
        <v>0.1772281517</v>
      </c>
      <c r="AJ520" s="1">
        <v>11.598597928</v>
      </c>
      <c r="AK520" s="1">
        <v>57.658225355</v>
      </c>
      <c r="AL520" s="1">
        <v>1.9727238604</v>
      </c>
      <c r="AM520" s="1">
        <v>42.341774645</v>
      </c>
      <c r="AN520" s="1">
        <v>68.236677116</v>
      </c>
      <c r="AO520" s="1">
        <v>15632.0</v>
      </c>
      <c r="AP520" s="1">
        <v>27.7</v>
      </c>
      <c r="AQ520" s="1">
        <v>5.1</v>
      </c>
      <c r="AR520" s="1">
        <v>25.9</v>
      </c>
      <c r="AS520" s="1">
        <v>12.2</v>
      </c>
      <c r="AT520" s="1">
        <v>21.2</v>
      </c>
      <c r="AU520" s="1">
        <v>17.5</v>
      </c>
      <c r="AV520" s="1">
        <v>41.4</v>
      </c>
      <c r="AW520" s="1">
        <v>2.0</v>
      </c>
      <c r="AX520" s="1">
        <v>0.9207</v>
      </c>
      <c r="AY520" s="1">
        <v>26.5</v>
      </c>
      <c r="AZ520" s="1">
        <v>15.7</v>
      </c>
      <c r="BA520" s="1">
        <v>21.7</v>
      </c>
      <c r="BB520" s="1">
        <v>3.01</v>
      </c>
      <c r="BC520" s="1" t="s">
        <v>798</v>
      </c>
      <c r="BD520" s="1">
        <v>24.2</v>
      </c>
      <c r="BE520" s="1">
        <v>38.1</v>
      </c>
      <c r="BF520" s="1">
        <v>24.5</v>
      </c>
      <c r="BG520" s="1">
        <v>13.2</v>
      </c>
      <c r="BH520" s="1" t="s">
        <v>1016</v>
      </c>
    </row>
    <row r="521">
      <c r="A521" s="1">
        <v>13269.0</v>
      </c>
      <c r="B521" s="2" t="str">
        <f>IFERROR(__xludf.DUMMYFUNCTION("TO_TEXT(A521)"),"13269")</f>
        <v>13269</v>
      </c>
      <c r="C521" s="1">
        <v>8354.0</v>
      </c>
      <c r="D521" s="1">
        <v>376.685529751288</v>
      </c>
      <c r="E521" s="1" t="s">
        <v>786</v>
      </c>
      <c r="F521" s="1" t="s">
        <v>1017</v>
      </c>
      <c r="G521" s="1">
        <v>22.1776504277078</v>
      </c>
      <c r="H521" s="1">
        <v>23.988979062</v>
      </c>
      <c r="I521" s="1">
        <v>4.4622795792</v>
      </c>
      <c r="J521" s="1">
        <v>8.1395348837</v>
      </c>
      <c r="K521" s="1">
        <v>21.631127238</v>
      </c>
      <c r="L521" s="1">
        <v>38.7</v>
      </c>
      <c r="M521" s="1">
        <v>6.5</v>
      </c>
      <c r="N521" s="1">
        <v>26.7</v>
      </c>
      <c r="O521" s="1">
        <v>58.140579385</v>
      </c>
      <c r="P521" s="1">
        <v>15.864332604</v>
      </c>
      <c r="Q521" s="1">
        <v>48.31939</v>
      </c>
      <c r="R521" s="1">
        <v>73.170731707</v>
      </c>
      <c r="S521" s="1">
        <v>35.5</v>
      </c>
      <c r="T521" s="1">
        <v>1667.0</v>
      </c>
      <c r="U521" s="1">
        <v>40.971805639</v>
      </c>
      <c r="V521" s="1">
        <v>174.15325486</v>
      </c>
      <c r="W521" s="1">
        <v>16.172106825</v>
      </c>
      <c r="X521" s="1">
        <v>13.099236641</v>
      </c>
      <c r="Y521" s="1">
        <v>75.133520427</v>
      </c>
      <c r="Z521" s="1">
        <v>9.1</v>
      </c>
      <c r="AA521" s="1">
        <v>2.6978170603</v>
      </c>
      <c r="AB521" s="1">
        <v>36310.0</v>
      </c>
      <c r="AC521" s="1">
        <v>79.787985866</v>
      </c>
      <c r="AD521" s="1">
        <v>71.283095723</v>
      </c>
      <c r="AE521" s="1">
        <v>13.9035769829999</v>
      </c>
      <c r="AF521" s="1">
        <v>38.213708173</v>
      </c>
      <c r="AG521" s="1">
        <v>0.2985445951</v>
      </c>
      <c r="AH521" s="1">
        <v>0.8334369947</v>
      </c>
      <c r="AI521" s="1">
        <v>0.0124393581</v>
      </c>
      <c r="AJ521" s="1">
        <v>2.7490981465</v>
      </c>
      <c r="AK521" s="1">
        <v>56.872745366</v>
      </c>
      <c r="AL521" s="1">
        <v>0.1540634228</v>
      </c>
      <c r="AM521" s="1">
        <v>52.207986068</v>
      </c>
      <c r="AN521" s="1">
        <v>100.0</v>
      </c>
      <c r="AO521" s="1">
        <v>17321.0</v>
      </c>
      <c r="AP521" s="1">
        <v>28.4</v>
      </c>
      <c r="AQ521" s="1">
        <v>17.9</v>
      </c>
      <c r="AR521" s="1">
        <v>23.9</v>
      </c>
      <c r="AS521" s="1">
        <v>18.0</v>
      </c>
      <c r="AT521" s="1">
        <v>21.4</v>
      </c>
      <c r="AU521" s="1">
        <v>16.2</v>
      </c>
      <c r="AV521" s="1">
        <v>42.1</v>
      </c>
      <c r="AW521" s="1">
        <v>0.2</v>
      </c>
      <c r="AX521" s="1">
        <v>0.9274</v>
      </c>
      <c r="AY521" s="1">
        <v>22.9</v>
      </c>
      <c r="AZ521" s="1">
        <v>18.2</v>
      </c>
      <c r="BA521" s="1">
        <v>24.3</v>
      </c>
      <c r="BB521" s="1">
        <v>3.06</v>
      </c>
      <c r="BC521" s="1" t="s">
        <v>798</v>
      </c>
      <c r="BD521" s="1">
        <v>21.5</v>
      </c>
      <c r="BE521" s="1">
        <v>37.5</v>
      </c>
      <c r="BF521" s="1">
        <v>28.3</v>
      </c>
      <c r="BG521" s="1">
        <v>12.6</v>
      </c>
      <c r="BH521" s="1" t="s">
        <v>1017</v>
      </c>
    </row>
    <row r="522">
      <c r="A522" s="1">
        <v>13271.0</v>
      </c>
      <c r="B522" s="2" t="str">
        <f>IFERROR(__xludf.DUMMYFUNCTION("TO_TEXT(A522)"),"13271")</f>
        <v>13271</v>
      </c>
      <c r="C522" s="1">
        <v>16405.0</v>
      </c>
      <c r="D522" s="1">
        <v>437.303210931364</v>
      </c>
      <c r="E522" s="1" t="s">
        <v>1018</v>
      </c>
      <c r="F522" s="1" t="s">
        <v>1019</v>
      </c>
      <c r="G522" s="1">
        <v>37.5140167964027</v>
      </c>
      <c r="H522" s="1">
        <v>24.822790236</v>
      </c>
      <c r="I522" s="1">
        <v>4.1714620645</v>
      </c>
      <c r="J522" s="1">
        <v>11.235955056</v>
      </c>
      <c r="K522" s="1">
        <v>20.969506421</v>
      </c>
      <c r="L522" s="1">
        <v>25.1</v>
      </c>
      <c r="M522" s="1">
        <v>6.8</v>
      </c>
      <c r="N522" s="1">
        <v>48.3</v>
      </c>
      <c r="O522" s="1">
        <v>58.618181818</v>
      </c>
      <c r="P522" s="1">
        <v>16.260904849</v>
      </c>
      <c r="Q522" s="1">
        <v>25.0172</v>
      </c>
      <c r="R522" s="1">
        <v>79.562043796</v>
      </c>
      <c r="S522" s="1">
        <v>36.7</v>
      </c>
      <c r="T522" s="1">
        <v>2732.0</v>
      </c>
      <c r="U522" s="1">
        <v>46.778916545</v>
      </c>
      <c r="V522" s="1">
        <v>191.80642306</v>
      </c>
      <c r="W522" s="1">
        <v>11.741682975</v>
      </c>
      <c r="X522" s="1">
        <v>9.0236382323</v>
      </c>
      <c r="Y522" s="1">
        <v>78.754985777</v>
      </c>
      <c r="Z522" s="1">
        <v>16.1</v>
      </c>
      <c r="AA522" s="1">
        <v>1.0862291054</v>
      </c>
      <c r="AB522" s="1">
        <v>34297.0</v>
      </c>
      <c r="AC522" s="1">
        <v>96.471257826</v>
      </c>
      <c r="AD522" s="1">
        <v>61.630500913</v>
      </c>
      <c r="AE522" s="1">
        <v>8.6639306886</v>
      </c>
      <c r="AF522" s="1">
        <v>34.322247417</v>
      </c>
      <c r="AG522" s="1">
        <v>0.3590325019</v>
      </c>
      <c r="AH522" s="1">
        <v>0.718065003799999</v>
      </c>
      <c r="AI522" s="1">
        <v>0.069286974</v>
      </c>
      <c r="AJ522" s="1">
        <v>14.682539683</v>
      </c>
      <c r="AK522" s="1">
        <v>49.244142101</v>
      </c>
      <c r="AL522" s="1">
        <v>8.5723514212</v>
      </c>
      <c r="AM522" s="1">
        <v>41.521793903</v>
      </c>
      <c r="AN522" s="1">
        <v>46.987878788</v>
      </c>
      <c r="AO522" s="1">
        <v>12440.0</v>
      </c>
      <c r="AP522" s="1">
        <v>28.7</v>
      </c>
      <c r="AQ522" s="1">
        <v>4.3</v>
      </c>
      <c r="AR522" s="1">
        <v>27.3</v>
      </c>
      <c r="AS522" s="1">
        <v>15.2</v>
      </c>
      <c r="AT522" s="1">
        <v>18.0</v>
      </c>
      <c r="AU522" s="1">
        <v>14.1</v>
      </c>
      <c r="AV522" s="1">
        <v>50.8</v>
      </c>
      <c r="AW522" s="1">
        <v>6.9</v>
      </c>
      <c r="AX522" s="1">
        <v>0.8876</v>
      </c>
      <c r="AY522" s="1">
        <v>27.7</v>
      </c>
      <c r="AZ522" s="1">
        <v>17.6</v>
      </c>
      <c r="BA522" s="1">
        <v>28.4</v>
      </c>
      <c r="BB522" s="1">
        <v>2.93</v>
      </c>
      <c r="BC522" s="1" t="s">
        <v>798</v>
      </c>
      <c r="BD522" s="1">
        <v>29.7</v>
      </c>
      <c r="BE522" s="1">
        <v>47.2</v>
      </c>
      <c r="BF522" s="1">
        <v>14.4</v>
      </c>
      <c r="BG522" s="1">
        <v>8.6</v>
      </c>
      <c r="BH522" s="1" t="s">
        <v>1019</v>
      </c>
    </row>
    <row r="523">
      <c r="A523" s="1">
        <v>13273.0</v>
      </c>
      <c r="B523" s="2" t="str">
        <f>IFERROR(__xludf.DUMMYFUNCTION("TO_TEXT(A523)"),"13273")</f>
        <v>13273</v>
      </c>
      <c r="C523" s="1">
        <v>9132.0</v>
      </c>
      <c r="D523" s="1">
        <v>335.43974962264</v>
      </c>
      <c r="E523" s="1" t="s">
        <v>1020</v>
      </c>
      <c r="F523" s="1" t="s">
        <v>1021</v>
      </c>
      <c r="G523" s="1">
        <v>27.2239649900563</v>
      </c>
      <c r="H523" s="1">
        <v>25.81893881</v>
      </c>
      <c r="I523" s="1">
        <v>4.4449070214</v>
      </c>
      <c r="J523" s="1">
        <v>12.484237074</v>
      </c>
      <c r="K523" s="1">
        <v>21.255897677</v>
      </c>
      <c r="L523" s="1">
        <v>33.1</v>
      </c>
      <c r="M523" s="1">
        <v>5.7</v>
      </c>
      <c r="N523" s="1">
        <v>25.6</v>
      </c>
      <c r="O523" s="1">
        <v>63.9506172839999</v>
      </c>
      <c r="P523" s="1">
        <v>18.233278713</v>
      </c>
      <c r="Q523" s="1">
        <v>48.31939</v>
      </c>
      <c r="R523" s="1">
        <v>91.397849462</v>
      </c>
      <c r="S523" s="1">
        <v>44.5</v>
      </c>
      <c r="T523" s="1">
        <v>2046.0</v>
      </c>
      <c r="U523" s="1">
        <v>65.933528837</v>
      </c>
      <c r="V523" s="1">
        <v>377.7987666</v>
      </c>
      <c r="W523" s="1">
        <v>20.392749245</v>
      </c>
      <c r="X523" s="1">
        <v>18.9783281729999</v>
      </c>
      <c r="Y523" s="1">
        <v>74.897554777</v>
      </c>
      <c r="Z523" s="1">
        <v>14.0</v>
      </c>
      <c r="AA523" s="1">
        <v>4.19142809839999</v>
      </c>
      <c r="AB523" s="1">
        <v>35290.0</v>
      </c>
      <c r="AC523" s="1">
        <v>52.4746192889999</v>
      </c>
      <c r="AD523" s="1">
        <v>56.698490915</v>
      </c>
      <c r="AE523" s="1">
        <v>17.232924694</v>
      </c>
      <c r="AF523" s="1">
        <v>60.03948438</v>
      </c>
      <c r="AG523" s="1">
        <v>0.5690396005</v>
      </c>
      <c r="AH523" s="1">
        <v>0.4180699106</v>
      </c>
      <c r="AI523" s="1">
        <v>0.162582743</v>
      </c>
      <c r="AJ523" s="1">
        <v>2.6942283126</v>
      </c>
      <c r="AK523" s="1">
        <v>35.570781558</v>
      </c>
      <c r="AL523" s="1">
        <v>0.1324343848</v>
      </c>
      <c r="AM523" s="1">
        <v>52.1309952389999</v>
      </c>
      <c r="AN523" s="1">
        <v>52.05582394</v>
      </c>
      <c r="AO523" s="1">
        <v>17246.0</v>
      </c>
      <c r="AP523" s="1">
        <v>34.7</v>
      </c>
      <c r="AQ523" s="1">
        <v>12.1</v>
      </c>
      <c r="AR523" s="1">
        <v>26.7</v>
      </c>
      <c r="AS523" s="1">
        <v>17.6</v>
      </c>
      <c r="AT523" s="1">
        <v>24.6</v>
      </c>
      <c r="AU523" s="1">
        <v>14.2</v>
      </c>
      <c r="AV523" s="1">
        <v>64.4</v>
      </c>
      <c r="AW523" s="1">
        <v>0.0</v>
      </c>
      <c r="AX523" s="1">
        <v>0.9421</v>
      </c>
      <c r="AY523" s="1">
        <v>28.2</v>
      </c>
      <c r="AZ523" s="1">
        <v>20.1</v>
      </c>
      <c r="BA523" s="1">
        <v>30.9</v>
      </c>
      <c r="BB523" s="1">
        <v>3.08</v>
      </c>
      <c r="BC523" s="1" t="s">
        <v>798</v>
      </c>
      <c r="BD523" s="1">
        <v>22.5</v>
      </c>
      <c r="BE523" s="1">
        <v>32.3</v>
      </c>
      <c r="BF523" s="1">
        <v>33.9</v>
      </c>
      <c r="BG523" s="1">
        <v>11.2</v>
      </c>
      <c r="BH523" s="1" t="s">
        <v>1021</v>
      </c>
    </row>
    <row r="524">
      <c r="A524" s="1">
        <v>13275.0</v>
      </c>
      <c r="B524" s="2" t="str">
        <f>IFERROR(__xludf.DUMMYFUNCTION("TO_TEXT(A524)"),"13275")</f>
        <v>13275</v>
      </c>
      <c r="C524" s="1">
        <v>44977.0</v>
      </c>
      <c r="D524" s="1">
        <v>544.601340902854</v>
      </c>
      <c r="E524" s="1" t="s">
        <v>1022</v>
      </c>
      <c r="F524" s="1" t="s">
        <v>1023</v>
      </c>
      <c r="G524" s="1">
        <v>82.5870166339215</v>
      </c>
      <c r="H524" s="1">
        <v>20.4405074009999</v>
      </c>
      <c r="I524" s="1">
        <v>4.1329364267</v>
      </c>
      <c r="J524" s="1">
        <v>10.639324487</v>
      </c>
      <c r="K524" s="1">
        <v>17.888253782</v>
      </c>
      <c r="L524" s="1">
        <v>32.5</v>
      </c>
      <c r="M524" s="1">
        <v>6.2</v>
      </c>
      <c r="N524" s="1">
        <v>26.1</v>
      </c>
      <c r="O524" s="1">
        <v>45.8631484789999</v>
      </c>
      <c r="P524" s="1">
        <v>16.119270385</v>
      </c>
      <c r="Q524" s="1">
        <v>96.02716</v>
      </c>
      <c r="R524" s="1">
        <v>87.478559177</v>
      </c>
      <c r="S524" s="1">
        <v>30.7</v>
      </c>
      <c r="T524" s="1">
        <v>10510.0</v>
      </c>
      <c r="U524" s="1">
        <v>49.952426261</v>
      </c>
      <c r="V524" s="1">
        <v>264.48665545</v>
      </c>
      <c r="W524" s="1">
        <v>19.861030689</v>
      </c>
      <c r="X524" s="1">
        <v>17.14962963</v>
      </c>
      <c r="Y524" s="1">
        <v>75.648104801</v>
      </c>
      <c r="Z524" s="1">
        <v>14.4</v>
      </c>
      <c r="AA524" s="1">
        <v>13.998510939</v>
      </c>
      <c r="AB524" s="1">
        <v>41642.0</v>
      </c>
      <c r="AC524" s="1">
        <v>74.090230743</v>
      </c>
      <c r="AD524" s="1">
        <v>63.180036883</v>
      </c>
      <c r="AE524" s="1">
        <v>17.165595347</v>
      </c>
      <c r="AF524" s="1">
        <v>35.828383729</v>
      </c>
      <c r="AG524" s="1">
        <v>0.6052015839</v>
      </c>
      <c r="AH524" s="1">
        <v>0.9854211663</v>
      </c>
      <c r="AI524" s="1">
        <v>0.0607451404</v>
      </c>
      <c r="AJ524" s="1">
        <v>3.9349352052</v>
      </c>
      <c r="AK524" s="1">
        <v>57.6876349889999</v>
      </c>
      <c r="AL524" s="1">
        <v>0.9291105379</v>
      </c>
      <c r="AM524" s="1">
        <v>52.6480381569999</v>
      </c>
      <c r="AN524" s="1">
        <v>46.021914132</v>
      </c>
      <c r="AO524" s="1">
        <v>22178.0</v>
      </c>
      <c r="AP524" s="1">
        <v>21.3</v>
      </c>
      <c r="AQ524" s="1">
        <v>9.8</v>
      </c>
      <c r="AR524" s="1">
        <v>18.1</v>
      </c>
      <c r="AS524" s="1">
        <v>16.5</v>
      </c>
      <c r="AT524" s="1">
        <v>24.2</v>
      </c>
      <c r="AU524" s="1">
        <v>17.3</v>
      </c>
      <c r="AV524" s="1">
        <v>42.3</v>
      </c>
      <c r="AW524" s="1">
        <v>0.9</v>
      </c>
      <c r="AX524" s="1">
        <v>0.8984</v>
      </c>
      <c r="AY524" s="1">
        <v>18.0</v>
      </c>
      <c r="AZ524" s="1">
        <v>15.8</v>
      </c>
      <c r="BA524" s="1">
        <v>21.8</v>
      </c>
      <c r="BB524" s="1">
        <v>3.37</v>
      </c>
      <c r="BC524" s="1" t="s">
        <v>798</v>
      </c>
      <c r="BD524" s="1">
        <v>15.1</v>
      </c>
      <c r="BE524" s="1">
        <v>31.5</v>
      </c>
      <c r="BF524" s="1">
        <v>28.6</v>
      </c>
      <c r="BG524" s="1">
        <v>24.7</v>
      </c>
      <c r="BH524" s="1" t="s">
        <v>1023</v>
      </c>
    </row>
    <row r="525">
      <c r="A525" s="1">
        <v>13277.0</v>
      </c>
      <c r="B525" s="2" t="str">
        <f>IFERROR(__xludf.DUMMYFUNCTION("TO_TEXT(A525)"),"13277")</f>
        <v>13277</v>
      </c>
      <c r="C525" s="1">
        <v>40691.0</v>
      </c>
      <c r="D525" s="1">
        <v>260.87580281151</v>
      </c>
      <c r="E525" s="1" t="s">
        <v>1024</v>
      </c>
      <c r="F525" s="1" t="s">
        <v>1025</v>
      </c>
      <c r="G525" s="1">
        <v>155.978437100969</v>
      </c>
      <c r="H525" s="1">
        <v>21.969560188</v>
      </c>
      <c r="I525" s="1">
        <v>4.1538694603</v>
      </c>
      <c r="J525" s="1">
        <v>12.378167641</v>
      </c>
      <c r="K525" s="1">
        <v>18.8264051309999</v>
      </c>
      <c r="L525" s="1">
        <v>36.0</v>
      </c>
      <c r="M525" s="1">
        <v>7.0</v>
      </c>
      <c r="N525" s="1">
        <v>39.5</v>
      </c>
      <c r="O525" s="1">
        <v>78.680392841</v>
      </c>
      <c r="P525" s="1">
        <v>17.767639903</v>
      </c>
      <c r="Q525" s="1">
        <v>86.21114</v>
      </c>
      <c r="R525" s="1">
        <v>85.26119403</v>
      </c>
      <c r="S525" s="1">
        <v>30.4</v>
      </c>
      <c r="T525" s="1">
        <v>9974.0</v>
      </c>
      <c r="U525" s="1">
        <v>40.30479246</v>
      </c>
      <c r="V525" s="1">
        <v>564.85355649</v>
      </c>
      <c r="W525" s="1">
        <v>14.9480968859999</v>
      </c>
      <c r="X525" s="1">
        <v>13.6764705879999</v>
      </c>
      <c r="Y525" s="1">
        <v>75.151083555</v>
      </c>
      <c r="Z525" s="1">
        <v>12.1</v>
      </c>
      <c r="AA525" s="1">
        <v>4.7569312744</v>
      </c>
      <c r="AB525" s="1">
        <v>45680.0</v>
      </c>
      <c r="AC525" s="1">
        <v>96.339603457</v>
      </c>
      <c r="AD525" s="1">
        <v>58.991897994</v>
      </c>
      <c r="AE525" s="1">
        <v>14.84160989</v>
      </c>
      <c r="AF525" s="1">
        <v>29.792216115</v>
      </c>
      <c r="AG525" s="1">
        <v>0.4683148061</v>
      </c>
      <c r="AH525" s="1">
        <v>1.63663700669999</v>
      </c>
      <c r="AI525" s="1">
        <v>0.0616203692</v>
      </c>
      <c r="AJ525" s="1">
        <v>11.993788667</v>
      </c>
      <c r="AK525" s="1">
        <v>55.401641567</v>
      </c>
      <c r="AL525" s="1">
        <v>0.888664880499999</v>
      </c>
      <c r="AM525" s="1">
        <v>51.635404599</v>
      </c>
      <c r="AN525" s="1">
        <v>40.7821925319999</v>
      </c>
      <c r="AO525" s="1">
        <v>20642.0</v>
      </c>
      <c r="AP525" s="1">
        <v>27.5</v>
      </c>
      <c r="AQ525" s="1">
        <v>5.1</v>
      </c>
      <c r="AR525" s="1">
        <v>18.8</v>
      </c>
      <c r="AS525" s="1">
        <v>13.7</v>
      </c>
      <c r="AT525" s="1">
        <v>24.9</v>
      </c>
      <c r="AU525" s="1">
        <v>16.8</v>
      </c>
      <c r="AV525" s="1">
        <v>43.4</v>
      </c>
      <c r="AW525" s="1">
        <v>0.7</v>
      </c>
      <c r="AX525" s="1">
        <v>0.8905</v>
      </c>
      <c r="AY525" s="1">
        <v>21.5</v>
      </c>
      <c r="AZ525" s="1">
        <v>15.7</v>
      </c>
      <c r="BA525" s="1">
        <v>21.8</v>
      </c>
      <c r="BB525" s="1">
        <v>3.12</v>
      </c>
      <c r="BC525" s="1" t="s">
        <v>798</v>
      </c>
      <c r="BD525" s="1">
        <v>18.1</v>
      </c>
      <c r="BE525" s="1">
        <v>34.7</v>
      </c>
      <c r="BF525" s="1">
        <v>29.1</v>
      </c>
      <c r="BG525" s="1">
        <v>18.1</v>
      </c>
      <c r="BH525" s="1" t="s">
        <v>1025</v>
      </c>
    </row>
    <row r="526">
      <c r="A526" s="1">
        <v>13279.0</v>
      </c>
      <c r="B526" s="2" t="str">
        <f>IFERROR(__xludf.DUMMYFUNCTION("TO_TEXT(A526)"),"13279")</f>
        <v>13279</v>
      </c>
      <c r="C526" s="1">
        <v>27160.0</v>
      </c>
      <c r="D526" s="1">
        <v>364.005601459834</v>
      </c>
      <c r="E526" s="1" t="s">
        <v>1026</v>
      </c>
      <c r="F526" s="1" t="s">
        <v>1027</v>
      </c>
      <c r="G526" s="1">
        <v>74.6142364048125</v>
      </c>
      <c r="H526" s="1">
        <v>23.335153334</v>
      </c>
      <c r="I526" s="1">
        <v>4.3012639539</v>
      </c>
      <c r="J526" s="1">
        <v>12.1016827779999</v>
      </c>
      <c r="K526" s="1">
        <v>19.279307904</v>
      </c>
      <c r="L526" s="1">
        <v>48.3</v>
      </c>
      <c r="M526" s="1">
        <v>6.7</v>
      </c>
      <c r="N526" s="1">
        <v>39.2</v>
      </c>
      <c r="O526" s="1">
        <v>71.590199464</v>
      </c>
      <c r="P526" s="1">
        <v>18.576506051</v>
      </c>
      <c r="Q526" s="1">
        <v>100.0037</v>
      </c>
      <c r="R526" s="1">
        <v>90.537084399</v>
      </c>
      <c r="S526" s="1">
        <v>40.6</v>
      </c>
      <c r="T526" s="1">
        <v>7097.0</v>
      </c>
      <c r="U526" s="1">
        <v>43.187262223</v>
      </c>
      <c r="V526" s="1">
        <v>424.61165177</v>
      </c>
      <c r="W526" s="1">
        <v>17.493975904</v>
      </c>
      <c r="X526" s="1">
        <v>12.419274714</v>
      </c>
      <c r="Y526" s="1">
        <v>74.387625405</v>
      </c>
      <c r="Z526" s="1">
        <v>16.0</v>
      </c>
      <c r="AA526" s="1">
        <v>9.8033052089</v>
      </c>
      <c r="AB526" s="1">
        <v>37148.0</v>
      </c>
      <c r="AC526" s="1">
        <v>91.6410349189999</v>
      </c>
      <c r="AD526" s="1">
        <v>58.781120831</v>
      </c>
      <c r="AE526" s="1">
        <v>12.556468172</v>
      </c>
      <c r="AF526" s="1">
        <v>25.871238889</v>
      </c>
      <c r="AG526" s="1">
        <v>0.8368356455</v>
      </c>
      <c r="AH526" s="1">
        <v>0.8368356455</v>
      </c>
      <c r="AI526" s="1">
        <v>0.137612972799999</v>
      </c>
      <c r="AJ526" s="1">
        <v>11.886785435</v>
      </c>
      <c r="AK526" s="1">
        <v>59.8095733999999</v>
      </c>
      <c r="AL526" s="1">
        <v>2.2643161288</v>
      </c>
      <c r="AM526" s="1">
        <v>52.4640160669999</v>
      </c>
      <c r="AN526" s="1">
        <v>51.056092275</v>
      </c>
      <c r="AO526" s="1">
        <v>20309.0</v>
      </c>
      <c r="AP526" s="1">
        <v>26.6</v>
      </c>
      <c r="AQ526" s="1">
        <v>10.8</v>
      </c>
      <c r="AR526" s="1">
        <v>20.5</v>
      </c>
      <c r="AS526" s="1">
        <v>15.0</v>
      </c>
      <c r="AT526" s="1">
        <v>27.4</v>
      </c>
      <c r="AU526" s="1">
        <v>14.5</v>
      </c>
      <c r="AV526" s="1">
        <v>39.1</v>
      </c>
      <c r="AW526" s="1">
        <v>3.2</v>
      </c>
      <c r="AX526" s="1">
        <v>0.9739</v>
      </c>
      <c r="AY526" s="1">
        <v>19.2</v>
      </c>
      <c r="AZ526" s="1">
        <v>16.7</v>
      </c>
      <c r="BA526" s="1">
        <v>22.5</v>
      </c>
      <c r="BB526" s="1">
        <v>3.0</v>
      </c>
      <c r="BC526" s="1" t="s">
        <v>798</v>
      </c>
      <c r="BD526" s="1">
        <v>19.9</v>
      </c>
      <c r="BE526" s="1">
        <v>37.5</v>
      </c>
      <c r="BF526" s="1">
        <v>26.4</v>
      </c>
      <c r="BG526" s="1">
        <v>16.2</v>
      </c>
      <c r="BH526" s="1" t="s">
        <v>1027</v>
      </c>
    </row>
    <row r="527">
      <c r="A527" s="1">
        <v>13281.0</v>
      </c>
      <c r="B527" s="2" t="str">
        <f>IFERROR(__xludf.DUMMYFUNCTION("TO_TEXT(A527)"),"13281")</f>
        <v>13281</v>
      </c>
      <c r="C527" s="1">
        <v>10976.0</v>
      </c>
      <c r="D527" s="1">
        <v>166.531055556362</v>
      </c>
      <c r="E527" s="1" t="s">
        <v>1028</v>
      </c>
      <c r="F527" s="1" t="s">
        <v>1029</v>
      </c>
      <c r="G527" s="1">
        <v>65.9096284673774</v>
      </c>
      <c r="H527" s="1">
        <v>14.93028586</v>
      </c>
      <c r="I527" s="1">
        <v>3.8766971735</v>
      </c>
      <c r="J527" s="1">
        <v>6.9659442724</v>
      </c>
      <c r="K527" s="1">
        <v>13.864982909</v>
      </c>
      <c r="L527" s="1">
        <v>26.1</v>
      </c>
      <c r="M527" s="1">
        <v>8.6</v>
      </c>
      <c r="N527" s="1">
        <v>28.3</v>
      </c>
      <c r="O527" s="1">
        <v>99.7134944129999</v>
      </c>
      <c r="P527" s="1">
        <v>17.327258922</v>
      </c>
      <c r="Q527" s="1">
        <v>95.60229</v>
      </c>
      <c r="R527" s="1">
        <v>97.674418605</v>
      </c>
      <c r="S527" s="1">
        <v>24.0</v>
      </c>
      <c r="T527" s="1">
        <v>1474.0</v>
      </c>
      <c r="U527" s="1">
        <v>39.009497965</v>
      </c>
      <c r="V527" s="1">
        <v>320.25259359</v>
      </c>
      <c r="W527" s="1">
        <v>16.594360087</v>
      </c>
      <c r="X527" s="1">
        <v>15.731573157</v>
      </c>
      <c r="Y527" s="1">
        <v>76.47875309</v>
      </c>
      <c r="Z527" s="1">
        <v>6.4</v>
      </c>
      <c r="AA527" s="1">
        <v>0.0069960223</v>
      </c>
      <c r="AB527" s="1">
        <v>45853.0</v>
      </c>
      <c r="AC527" s="1">
        <v>48.79759519</v>
      </c>
      <c r="AD527" s="1">
        <v>80.80385179</v>
      </c>
      <c r="AE527" s="1">
        <v>18.316166592</v>
      </c>
      <c r="AF527" s="1">
        <v>1.1812352346</v>
      </c>
      <c r="AG527" s="1">
        <v>0.396557543</v>
      </c>
      <c r="AH527" s="1">
        <v>0.7509281134</v>
      </c>
      <c r="AI527" s="1">
        <v>0.0674991563</v>
      </c>
      <c r="AJ527" s="1">
        <v>2.9193385083</v>
      </c>
      <c r="AK527" s="1">
        <v>93.975700304</v>
      </c>
      <c r="AL527" s="1">
        <v>0.0272108844</v>
      </c>
      <c r="AM527" s="1">
        <v>52.261221735</v>
      </c>
      <c r="AN527" s="1">
        <v>100.0</v>
      </c>
      <c r="AO527" s="1">
        <v>21671.0</v>
      </c>
      <c r="AP527" s="1">
        <v>15.1</v>
      </c>
      <c r="AQ527" s="1">
        <v>8.9</v>
      </c>
      <c r="AR527" s="1">
        <v>10.6</v>
      </c>
      <c r="AS527" s="1">
        <v>33.1</v>
      </c>
      <c r="AT527" s="1">
        <v>13.3</v>
      </c>
      <c r="AU527" s="1">
        <v>17.0</v>
      </c>
      <c r="AV527" s="1">
        <v>4.9</v>
      </c>
      <c r="AW527" s="1">
        <v>0.8</v>
      </c>
      <c r="AX527" s="1">
        <v>0.4196</v>
      </c>
      <c r="AY527" s="1">
        <v>12.7</v>
      </c>
      <c r="AZ527" s="1">
        <v>13.6</v>
      </c>
      <c r="BA527" s="1">
        <v>23.0</v>
      </c>
      <c r="BB527" s="1">
        <v>3.02</v>
      </c>
      <c r="BC527" s="1" t="s">
        <v>798</v>
      </c>
      <c r="BD527" s="1">
        <v>10.1</v>
      </c>
      <c r="BE527" s="1">
        <v>29.9</v>
      </c>
      <c r="BF527" s="1">
        <v>30.0</v>
      </c>
      <c r="BG527" s="1">
        <v>30.1</v>
      </c>
      <c r="BH527" s="1" t="s">
        <v>1029</v>
      </c>
    </row>
    <row r="528">
      <c r="A528" s="1">
        <v>13283.0</v>
      </c>
      <c r="B528" s="2" t="str">
        <f>IFERROR(__xludf.DUMMYFUNCTION("TO_TEXT(A528)"),"13283")</f>
        <v>13283</v>
      </c>
      <c r="C528" s="1">
        <v>6711.0</v>
      </c>
      <c r="D528" s="1">
        <v>199.435666456134</v>
      </c>
      <c r="E528" s="1" t="s">
        <v>1030</v>
      </c>
      <c r="F528" s="1" t="s">
        <v>1031</v>
      </c>
      <c r="G528" s="1">
        <v>33.6499489747792</v>
      </c>
      <c r="H528" s="1">
        <v>19.938988929</v>
      </c>
      <c r="I528" s="1">
        <v>4.018808759</v>
      </c>
      <c r="J528" s="1">
        <v>13.0434782609999</v>
      </c>
      <c r="K528" s="1">
        <v>18.280485085</v>
      </c>
      <c r="L528" s="1">
        <v>35.7</v>
      </c>
      <c r="M528" s="1">
        <v>7.4</v>
      </c>
      <c r="N528" s="1">
        <v>31.5</v>
      </c>
      <c r="O528" s="1">
        <v>45.243282498</v>
      </c>
      <c r="P528" s="1">
        <v>16.099249856</v>
      </c>
      <c r="Q528" s="1">
        <v>48.31939</v>
      </c>
      <c r="R528" s="1">
        <v>84.810126582</v>
      </c>
      <c r="S528" s="1">
        <v>34.5</v>
      </c>
      <c r="T528" s="1">
        <v>1566.0</v>
      </c>
      <c r="U528" s="1">
        <v>33.908045977</v>
      </c>
      <c r="V528" s="1">
        <v>122.16641781</v>
      </c>
      <c r="W528" s="1">
        <v>12.572533849</v>
      </c>
      <c r="X528" s="1">
        <v>9.3909626719</v>
      </c>
      <c r="Y528" s="1">
        <v>76.1254391</v>
      </c>
      <c r="Z528" s="1">
        <v>9.3</v>
      </c>
      <c r="AA528" s="1">
        <v>1.9464393288</v>
      </c>
      <c r="AB528" s="1">
        <v>35069.0</v>
      </c>
      <c r="AC528" s="1">
        <v>94.154118689</v>
      </c>
      <c r="AD528" s="1">
        <v>70.92010602</v>
      </c>
      <c r="AE528" s="1">
        <v>9.3427035965</v>
      </c>
      <c r="AF528" s="1">
        <v>31.443677486</v>
      </c>
      <c r="AG528" s="1">
        <v>0.3231017771</v>
      </c>
      <c r="AH528" s="1">
        <v>0.3671611103</v>
      </c>
      <c r="AI528" s="1">
        <v>0.0293728888</v>
      </c>
      <c r="AJ528" s="1">
        <v>2.9666617712</v>
      </c>
      <c r="AK528" s="1">
        <v>63.856660303</v>
      </c>
      <c r="AL528" s="1">
        <v>3.1877590054</v>
      </c>
      <c r="AM528" s="1">
        <v>50.2716992219999</v>
      </c>
      <c r="AN528" s="1">
        <v>58.867102397</v>
      </c>
      <c r="AO528" s="1">
        <v>21307.0</v>
      </c>
      <c r="AP528" s="1">
        <v>18.7</v>
      </c>
      <c r="AQ528" s="1">
        <v>6.2</v>
      </c>
      <c r="AR528" s="1">
        <v>22.8</v>
      </c>
      <c r="AS528" s="1">
        <v>17.3</v>
      </c>
      <c r="AT528" s="1">
        <v>21.9</v>
      </c>
      <c r="AU528" s="1">
        <v>18.8</v>
      </c>
      <c r="AV528" s="1">
        <v>33.0</v>
      </c>
      <c r="AW528" s="1">
        <v>0.9</v>
      </c>
      <c r="AX528" s="1">
        <v>0.6578</v>
      </c>
      <c r="AY528" s="1">
        <v>31.6</v>
      </c>
      <c r="AZ528" s="1">
        <v>17.0</v>
      </c>
      <c r="BA528" s="1">
        <v>25.3</v>
      </c>
      <c r="BB528" s="1">
        <v>2.98</v>
      </c>
      <c r="BC528" s="1" t="s">
        <v>798</v>
      </c>
      <c r="BD528" s="1">
        <v>26.3</v>
      </c>
      <c r="BE528" s="1">
        <v>40.8</v>
      </c>
      <c r="BF528" s="1">
        <v>20.5</v>
      </c>
      <c r="BG528" s="1">
        <v>12.4</v>
      </c>
      <c r="BH528" s="1" t="s">
        <v>1031</v>
      </c>
    </row>
    <row r="529">
      <c r="A529" s="1">
        <v>13285.0</v>
      </c>
      <c r="B529" s="2" t="str">
        <f>IFERROR(__xludf.DUMMYFUNCTION("TO_TEXT(A529)"),"13285")</f>
        <v>13285</v>
      </c>
      <c r="C529" s="1">
        <v>69314.0</v>
      </c>
      <c r="D529" s="1">
        <v>413.99116290826</v>
      </c>
      <c r="E529" s="1" t="s">
        <v>1032</v>
      </c>
      <c r="F529" s="1" t="s">
        <v>1033</v>
      </c>
      <c r="G529" s="1">
        <v>167.428694644286</v>
      </c>
      <c r="H529" s="1">
        <v>18.600573327</v>
      </c>
      <c r="I529" s="1">
        <v>4.0940322236</v>
      </c>
      <c r="J529" s="1">
        <v>10.906843813</v>
      </c>
      <c r="K529" s="1">
        <v>18.043170824</v>
      </c>
      <c r="L529" s="1">
        <v>40.4</v>
      </c>
      <c r="M529" s="1">
        <v>6.8</v>
      </c>
      <c r="N529" s="1">
        <v>34.9</v>
      </c>
      <c r="O529" s="1">
        <v>73.037109958</v>
      </c>
      <c r="P529" s="1">
        <v>14.720016715</v>
      </c>
      <c r="Q529" s="1">
        <v>53.01923</v>
      </c>
      <c r="R529" s="1">
        <v>84.337349398</v>
      </c>
      <c r="S529" s="1">
        <v>27.7</v>
      </c>
      <c r="T529" s="1">
        <v>17138.0</v>
      </c>
      <c r="U529" s="1">
        <v>44.4742677089999</v>
      </c>
      <c r="V529" s="1">
        <v>332.15234721</v>
      </c>
      <c r="W529" s="1">
        <v>18.826157595</v>
      </c>
      <c r="X529" s="1">
        <v>16.559139785</v>
      </c>
      <c r="Y529" s="1">
        <v>75.20371002</v>
      </c>
      <c r="Z529" s="1">
        <v>11.0</v>
      </c>
      <c r="AA529" s="1">
        <v>7.2572217723</v>
      </c>
      <c r="AB529" s="1">
        <v>45234.0</v>
      </c>
      <c r="AC529" s="1">
        <v>68.095509738</v>
      </c>
      <c r="AD529" s="1">
        <v>57.287767178</v>
      </c>
      <c r="AE529" s="1">
        <v>17.893977335</v>
      </c>
      <c r="AF529" s="1">
        <v>36.3195019559999</v>
      </c>
      <c r="AG529" s="1">
        <v>0.3983779307</v>
      </c>
      <c r="AH529" s="1">
        <v>2.1760859011</v>
      </c>
      <c r="AI529" s="1">
        <v>0.1756289802</v>
      </c>
      <c r="AJ529" s="1">
        <v>3.7410400663</v>
      </c>
      <c r="AK529" s="1">
        <v>55.964245938</v>
      </c>
      <c r="AL529" s="1">
        <v>1.0442543012</v>
      </c>
      <c r="AM529" s="1">
        <v>51.759145558</v>
      </c>
      <c r="AN529" s="1">
        <v>44.2992661539999</v>
      </c>
      <c r="AO529" s="1">
        <v>21942.0</v>
      </c>
      <c r="AP529" s="1">
        <v>21.3</v>
      </c>
      <c r="AQ529" s="1">
        <v>10.7</v>
      </c>
      <c r="AR529" s="1">
        <v>16.4</v>
      </c>
      <c r="AS529" s="1">
        <v>13.6</v>
      </c>
      <c r="AT529" s="1">
        <v>25.4</v>
      </c>
      <c r="AU529" s="1">
        <v>16.6</v>
      </c>
      <c r="AV529" s="1">
        <v>42.1</v>
      </c>
      <c r="AW529" s="1">
        <v>1.2</v>
      </c>
      <c r="AX529" s="1">
        <v>0.9054</v>
      </c>
      <c r="AY529" s="1">
        <v>19.2</v>
      </c>
      <c r="AZ529" s="1">
        <v>15.4</v>
      </c>
      <c r="BA529" s="1">
        <v>19.6</v>
      </c>
      <c r="BB529" s="1">
        <v>2.85</v>
      </c>
      <c r="BC529" s="1" t="s">
        <v>798</v>
      </c>
      <c r="BD529" s="1">
        <v>16.6</v>
      </c>
      <c r="BE529" s="1">
        <v>35.1</v>
      </c>
      <c r="BF529" s="1">
        <v>29.3</v>
      </c>
      <c r="BG529" s="1">
        <v>19.0</v>
      </c>
      <c r="BH529" s="1" t="s">
        <v>1033</v>
      </c>
    </row>
    <row r="530">
      <c r="A530" s="1">
        <v>13287.0</v>
      </c>
      <c r="B530" s="2" t="str">
        <f>IFERROR(__xludf.DUMMYFUNCTION("TO_TEXT(A530)"),"13287")</f>
        <v>13287</v>
      </c>
      <c r="C530" s="1">
        <v>8151.0</v>
      </c>
      <c r="D530" s="1">
        <v>285.392941586158</v>
      </c>
      <c r="E530" s="1" t="s">
        <v>1034</v>
      </c>
      <c r="F530" s="1" t="s">
        <v>1035</v>
      </c>
      <c r="G530" s="1">
        <v>28.560622258905</v>
      </c>
      <c r="H530" s="1">
        <v>21.573612255</v>
      </c>
      <c r="I530" s="1">
        <v>4.1577367086</v>
      </c>
      <c r="J530" s="1">
        <v>13.939393939</v>
      </c>
      <c r="K530" s="1">
        <v>18.56569517</v>
      </c>
      <c r="L530" s="1">
        <v>38.7</v>
      </c>
      <c r="M530" s="1">
        <v>6.8</v>
      </c>
      <c r="N530" s="1">
        <v>40.0</v>
      </c>
      <c r="O530" s="1">
        <v>20.011198208</v>
      </c>
      <c r="P530" s="1">
        <v>18.44981782</v>
      </c>
      <c r="Q530" s="1">
        <v>12.56124</v>
      </c>
      <c r="R530" s="1">
        <v>93.75</v>
      </c>
      <c r="S530" s="1">
        <v>42.2</v>
      </c>
      <c r="T530" s="1">
        <v>1908.0</v>
      </c>
      <c r="U530" s="1">
        <v>60.167714885</v>
      </c>
      <c r="V530" s="1">
        <v>1306.97704659999</v>
      </c>
      <c r="W530" s="1">
        <v>21.661237785</v>
      </c>
      <c r="X530" s="1">
        <v>15.332197615</v>
      </c>
      <c r="Y530" s="1">
        <v>73.708439282</v>
      </c>
      <c r="Z530" s="1">
        <v>18.2</v>
      </c>
      <c r="AA530" s="1">
        <v>3.9650769313</v>
      </c>
      <c r="AB530" s="1">
        <v>33261.0</v>
      </c>
      <c r="AC530" s="1">
        <v>98.464025869</v>
      </c>
      <c r="AD530" s="1">
        <v>67.515712868</v>
      </c>
      <c r="AE530" s="1">
        <v>23.973087819</v>
      </c>
      <c r="AF530" s="1">
        <v>39.92669363</v>
      </c>
      <c r="AG530" s="1">
        <v>0.5182002022</v>
      </c>
      <c r="AH530" s="1">
        <v>0.9352881699</v>
      </c>
      <c r="AI530" s="1">
        <v>0.1769464105</v>
      </c>
      <c r="AJ530" s="1">
        <v>4.7143579373</v>
      </c>
      <c r="AK530" s="1">
        <v>53.0080889789999</v>
      </c>
      <c r="AL530" s="1">
        <v>0.8488278092</v>
      </c>
      <c r="AM530" s="1">
        <v>51.4155712839999</v>
      </c>
      <c r="AN530" s="1">
        <v>49.731243001</v>
      </c>
      <c r="AO530" s="1">
        <v>17149.0</v>
      </c>
      <c r="AP530" s="1">
        <v>27.6</v>
      </c>
      <c r="AQ530" s="1">
        <v>9.1</v>
      </c>
      <c r="AR530" s="1">
        <v>24.6</v>
      </c>
      <c r="AS530" s="1">
        <v>18.4</v>
      </c>
      <c r="AT530" s="1">
        <v>24.5</v>
      </c>
      <c r="AU530" s="1">
        <v>20.5</v>
      </c>
      <c r="AV530" s="1">
        <v>45.0</v>
      </c>
      <c r="AW530" s="1">
        <v>2.1</v>
      </c>
      <c r="AX530" s="1">
        <v>0.9984</v>
      </c>
      <c r="AY530" s="1">
        <v>28.0</v>
      </c>
      <c r="AZ530" s="1">
        <v>19.9</v>
      </c>
      <c r="BA530" s="1">
        <v>30.2</v>
      </c>
      <c r="BB530" s="1">
        <v>2.99</v>
      </c>
      <c r="BC530" s="1" t="s">
        <v>798</v>
      </c>
      <c r="BD530" s="1">
        <v>18.8</v>
      </c>
      <c r="BE530" s="1">
        <v>38.0</v>
      </c>
      <c r="BF530" s="1">
        <v>31.5</v>
      </c>
      <c r="BG530" s="1">
        <v>11.7</v>
      </c>
      <c r="BH530" s="1" t="s">
        <v>1035</v>
      </c>
    </row>
    <row r="531">
      <c r="A531" s="1">
        <v>13289.0</v>
      </c>
      <c r="B531" s="2" t="str">
        <f>IFERROR(__xludf.DUMMYFUNCTION("TO_TEXT(A531)"),"13289")</f>
        <v>13289</v>
      </c>
      <c r="C531" s="1">
        <v>8363.0</v>
      </c>
      <c r="D531" s="1">
        <v>358.41251746308</v>
      </c>
      <c r="E531" s="1" t="s">
        <v>1036</v>
      </c>
      <c r="F531" s="1" t="s">
        <v>1037</v>
      </c>
      <c r="G531" s="1">
        <v>23.333448449834</v>
      </c>
      <c r="H531" s="1">
        <v>22.843328601</v>
      </c>
      <c r="I531" s="1">
        <v>4.3182760076</v>
      </c>
      <c r="J531" s="1">
        <v>10.597302505</v>
      </c>
      <c r="K531" s="1">
        <v>20.137556227</v>
      </c>
      <c r="L531" s="1">
        <v>36.1</v>
      </c>
      <c r="M531" s="1">
        <v>6.9</v>
      </c>
      <c r="N531" s="1">
        <v>28.7</v>
      </c>
      <c r="O531" s="1">
        <v>10.041006317</v>
      </c>
      <c r="P531" s="1">
        <v>17.208931419</v>
      </c>
      <c r="Q531" s="1">
        <v>12.23391</v>
      </c>
      <c r="R531" s="1">
        <v>95.652173913</v>
      </c>
      <c r="S531" s="1">
        <v>33.0</v>
      </c>
      <c r="T531" s="1">
        <v>1596.0</v>
      </c>
      <c r="U531" s="1">
        <v>53.0701754389999</v>
      </c>
      <c r="V531" s="1">
        <v>222.03552568</v>
      </c>
      <c r="W531" s="1">
        <v>15.424610052</v>
      </c>
      <c r="X531" s="1">
        <v>13.669064748</v>
      </c>
      <c r="Y531" s="1">
        <v>71.847878553</v>
      </c>
      <c r="Z531" s="1">
        <v>16.5</v>
      </c>
      <c r="AA531" s="1">
        <v>0.1180474881</v>
      </c>
      <c r="AB531" s="1">
        <v>42054.0</v>
      </c>
      <c r="AC531" s="1">
        <v>91.666666667</v>
      </c>
      <c r="AD531" s="1">
        <v>79.346750247</v>
      </c>
      <c r="AE531" s="1">
        <v>13.558692422</v>
      </c>
      <c r="AF531" s="1">
        <v>39.838788471</v>
      </c>
      <c r="AG531" s="1">
        <v>0.3786028334</v>
      </c>
      <c r="AH531" s="1">
        <v>0.3175378603</v>
      </c>
      <c r="AI531" s="1">
        <v>0.0366389839</v>
      </c>
      <c r="AJ531" s="1">
        <v>2.5403028823</v>
      </c>
      <c r="AK531" s="1">
        <v>55.520273571</v>
      </c>
      <c r="AL531" s="1">
        <v>0.0127404765</v>
      </c>
      <c r="AM531" s="1">
        <v>50.940400586</v>
      </c>
      <c r="AN531" s="1">
        <v>100.0</v>
      </c>
      <c r="AO531" s="1">
        <v>18255.0</v>
      </c>
      <c r="AP531" s="1">
        <v>30.3</v>
      </c>
      <c r="AQ531" s="1">
        <v>7.7</v>
      </c>
      <c r="AR531" s="1">
        <v>30.8</v>
      </c>
      <c r="AS531" s="1">
        <v>19.5</v>
      </c>
      <c r="AT531" s="1">
        <v>19.4</v>
      </c>
      <c r="AU531" s="1">
        <v>19.3</v>
      </c>
      <c r="AV531" s="1">
        <v>45.0</v>
      </c>
      <c r="AW531" s="1">
        <v>0.0</v>
      </c>
      <c r="AX531" s="1">
        <v>0.7246</v>
      </c>
      <c r="AY531" s="1">
        <v>19.0</v>
      </c>
      <c r="AZ531" s="1">
        <v>18.4</v>
      </c>
      <c r="BA531" s="1">
        <v>23.1</v>
      </c>
      <c r="BB531" s="1">
        <v>3.0</v>
      </c>
      <c r="BC531" s="1" t="s">
        <v>798</v>
      </c>
      <c r="BD531" s="1">
        <v>25.8</v>
      </c>
      <c r="BE531" s="1">
        <v>38.5</v>
      </c>
      <c r="BF531" s="1">
        <v>23.9</v>
      </c>
      <c r="BG531" s="1">
        <v>11.8</v>
      </c>
      <c r="BH531" s="1" t="s">
        <v>1037</v>
      </c>
    </row>
    <row r="532">
      <c r="A532" s="1">
        <v>13291.0</v>
      </c>
      <c r="B532" s="2" t="str">
        <f>IFERROR(__xludf.DUMMYFUNCTION("TO_TEXT(A532)"),"13291")</f>
        <v>13291</v>
      </c>
      <c r="C532" s="1">
        <v>22033.0</v>
      </c>
      <c r="D532" s="1">
        <v>321.967539254982</v>
      </c>
      <c r="E532" s="1" t="s">
        <v>406</v>
      </c>
      <c r="F532" s="1" t="s">
        <v>1038</v>
      </c>
      <c r="G532" s="1">
        <v>68.4323644892381</v>
      </c>
      <c r="H532" s="1">
        <v>14.1573689309999</v>
      </c>
      <c r="I532" s="1">
        <v>3.7741835677</v>
      </c>
      <c r="J532" s="1">
        <v>7.6301615799</v>
      </c>
      <c r="K532" s="1">
        <v>13.6668229329999</v>
      </c>
      <c r="L532" s="1">
        <v>27.0</v>
      </c>
      <c r="M532" s="1">
        <v>8.9</v>
      </c>
      <c r="N532" s="1">
        <v>26.7</v>
      </c>
      <c r="O532" s="1">
        <v>95.50009365</v>
      </c>
      <c r="P532" s="1">
        <v>18.686253127</v>
      </c>
      <c r="Q532" s="1">
        <v>80.99237</v>
      </c>
      <c r="R532" s="1">
        <v>97.448979592</v>
      </c>
      <c r="S532" s="1">
        <v>24.4</v>
      </c>
      <c r="T532" s="1">
        <v>3733.0</v>
      </c>
      <c r="U532" s="1">
        <v>36.967586392</v>
      </c>
      <c r="V532" s="1">
        <v>165.39786116</v>
      </c>
      <c r="W532" s="1">
        <v>10.3661971829999</v>
      </c>
      <c r="X532" s="1">
        <v>9.2902481246</v>
      </c>
      <c r="Y532" s="1">
        <v>79.202699572</v>
      </c>
      <c r="Z532" s="1">
        <v>15.5</v>
      </c>
      <c r="AA532" s="1">
        <v>0.5330734731</v>
      </c>
      <c r="AB532" s="1">
        <v>45943.0</v>
      </c>
      <c r="AC532" s="1">
        <v>54.2143600419999</v>
      </c>
      <c r="AD532" s="1">
        <v>77.938257993</v>
      </c>
      <c r="AE532" s="1">
        <v>10.465393795</v>
      </c>
      <c r="AF532" s="1">
        <v>0.7666347236</v>
      </c>
      <c r="AG532" s="1">
        <v>0.4958126745</v>
      </c>
      <c r="AH532" s="1">
        <v>0.6583059039</v>
      </c>
      <c r="AI532" s="1">
        <v>0.0208324653</v>
      </c>
      <c r="AJ532" s="1">
        <v>3.4165243115</v>
      </c>
      <c r="AK532" s="1">
        <v>93.591933669</v>
      </c>
      <c r="AL532" s="1">
        <v>0.8745821695</v>
      </c>
      <c r="AM532" s="1">
        <v>51.589517103</v>
      </c>
      <c r="AN532" s="1">
        <v>100.0</v>
      </c>
      <c r="AO532" s="1">
        <v>23603.0</v>
      </c>
      <c r="AP532" s="1">
        <v>13.1</v>
      </c>
      <c r="AQ532" s="1">
        <v>9.1</v>
      </c>
      <c r="AR532" s="1">
        <v>11.3</v>
      </c>
      <c r="AS532" s="1">
        <v>31.2</v>
      </c>
      <c r="AT532" s="1">
        <v>16.6</v>
      </c>
      <c r="AU532" s="1">
        <v>20.8</v>
      </c>
      <c r="AV532" s="1">
        <v>5.6</v>
      </c>
      <c r="AW532" s="1">
        <v>0.7</v>
      </c>
      <c r="AX532" s="1">
        <v>0.3709</v>
      </c>
      <c r="AY532" s="1">
        <v>11.6</v>
      </c>
      <c r="AZ532" s="1">
        <v>12.1</v>
      </c>
      <c r="BA532" s="1">
        <v>20.5</v>
      </c>
      <c r="BB532" s="1">
        <v>3.13</v>
      </c>
      <c r="BC532" s="1" t="s">
        <v>798</v>
      </c>
      <c r="BD532" s="1">
        <v>11.0</v>
      </c>
      <c r="BE532" s="1">
        <v>34.0</v>
      </c>
      <c r="BF532" s="1">
        <v>32.5</v>
      </c>
      <c r="BG532" s="1">
        <v>22.5</v>
      </c>
      <c r="BH532" s="1" t="s">
        <v>1038</v>
      </c>
    </row>
    <row r="533">
      <c r="A533" s="1">
        <v>13293.0</v>
      </c>
      <c r="B533" s="2" t="str">
        <f>IFERROR(__xludf.DUMMYFUNCTION("TO_TEXT(A533)"),"13293")</f>
        <v>13293</v>
      </c>
      <c r="C533" s="1">
        <v>26394.0</v>
      </c>
      <c r="D533" s="1">
        <v>323.43648323298</v>
      </c>
      <c r="E533" s="1" t="s">
        <v>1039</v>
      </c>
      <c r="F533" s="1" t="s">
        <v>1040</v>
      </c>
      <c r="G533" s="1">
        <v>81.604894216549</v>
      </c>
      <c r="H533" s="1">
        <v>19.90970066</v>
      </c>
      <c r="I533" s="1">
        <v>4.2187069316</v>
      </c>
      <c r="J533" s="1">
        <v>12.117055327</v>
      </c>
      <c r="K533" s="1">
        <v>18.17284267</v>
      </c>
      <c r="L533" s="1">
        <v>26.6</v>
      </c>
      <c r="M533" s="1">
        <v>6.2</v>
      </c>
      <c r="N533" s="1">
        <v>31.0</v>
      </c>
      <c r="O533" s="1">
        <v>73.962361433</v>
      </c>
      <c r="P533" s="1">
        <v>13.820828774</v>
      </c>
      <c r="Q533" s="1">
        <v>53.56801</v>
      </c>
      <c r="R533" s="1">
        <v>87.087087087</v>
      </c>
      <c r="S533" s="1">
        <v>32.7</v>
      </c>
      <c r="T533" s="1">
        <v>5994.0</v>
      </c>
      <c r="U533" s="1">
        <v>42.842842843</v>
      </c>
      <c r="V533" s="1">
        <v>381.16549409</v>
      </c>
      <c r="W533" s="1">
        <v>15.5257936509999</v>
      </c>
      <c r="X533" s="1">
        <v>13.997933884</v>
      </c>
      <c r="Y533" s="1">
        <v>73.490333405</v>
      </c>
      <c r="Z533" s="1">
        <v>11.9</v>
      </c>
      <c r="AA533" s="1">
        <v>14.320508551</v>
      </c>
      <c r="AB533" s="1">
        <v>40965.0</v>
      </c>
      <c r="AC533" s="1">
        <v>80.072289157</v>
      </c>
      <c r="AD533" s="1">
        <v>65.80752646</v>
      </c>
      <c r="AE533" s="1">
        <v>14.215952252</v>
      </c>
      <c r="AF533" s="1">
        <v>28.003051688</v>
      </c>
      <c r="AG533" s="1">
        <v>0.4806408545</v>
      </c>
      <c r="AH533" s="1">
        <v>0.7247758917</v>
      </c>
      <c r="AI533" s="1">
        <v>0.0610337593</v>
      </c>
      <c r="AJ533" s="1">
        <v>2.3421705131</v>
      </c>
      <c r="AK533" s="1">
        <v>67.209612817</v>
      </c>
      <c r="AL533" s="1">
        <v>0.626535626499999</v>
      </c>
      <c r="AM533" s="1">
        <v>52.519549876</v>
      </c>
      <c r="AN533" s="1">
        <v>46.9082605969999</v>
      </c>
      <c r="AO533" s="1">
        <v>19511.0</v>
      </c>
      <c r="AP533" s="1">
        <v>22.9</v>
      </c>
      <c r="AQ533" s="1">
        <v>12.5</v>
      </c>
      <c r="AR533" s="1">
        <v>20.9</v>
      </c>
      <c r="AS533" s="1">
        <v>17.6</v>
      </c>
      <c r="AT533" s="1">
        <v>23.4</v>
      </c>
      <c r="AU533" s="1">
        <v>17.1</v>
      </c>
      <c r="AV533" s="1">
        <v>32.2</v>
      </c>
      <c r="AW533" s="1">
        <v>0.6</v>
      </c>
      <c r="AX533" s="1">
        <v>0.9061</v>
      </c>
      <c r="AY533" s="1">
        <v>19.1</v>
      </c>
      <c r="AZ533" s="1">
        <v>15.5</v>
      </c>
      <c r="BA533" s="1">
        <v>21.2</v>
      </c>
      <c r="BB533" s="1">
        <v>2.87</v>
      </c>
      <c r="BC533" s="1" t="s">
        <v>798</v>
      </c>
      <c r="BD533" s="1">
        <v>17.7</v>
      </c>
      <c r="BE533" s="1">
        <v>38.4</v>
      </c>
      <c r="BF533" s="1">
        <v>30.5</v>
      </c>
      <c r="BG533" s="1">
        <v>13.4</v>
      </c>
      <c r="BH533" s="1" t="s">
        <v>1040</v>
      </c>
    </row>
    <row r="534">
      <c r="A534" s="1">
        <v>13295.0</v>
      </c>
      <c r="B534" s="2" t="str">
        <f>IFERROR(__xludf.DUMMYFUNCTION("TO_TEXT(A534)"),"13295")</f>
        <v>13295</v>
      </c>
      <c r="C534" s="1">
        <v>68143.0</v>
      </c>
      <c r="D534" s="1">
        <v>446.390289455734</v>
      </c>
      <c r="E534" s="1" t="s">
        <v>186</v>
      </c>
      <c r="F534" s="1" t="s">
        <v>1041</v>
      </c>
      <c r="G534" s="1">
        <v>152.653410277101</v>
      </c>
      <c r="H534" s="1">
        <v>17.7755339729999</v>
      </c>
      <c r="I534" s="1">
        <v>3.8574852626</v>
      </c>
      <c r="J534" s="1">
        <v>9.8591549296</v>
      </c>
      <c r="K534" s="1">
        <v>17.193386856</v>
      </c>
      <c r="L534" s="1">
        <v>36.6</v>
      </c>
      <c r="M534" s="1">
        <v>7.4</v>
      </c>
      <c r="N534" s="1">
        <v>35.5</v>
      </c>
      <c r="O534" s="1">
        <v>54.360346733</v>
      </c>
      <c r="P534" s="1">
        <v>15.205947794</v>
      </c>
      <c r="Q534" s="1">
        <v>17.40669</v>
      </c>
      <c r="R534" s="1">
        <v>89.6551724139999</v>
      </c>
      <c r="S534" s="1">
        <v>22.2</v>
      </c>
      <c r="T534" s="1">
        <v>15153.0</v>
      </c>
      <c r="U534" s="1">
        <v>34.283640203</v>
      </c>
      <c r="V534" s="1">
        <v>555.5718863</v>
      </c>
      <c r="W534" s="1">
        <v>14.6989835809999</v>
      </c>
      <c r="X534" s="1">
        <v>10.906206623</v>
      </c>
      <c r="Y534" s="1">
        <v>74.736861897</v>
      </c>
      <c r="Z534" s="1">
        <v>18.9</v>
      </c>
      <c r="AA534" s="1">
        <v>12.02410458</v>
      </c>
      <c r="AB534" s="1">
        <v>43767.0</v>
      </c>
      <c r="AC534" s="1">
        <v>67.269671807</v>
      </c>
      <c r="AD534" s="1">
        <v>71.932008246</v>
      </c>
      <c r="AE534" s="1">
        <v>12.422665629</v>
      </c>
      <c r="AF534" s="1">
        <v>4.4129088028</v>
      </c>
      <c r="AG534" s="1">
        <v>0.3803486529</v>
      </c>
      <c r="AH534" s="1">
        <v>0.7261201556</v>
      </c>
      <c r="AI534" s="1">
        <v>0.0662728713</v>
      </c>
      <c r="AJ534" s="1">
        <v>2.3152283533</v>
      </c>
      <c r="AK534" s="1">
        <v>90.694424435</v>
      </c>
      <c r="AL534" s="1">
        <v>0.4078742824</v>
      </c>
      <c r="AM534" s="1">
        <v>50.793833742</v>
      </c>
      <c r="AN534" s="1">
        <v>43.85362732</v>
      </c>
      <c r="AO534" s="1">
        <v>21588.0</v>
      </c>
      <c r="AP534" s="1">
        <v>18.4</v>
      </c>
      <c r="AQ534" s="1">
        <v>7.0</v>
      </c>
      <c r="AR534" s="1">
        <v>20.3</v>
      </c>
      <c r="AS534" s="1">
        <v>16.6</v>
      </c>
      <c r="AT534" s="1">
        <v>22.7</v>
      </c>
      <c r="AU534" s="1">
        <v>19.2</v>
      </c>
      <c r="AV534" s="1">
        <v>8.5</v>
      </c>
      <c r="AW534" s="1">
        <v>0.3</v>
      </c>
      <c r="AX534" s="1">
        <v>0.6396</v>
      </c>
      <c r="AY534" s="1">
        <v>14.7</v>
      </c>
      <c r="AZ534" s="1">
        <v>14.1</v>
      </c>
      <c r="BA534" s="1">
        <v>20.5</v>
      </c>
      <c r="BB534" s="1">
        <v>3.12</v>
      </c>
      <c r="BC534" s="1" t="s">
        <v>798</v>
      </c>
      <c r="BD534" s="1">
        <v>18.0</v>
      </c>
      <c r="BE534" s="1">
        <v>35.2</v>
      </c>
      <c r="BF534" s="1">
        <v>30.1</v>
      </c>
      <c r="BG534" s="1">
        <v>16.6</v>
      </c>
      <c r="BH534" s="1" t="s">
        <v>1041</v>
      </c>
    </row>
    <row r="535">
      <c r="A535" s="1">
        <v>13297.0</v>
      </c>
      <c r="B535" s="2" t="str">
        <f>IFERROR(__xludf.DUMMYFUNCTION("TO_TEXT(A535)"),"13297")</f>
        <v>13297</v>
      </c>
      <c r="C535" s="1">
        <v>87436.0</v>
      </c>
      <c r="D535" s="1">
        <v>325.686924686118</v>
      </c>
      <c r="E535" s="1" t="s">
        <v>793</v>
      </c>
      <c r="F535" s="1" t="s">
        <v>1042</v>
      </c>
      <c r="G535" s="1">
        <v>268.466411675159</v>
      </c>
      <c r="H535" s="1">
        <v>16.86508269</v>
      </c>
      <c r="I535" s="1">
        <v>3.7817071146</v>
      </c>
      <c r="J535" s="1">
        <v>8.7065269176</v>
      </c>
      <c r="K535" s="1">
        <v>17.28746189</v>
      </c>
      <c r="L535" s="1">
        <v>28.4</v>
      </c>
      <c r="M535" s="1">
        <v>8.1</v>
      </c>
      <c r="N535" s="1">
        <v>34.2</v>
      </c>
      <c r="O535" s="1">
        <v>69.666220991</v>
      </c>
      <c r="P535" s="1">
        <v>13.5292748529999</v>
      </c>
      <c r="Q535" s="1">
        <v>26.20087</v>
      </c>
      <c r="R535" s="1">
        <v>88.517179024</v>
      </c>
      <c r="S535" s="1">
        <v>17.9</v>
      </c>
      <c r="T535" s="1">
        <v>22709.0</v>
      </c>
      <c r="U535" s="1">
        <v>36.439297195</v>
      </c>
      <c r="V535" s="1">
        <v>302.26098044</v>
      </c>
      <c r="W535" s="1">
        <v>15.773710483</v>
      </c>
      <c r="X535" s="1">
        <v>13.679245283</v>
      </c>
      <c r="Y535" s="1">
        <v>76.480409119</v>
      </c>
      <c r="Z535" s="1">
        <v>10.5</v>
      </c>
      <c r="AA535" s="1">
        <v>5.7814144305</v>
      </c>
      <c r="AB535" s="1">
        <v>65416.0</v>
      </c>
      <c r="AC535" s="1">
        <v>48.359828413</v>
      </c>
      <c r="AD535" s="1">
        <v>73.304853371</v>
      </c>
      <c r="AE535" s="1">
        <v>13.437757626</v>
      </c>
      <c r="AF535" s="1">
        <v>18.04113237</v>
      </c>
      <c r="AG535" s="1">
        <v>0.407473557</v>
      </c>
      <c r="AH535" s="1">
        <v>1.6159909308</v>
      </c>
      <c r="AI535" s="1">
        <v>0.1122958622</v>
      </c>
      <c r="AJ535" s="1">
        <v>4.6586740532</v>
      </c>
      <c r="AK535" s="1">
        <v>73.965541213</v>
      </c>
      <c r="AL535" s="1">
        <v>0.7118363486</v>
      </c>
      <c r="AM535" s="1">
        <v>51.330973338</v>
      </c>
      <c r="AN535" s="1">
        <v>42.658294337</v>
      </c>
      <c r="AO535" s="1">
        <v>24141.0</v>
      </c>
      <c r="AP535" s="1">
        <v>13.2</v>
      </c>
      <c r="AQ535" s="1">
        <v>7.8</v>
      </c>
      <c r="AR535" s="1">
        <v>13.3</v>
      </c>
      <c r="AS535" s="1">
        <v>14.2</v>
      </c>
      <c r="AT535" s="1">
        <v>25.7</v>
      </c>
      <c r="AU535" s="1">
        <v>12.7</v>
      </c>
      <c r="AV535" s="1">
        <v>23.5</v>
      </c>
      <c r="AW535" s="1">
        <v>0.5</v>
      </c>
      <c r="AX535" s="1">
        <v>0.326</v>
      </c>
      <c r="AY535" s="1">
        <v>10.8</v>
      </c>
      <c r="AZ535" s="1">
        <v>11.0</v>
      </c>
      <c r="BA535" s="1">
        <v>15.5</v>
      </c>
      <c r="BB535" s="1">
        <v>3.17</v>
      </c>
      <c r="BC535" s="1" t="s">
        <v>798</v>
      </c>
      <c r="BD535" s="1">
        <v>13.1</v>
      </c>
      <c r="BE535" s="1">
        <v>36.0</v>
      </c>
      <c r="BF535" s="1">
        <v>29.1</v>
      </c>
      <c r="BG535" s="1">
        <v>21.7</v>
      </c>
      <c r="BH535" s="1" t="s">
        <v>1042</v>
      </c>
    </row>
    <row r="536">
      <c r="A536" s="1">
        <v>13299.0</v>
      </c>
      <c r="B536" s="2" t="str">
        <f>IFERROR(__xludf.DUMMYFUNCTION("TO_TEXT(A536)"),"13299")</f>
        <v>13299</v>
      </c>
      <c r="C536" s="1">
        <v>35671.0</v>
      </c>
      <c r="D536" s="1">
        <v>892.888780135948</v>
      </c>
      <c r="E536" s="1" t="s">
        <v>1043</v>
      </c>
      <c r="F536" s="1" t="s">
        <v>1044</v>
      </c>
      <c r="G536" s="1">
        <v>39.9501044178972</v>
      </c>
      <c r="H536" s="1">
        <v>21.900871613</v>
      </c>
      <c r="I536" s="1">
        <v>4.2437720135</v>
      </c>
      <c r="J536" s="1">
        <v>10.18705036</v>
      </c>
      <c r="K536" s="1">
        <v>19.044358709</v>
      </c>
      <c r="L536" s="1">
        <v>36.3</v>
      </c>
      <c r="M536" s="1">
        <v>5.9</v>
      </c>
      <c r="N536" s="1">
        <v>35.1</v>
      </c>
      <c r="O536" s="1">
        <v>78.117426746</v>
      </c>
      <c r="P536" s="1">
        <v>15.583045297</v>
      </c>
      <c r="Q536" s="1">
        <v>72.48195</v>
      </c>
      <c r="R536" s="1">
        <v>89.6551724139999</v>
      </c>
      <c r="S536" s="1">
        <v>35.6</v>
      </c>
      <c r="T536" s="1">
        <v>8450.0</v>
      </c>
      <c r="U536" s="1">
        <v>52.5680473369999</v>
      </c>
      <c r="V536" s="1">
        <v>500.01412469</v>
      </c>
      <c r="W536" s="1">
        <v>15.70964247</v>
      </c>
      <c r="X536" s="1">
        <v>13.200589971</v>
      </c>
      <c r="Y536" s="1">
        <v>74.031860671</v>
      </c>
      <c r="Z536" s="1">
        <v>12.6</v>
      </c>
      <c r="AA536" s="1">
        <v>17.450483389</v>
      </c>
      <c r="AB536" s="1">
        <v>38357.0</v>
      </c>
      <c r="AC536" s="1">
        <v>90.104336485</v>
      </c>
      <c r="AD536" s="1">
        <v>65.009711532</v>
      </c>
      <c r="AE536" s="1">
        <v>13.2541133459999</v>
      </c>
      <c r="AF536" s="1">
        <v>29.6468609869999</v>
      </c>
      <c r="AG536" s="1">
        <v>0.4876681614</v>
      </c>
      <c r="AH536" s="1">
        <v>0.9417040359</v>
      </c>
      <c r="AI536" s="1">
        <v>0.0952914798</v>
      </c>
      <c r="AJ536" s="1">
        <v>4.5123318386</v>
      </c>
      <c r="AK536" s="1">
        <v>62.942825112</v>
      </c>
      <c r="AL536" s="1">
        <v>0.2440641196</v>
      </c>
      <c r="AM536" s="1">
        <v>49.963565022</v>
      </c>
      <c r="AN536" s="1">
        <v>29.4420577219999</v>
      </c>
      <c r="AO536" s="1">
        <v>18396.0</v>
      </c>
      <c r="AP536" s="1">
        <v>28.1</v>
      </c>
      <c r="AQ536" s="1">
        <v>5.7</v>
      </c>
      <c r="AR536" s="1">
        <v>18.3</v>
      </c>
      <c r="AS536" s="1">
        <v>15.9</v>
      </c>
      <c r="AT536" s="1">
        <v>23.7</v>
      </c>
      <c r="AU536" s="1">
        <v>19.2</v>
      </c>
      <c r="AV536" s="1">
        <v>35.8</v>
      </c>
      <c r="AW536" s="1">
        <v>1.5</v>
      </c>
      <c r="AX536" s="1">
        <v>0.9583</v>
      </c>
      <c r="AY536" s="1">
        <v>26.3</v>
      </c>
      <c r="AZ536" s="1">
        <v>16.2</v>
      </c>
      <c r="BA536" s="1">
        <v>23.7</v>
      </c>
      <c r="BB536" s="1">
        <v>2.86</v>
      </c>
      <c r="BC536" s="1" t="s">
        <v>798</v>
      </c>
      <c r="BD536" s="1">
        <v>18.6</v>
      </c>
      <c r="BE536" s="1">
        <v>39.2</v>
      </c>
      <c r="BF536" s="1">
        <v>27.0</v>
      </c>
      <c r="BG536" s="1">
        <v>15.2</v>
      </c>
      <c r="BH536" s="1" t="s">
        <v>1044</v>
      </c>
    </row>
    <row r="537">
      <c r="A537" s="1">
        <v>13301.0</v>
      </c>
      <c r="B537" s="2" t="str">
        <f>IFERROR(__xludf.DUMMYFUNCTION("TO_TEXT(A537)"),"13301")</f>
        <v>13301</v>
      </c>
      <c r="C537" s="1">
        <v>5504.0</v>
      </c>
      <c r="D537" s="1">
        <v>284.299272149774</v>
      </c>
      <c r="E537" s="1" t="s">
        <v>1045</v>
      </c>
      <c r="F537" s="1" t="s">
        <v>1046</v>
      </c>
      <c r="G537" s="1">
        <v>19.3598807284332</v>
      </c>
      <c r="H537" s="1">
        <v>24.273968564</v>
      </c>
      <c r="I537" s="1">
        <v>4.2978754855</v>
      </c>
      <c r="J537" s="1">
        <v>14.833759591</v>
      </c>
      <c r="K537" s="1">
        <v>19.670161718</v>
      </c>
      <c r="L537" s="1">
        <v>57.7</v>
      </c>
      <c r="M537" s="1">
        <v>6.5</v>
      </c>
      <c r="N537" s="1">
        <v>27.8</v>
      </c>
      <c r="O537" s="1">
        <v>8.0047994515</v>
      </c>
      <c r="P537" s="1">
        <v>15.648761344</v>
      </c>
      <c r="Q537" s="1">
        <v>56.57175</v>
      </c>
      <c r="R537" s="1">
        <v>87.878787879</v>
      </c>
      <c r="S537" s="1">
        <v>41.7</v>
      </c>
      <c r="T537" s="1">
        <v>1127.0</v>
      </c>
      <c r="U537" s="1">
        <v>66.9032830519999</v>
      </c>
      <c r="V537" s="1">
        <v>277.77777778</v>
      </c>
      <c r="W537" s="1">
        <v>19.274376417</v>
      </c>
      <c r="X537" s="1">
        <v>17.534246575</v>
      </c>
      <c r="Y537" s="1">
        <v>73.6495563289999</v>
      </c>
      <c r="Z537" s="1">
        <v>24.1</v>
      </c>
      <c r="AA537" s="1">
        <v>1.2986122664</v>
      </c>
      <c r="AB537" s="1">
        <v>38352.0</v>
      </c>
      <c r="AC537" s="1">
        <v>100.0</v>
      </c>
      <c r="AD537" s="1">
        <v>67.667238422</v>
      </c>
      <c r="AE537" s="1">
        <v>17.908438061</v>
      </c>
      <c r="AF537" s="1">
        <v>58.6364502</v>
      </c>
      <c r="AG537" s="1">
        <v>0.3427918492</v>
      </c>
      <c r="AH537" s="1">
        <v>0.6665397067</v>
      </c>
      <c r="AI537" s="1">
        <v>0.0</v>
      </c>
      <c r="AJ537" s="1">
        <v>1.5996952961</v>
      </c>
      <c r="AK537" s="1">
        <v>37.764235384</v>
      </c>
      <c r="AL537" s="1">
        <v>0.4541864139</v>
      </c>
      <c r="AM537" s="1">
        <v>52.618548848</v>
      </c>
      <c r="AN537" s="1">
        <v>100.0</v>
      </c>
      <c r="AO537" s="1">
        <v>18381.0</v>
      </c>
      <c r="AP537" s="1">
        <v>26.4</v>
      </c>
      <c r="AQ537" s="1">
        <v>12.5</v>
      </c>
      <c r="AR537" s="1">
        <v>26.3</v>
      </c>
      <c r="AS537" s="1">
        <v>20.5</v>
      </c>
      <c r="AT537" s="1">
        <v>21.5</v>
      </c>
      <c r="AU537" s="1">
        <v>13.4</v>
      </c>
      <c r="AV537" s="1">
        <v>62.4</v>
      </c>
      <c r="AW537" s="1">
        <v>0.7</v>
      </c>
      <c r="AX537" s="1">
        <v>0.9446</v>
      </c>
      <c r="AY537" s="1">
        <v>26.5</v>
      </c>
      <c r="AZ537" s="1">
        <v>17.1</v>
      </c>
      <c r="BA537" s="1">
        <v>24.2</v>
      </c>
      <c r="BB537" s="1">
        <v>2.92</v>
      </c>
      <c r="BC537" s="1" t="s">
        <v>798</v>
      </c>
      <c r="BD537" s="1">
        <v>26.8</v>
      </c>
      <c r="BE537" s="1">
        <v>39.8</v>
      </c>
      <c r="BF537" s="1">
        <v>21.1</v>
      </c>
      <c r="BG537" s="1">
        <v>12.3</v>
      </c>
      <c r="BH537" s="1" t="s">
        <v>1046</v>
      </c>
    </row>
    <row r="538">
      <c r="A538" s="1">
        <v>13303.0</v>
      </c>
      <c r="B538" s="2" t="str">
        <f>IFERROR(__xludf.DUMMYFUNCTION("TO_TEXT(A538)"),"13303")</f>
        <v>13303</v>
      </c>
      <c r="C538" s="1">
        <v>20680.0</v>
      </c>
      <c r="D538" s="1">
        <v>678.453983802246</v>
      </c>
      <c r="E538" s="1" t="s">
        <v>188</v>
      </c>
      <c r="F538" s="1" t="s">
        <v>1047</v>
      </c>
      <c r="G538" s="1">
        <v>30.4810650297954</v>
      </c>
      <c r="H538" s="1">
        <v>23.18413658</v>
      </c>
      <c r="I538" s="1">
        <v>4.1815787891</v>
      </c>
      <c r="J538" s="1">
        <v>8.9775561097</v>
      </c>
      <c r="K538" s="1">
        <v>20.02729765</v>
      </c>
      <c r="L538" s="1">
        <v>36.4</v>
      </c>
      <c r="M538" s="1">
        <v>5.7</v>
      </c>
      <c r="N538" s="1">
        <v>29.0</v>
      </c>
      <c r="O538" s="1">
        <v>28.0879784769999</v>
      </c>
      <c r="P538" s="1">
        <v>15.2266894779999</v>
      </c>
      <c r="Q538" s="1">
        <v>63.99842</v>
      </c>
      <c r="R538" s="1">
        <v>95.192307692</v>
      </c>
      <c r="S538" s="1">
        <v>39.6</v>
      </c>
      <c r="T538" s="1">
        <v>4482.0</v>
      </c>
      <c r="U538" s="1">
        <v>56.024096386</v>
      </c>
      <c r="V538" s="1">
        <v>264.31718062</v>
      </c>
      <c r="W538" s="1">
        <v>17.818428184</v>
      </c>
      <c r="X538" s="1">
        <v>14.5998608209999</v>
      </c>
      <c r="Y538" s="1">
        <v>75.9532772789999</v>
      </c>
      <c r="Z538" s="1">
        <v>19.1</v>
      </c>
      <c r="AA538" s="1">
        <v>12.9791194209999</v>
      </c>
      <c r="AB538" s="1">
        <v>39444.0</v>
      </c>
      <c r="AC538" s="1">
        <v>86.5291653239999</v>
      </c>
      <c r="AD538" s="1">
        <v>66.680255469</v>
      </c>
      <c r="AE538" s="1">
        <v>17.2703180209999</v>
      </c>
      <c r="AF538" s="1">
        <v>53.271853233</v>
      </c>
      <c r="AG538" s="1">
        <v>0.1814971059</v>
      </c>
      <c r="AH538" s="1">
        <v>0.608260571</v>
      </c>
      <c r="AI538" s="1">
        <v>0.0147159816</v>
      </c>
      <c r="AJ538" s="1">
        <v>2.5556754636</v>
      </c>
      <c r="AK538" s="1">
        <v>42.450701462</v>
      </c>
      <c r="AL538" s="1">
        <v>0.6786509869</v>
      </c>
      <c r="AM538" s="1">
        <v>48.9895026</v>
      </c>
      <c r="AN538" s="1">
        <v>65.601548119</v>
      </c>
      <c r="AO538" s="1">
        <v>18662.0</v>
      </c>
      <c r="AP538" s="1">
        <v>26.4</v>
      </c>
      <c r="AQ538" s="1">
        <v>10.7</v>
      </c>
      <c r="AR538" s="1">
        <v>21.4</v>
      </c>
      <c r="AS538" s="1">
        <v>15.9</v>
      </c>
      <c r="AT538" s="1">
        <v>22.7</v>
      </c>
      <c r="AU538" s="1">
        <v>15.5</v>
      </c>
      <c r="AV538" s="1">
        <v>56.4</v>
      </c>
      <c r="AW538" s="1">
        <v>0.6</v>
      </c>
      <c r="AX538" s="1">
        <v>0.9465</v>
      </c>
      <c r="AY538" s="1">
        <v>21.4</v>
      </c>
      <c r="AZ538" s="1">
        <v>18.1</v>
      </c>
      <c r="BA538" s="1">
        <v>25.5</v>
      </c>
      <c r="BB538" s="1">
        <v>2.89</v>
      </c>
      <c r="BC538" s="1" t="s">
        <v>798</v>
      </c>
      <c r="BD538" s="1">
        <v>18.7</v>
      </c>
      <c r="BE538" s="1">
        <v>44.7</v>
      </c>
      <c r="BF538" s="1">
        <v>24.3</v>
      </c>
      <c r="BG538" s="1">
        <v>12.3</v>
      </c>
      <c r="BH538" s="1" t="s">
        <v>1047</v>
      </c>
    </row>
    <row r="539">
      <c r="A539" s="1">
        <v>13305.0</v>
      </c>
      <c r="B539" s="2" t="str">
        <f>IFERROR(__xludf.DUMMYFUNCTION("TO_TEXT(A539)"),"13305")</f>
        <v>13305</v>
      </c>
      <c r="C539" s="1">
        <v>30006.0</v>
      </c>
      <c r="D539" s="1">
        <v>641.793408167857</v>
      </c>
      <c r="E539" s="1" t="s">
        <v>1048</v>
      </c>
      <c r="F539" s="1" t="s">
        <v>1049</v>
      </c>
      <c r="G539" s="1">
        <v>46.7533627147384</v>
      </c>
      <c r="H539" s="1">
        <v>20.224268923</v>
      </c>
      <c r="I539" s="1">
        <v>4.0464813441</v>
      </c>
      <c r="J539" s="1">
        <v>9.3527871306</v>
      </c>
      <c r="K539" s="1">
        <v>18.54656549</v>
      </c>
      <c r="L539" s="1">
        <v>40.9</v>
      </c>
      <c r="M539" s="1">
        <v>6.4</v>
      </c>
      <c r="N539" s="1">
        <v>26.0</v>
      </c>
      <c r="O539" s="1">
        <v>55.101498389</v>
      </c>
      <c r="P539" s="1">
        <v>14.522679663</v>
      </c>
      <c r="Q539" s="1">
        <v>40.2455</v>
      </c>
      <c r="R539" s="1">
        <v>90.830945559</v>
      </c>
      <c r="S539" s="1">
        <v>28.7</v>
      </c>
      <c r="T539" s="1">
        <v>7222.0</v>
      </c>
      <c r="U539" s="1">
        <v>34.921074495</v>
      </c>
      <c r="V539" s="1">
        <v>591.02051781</v>
      </c>
      <c r="W539" s="1">
        <v>13.529705442</v>
      </c>
      <c r="X539" s="1">
        <v>11.870503597</v>
      </c>
      <c r="Y539" s="1">
        <v>73.323688077</v>
      </c>
      <c r="Z539" s="1">
        <v>11.6</v>
      </c>
      <c r="AA539" s="1">
        <v>15.212296318</v>
      </c>
      <c r="AB539" s="1">
        <v>44607.0</v>
      </c>
      <c r="AC539" s="1">
        <v>75.973303671</v>
      </c>
      <c r="AD539" s="1">
        <v>63.884864291</v>
      </c>
      <c r="AE539" s="1">
        <v>10.163282395</v>
      </c>
      <c r="AF539" s="1">
        <v>19.524959742</v>
      </c>
      <c r="AG539" s="1">
        <v>0.654186795499999</v>
      </c>
      <c r="AH539" s="1">
        <v>0.6038647343</v>
      </c>
      <c r="AI539" s="1">
        <v>0.0972893183</v>
      </c>
      <c r="AJ539" s="1">
        <v>6.45799785289999</v>
      </c>
      <c r="AK539" s="1">
        <v>71.245974235</v>
      </c>
      <c r="AL539" s="1">
        <v>1.552066414</v>
      </c>
      <c r="AM539" s="1">
        <v>48.72517445</v>
      </c>
      <c r="AN539" s="1">
        <v>57.938801954</v>
      </c>
      <c r="AO539" s="1">
        <v>18663.0</v>
      </c>
      <c r="AP539" s="1">
        <v>20.6</v>
      </c>
      <c r="AQ539" s="1">
        <v>12.8</v>
      </c>
      <c r="AR539" s="1">
        <v>17.9</v>
      </c>
      <c r="AS539" s="1">
        <v>14.5</v>
      </c>
      <c r="AT539" s="1">
        <v>24.8</v>
      </c>
      <c r="AU539" s="1">
        <v>17.5</v>
      </c>
      <c r="AV539" s="1">
        <v>28.6</v>
      </c>
      <c r="AW539" s="1">
        <v>1.5</v>
      </c>
      <c r="AX539" s="1">
        <v>0.9188</v>
      </c>
      <c r="AY539" s="1">
        <v>18.4</v>
      </c>
      <c r="AZ539" s="1">
        <v>14.9</v>
      </c>
      <c r="BA539" s="1">
        <v>20.1</v>
      </c>
      <c r="BB539" s="1">
        <v>2.87</v>
      </c>
      <c r="BC539" s="1" t="s">
        <v>798</v>
      </c>
      <c r="BD539" s="1">
        <v>16.6</v>
      </c>
      <c r="BE539" s="1">
        <v>42.0</v>
      </c>
      <c r="BF539" s="1">
        <v>28.5</v>
      </c>
      <c r="BG539" s="1">
        <v>13.0</v>
      </c>
      <c r="BH539" s="1" t="s">
        <v>1049</v>
      </c>
    </row>
    <row r="540">
      <c r="A540" s="1">
        <v>13307.0</v>
      </c>
      <c r="B540" s="2" t="str">
        <f>IFERROR(__xludf.DUMMYFUNCTION("TO_TEXT(A540)"),"13307")</f>
        <v>13307</v>
      </c>
      <c r="C540" s="1">
        <v>2672.0</v>
      </c>
      <c r="D540" s="1">
        <v>209.117969476254</v>
      </c>
      <c r="E540" s="1" t="s">
        <v>1050</v>
      </c>
      <c r="F540" s="1" t="s">
        <v>1051</v>
      </c>
      <c r="G540" s="1">
        <v>12.7774767835215</v>
      </c>
      <c r="H540" s="1">
        <v>20.20158405</v>
      </c>
      <c r="I540" s="1">
        <v>3.9977883518</v>
      </c>
      <c r="J540" s="1">
        <v>13.5714285709999</v>
      </c>
      <c r="K540" s="1">
        <v>17.107834072</v>
      </c>
      <c r="L540" s="1">
        <v>25.8</v>
      </c>
      <c r="M540" s="1">
        <v>7.1</v>
      </c>
      <c r="N540" s="1">
        <v>27.8</v>
      </c>
      <c r="O540" s="1">
        <v>0.0</v>
      </c>
      <c r="P540" s="1">
        <v>16.29778672</v>
      </c>
      <c r="Q540" s="1">
        <v>48.31939</v>
      </c>
      <c r="R540" s="1">
        <v>85.714285714</v>
      </c>
      <c r="S540" s="1">
        <v>34.4</v>
      </c>
      <c r="T540" s="1">
        <v>625.0</v>
      </c>
      <c r="U540" s="1">
        <v>42.88</v>
      </c>
      <c r="V540" s="1">
        <v>131.2335958</v>
      </c>
      <c r="W540" s="1">
        <v>13.658536585</v>
      </c>
      <c r="X540" s="1">
        <v>11.3453815259999</v>
      </c>
      <c r="Y540" s="1">
        <v>78.48197295</v>
      </c>
      <c r="Z540" s="1">
        <v>11.4</v>
      </c>
      <c r="AA540" s="1">
        <v>1.1574246777</v>
      </c>
      <c r="AB540" s="1">
        <v>38187.0</v>
      </c>
      <c r="AC540" s="1">
        <v>75.5813953489999</v>
      </c>
      <c r="AD540" s="1">
        <v>79.109900091</v>
      </c>
      <c r="AE540" s="1">
        <v>9.80198019799999</v>
      </c>
      <c r="AF540" s="1">
        <v>41.478360781</v>
      </c>
      <c r="AG540" s="1">
        <v>0.4978935274</v>
      </c>
      <c r="AH540" s="1">
        <v>0.4595940253</v>
      </c>
      <c r="AI540" s="1">
        <v>0.0</v>
      </c>
      <c r="AJ540" s="1">
        <v>4.672539257</v>
      </c>
      <c r="AK540" s="1">
        <v>51.972424358</v>
      </c>
      <c r="AL540" s="1">
        <v>1.8409714062</v>
      </c>
      <c r="AM540" s="1">
        <v>50.095748755</v>
      </c>
      <c r="AN540" s="1">
        <v>100.0</v>
      </c>
      <c r="AO540" s="1">
        <v>20834.0</v>
      </c>
      <c r="AP540" s="1">
        <v>22.4</v>
      </c>
      <c r="AQ540" s="1">
        <v>5.2</v>
      </c>
      <c r="AR540" s="1">
        <v>22.1</v>
      </c>
      <c r="AS540" s="1">
        <v>17.5</v>
      </c>
      <c r="AT540" s="1">
        <v>23.7</v>
      </c>
      <c r="AU540" s="1">
        <v>18.9</v>
      </c>
      <c r="AV540" s="1">
        <v>50.6</v>
      </c>
      <c r="AW540" s="1">
        <v>1.0</v>
      </c>
      <c r="AX540" s="1">
        <v>0.7663</v>
      </c>
      <c r="AY540" s="1">
        <v>18.4</v>
      </c>
      <c r="AZ540" s="1">
        <v>16.8</v>
      </c>
      <c r="BA540" s="1">
        <v>25.4</v>
      </c>
      <c r="BB540" s="1">
        <v>3.07</v>
      </c>
      <c r="BC540" s="1" t="s">
        <v>798</v>
      </c>
      <c r="BD540" s="1">
        <v>20.7</v>
      </c>
      <c r="BE540" s="1">
        <v>40.7</v>
      </c>
      <c r="BF540" s="1">
        <v>23.9</v>
      </c>
      <c r="BG540" s="1">
        <v>14.7</v>
      </c>
      <c r="BH540" s="1" t="s">
        <v>1051</v>
      </c>
    </row>
    <row r="541">
      <c r="A541" s="1">
        <v>13309.0</v>
      </c>
      <c r="B541" s="2" t="str">
        <f>IFERROR(__xludf.DUMMYFUNCTION("TO_TEXT(A541)"),"13309")</f>
        <v>13309</v>
      </c>
      <c r="C541" s="1">
        <v>7932.0</v>
      </c>
      <c r="D541" s="1">
        <v>295.4843239224</v>
      </c>
      <c r="E541" s="1" t="s">
        <v>1052</v>
      </c>
      <c r="F541" s="1" t="s">
        <v>1053</v>
      </c>
      <c r="G541" s="1">
        <v>26.8440636535531</v>
      </c>
      <c r="H541" s="1">
        <v>25.28921333</v>
      </c>
      <c r="I541" s="1">
        <v>4.2250051119</v>
      </c>
      <c r="J541" s="1">
        <v>9.6412556054</v>
      </c>
      <c r="K541" s="1">
        <v>23.5061431309999</v>
      </c>
      <c r="L541" s="1">
        <v>32.0</v>
      </c>
      <c r="M541" s="1">
        <v>6.3</v>
      </c>
      <c r="N541" s="1">
        <v>38.2</v>
      </c>
      <c r="O541" s="1">
        <v>11.144050667</v>
      </c>
      <c r="P541" s="1">
        <v>15.655853315</v>
      </c>
      <c r="Q541" s="1">
        <v>12.57545</v>
      </c>
      <c r="R541" s="1">
        <v>84.126984127</v>
      </c>
      <c r="S541" s="1">
        <v>36.7</v>
      </c>
      <c r="T541" s="1">
        <v>1344.0</v>
      </c>
      <c r="U541" s="1">
        <v>26.711309524</v>
      </c>
      <c r="V541" s="1">
        <v>50.466818067</v>
      </c>
      <c r="W541" s="1">
        <v>9.6852300242</v>
      </c>
      <c r="X541" s="1">
        <v>8.3713850837</v>
      </c>
      <c r="Y541" s="1">
        <v>79.592118859</v>
      </c>
      <c r="Z541" s="1">
        <v>10.3</v>
      </c>
      <c r="AA541" s="1">
        <v>2.5170256791</v>
      </c>
      <c r="AB541" s="1">
        <v>32691.0</v>
      </c>
      <c r="AC541" s="1">
        <v>43.8</v>
      </c>
      <c r="AD541" s="1">
        <v>61.435209086</v>
      </c>
      <c r="AE541" s="1">
        <v>9.4944512947</v>
      </c>
      <c r="AF541" s="1">
        <v>36.844777256</v>
      </c>
      <c r="AG541" s="1">
        <v>0.1015357279</v>
      </c>
      <c r="AH541" s="1">
        <v>0.342683081599999</v>
      </c>
      <c r="AI541" s="1">
        <v>0.038075898</v>
      </c>
      <c r="AJ541" s="1">
        <v>5.5844650336</v>
      </c>
      <c r="AK541" s="1">
        <v>55.971569996</v>
      </c>
      <c r="AL541" s="1">
        <v>0.2499671096</v>
      </c>
      <c r="AM541" s="1">
        <v>35.334433304</v>
      </c>
      <c r="AN541" s="1">
        <v>100.0</v>
      </c>
      <c r="AO541" s="1">
        <v>9688.0</v>
      </c>
      <c r="AP541" s="1">
        <v>27.4</v>
      </c>
      <c r="AQ541" s="1">
        <v>7.5</v>
      </c>
      <c r="AR541" s="1">
        <v>23.4</v>
      </c>
      <c r="AS541" s="1">
        <v>13.0</v>
      </c>
      <c r="AT541" s="1">
        <v>16.9</v>
      </c>
      <c r="AU541" s="1">
        <v>15.0</v>
      </c>
      <c r="AV541" s="1">
        <v>43.6</v>
      </c>
      <c r="AW541" s="1">
        <v>0.4</v>
      </c>
      <c r="AX541" s="1">
        <v>0.8262</v>
      </c>
      <c r="AY541" s="1">
        <v>34.2</v>
      </c>
      <c r="AZ541" s="1">
        <v>18.4</v>
      </c>
      <c r="BA541" s="1">
        <v>25.3</v>
      </c>
      <c r="BB541" s="1">
        <v>2.97</v>
      </c>
      <c r="BC541" s="1" t="s">
        <v>798</v>
      </c>
      <c r="BD541" s="1">
        <v>19.2</v>
      </c>
      <c r="BE541" s="1">
        <v>50.5</v>
      </c>
      <c r="BF541" s="1">
        <v>16.8</v>
      </c>
      <c r="BG541" s="1">
        <v>13.6</v>
      </c>
      <c r="BH541" s="1" t="s">
        <v>1053</v>
      </c>
    </row>
    <row r="542">
      <c r="A542" s="1">
        <v>13311.0</v>
      </c>
      <c r="B542" s="2" t="str">
        <f>IFERROR(__xludf.DUMMYFUNCTION("TO_TEXT(A542)"),"13311")</f>
        <v>13311</v>
      </c>
      <c r="C542" s="1">
        <v>28140.0</v>
      </c>
      <c r="D542" s="1">
        <v>240.696805722342</v>
      </c>
      <c r="E542" s="1" t="s">
        <v>411</v>
      </c>
      <c r="F542" s="1" t="s">
        <v>1054</v>
      </c>
      <c r="G542" s="1">
        <v>116.910566866688</v>
      </c>
      <c r="H542" s="1">
        <v>15.338570724</v>
      </c>
      <c r="I542" s="1">
        <v>3.8352452149</v>
      </c>
      <c r="J542" s="1">
        <v>7.2988811934</v>
      </c>
      <c r="K542" s="1">
        <v>16.053116624</v>
      </c>
      <c r="L542" s="1">
        <v>28.8</v>
      </c>
      <c r="M542" s="1">
        <v>7.7</v>
      </c>
      <c r="N542" s="1">
        <v>20.8</v>
      </c>
      <c r="O542" s="1">
        <v>74.2042440319999</v>
      </c>
      <c r="P542" s="1">
        <v>17.163978495</v>
      </c>
      <c r="Q542" s="1">
        <v>23.76668</v>
      </c>
      <c r="R542" s="1">
        <v>88.2845188279999</v>
      </c>
      <c r="S542" s="1">
        <v>23.1</v>
      </c>
      <c r="T542" s="1">
        <v>5784.0</v>
      </c>
      <c r="U542" s="1">
        <v>25.328492393</v>
      </c>
      <c r="V542" s="1">
        <v>173.3132903</v>
      </c>
      <c r="W542" s="1">
        <v>16.3413527009999</v>
      </c>
      <c r="X542" s="1">
        <v>14.417744917</v>
      </c>
      <c r="Y542" s="1">
        <v>79.358395772</v>
      </c>
      <c r="Z542" s="1">
        <v>14.7</v>
      </c>
      <c r="AA542" s="1">
        <v>6.508531482</v>
      </c>
      <c r="AB542" s="1">
        <v>51579.0</v>
      </c>
      <c r="AC542" s="1">
        <v>54.389155232</v>
      </c>
      <c r="AD542" s="1">
        <v>75.189851571</v>
      </c>
      <c r="AE542" s="1">
        <v>11.358916479</v>
      </c>
      <c r="AF542" s="1">
        <v>1.9319319319</v>
      </c>
      <c r="AG542" s="1">
        <v>0.5705705706</v>
      </c>
      <c r="AH542" s="1">
        <v>0.6072739406</v>
      </c>
      <c r="AI542" s="1">
        <v>0.0834167500999999</v>
      </c>
      <c r="AJ542" s="1">
        <v>3.3299966633</v>
      </c>
      <c r="AK542" s="1">
        <v>92.112112112</v>
      </c>
      <c r="AL542" s="1">
        <v>0.7842145206</v>
      </c>
      <c r="AM542" s="1">
        <v>51.221221221</v>
      </c>
      <c r="AN542" s="1">
        <v>83.7938402589999</v>
      </c>
      <c r="AO542" s="1">
        <v>22055.0</v>
      </c>
      <c r="AP542" s="1">
        <v>19.3</v>
      </c>
      <c r="AQ542" s="1">
        <v>4.8</v>
      </c>
      <c r="AR542" s="1">
        <v>15.4</v>
      </c>
      <c r="AS542" s="1">
        <v>20.0</v>
      </c>
      <c r="AT542" s="1">
        <v>21.3</v>
      </c>
      <c r="AU542" s="1">
        <v>16.8</v>
      </c>
      <c r="AV542" s="1">
        <v>7.3</v>
      </c>
      <c r="AW542" s="1">
        <v>0.9</v>
      </c>
      <c r="AX542" s="1">
        <v>0.3817</v>
      </c>
      <c r="AY542" s="1">
        <v>10.9</v>
      </c>
      <c r="AZ542" s="1">
        <v>11.7</v>
      </c>
      <c r="BA542" s="1">
        <v>16.9</v>
      </c>
      <c r="BB542" s="1">
        <v>3.02</v>
      </c>
      <c r="BC542" s="1" t="s">
        <v>798</v>
      </c>
      <c r="BD542" s="1">
        <v>14.8</v>
      </c>
      <c r="BE542" s="1">
        <v>30.9</v>
      </c>
      <c r="BF542" s="1">
        <v>31.5</v>
      </c>
      <c r="BG542" s="1">
        <v>22.7</v>
      </c>
      <c r="BH542" s="1" t="s">
        <v>1054</v>
      </c>
    </row>
    <row r="543">
      <c r="A543" s="1">
        <v>13313.0</v>
      </c>
      <c r="B543" s="2" t="str">
        <f>IFERROR(__xludf.DUMMYFUNCTION("TO_TEXT(A543)"),"13313")</f>
        <v>13313</v>
      </c>
      <c r="C543" s="1">
        <v>103653.0</v>
      </c>
      <c r="D543" s="1">
        <v>290.462036133958</v>
      </c>
      <c r="E543" s="1" t="s">
        <v>1055</v>
      </c>
      <c r="F543" s="1" t="s">
        <v>1056</v>
      </c>
      <c r="G543" s="1">
        <v>356.85558560292</v>
      </c>
      <c r="H543" s="1">
        <v>22.81717774</v>
      </c>
      <c r="I543" s="1">
        <v>4.0068351223</v>
      </c>
      <c r="J543" s="1">
        <v>7.7382792375</v>
      </c>
      <c r="K543" s="1">
        <v>17.74828459</v>
      </c>
      <c r="L543" s="1">
        <v>34.5</v>
      </c>
      <c r="M543" s="1">
        <v>8.1</v>
      </c>
      <c r="N543" s="1">
        <v>31.5</v>
      </c>
      <c r="O543" s="1">
        <v>67.031842416</v>
      </c>
      <c r="P543" s="1">
        <v>23.04366477</v>
      </c>
      <c r="Q543" s="1">
        <v>53.50762</v>
      </c>
      <c r="R543" s="1">
        <v>80.0</v>
      </c>
      <c r="S543" s="1">
        <v>19.5</v>
      </c>
      <c r="T543" s="1">
        <v>27132.0</v>
      </c>
      <c r="U543" s="1">
        <v>27.885891199</v>
      </c>
      <c r="V543" s="1">
        <v>263.3816444</v>
      </c>
      <c r="W543" s="1">
        <v>17.27703576</v>
      </c>
      <c r="X543" s="1">
        <v>11.8177848929999</v>
      </c>
      <c r="Y543" s="1">
        <v>78.228829229</v>
      </c>
      <c r="Z543" s="1">
        <v>12.4</v>
      </c>
      <c r="AA543" s="1">
        <v>10.7183316629999</v>
      </c>
      <c r="AB543" s="1">
        <v>47074.0</v>
      </c>
      <c r="AC543" s="1">
        <v>71.385657067</v>
      </c>
      <c r="AD543" s="1">
        <v>63.0940820689999</v>
      </c>
      <c r="AE543" s="1">
        <v>10.436677467</v>
      </c>
      <c r="AF543" s="1">
        <v>3.545002018</v>
      </c>
      <c r="AG543" s="1">
        <v>1.4395264362</v>
      </c>
      <c r="AH543" s="1">
        <v>1.5865541696</v>
      </c>
      <c r="AI543" s="1">
        <v>0.2191001518</v>
      </c>
      <c r="AJ543" s="1">
        <v>35.927620073</v>
      </c>
      <c r="AK543" s="1">
        <v>57.724241318</v>
      </c>
      <c r="AL543" s="1">
        <v>10.068285829</v>
      </c>
      <c r="AM543" s="1">
        <v>50.175856701</v>
      </c>
      <c r="AN543" s="1">
        <v>29.077281455</v>
      </c>
      <c r="AO543" s="1">
        <v>21158.0</v>
      </c>
      <c r="AP543" s="1">
        <v>19.6</v>
      </c>
      <c r="AQ543" s="1">
        <v>9.6</v>
      </c>
      <c r="AR543" s="1">
        <v>31.1</v>
      </c>
      <c r="AS543" s="1">
        <v>12.7</v>
      </c>
      <c r="AT543" s="1">
        <v>27.1</v>
      </c>
      <c r="AU543" s="1">
        <v>10.9</v>
      </c>
      <c r="AV543" s="1">
        <v>39.9</v>
      </c>
      <c r="AW543" s="1">
        <v>9.3</v>
      </c>
      <c r="AX543" s="1">
        <v>0.894</v>
      </c>
      <c r="AY543" s="1">
        <v>12.7</v>
      </c>
      <c r="AZ543" s="1">
        <v>11.7</v>
      </c>
      <c r="BA543" s="1">
        <v>15.4</v>
      </c>
      <c r="BB543" s="1">
        <v>2.88</v>
      </c>
      <c r="BC543" s="1" t="s">
        <v>798</v>
      </c>
      <c r="BD543" s="1">
        <v>30.5</v>
      </c>
      <c r="BE543" s="1">
        <v>29.4</v>
      </c>
      <c r="BF543" s="1">
        <v>24.3</v>
      </c>
      <c r="BG543" s="1">
        <v>15.7</v>
      </c>
      <c r="BH543" s="1" t="s">
        <v>1056</v>
      </c>
    </row>
    <row r="544">
      <c r="A544" s="1">
        <v>13315.0</v>
      </c>
      <c r="B544" s="2" t="str">
        <f>IFERROR(__xludf.DUMMYFUNCTION("TO_TEXT(A544)"),"13315")</f>
        <v>13315</v>
      </c>
      <c r="C544" s="1">
        <v>8884.0</v>
      </c>
      <c r="D544" s="1">
        <v>377.704330534954</v>
      </c>
      <c r="E544" s="1" t="s">
        <v>190</v>
      </c>
      <c r="F544" s="1" t="s">
        <v>1057</v>
      </c>
      <c r="G544" s="1">
        <v>23.5210435300471</v>
      </c>
      <c r="H544" s="1">
        <v>21.8582134109999</v>
      </c>
      <c r="I544" s="1">
        <v>3.9361411179</v>
      </c>
      <c r="J544" s="1">
        <v>12.057877814</v>
      </c>
      <c r="K544" s="1">
        <v>20.172089211</v>
      </c>
      <c r="L544" s="1">
        <v>40.5</v>
      </c>
      <c r="M544" s="1">
        <v>7.5</v>
      </c>
      <c r="N544" s="1">
        <v>29.1</v>
      </c>
      <c r="O544" s="1">
        <v>20.648298217</v>
      </c>
      <c r="P544" s="1">
        <v>17.282099344</v>
      </c>
      <c r="Q544" s="1">
        <v>11.36364</v>
      </c>
      <c r="R544" s="1">
        <v>93.684210526</v>
      </c>
      <c r="S544" s="1">
        <v>35.3</v>
      </c>
      <c r="T544" s="1">
        <v>1691.0</v>
      </c>
      <c r="U544" s="1">
        <v>41.632170313</v>
      </c>
      <c r="V544" s="1">
        <v>257.63930497</v>
      </c>
      <c r="W544" s="1">
        <v>12.9629629629999</v>
      </c>
      <c r="X544" s="1">
        <v>9.8484848485</v>
      </c>
      <c r="Y544" s="1">
        <v>75.837065586</v>
      </c>
      <c r="Z544" s="1">
        <v>22.9</v>
      </c>
      <c r="AA544" s="1">
        <v>0.4363752405</v>
      </c>
      <c r="AB544" s="1">
        <v>35961.0</v>
      </c>
      <c r="AC544" s="1">
        <v>94.092827004</v>
      </c>
      <c r="AD544" s="1">
        <v>75.978511128</v>
      </c>
      <c r="AE544" s="1">
        <v>9.2177589852</v>
      </c>
      <c r="AF544" s="1">
        <v>34.157966409</v>
      </c>
      <c r="AG544" s="1">
        <v>0.3177485247</v>
      </c>
      <c r="AH544" s="1">
        <v>0.748978665499999</v>
      </c>
      <c r="AI544" s="1">
        <v>0.0113481615999999</v>
      </c>
      <c r="AJ544" s="1">
        <v>4.8456650023</v>
      </c>
      <c r="AK544" s="1">
        <v>58.624602814</v>
      </c>
      <c r="AL544" s="1">
        <v>1.71878730009999</v>
      </c>
      <c r="AM544" s="1">
        <v>40.263277349</v>
      </c>
      <c r="AN544" s="1">
        <v>100.0</v>
      </c>
      <c r="AO544" s="1">
        <v>14536.0</v>
      </c>
      <c r="AP544" s="1">
        <v>20.9</v>
      </c>
      <c r="AQ544" s="1">
        <v>7.9</v>
      </c>
      <c r="AR544" s="1">
        <v>22.6</v>
      </c>
      <c r="AS544" s="1">
        <v>16.1</v>
      </c>
      <c r="AT544" s="1">
        <v>18.7</v>
      </c>
      <c r="AU544" s="1">
        <v>19.8</v>
      </c>
      <c r="AV544" s="1">
        <v>41.4</v>
      </c>
      <c r="AW544" s="1">
        <v>0.8</v>
      </c>
      <c r="AX544" s="1">
        <v>0.8169</v>
      </c>
      <c r="AY544" s="1">
        <v>29.4</v>
      </c>
      <c r="AZ544" s="1">
        <v>15.4</v>
      </c>
      <c r="BA544" s="1">
        <v>21.5</v>
      </c>
      <c r="BB544" s="1">
        <v>3.0</v>
      </c>
      <c r="BC544" s="1" t="s">
        <v>798</v>
      </c>
      <c r="BD544" s="1">
        <v>17.9</v>
      </c>
      <c r="BE544" s="1">
        <v>45.6</v>
      </c>
      <c r="BF544" s="1">
        <v>24.4</v>
      </c>
      <c r="BG544" s="1">
        <v>12.2</v>
      </c>
      <c r="BH544" s="1" t="s">
        <v>1057</v>
      </c>
    </row>
    <row r="545">
      <c r="A545" s="1">
        <v>13317.0</v>
      </c>
      <c r="B545" s="2" t="str">
        <f>IFERROR(__xludf.DUMMYFUNCTION("TO_TEXT(A545)"),"13317")</f>
        <v>13317</v>
      </c>
      <c r="C545" s="1">
        <v>9924.0</v>
      </c>
      <c r="D545" s="1">
        <v>469.489953193392</v>
      </c>
      <c r="E545" s="1" t="s">
        <v>1058</v>
      </c>
      <c r="F545" s="1" t="s">
        <v>1059</v>
      </c>
      <c r="G545" s="1">
        <v>21.1378325190957</v>
      </c>
      <c r="H545" s="1">
        <v>23.982410968</v>
      </c>
      <c r="I545" s="1">
        <v>4.4201068969</v>
      </c>
      <c r="J545" s="1">
        <v>9.3793103448</v>
      </c>
      <c r="K545" s="1">
        <v>19.177247049</v>
      </c>
      <c r="L545" s="1">
        <v>30.0</v>
      </c>
      <c r="M545" s="1">
        <v>6.1</v>
      </c>
      <c r="N545" s="1">
        <v>30.0</v>
      </c>
      <c r="O545" s="1">
        <v>68.696308883</v>
      </c>
      <c r="P545" s="1">
        <v>17.751400373</v>
      </c>
      <c r="Q545" s="1">
        <v>40.43672</v>
      </c>
      <c r="R545" s="1">
        <v>80.46875</v>
      </c>
      <c r="S545" s="1">
        <v>32.3</v>
      </c>
      <c r="T545" s="1">
        <v>2044.0</v>
      </c>
      <c r="U545" s="1">
        <v>55.430528376</v>
      </c>
      <c r="V545" s="1">
        <v>308.07147258</v>
      </c>
      <c r="W545" s="1">
        <v>17.86163522</v>
      </c>
      <c r="X545" s="1">
        <v>16.641025641</v>
      </c>
      <c r="Y545" s="1">
        <v>75.549520655</v>
      </c>
      <c r="Z545" s="1">
        <v>20.6</v>
      </c>
      <c r="AA545" s="1">
        <v>11.46729927</v>
      </c>
      <c r="AB545" s="1">
        <v>39361.0</v>
      </c>
      <c r="AC545" s="1">
        <v>94.166666667</v>
      </c>
      <c r="AD545" s="1">
        <v>65.68703274</v>
      </c>
      <c r="AE545" s="1">
        <v>16.540722082</v>
      </c>
      <c r="AF545" s="1">
        <v>40.785743216</v>
      </c>
      <c r="AG545" s="1">
        <v>0.2430133657</v>
      </c>
      <c r="AH545" s="1">
        <v>0.860672337</v>
      </c>
      <c r="AI545" s="1">
        <v>0.0202511138</v>
      </c>
      <c r="AJ545" s="1">
        <v>5.3159173755</v>
      </c>
      <c r="AK545" s="1">
        <v>51.063183475</v>
      </c>
      <c r="AL545" s="1">
        <v>2.2196011152</v>
      </c>
      <c r="AM545" s="1">
        <v>51.99473471</v>
      </c>
      <c r="AN545" s="1">
        <v>67.365241197</v>
      </c>
      <c r="AO545" s="1">
        <v>19129.0</v>
      </c>
      <c r="AP545" s="1">
        <v>26.7</v>
      </c>
      <c r="AQ545" s="1">
        <v>8.6</v>
      </c>
      <c r="AR545" s="1">
        <v>22.1</v>
      </c>
      <c r="AS545" s="1">
        <v>21.4</v>
      </c>
      <c r="AT545" s="1">
        <v>21.8</v>
      </c>
      <c r="AU545" s="1">
        <v>18.2</v>
      </c>
      <c r="AV545" s="1">
        <v>48.6</v>
      </c>
      <c r="AW545" s="1">
        <v>1.5</v>
      </c>
      <c r="AX545" s="1">
        <v>0.872</v>
      </c>
      <c r="AY545" s="1">
        <v>19.6</v>
      </c>
      <c r="AZ545" s="1">
        <v>16.8</v>
      </c>
      <c r="BA545" s="1">
        <v>26.1</v>
      </c>
      <c r="BB545" s="1">
        <v>3.36</v>
      </c>
      <c r="BC545" s="1" t="s">
        <v>798</v>
      </c>
      <c r="BD545" s="1">
        <v>16.3</v>
      </c>
      <c r="BE545" s="1">
        <v>44.0</v>
      </c>
      <c r="BF545" s="1">
        <v>25.9</v>
      </c>
      <c r="BG545" s="1">
        <v>13.8</v>
      </c>
      <c r="BH545" s="1" t="s">
        <v>1059</v>
      </c>
    </row>
    <row r="546">
      <c r="A546" s="1">
        <v>13319.0</v>
      </c>
      <c r="B546" s="2" t="str">
        <f>IFERROR(__xludf.DUMMYFUNCTION("TO_TEXT(A546)"),"13319")</f>
        <v>13319</v>
      </c>
      <c r="C546" s="1">
        <v>9312.0</v>
      </c>
      <c r="D546" s="1">
        <v>447.315114170906</v>
      </c>
      <c r="E546" s="1" t="s">
        <v>1060</v>
      </c>
      <c r="F546" s="1" t="s">
        <v>1061</v>
      </c>
      <c r="G546" s="1">
        <v>20.8175393698907</v>
      </c>
      <c r="H546" s="1">
        <v>20.872013002</v>
      </c>
      <c r="I546" s="1">
        <v>4.152651468</v>
      </c>
      <c r="J546" s="1">
        <v>12.5313283209999</v>
      </c>
      <c r="K546" s="1">
        <v>18.190349501</v>
      </c>
      <c r="L546" s="1">
        <v>35.4</v>
      </c>
      <c r="M546" s="1">
        <v>6.5</v>
      </c>
      <c r="N546" s="1">
        <v>34.5</v>
      </c>
      <c r="O546" s="1">
        <v>2.0704799749</v>
      </c>
      <c r="P546" s="1">
        <v>13.4330444509999</v>
      </c>
      <c r="Q546" s="1">
        <v>33.48588</v>
      </c>
      <c r="R546" s="1">
        <v>91.818181818</v>
      </c>
      <c r="S546" s="1">
        <v>39.3</v>
      </c>
      <c r="T546" s="1">
        <v>2073.0</v>
      </c>
      <c r="U546" s="1">
        <v>45.827303425</v>
      </c>
      <c r="V546" s="1">
        <v>179.28031758</v>
      </c>
      <c r="W546" s="1">
        <v>13.201820941</v>
      </c>
      <c r="X546" s="1">
        <v>10.348101266</v>
      </c>
      <c r="Y546" s="1">
        <v>74.60737235</v>
      </c>
      <c r="Z546" s="1">
        <v>13.9</v>
      </c>
      <c r="AA546" s="1">
        <v>10.844622297</v>
      </c>
      <c r="AB546" s="1">
        <v>41036.0</v>
      </c>
      <c r="AC546" s="1">
        <v>93.40974212</v>
      </c>
      <c r="AD546" s="1">
        <v>75.31665122</v>
      </c>
      <c r="AE546" s="1">
        <v>10.447239693</v>
      </c>
      <c r="AF546" s="1">
        <v>38.247011952</v>
      </c>
      <c r="AG546" s="1">
        <v>0.5201416556</v>
      </c>
      <c r="AH546" s="1">
        <v>0.4537405932</v>
      </c>
      <c r="AI546" s="1">
        <v>0.0221336875</v>
      </c>
      <c r="AJ546" s="1">
        <v>2.7445772466</v>
      </c>
      <c r="AK546" s="1">
        <v>56.7507746789999</v>
      </c>
      <c r="AL546" s="1">
        <v>0.5016332245</v>
      </c>
      <c r="AM546" s="1">
        <v>52.158034529</v>
      </c>
      <c r="AN546" s="1">
        <v>100.0</v>
      </c>
      <c r="AO546" s="1">
        <v>19173.0</v>
      </c>
      <c r="AP546" s="1">
        <v>20.8</v>
      </c>
      <c r="AQ546" s="1">
        <v>7.4</v>
      </c>
      <c r="AR546" s="1">
        <v>17.3</v>
      </c>
      <c r="AS546" s="1">
        <v>17.8</v>
      </c>
      <c r="AT546" s="1">
        <v>23.2</v>
      </c>
      <c r="AU546" s="1">
        <v>16.6</v>
      </c>
      <c r="AV546" s="1">
        <v>42.8</v>
      </c>
      <c r="AW546" s="1">
        <v>0.4</v>
      </c>
      <c r="AX546" s="1">
        <v>0.8061</v>
      </c>
      <c r="AY546" s="1">
        <v>17.0</v>
      </c>
      <c r="AZ546" s="1">
        <v>16.1</v>
      </c>
      <c r="BA546" s="1">
        <v>23.1</v>
      </c>
      <c r="BB546" s="1">
        <v>2.96</v>
      </c>
      <c r="BC546" s="1" t="s">
        <v>798</v>
      </c>
      <c r="BD546" s="1">
        <v>15.6</v>
      </c>
      <c r="BE546" s="1">
        <v>50.3</v>
      </c>
      <c r="BF546" s="1">
        <v>23.3</v>
      </c>
      <c r="BG546" s="1">
        <v>10.9</v>
      </c>
      <c r="BH546" s="1" t="s">
        <v>1061</v>
      </c>
    </row>
    <row r="547">
      <c r="A547" s="1">
        <v>13321.0</v>
      </c>
      <c r="B547" s="2" t="str">
        <f>IFERROR(__xludf.DUMMYFUNCTION("TO_TEXT(A547)"),"13321")</f>
        <v>13321</v>
      </c>
      <c r="C547" s="1">
        <v>20988.0</v>
      </c>
      <c r="D547" s="1">
        <v>570.706599443228</v>
      </c>
      <c r="E547" s="1" t="s">
        <v>1062</v>
      </c>
      <c r="F547" s="1" t="s">
        <v>1063</v>
      </c>
      <c r="G547" s="1">
        <v>36.7754639958177</v>
      </c>
      <c r="H547" s="1">
        <v>19.9064555229999</v>
      </c>
      <c r="I547" s="1">
        <v>4.1870142717</v>
      </c>
      <c r="J547" s="1">
        <v>13.1949095779999</v>
      </c>
      <c r="K547" s="1">
        <v>18.266399671</v>
      </c>
      <c r="L547" s="1">
        <v>51.0</v>
      </c>
      <c r="M547" s="1">
        <v>7.3</v>
      </c>
      <c r="N547" s="1">
        <v>32.8</v>
      </c>
      <c r="O547" s="1">
        <v>51.667512339</v>
      </c>
      <c r="P547" s="1">
        <v>17.10860879</v>
      </c>
      <c r="Q547" s="1">
        <v>29.22125</v>
      </c>
      <c r="R547" s="1">
        <v>76.890756303</v>
      </c>
      <c r="S547" s="1">
        <v>33.6</v>
      </c>
      <c r="T547" s="1">
        <v>4802.0</v>
      </c>
      <c r="U547" s="1">
        <v>52.415660142</v>
      </c>
      <c r="V547" s="1">
        <v>419.12152129</v>
      </c>
      <c r="W547" s="1">
        <v>12.825396825</v>
      </c>
      <c r="X547" s="1">
        <v>11.218568665</v>
      </c>
      <c r="Y547" s="1">
        <v>75.369653781</v>
      </c>
      <c r="Z547" s="1">
        <v>31.0</v>
      </c>
      <c r="AA547" s="1">
        <v>4.13921444</v>
      </c>
      <c r="AB547" s="1">
        <v>48708.0</v>
      </c>
      <c r="AC547" s="1">
        <v>91.806786915</v>
      </c>
      <c r="AD547" s="1">
        <v>66.421995521</v>
      </c>
      <c r="AE547" s="1">
        <v>11.527526493</v>
      </c>
      <c r="AF547" s="1">
        <v>27.883146953</v>
      </c>
      <c r="AG547" s="1">
        <v>0.3596236268</v>
      </c>
      <c r="AH547" s="1">
        <v>0.669983743</v>
      </c>
      <c r="AI547" s="1">
        <v>0.0689689147</v>
      </c>
      <c r="AJ547" s="1">
        <v>2.2611951328</v>
      </c>
      <c r="AK547" s="1">
        <v>67.752106015</v>
      </c>
      <c r="AL547" s="1">
        <v>0.4904744695</v>
      </c>
      <c r="AM547" s="1">
        <v>51.958224543</v>
      </c>
      <c r="AN547" s="1">
        <v>69.163706813</v>
      </c>
      <c r="AO547" s="1">
        <v>20068.0</v>
      </c>
      <c r="AP547" s="1">
        <v>18.4</v>
      </c>
      <c r="AQ547" s="1">
        <v>8.2</v>
      </c>
      <c r="AR547" s="1">
        <v>22.6</v>
      </c>
      <c r="AS547" s="1">
        <v>16.9</v>
      </c>
      <c r="AT547" s="1">
        <v>23.1</v>
      </c>
      <c r="AU547" s="1">
        <v>17.6</v>
      </c>
      <c r="AV547" s="1">
        <v>32.9</v>
      </c>
      <c r="AW547" s="1">
        <v>0.6</v>
      </c>
      <c r="AX547" s="1">
        <v>0.7784</v>
      </c>
      <c r="AY547" s="1">
        <v>20.3</v>
      </c>
      <c r="AZ547" s="1">
        <v>15.5</v>
      </c>
      <c r="BA547" s="1">
        <v>23.9</v>
      </c>
      <c r="BB547" s="1">
        <v>2.81</v>
      </c>
      <c r="BC547" s="1" t="s">
        <v>798</v>
      </c>
      <c r="BD547" s="1">
        <v>17.1</v>
      </c>
      <c r="BE547" s="1">
        <v>42.7</v>
      </c>
      <c r="BF547" s="1">
        <v>29.2</v>
      </c>
      <c r="BG547" s="1">
        <v>11.0</v>
      </c>
      <c r="BH547" s="1" t="s">
        <v>1063</v>
      </c>
    </row>
    <row r="548">
      <c r="A548" s="1">
        <v>15001.0</v>
      </c>
      <c r="B548" s="2" t="str">
        <f>IFERROR(__xludf.DUMMYFUNCTION("TO_TEXT(A548)"),"15001")</f>
        <v>15001</v>
      </c>
      <c r="C548" s="1">
        <v>193680.0</v>
      </c>
      <c r="D548" s="1">
        <v>4028.44844424952</v>
      </c>
      <c r="E548" s="1" t="s">
        <v>1064</v>
      </c>
      <c r="F548" s="1" t="s">
        <v>1065</v>
      </c>
      <c r="G548" s="1">
        <v>48.0780634729165</v>
      </c>
      <c r="H548" s="1">
        <v>13.945623109</v>
      </c>
      <c r="I548" s="1">
        <v>4.0174104103</v>
      </c>
      <c r="J548" s="1">
        <v>8.26216003389999</v>
      </c>
      <c r="K548" s="1">
        <v>14.3276556709999</v>
      </c>
      <c r="L548" s="1">
        <v>25.5</v>
      </c>
      <c r="M548" s="1">
        <v>7.3</v>
      </c>
      <c r="N548" s="1">
        <v>21.0</v>
      </c>
      <c r="O548" s="1">
        <v>70.605525208</v>
      </c>
      <c r="P548" s="1">
        <v>6.3963313126</v>
      </c>
      <c r="Q548" s="1">
        <v>78.84979</v>
      </c>
      <c r="R548" s="1">
        <v>78.928542592</v>
      </c>
      <c r="S548" s="1">
        <v>22.5</v>
      </c>
      <c r="T548" s="1">
        <v>42921.0</v>
      </c>
      <c r="U548" s="1">
        <v>37.137997717</v>
      </c>
      <c r="V548" s="1">
        <v>237.33140865</v>
      </c>
      <c r="W548" s="1">
        <v>24.0638474919999</v>
      </c>
      <c r="X548" s="1">
        <v>16.767238036</v>
      </c>
      <c r="Y548" s="1">
        <v>80.538025473</v>
      </c>
      <c r="Z548" s="1">
        <v>10.3</v>
      </c>
      <c r="AA548" s="1">
        <v>13.313355422</v>
      </c>
      <c r="AB548" s="1">
        <v>56383.0</v>
      </c>
      <c r="AC548" s="1">
        <v>63.334669047</v>
      </c>
      <c r="AD548" s="1">
        <v>66.899082032</v>
      </c>
      <c r="AE548" s="1">
        <v>16.018064315</v>
      </c>
      <c r="AF548" s="1">
        <v>0.671201046899999</v>
      </c>
      <c r="AG548" s="1">
        <v>0.5642268252</v>
      </c>
      <c r="AH548" s="1">
        <v>21.189354323</v>
      </c>
      <c r="AI548" s="1">
        <v>12.974729206</v>
      </c>
      <c r="AJ548" s="1">
        <v>12.951344144</v>
      </c>
      <c r="AK548" s="1">
        <v>30.333411284</v>
      </c>
      <c r="AL548" s="1">
        <v>2.8179408723</v>
      </c>
      <c r="AM548" s="1">
        <v>50.442574745</v>
      </c>
      <c r="AN548" s="1">
        <v>37.9908039269999</v>
      </c>
      <c r="AO548" s="1">
        <v>25827.0</v>
      </c>
      <c r="AP548" s="1">
        <v>18.7</v>
      </c>
      <c r="AQ548" s="1">
        <v>7.4</v>
      </c>
      <c r="AR548" s="1">
        <v>8.4</v>
      </c>
      <c r="AS548" s="1">
        <v>17.6</v>
      </c>
      <c r="AT548" s="1">
        <v>22.1</v>
      </c>
      <c r="AU548" s="1">
        <v>13.4</v>
      </c>
      <c r="AV548" s="1">
        <v>69.6</v>
      </c>
      <c r="AW548" s="1">
        <v>2.2</v>
      </c>
      <c r="AX548" s="1">
        <v>0.5594</v>
      </c>
      <c r="AY548" s="1">
        <v>13.1</v>
      </c>
      <c r="AZ548" s="1">
        <v>12.9</v>
      </c>
      <c r="BA548" s="1">
        <v>21.9</v>
      </c>
      <c r="BB548" s="1">
        <v>3.63</v>
      </c>
      <c r="BC548" s="1" t="s">
        <v>1066</v>
      </c>
      <c r="BD548" s="1">
        <v>7.7</v>
      </c>
      <c r="BE548" s="1">
        <v>30.2</v>
      </c>
      <c r="BF548" s="1">
        <v>32.7</v>
      </c>
      <c r="BG548" s="1">
        <v>29.4</v>
      </c>
      <c r="BH548" s="1" t="s">
        <v>1065</v>
      </c>
    </row>
    <row r="549">
      <c r="A549" s="1">
        <v>15003.0</v>
      </c>
      <c r="B549" s="2" t="str">
        <f>IFERROR(__xludf.DUMMYFUNCTION("TO_TEXT(A549)"),"15003")</f>
        <v>15003</v>
      </c>
      <c r="C549" s="1">
        <v>986999.0</v>
      </c>
      <c r="D549" s="1">
        <v>600.605537933782</v>
      </c>
      <c r="E549" s="1" t="s">
        <v>1067</v>
      </c>
      <c r="F549" s="1" t="s">
        <v>1068</v>
      </c>
      <c r="G549" s="1">
        <v>1643.33982566244</v>
      </c>
      <c r="H549" s="1">
        <v>13.043364161</v>
      </c>
      <c r="I549" s="1">
        <v>3.1319175329</v>
      </c>
      <c r="J549" s="1">
        <v>8.3997285821</v>
      </c>
      <c r="K549" s="1">
        <v>10.999521277</v>
      </c>
      <c r="L549" s="1">
        <v>23.4</v>
      </c>
      <c r="M549" s="1">
        <v>8.3</v>
      </c>
      <c r="N549" s="1">
        <v>20.6</v>
      </c>
      <c r="O549" s="1">
        <v>96.730300973</v>
      </c>
      <c r="P549" s="1">
        <v>4.12607486089999</v>
      </c>
      <c r="Q549" s="1">
        <v>90.42634</v>
      </c>
      <c r="R549" s="1">
        <v>84.241404795</v>
      </c>
      <c r="S549" s="1">
        <v>9.8</v>
      </c>
      <c r="T549" s="1">
        <v>208694.0</v>
      </c>
      <c r="U549" s="1">
        <v>26.413792443</v>
      </c>
      <c r="V549" s="1">
        <v>237.65232449</v>
      </c>
      <c r="W549" s="1">
        <v>27.4963656919999</v>
      </c>
      <c r="X549" s="1">
        <v>18.909810722</v>
      </c>
      <c r="Y549" s="1">
        <v>82.475494564</v>
      </c>
      <c r="Z549" s="1">
        <v>10.4</v>
      </c>
      <c r="AA549" s="1">
        <v>5.2358179778</v>
      </c>
      <c r="AB549" s="1">
        <v>83695.0</v>
      </c>
      <c r="AC549" s="1">
        <v>43.225503599</v>
      </c>
      <c r="AD549" s="1">
        <v>55.757001846</v>
      </c>
      <c r="AE549" s="1">
        <v>19.562554158</v>
      </c>
      <c r="AF549" s="1">
        <v>2.5536690882</v>
      </c>
      <c r="AG549" s="1">
        <v>0.3275242837</v>
      </c>
      <c r="AH549" s="1">
        <v>42.952310016</v>
      </c>
      <c r="AI549" s="1">
        <v>9.599114358</v>
      </c>
      <c r="AJ549" s="1">
        <v>10.00040813</v>
      </c>
      <c r="AK549" s="1">
        <v>18.0040404859999</v>
      </c>
      <c r="AL549" s="1">
        <v>5.5062764949</v>
      </c>
      <c r="AM549" s="1">
        <v>49.741449678</v>
      </c>
      <c r="AN549" s="1">
        <v>0.862876584</v>
      </c>
      <c r="AO549" s="1">
        <v>32194.0</v>
      </c>
      <c r="AP549" s="1">
        <v>9.5</v>
      </c>
      <c r="AQ549" s="1">
        <v>5.1</v>
      </c>
      <c r="AR549" s="1">
        <v>8.9</v>
      </c>
      <c r="AS549" s="1">
        <v>15.9</v>
      </c>
      <c r="AT549" s="1">
        <v>21.6</v>
      </c>
      <c r="AU549" s="1">
        <v>10.9</v>
      </c>
      <c r="AV549" s="1">
        <v>81.1</v>
      </c>
      <c r="AW549" s="1">
        <v>5.6</v>
      </c>
      <c r="AX549" s="1">
        <v>0.461</v>
      </c>
      <c r="AY549" s="1">
        <v>7.9</v>
      </c>
      <c r="AZ549" s="1">
        <v>10.4</v>
      </c>
      <c r="BA549" s="1">
        <v>16.3</v>
      </c>
      <c r="BB549" s="1">
        <v>3.55</v>
      </c>
      <c r="BC549" s="1" t="s">
        <v>1066</v>
      </c>
      <c r="BD549" s="1">
        <v>8.1</v>
      </c>
      <c r="BE549" s="1">
        <v>25.9</v>
      </c>
      <c r="BF549" s="1">
        <v>31.0</v>
      </c>
      <c r="BG549" s="1">
        <v>35.0</v>
      </c>
      <c r="BH549" s="1" t="s">
        <v>1068</v>
      </c>
    </row>
    <row r="550">
      <c r="A550" s="1">
        <v>15007.0</v>
      </c>
      <c r="B550" s="2" t="str">
        <f>IFERROR(__xludf.DUMMYFUNCTION("TO_TEXT(A550)"),"15007")</f>
        <v>15007</v>
      </c>
      <c r="C550" s="1">
        <v>70447.0</v>
      </c>
      <c r="D550" s="1">
        <v>619.883801914272</v>
      </c>
      <c r="E550" s="1" t="s">
        <v>1069</v>
      </c>
      <c r="F550" s="1" t="s">
        <v>1070</v>
      </c>
      <c r="G550" s="1">
        <v>113.645492562399</v>
      </c>
      <c r="H550" s="1">
        <v>12.4932789929999</v>
      </c>
      <c r="I550" s="1">
        <v>3.1395899983</v>
      </c>
      <c r="J550" s="1">
        <v>7.71035869929999</v>
      </c>
      <c r="K550" s="1">
        <v>12.7378115</v>
      </c>
      <c r="L550" s="1">
        <v>21.5</v>
      </c>
      <c r="M550" s="1">
        <v>7.9</v>
      </c>
      <c r="N550" s="1">
        <v>19.3</v>
      </c>
      <c r="O550" s="1">
        <v>93.654886646</v>
      </c>
      <c r="P550" s="1">
        <v>4.8398478512</v>
      </c>
      <c r="Q550" s="1">
        <v>72.06308</v>
      </c>
      <c r="R550" s="1">
        <v>88.269835466</v>
      </c>
      <c r="S550" s="1">
        <v>11.9</v>
      </c>
      <c r="T550" s="1">
        <v>15604.0</v>
      </c>
      <c r="U550" s="1">
        <v>32.536529095</v>
      </c>
      <c r="V550" s="1">
        <v>235.30394587</v>
      </c>
      <c r="W550" s="1">
        <v>24.275523852</v>
      </c>
      <c r="X550" s="1">
        <v>16.136312345</v>
      </c>
      <c r="Y550" s="1">
        <v>82.112395162</v>
      </c>
      <c r="Z550" s="1">
        <v>9.7</v>
      </c>
      <c r="AA550" s="1">
        <v>10.719193887</v>
      </c>
      <c r="AB550" s="1">
        <v>73981.0</v>
      </c>
      <c r="AC550" s="1">
        <v>47.585227273</v>
      </c>
      <c r="AD550" s="1">
        <v>63.092701119</v>
      </c>
      <c r="AE550" s="1">
        <v>16.18315602</v>
      </c>
      <c r="AF550" s="1">
        <v>0.590575742</v>
      </c>
      <c r="AG550" s="1">
        <v>0.4838284835</v>
      </c>
      <c r="AH550" s="1">
        <v>31.038498329</v>
      </c>
      <c r="AI550" s="1">
        <v>9.2218540751</v>
      </c>
      <c r="AJ550" s="1">
        <v>11.207075818</v>
      </c>
      <c r="AK550" s="1">
        <v>29.392926954</v>
      </c>
      <c r="AL550" s="1">
        <v>3.47217036779999</v>
      </c>
      <c r="AM550" s="1">
        <v>50.637017731</v>
      </c>
      <c r="AN550" s="1">
        <v>12.860145176</v>
      </c>
      <c r="AO550" s="1">
        <v>28791.0</v>
      </c>
      <c r="AP550" s="1">
        <v>9.6</v>
      </c>
      <c r="AQ550" s="1">
        <v>5.1</v>
      </c>
      <c r="AR550" s="1">
        <v>8.1</v>
      </c>
      <c r="AS550" s="1">
        <v>17.4</v>
      </c>
      <c r="AT550" s="1">
        <v>22.3</v>
      </c>
      <c r="AU550" s="1">
        <v>10.3</v>
      </c>
      <c r="AV550" s="1">
        <v>70.3</v>
      </c>
      <c r="AW550" s="1">
        <v>3.5</v>
      </c>
      <c r="AX550" s="1">
        <v>0.2923</v>
      </c>
      <c r="AY550" s="1">
        <v>9.3</v>
      </c>
      <c r="AZ550" s="1">
        <v>9.7</v>
      </c>
      <c r="BA550" s="1">
        <v>15.4</v>
      </c>
      <c r="BB550" s="1">
        <v>3.58</v>
      </c>
      <c r="BC550" s="1" t="s">
        <v>1066</v>
      </c>
      <c r="BD550" s="1">
        <v>7.5</v>
      </c>
      <c r="BE550" s="1">
        <v>30.0</v>
      </c>
      <c r="BF550" s="1">
        <v>33.3</v>
      </c>
      <c r="BG550" s="1">
        <v>29.2</v>
      </c>
      <c r="BH550" s="1" t="s">
        <v>1070</v>
      </c>
    </row>
    <row r="551">
      <c r="A551" s="1">
        <v>15009.0</v>
      </c>
      <c r="B551" s="2" t="str">
        <f>IFERROR(__xludf.DUMMYFUNCTION("TO_TEXT(A551)"),"15009")</f>
        <v>15009</v>
      </c>
      <c r="C551" s="1">
        <v>162456.0</v>
      </c>
      <c r="D551" s="1">
        <v>1161.53042158613</v>
      </c>
      <c r="E551" s="1" t="s">
        <v>1071</v>
      </c>
      <c r="F551" s="1" t="s">
        <v>1072</v>
      </c>
      <c r="G551" s="1">
        <v>139.86374956771</v>
      </c>
      <c r="H551" s="1">
        <v>12.860687397</v>
      </c>
      <c r="I551" s="1">
        <v>3.4405059835</v>
      </c>
      <c r="J551" s="1">
        <v>7.6985592907</v>
      </c>
      <c r="K551" s="1">
        <v>12.343433835</v>
      </c>
      <c r="L551" s="1">
        <v>24.0</v>
      </c>
      <c r="M551" s="1">
        <v>8.0</v>
      </c>
      <c r="N551" s="1">
        <v>20.0</v>
      </c>
      <c r="O551" s="1">
        <v>92.4525620989999</v>
      </c>
      <c r="P551" s="1">
        <v>5.4173924499</v>
      </c>
      <c r="Q551" s="1">
        <v>87.81427</v>
      </c>
      <c r="R551" s="1">
        <v>80.073689416</v>
      </c>
      <c r="S551" s="1">
        <v>10.5</v>
      </c>
      <c r="T551" s="1">
        <v>36047.0</v>
      </c>
      <c r="U551" s="1">
        <v>32.962521153</v>
      </c>
      <c r="V551" s="1">
        <v>293.27217125</v>
      </c>
      <c r="W551" s="1">
        <v>29.5148873019999</v>
      </c>
      <c r="X551" s="1">
        <v>18.730069405</v>
      </c>
      <c r="Y551" s="1">
        <v>83.3372981289999</v>
      </c>
      <c r="Z551" s="1">
        <v>9.9</v>
      </c>
      <c r="AA551" s="1">
        <v>8.1990565479</v>
      </c>
      <c r="AB551" s="1">
        <v>78503.0</v>
      </c>
      <c r="AC551" s="1">
        <v>48.208469055</v>
      </c>
      <c r="AD551" s="1">
        <v>60.2222058439999</v>
      </c>
      <c r="AE551" s="1">
        <v>18.082633833</v>
      </c>
      <c r="AF551" s="1">
        <v>0.6764070882</v>
      </c>
      <c r="AG551" s="1">
        <v>0.5597851765</v>
      </c>
      <c r="AH551" s="1">
        <v>29.1261729469999</v>
      </c>
      <c r="AI551" s="1">
        <v>10.738186798</v>
      </c>
      <c r="AJ551" s="1">
        <v>11.500714683</v>
      </c>
      <c r="AK551" s="1">
        <v>30.141680671</v>
      </c>
      <c r="AL551" s="1">
        <v>3.3489462867</v>
      </c>
      <c r="AM551" s="1">
        <v>50.254474992</v>
      </c>
      <c r="AN551" s="1">
        <v>14.567859772</v>
      </c>
      <c r="AO551" s="1">
        <v>30599.0</v>
      </c>
      <c r="AP551" s="1">
        <v>9.8</v>
      </c>
      <c r="AQ551" s="1">
        <v>6.0</v>
      </c>
      <c r="AR551" s="1">
        <v>8.2</v>
      </c>
      <c r="AS551" s="1">
        <v>15.3</v>
      </c>
      <c r="AT551" s="1">
        <v>22.5</v>
      </c>
      <c r="AU551" s="1">
        <v>10.6</v>
      </c>
      <c r="AV551" s="1">
        <v>69.2</v>
      </c>
      <c r="AW551" s="1">
        <v>3.2</v>
      </c>
      <c r="AX551" s="1">
        <v>0.3836</v>
      </c>
      <c r="AY551" s="1">
        <v>10.7</v>
      </c>
      <c r="AZ551" s="1">
        <v>10.4</v>
      </c>
      <c r="BA551" s="1">
        <v>16.9</v>
      </c>
      <c r="BB551" s="1">
        <v>3.87</v>
      </c>
      <c r="BC551" s="1" t="s">
        <v>1066</v>
      </c>
      <c r="BD551" s="1">
        <v>8.0</v>
      </c>
      <c r="BE551" s="1">
        <v>31.3</v>
      </c>
      <c r="BF551" s="1">
        <v>33.5</v>
      </c>
      <c r="BG551" s="1">
        <v>27.2</v>
      </c>
      <c r="BH551" s="1" t="s">
        <v>1072</v>
      </c>
    </row>
    <row r="552">
      <c r="A552" s="1">
        <v>16001.0</v>
      </c>
      <c r="B552" s="2" t="str">
        <f>IFERROR(__xludf.DUMMYFUNCTION("TO_TEXT(A552)"),"16001")</f>
        <v>16001</v>
      </c>
      <c r="C552" s="1">
        <v>425798.0</v>
      </c>
      <c r="D552" s="1">
        <v>1052.51876360271</v>
      </c>
      <c r="E552" s="1" t="s">
        <v>1073</v>
      </c>
      <c r="F552" s="1" t="s">
        <v>1074</v>
      </c>
      <c r="G552" s="1">
        <v>404.551457631519</v>
      </c>
      <c r="H552" s="1">
        <v>11.474881999</v>
      </c>
      <c r="I552" s="1">
        <v>3.5165594044</v>
      </c>
      <c r="J552" s="1">
        <v>6.5757177921</v>
      </c>
      <c r="K552" s="1">
        <v>11.990700664</v>
      </c>
      <c r="L552" s="1">
        <v>25.6</v>
      </c>
      <c r="M552" s="1">
        <v>8.1</v>
      </c>
      <c r="N552" s="1">
        <v>14.9</v>
      </c>
      <c r="O552" s="1">
        <v>89.468734469</v>
      </c>
      <c r="P552" s="1">
        <v>8.7432917648</v>
      </c>
      <c r="Q552" s="1">
        <v>93.68522</v>
      </c>
      <c r="R552" s="1">
        <v>84.494806421</v>
      </c>
      <c r="S552" s="1">
        <v>10.2</v>
      </c>
      <c r="T552" s="1">
        <v>108499.0</v>
      </c>
      <c r="U552" s="1">
        <v>23.753214315</v>
      </c>
      <c r="V552" s="1">
        <v>230.63350167</v>
      </c>
      <c r="W552" s="1">
        <v>14.021197007</v>
      </c>
      <c r="X552" s="1">
        <v>12.195977176</v>
      </c>
      <c r="Y552" s="1">
        <v>80.781476806</v>
      </c>
      <c r="Z552" s="1">
        <v>7.9</v>
      </c>
      <c r="AA552" s="1">
        <v>4.3133599907</v>
      </c>
      <c r="AB552" s="1">
        <v>66827.0</v>
      </c>
      <c r="AC552" s="1">
        <v>31.25888</v>
      </c>
      <c r="AD552" s="1">
        <v>68.370461239</v>
      </c>
      <c r="AE552" s="1">
        <v>12.261560249</v>
      </c>
      <c r="AF552" s="1">
        <v>1.24030249</v>
      </c>
      <c r="AG552" s="1">
        <v>0.8004834392</v>
      </c>
      <c r="AH552" s="1">
        <v>2.8082882592</v>
      </c>
      <c r="AI552" s="1">
        <v>0.2306549836</v>
      </c>
      <c r="AJ552" s="1">
        <v>8.31464403809999</v>
      </c>
      <c r="AK552" s="1">
        <v>84.466535877</v>
      </c>
      <c r="AL552" s="1">
        <v>1.2689732116</v>
      </c>
      <c r="AM552" s="1">
        <v>49.939782878</v>
      </c>
      <c r="AN552" s="1">
        <v>5.4722006295</v>
      </c>
      <c r="AO552" s="1">
        <v>30086.0</v>
      </c>
      <c r="AP552" s="1">
        <v>12.2</v>
      </c>
      <c r="AQ552" s="1">
        <v>5.3</v>
      </c>
      <c r="AR552" s="1">
        <v>5.4</v>
      </c>
      <c r="AS552" s="1">
        <v>12.6</v>
      </c>
      <c r="AT552" s="1">
        <v>25.1</v>
      </c>
      <c r="AU552" s="1">
        <v>10.2</v>
      </c>
      <c r="AV552" s="1">
        <v>14.5</v>
      </c>
      <c r="AW552" s="1">
        <v>1.4</v>
      </c>
      <c r="AX552" s="1">
        <v>0.1681</v>
      </c>
      <c r="AY552" s="1">
        <v>9.4</v>
      </c>
      <c r="AZ552" s="1">
        <v>9.1</v>
      </c>
      <c r="BA552" s="1">
        <v>9.3</v>
      </c>
      <c r="BB552" s="1">
        <v>3.49</v>
      </c>
      <c r="BC552" s="1" t="s">
        <v>1075</v>
      </c>
      <c r="BD552" s="1">
        <v>4.8</v>
      </c>
      <c r="BE552" s="1">
        <v>22.4</v>
      </c>
      <c r="BF552" s="1">
        <v>34.3</v>
      </c>
      <c r="BG552" s="1">
        <v>38.5</v>
      </c>
      <c r="BH552" s="1" t="s">
        <v>1074</v>
      </c>
    </row>
    <row r="553">
      <c r="A553" s="1">
        <v>16003.0</v>
      </c>
      <c r="B553" s="2" t="str">
        <f>IFERROR(__xludf.DUMMYFUNCTION("TO_TEXT(A553)"),"16003")</f>
        <v>16003</v>
      </c>
      <c r="C553" s="1">
        <v>3865.0</v>
      </c>
      <c r="D553" s="1">
        <v>1362.80454128681</v>
      </c>
      <c r="E553" s="1" t="s">
        <v>532</v>
      </c>
      <c r="F553" s="1" t="s">
        <v>1076</v>
      </c>
      <c r="G553" s="1">
        <v>2.83606334063906</v>
      </c>
      <c r="H553" s="1">
        <v>14.961626565</v>
      </c>
      <c r="I553" s="1">
        <v>4.1039270887</v>
      </c>
      <c r="J553" s="1">
        <v>8.0568720379</v>
      </c>
      <c r="K553" s="1">
        <v>14.35193203</v>
      </c>
      <c r="L553" s="1">
        <v>30.5</v>
      </c>
      <c r="M553" s="1">
        <v>7.6</v>
      </c>
      <c r="N553" s="1">
        <v>21.2</v>
      </c>
      <c r="O553" s="1">
        <v>32.746478873</v>
      </c>
      <c r="P553" s="1">
        <v>14.383094751</v>
      </c>
      <c r="Q553" s="1">
        <v>24.11382</v>
      </c>
      <c r="R553" s="1">
        <v>92.5925925929999</v>
      </c>
      <c r="S553" s="1">
        <v>24.1</v>
      </c>
      <c r="T553" s="1">
        <v>734.0</v>
      </c>
      <c r="U553" s="1">
        <v>33.923705722</v>
      </c>
      <c r="V553" s="1">
        <v>117.34028683</v>
      </c>
      <c r="W553" s="1">
        <v>12.084592145</v>
      </c>
      <c r="X553" s="1">
        <v>10.214067278</v>
      </c>
      <c r="Y553" s="1">
        <v>80.342458354</v>
      </c>
      <c r="Z553" s="1">
        <v>7.9</v>
      </c>
      <c r="AA553" s="1">
        <v>5.03436369149999</v>
      </c>
      <c r="AB553" s="1">
        <v>45311.0</v>
      </c>
      <c r="AC553" s="1">
        <v>51.700680272</v>
      </c>
      <c r="AD553" s="1">
        <v>80.597014925</v>
      </c>
      <c r="AE553" s="1">
        <v>8.0996884735</v>
      </c>
      <c r="AF553" s="1">
        <v>0.2352941176</v>
      </c>
      <c r="AG553" s="1">
        <v>1.50588235289999</v>
      </c>
      <c r="AH553" s="1">
        <v>0.8235294118</v>
      </c>
      <c r="AI553" s="1">
        <v>0.4</v>
      </c>
      <c r="AJ553" s="1">
        <v>4.21176470589999</v>
      </c>
      <c r="AK553" s="1">
        <v>91.129411765</v>
      </c>
      <c r="AL553" s="1">
        <v>0.1293661061</v>
      </c>
      <c r="AM553" s="1">
        <v>47.976470588</v>
      </c>
      <c r="AN553" s="1">
        <v>100.0</v>
      </c>
      <c r="AO553" s="1">
        <v>22741.0</v>
      </c>
      <c r="AP553" s="1">
        <v>14.6</v>
      </c>
      <c r="AQ553" s="1">
        <v>10.8</v>
      </c>
      <c r="AR553" s="1">
        <v>10.3</v>
      </c>
      <c r="AS553" s="1">
        <v>24.7</v>
      </c>
      <c r="AT553" s="1">
        <v>18.3</v>
      </c>
      <c r="AU553" s="1">
        <v>20.1</v>
      </c>
      <c r="AV553" s="1">
        <v>6.9</v>
      </c>
      <c r="AW553" s="1">
        <v>0.2</v>
      </c>
      <c r="AX553" s="1">
        <v>0.3337</v>
      </c>
      <c r="AY553" s="1">
        <v>12.7</v>
      </c>
      <c r="AZ553" s="1">
        <v>13.3</v>
      </c>
      <c r="BA553" s="1">
        <v>18.2</v>
      </c>
      <c r="BB553" s="1">
        <v>3.26</v>
      </c>
      <c r="BC553" s="1" t="s">
        <v>1075</v>
      </c>
      <c r="BD553" s="1">
        <v>9.8</v>
      </c>
      <c r="BE553" s="1">
        <v>34.9</v>
      </c>
      <c r="BF553" s="1">
        <v>34.2</v>
      </c>
      <c r="BG553" s="1">
        <v>21.2</v>
      </c>
      <c r="BH553" s="1" t="s">
        <v>1076</v>
      </c>
    </row>
    <row r="554">
      <c r="A554" s="1">
        <v>16005.0</v>
      </c>
      <c r="B554" s="2" t="str">
        <f>IFERROR(__xludf.DUMMYFUNCTION("TO_TEXT(A554)"),"16005")</f>
        <v>16005</v>
      </c>
      <c r="C554" s="1">
        <v>83815.0</v>
      </c>
      <c r="D554" s="1">
        <v>1112.46940106791</v>
      </c>
      <c r="E554" s="1" t="s">
        <v>1077</v>
      </c>
      <c r="F554" s="1" t="s">
        <v>1078</v>
      </c>
      <c r="G554" s="1">
        <v>75.3413980820885</v>
      </c>
      <c r="H554" s="1">
        <v>14.893500207</v>
      </c>
      <c r="I554" s="1">
        <v>4.2449844672</v>
      </c>
      <c r="J554" s="1">
        <v>7.8007627412</v>
      </c>
      <c r="K554" s="1">
        <v>14.424020575</v>
      </c>
      <c r="L554" s="1">
        <v>32.0</v>
      </c>
      <c r="M554" s="1">
        <v>7.4</v>
      </c>
      <c r="N554" s="1">
        <v>20.8</v>
      </c>
      <c r="O554" s="1">
        <v>74.696700829</v>
      </c>
      <c r="P554" s="1">
        <v>10.723097628</v>
      </c>
      <c r="Q554" s="1">
        <v>75.05659</v>
      </c>
      <c r="R554" s="1">
        <v>89.5813953489999</v>
      </c>
      <c r="S554" s="1">
        <v>15.5</v>
      </c>
      <c r="T554" s="1">
        <v>22382.0</v>
      </c>
      <c r="U554" s="1">
        <v>23.331248325</v>
      </c>
      <c r="V554" s="1">
        <v>254.27756654</v>
      </c>
      <c r="W554" s="1">
        <v>15.5957271979999</v>
      </c>
      <c r="X554" s="1">
        <v>12.583001328</v>
      </c>
      <c r="Y554" s="1">
        <v>76.856042438</v>
      </c>
      <c r="Z554" s="1">
        <v>9.4</v>
      </c>
      <c r="AA554" s="1">
        <v>8.4698647771</v>
      </c>
      <c r="AB554" s="1">
        <v>51300.0</v>
      </c>
      <c r="AC554" s="1">
        <v>45.3429069919999</v>
      </c>
      <c r="AD554" s="1">
        <v>68.233844558</v>
      </c>
      <c r="AE554" s="1">
        <v>12.018080298</v>
      </c>
      <c r="AF554" s="1">
        <v>0.9616929468</v>
      </c>
      <c r="AG554" s="1">
        <v>3.7159448232</v>
      </c>
      <c r="AH554" s="1">
        <v>1.7007505336</v>
      </c>
      <c r="AI554" s="1">
        <v>0.2983772866</v>
      </c>
      <c r="AJ554" s="1">
        <v>8.775735041</v>
      </c>
      <c r="AK554" s="1">
        <v>83.531868989</v>
      </c>
      <c r="AL554" s="1">
        <v>0.6257536333</v>
      </c>
      <c r="AM554" s="1">
        <v>50.276572793</v>
      </c>
      <c r="AN554" s="1">
        <v>15.729306245</v>
      </c>
      <c r="AO554" s="1">
        <v>22885.0</v>
      </c>
      <c r="AP554" s="1">
        <v>18.3</v>
      </c>
      <c r="AQ554" s="1">
        <v>7.1</v>
      </c>
      <c r="AR554" s="1">
        <v>8.1</v>
      </c>
      <c r="AS554" s="1">
        <v>12.6</v>
      </c>
      <c r="AT554" s="1">
        <v>26.8</v>
      </c>
      <c r="AU554" s="1">
        <v>14.8</v>
      </c>
      <c r="AV554" s="1">
        <v>15.1</v>
      </c>
      <c r="AW554" s="1">
        <v>0.5</v>
      </c>
      <c r="AX554" s="1">
        <v>0.5521</v>
      </c>
      <c r="AY554" s="1">
        <v>13.5</v>
      </c>
      <c r="AZ554" s="1">
        <v>12.2</v>
      </c>
      <c r="BA554" s="1">
        <v>14.3</v>
      </c>
      <c r="BB554" s="1">
        <v>3.14</v>
      </c>
      <c r="BC554" s="1" t="s">
        <v>1075</v>
      </c>
      <c r="BD554" s="1">
        <v>7.5</v>
      </c>
      <c r="BE554" s="1">
        <v>26.4</v>
      </c>
      <c r="BF554" s="1">
        <v>38.2</v>
      </c>
      <c r="BG554" s="1">
        <v>27.8</v>
      </c>
      <c r="BH554" s="1" t="s">
        <v>1078</v>
      </c>
    </row>
    <row r="555">
      <c r="A555" s="1">
        <v>16007.0</v>
      </c>
      <c r="B555" s="2" t="str">
        <f>IFERROR(__xludf.DUMMYFUNCTION("TO_TEXT(A555)"),"16007")</f>
        <v>16007</v>
      </c>
      <c r="C555" s="1">
        <v>5928.0</v>
      </c>
      <c r="D555" s="1">
        <v>974.96777805098</v>
      </c>
      <c r="E555" s="1" t="s">
        <v>1079</v>
      </c>
      <c r="F555" s="1" t="s">
        <v>1080</v>
      </c>
      <c r="G555" s="1">
        <v>6.08020093940994</v>
      </c>
      <c r="H555" s="1">
        <v>13.5494836929999</v>
      </c>
      <c r="I555" s="1">
        <v>3.7530408438</v>
      </c>
      <c r="J555" s="1">
        <v>9.8275862069</v>
      </c>
      <c r="K555" s="1">
        <v>13.165872417</v>
      </c>
      <c r="L555" s="1">
        <v>26.4</v>
      </c>
      <c r="M555" s="1">
        <v>7.7</v>
      </c>
      <c r="N555" s="1">
        <v>19.8</v>
      </c>
      <c r="O555" s="1">
        <v>48.94754427</v>
      </c>
      <c r="P555" s="1">
        <v>10.2391942929999</v>
      </c>
      <c r="Q555" s="1">
        <v>82.94625</v>
      </c>
      <c r="R555" s="1">
        <v>78.217821782</v>
      </c>
      <c r="S555" s="1">
        <v>14.4</v>
      </c>
      <c r="T555" s="1">
        <v>1582.0</v>
      </c>
      <c r="U555" s="1">
        <v>17.635903919</v>
      </c>
      <c r="V555" s="1">
        <v>176.07109919</v>
      </c>
      <c r="W555" s="1">
        <v>10.8559498959999</v>
      </c>
      <c r="X555" s="1">
        <v>8.7962962963</v>
      </c>
      <c r="Y555" s="1">
        <v>78.1654643769999</v>
      </c>
      <c r="Z555" s="1">
        <v>7.7</v>
      </c>
      <c r="AA555" s="1">
        <v>7.2526792141</v>
      </c>
      <c r="AB555" s="1">
        <v>53780.0</v>
      </c>
      <c r="AC555" s="1">
        <v>46.869712352</v>
      </c>
      <c r="AD555" s="1">
        <v>76.723404255</v>
      </c>
      <c r="AE555" s="1">
        <v>9.5878136201</v>
      </c>
      <c r="AF555" s="1">
        <v>0.3305785124</v>
      </c>
      <c r="AG555" s="1">
        <v>0.9256198347</v>
      </c>
      <c r="AH555" s="1">
        <v>0.545454545499999</v>
      </c>
      <c r="AI555" s="1">
        <v>0.0826446280999999</v>
      </c>
      <c r="AJ555" s="1">
        <v>4.1652892562</v>
      </c>
      <c r="AK555" s="1">
        <v>93.388429752</v>
      </c>
      <c r="AL555" s="1">
        <v>0.3258508327</v>
      </c>
      <c r="AM555" s="1">
        <v>50.132231405</v>
      </c>
      <c r="AN555" s="1">
        <v>100.0</v>
      </c>
      <c r="AO555" s="1">
        <v>22985.0</v>
      </c>
      <c r="AP555" s="1">
        <v>14.5</v>
      </c>
      <c r="AQ555" s="1">
        <v>3.4</v>
      </c>
      <c r="AR555" s="1">
        <v>6.4</v>
      </c>
      <c r="AS555" s="1">
        <v>20.0</v>
      </c>
      <c r="AT555" s="1">
        <v>26.9</v>
      </c>
      <c r="AU555" s="1">
        <v>13.8</v>
      </c>
      <c r="AV555" s="1">
        <v>6.2</v>
      </c>
      <c r="AW555" s="1">
        <v>0.6</v>
      </c>
      <c r="AX555" s="1">
        <v>0.1706</v>
      </c>
      <c r="AY555" s="1">
        <v>11.8</v>
      </c>
      <c r="AZ555" s="1">
        <v>11.6</v>
      </c>
      <c r="BA555" s="1">
        <v>15.8</v>
      </c>
      <c r="BB555" s="1">
        <v>2.99</v>
      </c>
      <c r="BC555" s="1" t="s">
        <v>1075</v>
      </c>
      <c r="BD555" s="1">
        <v>6.5</v>
      </c>
      <c r="BE555" s="1">
        <v>38.4</v>
      </c>
      <c r="BF555" s="1">
        <v>36.2</v>
      </c>
      <c r="BG555" s="1">
        <v>18.9</v>
      </c>
      <c r="BH555" s="1" t="s">
        <v>1080</v>
      </c>
    </row>
    <row r="556">
      <c r="A556" s="1">
        <v>16009.0</v>
      </c>
      <c r="B556" s="2" t="str">
        <f>IFERROR(__xludf.DUMMYFUNCTION("TO_TEXT(A556)"),"16009")</f>
        <v>16009</v>
      </c>
      <c r="C556" s="1">
        <v>9068.0</v>
      </c>
      <c r="D556" s="1">
        <v>776.86443260794</v>
      </c>
      <c r="E556" s="1" t="s">
        <v>1081</v>
      </c>
      <c r="F556" s="1" t="s">
        <v>1082</v>
      </c>
      <c r="G556" s="1">
        <v>11.6725642459375</v>
      </c>
      <c r="H556" s="1">
        <v>15.547673702</v>
      </c>
      <c r="I556" s="1">
        <v>4.0052411381</v>
      </c>
      <c r="J556" s="1">
        <v>7.5675675676</v>
      </c>
      <c r="K556" s="1">
        <v>15.325125364</v>
      </c>
      <c r="L556" s="1">
        <v>31.9</v>
      </c>
      <c r="M556" s="1">
        <v>7.0</v>
      </c>
      <c r="N556" s="1">
        <v>31.0</v>
      </c>
      <c r="O556" s="1">
        <v>72.353257943</v>
      </c>
      <c r="P556" s="1">
        <v>14.1926345609999</v>
      </c>
      <c r="Q556" s="1">
        <v>76.21951</v>
      </c>
      <c r="R556" s="1">
        <v>82.716049383</v>
      </c>
      <c r="S556" s="1">
        <v>22.8</v>
      </c>
      <c r="T556" s="1">
        <v>2098.0</v>
      </c>
      <c r="U556" s="1">
        <v>30.4575786459999</v>
      </c>
      <c r="V556" s="1">
        <v>272.13467502</v>
      </c>
      <c r="W556" s="1">
        <v>15.04178273</v>
      </c>
      <c r="X556" s="1">
        <v>9.5211267606</v>
      </c>
      <c r="Y556" s="1">
        <v>75.042515905</v>
      </c>
      <c r="Z556" s="1">
        <v>8.7</v>
      </c>
      <c r="AA556" s="1">
        <v>10.132907355</v>
      </c>
      <c r="AB556" s="1">
        <v>48451.0</v>
      </c>
      <c r="AC556" s="1">
        <v>57.5577066269999</v>
      </c>
      <c r="AD556" s="1">
        <v>73.132098027</v>
      </c>
      <c r="AE556" s="1">
        <v>9.7269100951</v>
      </c>
      <c r="AF556" s="1">
        <v>0.4118794711</v>
      </c>
      <c r="AG556" s="1">
        <v>8.48688489049999</v>
      </c>
      <c r="AH556" s="1">
        <v>0.3685237373</v>
      </c>
      <c r="AI556" s="1">
        <v>0.097550401</v>
      </c>
      <c r="AJ556" s="1">
        <v>3.7069152395</v>
      </c>
      <c r="AK556" s="1">
        <v>84.673748103</v>
      </c>
      <c r="AL556" s="1">
        <v>0.3269118506</v>
      </c>
      <c r="AM556" s="1">
        <v>48.861911988</v>
      </c>
      <c r="AN556" s="1">
        <v>71.911685514</v>
      </c>
      <c r="AO556" s="1">
        <v>22055.0</v>
      </c>
      <c r="AP556" s="1">
        <v>16.8</v>
      </c>
      <c r="AQ556" s="1">
        <v>10.2</v>
      </c>
      <c r="AR556" s="1">
        <v>13.5</v>
      </c>
      <c r="AS556" s="1">
        <v>21.2</v>
      </c>
      <c r="AT556" s="1">
        <v>22.4</v>
      </c>
      <c r="AU556" s="1">
        <v>18.5</v>
      </c>
      <c r="AV556" s="1">
        <v>15.3</v>
      </c>
      <c r="AW556" s="1">
        <v>0.1</v>
      </c>
      <c r="AX556" s="1">
        <v>0.6463</v>
      </c>
      <c r="AY556" s="1">
        <v>15.4</v>
      </c>
      <c r="AZ556" s="1">
        <v>14.3</v>
      </c>
      <c r="BA556" s="1">
        <v>18.6</v>
      </c>
      <c r="BB556" s="1">
        <v>3.37</v>
      </c>
      <c r="BC556" s="1" t="s">
        <v>1075</v>
      </c>
      <c r="BD556" s="1">
        <v>12.4</v>
      </c>
      <c r="BE556" s="1">
        <v>38.4</v>
      </c>
      <c r="BF556" s="1">
        <v>33.9</v>
      </c>
      <c r="BG556" s="1">
        <v>15.2</v>
      </c>
      <c r="BH556" s="1" t="s">
        <v>1082</v>
      </c>
    </row>
    <row r="557">
      <c r="A557" s="1">
        <v>16011.0</v>
      </c>
      <c r="B557" s="2" t="str">
        <f>IFERROR(__xludf.DUMMYFUNCTION("TO_TEXT(A557)"),"16011")</f>
        <v>16011</v>
      </c>
      <c r="C557" s="1">
        <v>45261.0</v>
      </c>
      <c r="D557" s="1">
        <v>2093.85561946136</v>
      </c>
      <c r="E557" s="1" t="s">
        <v>1083</v>
      </c>
      <c r="F557" s="1" t="s">
        <v>1084</v>
      </c>
      <c r="G557" s="1">
        <v>21.6161036029997</v>
      </c>
      <c r="H557" s="1">
        <v>15.9895549009999</v>
      </c>
      <c r="I557" s="1">
        <v>4.0066715925</v>
      </c>
      <c r="J557" s="1">
        <v>7.6264103636</v>
      </c>
      <c r="K557" s="1">
        <v>14.23834346</v>
      </c>
      <c r="L557" s="1">
        <v>31.2</v>
      </c>
      <c r="M557" s="1">
        <v>8.0</v>
      </c>
      <c r="N557" s="1">
        <v>25.9</v>
      </c>
      <c r="O557" s="1">
        <v>45.348301796</v>
      </c>
      <c r="P557" s="1">
        <v>14.816908647</v>
      </c>
      <c r="Q557" s="1">
        <v>32.66053</v>
      </c>
      <c r="R557" s="1">
        <v>89.568845619</v>
      </c>
      <c r="S557" s="1">
        <v>15.9</v>
      </c>
      <c r="T557" s="1">
        <v>14178.0</v>
      </c>
      <c r="U557" s="1">
        <v>24.629707998</v>
      </c>
      <c r="V557" s="1">
        <v>163.32115781</v>
      </c>
      <c r="W557" s="1">
        <v>12.474507138</v>
      </c>
      <c r="X557" s="1">
        <v>8.0628629997</v>
      </c>
      <c r="Y557" s="1">
        <v>76.816031621</v>
      </c>
      <c r="Z557" s="1">
        <v>12.1</v>
      </c>
      <c r="AA557" s="1">
        <v>7.92296273299999</v>
      </c>
      <c r="AB557" s="1">
        <v>50941.0</v>
      </c>
      <c r="AC557" s="1">
        <v>50.4978935269999</v>
      </c>
      <c r="AD557" s="1">
        <v>75.6431085839999</v>
      </c>
      <c r="AE557" s="1">
        <v>7.9883300917</v>
      </c>
      <c r="AF557" s="1">
        <v>0.3395622459</v>
      </c>
      <c r="AG557" s="1">
        <v>7.3860195519</v>
      </c>
      <c r="AH557" s="1">
        <v>1.0987109612</v>
      </c>
      <c r="AI557" s="1">
        <v>0.1686997145</v>
      </c>
      <c r="AJ557" s="1">
        <v>18.111428324</v>
      </c>
      <c r="AK557" s="1">
        <v>73.585517778</v>
      </c>
      <c r="AL557" s="1">
        <v>2.5573864178</v>
      </c>
      <c r="AM557" s="1">
        <v>50.177350982</v>
      </c>
      <c r="AN557" s="1">
        <v>56.030872454</v>
      </c>
      <c r="AO557" s="1">
        <v>20199.0</v>
      </c>
      <c r="AP557" s="1">
        <v>13.4</v>
      </c>
      <c r="AQ557" s="1">
        <v>6.6</v>
      </c>
      <c r="AR557" s="1">
        <v>14.1</v>
      </c>
      <c r="AS557" s="1">
        <v>13.0</v>
      </c>
      <c r="AT557" s="1">
        <v>31.7</v>
      </c>
      <c r="AU557" s="1">
        <v>13.9</v>
      </c>
      <c r="AV557" s="1">
        <v>25.8</v>
      </c>
      <c r="AW557" s="1">
        <v>3.4</v>
      </c>
      <c r="AX557" s="1">
        <v>0.5221</v>
      </c>
      <c r="AY557" s="1">
        <v>11.1</v>
      </c>
      <c r="AZ557" s="1">
        <v>10.0</v>
      </c>
      <c r="BA557" s="1">
        <v>11.9</v>
      </c>
      <c r="BB557" s="1">
        <v>2.92</v>
      </c>
      <c r="BC557" s="1" t="s">
        <v>1075</v>
      </c>
      <c r="BD557" s="1">
        <v>10.8</v>
      </c>
      <c r="BE557" s="1">
        <v>31.3</v>
      </c>
      <c r="BF557" s="1">
        <v>36.6</v>
      </c>
      <c r="BG557" s="1">
        <v>21.2</v>
      </c>
      <c r="BH557" s="1" t="s">
        <v>1084</v>
      </c>
    </row>
    <row r="558">
      <c r="A558" s="1">
        <v>16013.0</v>
      </c>
      <c r="B558" s="2" t="str">
        <f>IFERROR(__xludf.DUMMYFUNCTION("TO_TEXT(A558)"),"16013")</f>
        <v>16013</v>
      </c>
      <c r="C558" s="1">
        <v>21427.0</v>
      </c>
      <c r="D558" s="1">
        <v>2637.6373569383</v>
      </c>
      <c r="E558" s="1" t="s">
        <v>1085</v>
      </c>
      <c r="F558" s="1" t="s">
        <v>1086</v>
      </c>
      <c r="G558" s="1">
        <v>8.12355798026454</v>
      </c>
      <c r="H558" s="1">
        <v>14.183349242</v>
      </c>
      <c r="I558" s="1">
        <v>3.6316975491</v>
      </c>
      <c r="J558" s="1">
        <v>7.444668008</v>
      </c>
      <c r="K558" s="1">
        <v>12.9026748259999</v>
      </c>
      <c r="L558" s="1">
        <v>15.1</v>
      </c>
      <c r="M558" s="1">
        <v>8.0</v>
      </c>
      <c r="N558" s="1">
        <v>14.6</v>
      </c>
      <c r="O558" s="1">
        <v>78.354229042</v>
      </c>
      <c r="P558" s="1">
        <v>17.6935053379999</v>
      </c>
      <c r="Q558" s="1">
        <v>104.43153</v>
      </c>
      <c r="R558" s="1">
        <v>85.542168675</v>
      </c>
      <c r="S558" s="1">
        <v>8.1</v>
      </c>
      <c r="T558" s="1">
        <v>5034.0</v>
      </c>
      <c r="U558" s="1">
        <v>39.431863329</v>
      </c>
      <c r="V558" s="1">
        <v>173.3102253</v>
      </c>
      <c r="W558" s="1">
        <v>19.058553387</v>
      </c>
      <c r="X558" s="1">
        <v>17.543859649</v>
      </c>
      <c r="Y558" s="1">
        <v>86.188668786</v>
      </c>
      <c r="Z558" s="1">
        <v>4.3</v>
      </c>
      <c r="AA558" s="1">
        <v>8.2542008625</v>
      </c>
      <c r="AB558" s="1">
        <v>76113.0</v>
      </c>
      <c r="AC558" s="1">
        <v>35.295766751</v>
      </c>
      <c r="AD558" s="1">
        <v>69.706959707</v>
      </c>
      <c r="AE558" s="1">
        <v>16.228127025</v>
      </c>
      <c r="AF558" s="1">
        <v>0.4336091323</v>
      </c>
      <c r="AG558" s="1">
        <v>1.7432856953</v>
      </c>
      <c r="AH558" s="1">
        <v>1.1946374054</v>
      </c>
      <c r="AI558" s="1">
        <v>0.1769833193</v>
      </c>
      <c r="AJ558" s="1">
        <v>22.525551967</v>
      </c>
      <c r="AK558" s="1">
        <v>74.474580771</v>
      </c>
      <c r="AL558" s="1">
        <v>6.6909858885</v>
      </c>
      <c r="AM558" s="1">
        <v>49.311977346</v>
      </c>
      <c r="AN558" s="1">
        <v>32.765718563</v>
      </c>
      <c r="AO558" s="1">
        <v>34330.0</v>
      </c>
      <c r="AP558" s="1">
        <v>12.7</v>
      </c>
      <c r="AQ558" s="1">
        <v>3.7</v>
      </c>
      <c r="AR558" s="1">
        <v>10.0</v>
      </c>
      <c r="AS558" s="1">
        <v>16.0</v>
      </c>
      <c r="AT558" s="1">
        <v>23.3</v>
      </c>
      <c r="AU558" s="1">
        <v>7.3</v>
      </c>
      <c r="AV558" s="1">
        <v>23.1</v>
      </c>
      <c r="AW558" s="1">
        <v>5.4</v>
      </c>
      <c r="AX558" s="1">
        <v>0.2926</v>
      </c>
      <c r="AY558" s="1">
        <v>7.2</v>
      </c>
      <c r="AZ558" s="1">
        <v>9.4</v>
      </c>
      <c r="BA558" s="1">
        <v>12.5</v>
      </c>
      <c r="BB558" s="1">
        <v>4.91</v>
      </c>
      <c r="BC558" s="1" t="s">
        <v>1075</v>
      </c>
      <c r="BD558" s="1">
        <v>11.3</v>
      </c>
      <c r="BE558" s="1">
        <v>25.6</v>
      </c>
      <c r="BF558" s="1">
        <v>27.8</v>
      </c>
      <c r="BG558" s="1">
        <v>35.4</v>
      </c>
      <c r="BH558" s="1" t="s">
        <v>1086</v>
      </c>
    </row>
    <row r="559">
      <c r="A559" s="1">
        <v>16015.0</v>
      </c>
      <c r="B559" s="2" t="str">
        <f>IFERROR(__xludf.DUMMYFUNCTION("TO_TEXT(A559)"),"16015")</f>
        <v>16015</v>
      </c>
      <c r="C559" s="1">
        <v>6891.0</v>
      </c>
      <c r="D559" s="1">
        <v>1899.55841425226</v>
      </c>
      <c r="E559" s="1" t="s">
        <v>1087</v>
      </c>
      <c r="F559" s="1" t="s">
        <v>1088</v>
      </c>
      <c r="G559" s="1">
        <v>3.62768522847062</v>
      </c>
      <c r="H559" s="1">
        <v>13.386610021</v>
      </c>
      <c r="I559" s="1">
        <v>3.7937867571</v>
      </c>
      <c r="J559" s="1">
        <v>5.6782334385</v>
      </c>
      <c r="K559" s="1">
        <v>12.946633147</v>
      </c>
      <c r="L559" s="1">
        <v>30.6</v>
      </c>
      <c r="M559" s="1">
        <v>6.1</v>
      </c>
      <c r="N559" s="1">
        <v>25.3</v>
      </c>
      <c r="O559" s="1">
        <v>79.624359704</v>
      </c>
      <c r="P559" s="1">
        <v>13.336962439</v>
      </c>
      <c r="Q559" s="1">
        <v>27.43484</v>
      </c>
      <c r="R559" s="1">
        <v>88.888888889</v>
      </c>
      <c r="S559" s="1">
        <v>19.4</v>
      </c>
      <c r="T559" s="1">
        <v>1226.0</v>
      </c>
      <c r="U559" s="1">
        <v>30.913539967</v>
      </c>
      <c r="V559" s="1">
        <v>163.58093539</v>
      </c>
      <c r="W559" s="1">
        <v>13.522537563</v>
      </c>
      <c r="X559" s="1">
        <v>11.282051282</v>
      </c>
      <c r="Y559" s="1">
        <v>82.444328254</v>
      </c>
      <c r="Z559" s="1">
        <v>13.0</v>
      </c>
      <c r="AA559" s="1">
        <v>25.610981777</v>
      </c>
      <c r="AB559" s="1">
        <v>56837.0</v>
      </c>
      <c r="AC559" s="1">
        <v>46.437054632</v>
      </c>
      <c r="AD559" s="1">
        <v>83.8585209</v>
      </c>
      <c r="AE559" s="1">
        <v>11.750841751</v>
      </c>
      <c r="AF559" s="1">
        <v>0.4060780718</v>
      </c>
      <c r="AG559" s="1">
        <v>1.2444328006</v>
      </c>
      <c r="AH559" s="1">
        <v>0.759758973</v>
      </c>
      <c r="AI559" s="1">
        <v>0.353680901199999</v>
      </c>
      <c r="AJ559" s="1">
        <v>4.9122347393</v>
      </c>
      <c r="AK559" s="1">
        <v>90.3851192039999</v>
      </c>
      <c r="AL559" s="1">
        <v>0.0431841082</v>
      </c>
      <c r="AM559" s="1">
        <v>47.930311763</v>
      </c>
      <c r="AN559" s="1">
        <v>100.0</v>
      </c>
      <c r="AO559" s="1">
        <v>28273.0</v>
      </c>
      <c r="AP559" s="1">
        <v>13.7</v>
      </c>
      <c r="AQ559" s="1">
        <v>8.3</v>
      </c>
      <c r="AR559" s="1">
        <v>6.2</v>
      </c>
      <c r="AS559" s="1">
        <v>22.1</v>
      </c>
      <c r="AT559" s="1">
        <v>18.5</v>
      </c>
      <c r="AU559" s="1">
        <v>17.7</v>
      </c>
      <c r="AV559" s="1">
        <v>8.0</v>
      </c>
      <c r="AW559" s="1">
        <v>0.1</v>
      </c>
      <c r="AX559" s="1">
        <v>0.085</v>
      </c>
      <c r="AY559" s="1">
        <v>11.6</v>
      </c>
      <c r="AZ559" s="1">
        <v>11.2</v>
      </c>
      <c r="BA559" s="1">
        <v>18.5</v>
      </c>
      <c r="BB559" s="1">
        <v>3.31</v>
      </c>
      <c r="BC559" s="1" t="s">
        <v>1075</v>
      </c>
      <c r="BD559" s="1">
        <v>5.7</v>
      </c>
      <c r="BE559" s="1">
        <v>30.6</v>
      </c>
      <c r="BF559" s="1">
        <v>36.6</v>
      </c>
      <c r="BG559" s="1">
        <v>27.1</v>
      </c>
      <c r="BH559" s="1" t="s">
        <v>1088</v>
      </c>
    </row>
    <row r="560">
      <c r="A560" s="1">
        <v>16017.0</v>
      </c>
      <c r="B560" s="2" t="str">
        <f>IFERROR(__xludf.DUMMYFUNCTION("TO_TEXT(A560)"),"16017")</f>
        <v>16017</v>
      </c>
      <c r="C560" s="1">
        <v>41389.0</v>
      </c>
      <c r="D560" s="1">
        <v>1733.0021875482</v>
      </c>
      <c r="E560" s="1" t="s">
        <v>1089</v>
      </c>
      <c r="F560" s="1" t="s">
        <v>1090</v>
      </c>
      <c r="G560" s="1">
        <v>23.8828319418083</v>
      </c>
      <c r="H560" s="1">
        <v>13.420599877</v>
      </c>
      <c r="I560" s="1">
        <v>3.8253406022</v>
      </c>
      <c r="J560" s="1">
        <v>6.0945709282</v>
      </c>
      <c r="K560" s="1">
        <v>13.653922623</v>
      </c>
      <c r="L560" s="1">
        <v>25.8</v>
      </c>
      <c r="M560" s="1">
        <v>7.4</v>
      </c>
      <c r="N560" s="1">
        <v>21.0</v>
      </c>
      <c r="O560" s="1">
        <v>79.088484967</v>
      </c>
      <c r="P560" s="1">
        <v>13.2954649009999</v>
      </c>
      <c r="Q560" s="1">
        <v>59.68779</v>
      </c>
      <c r="R560" s="1">
        <v>83.561643836</v>
      </c>
      <c r="S560" s="1">
        <v>17.7</v>
      </c>
      <c r="T560" s="1">
        <v>8197.0</v>
      </c>
      <c r="U560" s="1">
        <v>25.05794803</v>
      </c>
      <c r="V560" s="1">
        <v>165.77173952</v>
      </c>
      <c r="W560" s="1">
        <v>19.170075979</v>
      </c>
      <c r="X560" s="1">
        <v>14.945250074</v>
      </c>
      <c r="Y560" s="1">
        <v>79.76023412</v>
      </c>
      <c r="Z560" s="1">
        <v>9.2</v>
      </c>
      <c r="AA560" s="1">
        <v>7.44821110399999</v>
      </c>
      <c r="AB560" s="1">
        <v>51373.0</v>
      </c>
      <c r="AC560" s="1">
        <v>40.878644602</v>
      </c>
      <c r="AD560" s="1">
        <v>74.368744313</v>
      </c>
      <c r="AE560" s="1">
        <v>14.068284657</v>
      </c>
      <c r="AF560" s="1">
        <v>0.2682943189</v>
      </c>
      <c r="AG560" s="1">
        <v>0.9323227581</v>
      </c>
      <c r="AH560" s="1">
        <v>0.7400451629</v>
      </c>
      <c r="AI560" s="1">
        <v>0.1475618754</v>
      </c>
      <c r="AJ560" s="1">
        <v>3.1770518926</v>
      </c>
      <c r="AK560" s="1">
        <v>92.8857289779999</v>
      </c>
      <c r="AL560" s="1">
        <v>0.1894498573</v>
      </c>
      <c r="AM560" s="1">
        <v>50.1285576939999</v>
      </c>
      <c r="AN560" s="1">
        <v>72.446608117</v>
      </c>
      <c r="AO560" s="1">
        <v>24507.0</v>
      </c>
      <c r="AP560" s="1">
        <v>15.0</v>
      </c>
      <c r="AQ560" s="1">
        <v>5.7</v>
      </c>
      <c r="AR560" s="1">
        <v>9.7</v>
      </c>
      <c r="AS560" s="1">
        <v>21.4</v>
      </c>
      <c r="AT560" s="1">
        <v>20.4</v>
      </c>
      <c r="AU560" s="1">
        <v>16.4</v>
      </c>
      <c r="AV560" s="1">
        <v>6.3</v>
      </c>
      <c r="AW560" s="1">
        <v>0.1</v>
      </c>
      <c r="AX560" s="1">
        <v>0.3225</v>
      </c>
      <c r="AY560" s="1">
        <v>12.6</v>
      </c>
      <c r="AZ560" s="1">
        <v>12.6</v>
      </c>
      <c r="BA560" s="1">
        <v>16.3</v>
      </c>
      <c r="BB560" s="1">
        <v>3.42</v>
      </c>
      <c r="BC560" s="1" t="s">
        <v>1075</v>
      </c>
      <c r="BD560" s="1">
        <v>9.2</v>
      </c>
      <c r="BE560" s="1">
        <v>29.8</v>
      </c>
      <c r="BF560" s="1">
        <v>37.2</v>
      </c>
      <c r="BG560" s="1">
        <v>23.8</v>
      </c>
      <c r="BH560" s="1" t="s">
        <v>1090</v>
      </c>
    </row>
    <row r="561">
      <c r="A561" s="1">
        <v>16019.0</v>
      </c>
      <c r="B561" s="2" t="str">
        <f>IFERROR(__xludf.DUMMYFUNCTION("TO_TEXT(A561)"),"16019")</f>
        <v>16019</v>
      </c>
      <c r="C561" s="1">
        <v>108989.0</v>
      </c>
      <c r="D561" s="1">
        <v>1865.94634865788</v>
      </c>
      <c r="E561" s="1" t="s">
        <v>1091</v>
      </c>
      <c r="F561" s="1" t="s">
        <v>1092</v>
      </c>
      <c r="G561" s="1">
        <v>58.4095036164317</v>
      </c>
      <c r="H561" s="1">
        <v>14.729676666</v>
      </c>
      <c r="I561" s="1">
        <v>3.8195930915</v>
      </c>
      <c r="J561" s="1">
        <v>7.589890176</v>
      </c>
      <c r="K561" s="1">
        <v>13.5603048559999</v>
      </c>
      <c r="L561" s="1">
        <v>29.0</v>
      </c>
      <c r="M561" s="1">
        <v>8.0</v>
      </c>
      <c r="N561" s="1">
        <v>20.2</v>
      </c>
      <c r="O561" s="1">
        <v>84.466680738</v>
      </c>
      <c r="P561" s="1">
        <v>9.4906263551</v>
      </c>
      <c r="Q561" s="1">
        <v>39.26873</v>
      </c>
      <c r="R561" s="1">
        <v>78.726035869</v>
      </c>
      <c r="S561" s="1">
        <v>13.2</v>
      </c>
      <c r="T561" s="1">
        <v>34840.0</v>
      </c>
      <c r="U561" s="1">
        <v>20.975889782</v>
      </c>
      <c r="V561" s="1">
        <v>274.32234233</v>
      </c>
      <c r="W561" s="1">
        <v>13.166397415</v>
      </c>
      <c r="X561" s="1">
        <v>10.175913396</v>
      </c>
      <c r="Y561" s="1">
        <v>77.922620354</v>
      </c>
      <c r="Z561" s="1">
        <v>9.1</v>
      </c>
      <c r="AA561" s="1">
        <v>7.1832455799</v>
      </c>
      <c r="AB561" s="1">
        <v>60444.0</v>
      </c>
      <c r="AC561" s="1">
        <v>40.153494448</v>
      </c>
      <c r="AD561" s="1">
        <v>69.976923077</v>
      </c>
      <c r="AE561" s="1">
        <v>10.675313176</v>
      </c>
      <c r="AF561" s="1">
        <v>0.5810669725</v>
      </c>
      <c r="AG561" s="1">
        <v>1.2990569429</v>
      </c>
      <c r="AH561" s="1">
        <v>1.174970476</v>
      </c>
      <c r="AI561" s="1">
        <v>0.136922997899999</v>
      </c>
      <c r="AJ561" s="1">
        <v>13.257569274</v>
      </c>
      <c r="AK561" s="1">
        <v>82.695500368</v>
      </c>
      <c r="AL561" s="1">
        <v>1.6638951289</v>
      </c>
      <c r="AM561" s="1">
        <v>50.044499974</v>
      </c>
      <c r="AN561" s="1">
        <v>12.951628068</v>
      </c>
      <c r="AO561" s="1">
        <v>24889.0</v>
      </c>
      <c r="AP561" s="1">
        <v>12.7</v>
      </c>
      <c r="AQ561" s="1">
        <v>4.7</v>
      </c>
      <c r="AR561" s="1">
        <v>8.9</v>
      </c>
      <c r="AS561" s="1">
        <v>12.1</v>
      </c>
      <c r="AT561" s="1">
        <v>31.3</v>
      </c>
      <c r="AU561" s="1">
        <v>13.6</v>
      </c>
      <c r="AV561" s="1">
        <v>16.0</v>
      </c>
      <c r="AW561" s="1">
        <v>1.8</v>
      </c>
      <c r="AX561" s="1">
        <v>0.354</v>
      </c>
      <c r="AY561" s="1">
        <v>9.3</v>
      </c>
      <c r="AZ561" s="1">
        <v>10.1</v>
      </c>
      <c r="BA561" s="1">
        <v>11.6</v>
      </c>
      <c r="BB561" s="1">
        <v>2.98</v>
      </c>
      <c r="BC561" s="1" t="s">
        <v>1075</v>
      </c>
      <c r="BD561" s="1">
        <v>8.0</v>
      </c>
      <c r="BE561" s="1">
        <v>25.4</v>
      </c>
      <c r="BF561" s="1">
        <v>35.2</v>
      </c>
      <c r="BG561" s="1">
        <v>31.3</v>
      </c>
      <c r="BH561" s="1" t="s">
        <v>1092</v>
      </c>
    </row>
    <row r="562">
      <c r="A562" s="1">
        <v>16021.0</v>
      </c>
      <c r="B562" s="2" t="str">
        <f>IFERROR(__xludf.DUMMYFUNCTION("TO_TEXT(A562)"),"16021")</f>
        <v>16021</v>
      </c>
      <c r="C562" s="1">
        <v>11141.0</v>
      </c>
      <c r="D562" s="1">
        <v>1268.72737700344</v>
      </c>
      <c r="E562" s="1" t="s">
        <v>1093</v>
      </c>
      <c r="F562" s="1" t="s">
        <v>1094</v>
      </c>
      <c r="G562" s="1">
        <v>8.78124032155238</v>
      </c>
      <c r="H562" s="1">
        <v>15.334053547</v>
      </c>
      <c r="I562" s="1">
        <v>4.1588765134</v>
      </c>
      <c r="J562" s="1">
        <v>4.8603929679</v>
      </c>
      <c r="K562" s="1">
        <v>14.870522912</v>
      </c>
      <c r="L562" s="1">
        <v>28.8</v>
      </c>
      <c r="M562" s="1">
        <v>7.2</v>
      </c>
      <c r="N562" s="1">
        <v>27.7</v>
      </c>
      <c r="O562" s="1">
        <v>86.19212541</v>
      </c>
      <c r="P562" s="1">
        <v>18.157210914</v>
      </c>
      <c r="Q562" s="1">
        <v>41.93927</v>
      </c>
      <c r="R562" s="1">
        <v>77.952755906</v>
      </c>
      <c r="S562" s="1">
        <v>22.3</v>
      </c>
      <c r="T562" s="1">
        <v>2661.0</v>
      </c>
      <c r="U562" s="1">
        <v>20.180383315</v>
      </c>
      <c r="V562" s="1">
        <v>93.984962406</v>
      </c>
      <c r="W562" s="1">
        <v>16.837315131</v>
      </c>
      <c r="X562" s="1">
        <v>12.183098592</v>
      </c>
      <c r="Y562" s="1">
        <v>79.386956118</v>
      </c>
      <c r="Z562" s="1">
        <v>9.1</v>
      </c>
      <c r="AA562" s="1">
        <v>7.42630488</v>
      </c>
      <c r="AB562" s="1">
        <v>47118.0</v>
      </c>
      <c r="AC562" s="1">
        <v>52.964690207</v>
      </c>
      <c r="AD562" s="1">
        <v>75.048859935</v>
      </c>
      <c r="AE562" s="1">
        <v>11.1060845959999</v>
      </c>
      <c r="AF562" s="1">
        <v>0.5440241045</v>
      </c>
      <c r="AG562" s="1">
        <v>1.9501171744</v>
      </c>
      <c r="AH562" s="1">
        <v>0.7867425511</v>
      </c>
      <c r="AI562" s="1">
        <v>0.1171744225</v>
      </c>
      <c r="AJ562" s="1">
        <v>5.1891529963</v>
      </c>
      <c r="AK562" s="1">
        <v>90.031804486</v>
      </c>
      <c r="AL562" s="1">
        <v>0.7462686567</v>
      </c>
      <c r="AM562" s="1">
        <v>49.74054235</v>
      </c>
      <c r="AN562" s="1">
        <v>76.184834123</v>
      </c>
      <c r="AO562" s="1">
        <v>22822.0</v>
      </c>
      <c r="AP562" s="1">
        <v>16.6</v>
      </c>
      <c r="AQ562" s="1">
        <v>3.9</v>
      </c>
      <c r="AR562" s="1">
        <v>10.6</v>
      </c>
      <c r="AS562" s="1">
        <v>20.0</v>
      </c>
      <c r="AT562" s="1">
        <v>24.1</v>
      </c>
      <c r="AU562" s="1">
        <v>17.7</v>
      </c>
      <c r="AV562" s="1">
        <v>9.0</v>
      </c>
      <c r="AW562" s="1">
        <v>0.6</v>
      </c>
      <c r="AX562" s="1">
        <v>0.4323</v>
      </c>
      <c r="AY562" s="1">
        <v>14.8</v>
      </c>
      <c r="AZ562" s="1">
        <v>12.9</v>
      </c>
      <c r="BA562" s="1">
        <v>17.3</v>
      </c>
      <c r="BB562" s="1">
        <v>3.48</v>
      </c>
      <c r="BC562" s="1" t="s">
        <v>1075</v>
      </c>
      <c r="BD562" s="1">
        <v>8.2</v>
      </c>
      <c r="BE562" s="1">
        <v>42.7</v>
      </c>
      <c r="BF562" s="1">
        <v>29.3</v>
      </c>
      <c r="BG562" s="1">
        <v>19.8</v>
      </c>
      <c r="BH562" s="1" t="s">
        <v>1094</v>
      </c>
    </row>
    <row r="563">
      <c r="A563" s="1">
        <v>16023.0</v>
      </c>
      <c r="B563" s="2" t="str">
        <f>IFERROR(__xludf.DUMMYFUNCTION("TO_TEXT(A563)"),"16023")</f>
        <v>16023</v>
      </c>
      <c r="C563" s="1">
        <v>2592.0</v>
      </c>
      <c r="D563" s="1">
        <v>2236.30923962544</v>
      </c>
      <c r="E563" s="1" t="s">
        <v>424</v>
      </c>
      <c r="F563" s="1" t="s">
        <v>1095</v>
      </c>
      <c r="G563" s="1">
        <v>1.15905258274304</v>
      </c>
      <c r="H563" s="1">
        <v>14.359305959</v>
      </c>
      <c r="I563" s="1">
        <v>3.8767608423</v>
      </c>
      <c r="J563" s="1">
        <v>8.0</v>
      </c>
      <c r="K563" s="1">
        <v>13.165038651</v>
      </c>
      <c r="L563" s="1">
        <v>28.8</v>
      </c>
      <c r="M563" s="1">
        <v>7.3</v>
      </c>
      <c r="N563" s="1">
        <v>29.0</v>
      </c>
      <c r="O563" s="1">
        <v>47.803528191</v>
      </c>
      <c r="P563" s="1">
        <v>12.335025381</v>
      </c>
      <c r="Q563" s="1">
        <v>38.43198</v>
      </c>
      <c r="R563" s="1">
        <v>74.074074074</v>
      </c>
      <c r="S563" s="1">
        <v>18.2</v>
      </c>
      <c r="T563" s="1">
        <v>587.0</v>
      </c>
      <c r="U563" s="1">
        <v>13.969335605</v>
      </c>
      <c r="V563" s="1">
        <v>138.86133704</v>
      </c>
      <c r="W563" s="1">
        <v>14.1509433959999</v>
      </c>
      <c r="X563" s="1">
        <v>12.403846154</v>
      </c>
      <c r="Y563" s="1">
        <v>76.927829559</v>
      </c>
      <c r="Z563" s="1">
        <v>9.2</v>
      </c>
      <c r="AA563" s="1">
        <v>10.643770817</v>
      </c>
      <c r="AB563" s="1">
        <v>50050.0</v>
      </c>
      <c r="AC563" s="1">
        <v>44.522144522</v>
      </c>
      <c r="AD563" s="1">
        <v>84.19047619</v>
      </c>
      <c r="AE563" s="1">
        <v>12.156862745</v>
      </c>
      <c r="AF563" s="1">
        <v>0.4595940253</v>
      </c>
      <c r="AG563" s="1">
        <v>1.3021830716</v>
      </c>
      <c r="AH563" s="1">
        <v>0.344695519</v>
      </c>
      <c r="AI563" s="1">
        <v>0.1914975105</v>
      </c>
      <c r="AJ563" s="1">
        <v>4.5193412486</v>
      </c>
      <c r="AK563" s="1">
        <v>91.344312524</v>
      </c>
      <c r="AL563" s="1">
        <v>0.0</v>
      </c>
      <c r="AM563" s="1">
        <v>49.521256224</v>
      </c>
      <c r="AN563" s="1">
        <v>100.0</v>
      </c>
      <c r="AO563" s="1">
        <v>25209.0</v>
      </c>
      <c r="AP563" s="1">
        <v>15.5</v>
      </c>
      <c r="AQ563" s="1">
        <v>6.8</v>
      </c>
      <c r="AR563" s="1">
        <v>9.6</v>
      </c>
      <c r="AS563" s="1">
        <v>20.3</v>
      </c>
      <c r="AT563" s="1">
        <v>21.1</v>
      </c>
      <c r="AU563" s="1">
        <v>16.2</v>
      </c>
      <c r="AV563" s="1">
        <v>5.5</v>
      </c>
      <c r="AW563" s="1">
        <v>0.4</v>
      </c>
      <c r="AX563" s="1">
        <v>0.2273</v>
      </c>
      <c r="AY563" s="1">
        <v>14.6</v>
      </c>
      <c r="AZ563" s="1">
        <v>12.0</v>
      </c>
      <c r="BA563" s="1">
        <v>15.2</v>
      </c>
      <c r="BB563" s="1">
        <v>3.05</v>
      </c>
      <c r="BC563" s="1" t="s">
        <v>1075</v>
      </c>
      <c r="BD563" s="1">
        <v>7.2</v>
      </c>
      <c r="BE563" s="1">
        <v>36.0</v>
      </c>
      <c r="BF563" s="1">
        <v>40.6</v>
      </c>
      <c r="BG563" s="1">
        <v>16.2</v>
      </c>
      <c r="BH563" s="1" t="s">
        <v>1095</v>
      </c>
    </row>
    <row r="564">
      <c r="A564" s="1">
        <v>16025.0</v>
      </c>
      <c r="B564" s="2" t="str">
        <f>IFERROR(__xludf.DUMMYFUNCTION("TO_TEXT(A564)"),"16025")</f>
        <v>16025</v>
      </c>
      <c r="C564" s="1">
        <v>968.0</v>
      </c>
      <c r="D564" s="1">
        <v>1074.23379066458</v>
      </c>
      <c r="E564" s="1" t="s">
        <v>1096</v>
      </c>
      <c r="F564" s="1" t="s">
        <v>1097</v>
      </c>
      <c r="G564" s="1">
        <v>0.901107383152732</v>
      </c>
      <c r="H564" s="1">
        <v>16.90671321</v>
      </c>
      <c r="I564" s="1">
        <v>4.1481362293</v>
      </c>
      <c r="J564" s="1">
        <v>7.80443539465</v>
      </c>
      <c r="K564" s="1">
        <v>15.222346825</v>
      </c>
      <c r="L564" s="1">
        <v>24.8</v>
      </c>
      <c r="M564" s="1">
        <v>3.2</v>
      </c>
      <c r="N564" s="1">
        <v>22.9</v>
      </c>
      <c r="O564" s="1">
        <v>6.1772605192</v>
      </c>
      <c r="P564" s="1">
        <v>17.482517483</v>
      </c>
      <c r="Q564" s="1">
        <v>0.0</v>
      </c>
      <c r="R564" s="1">
        <v>89.912280702</v>
      </c>
      <c r="S564" s="1">
        <v>15.2</v>
      </c>
      <c r="T564" s="1">
        <v>221.0</v>
      </c>
      <c r="U564" s="1">
        <v>20.36199095</v>
      </c>
      <c r="V564" s="1">
        <v>0.0</v>
      </c>
      <c r="W564" s="1">
        <v>18.421052632</v>
      </c>
      <c r="X564" s="1">
        <v>15.691489362</v>
      </c>
      <c r="Y564" s="1">
        <v>77.482572377</v>
      </c>
      <c r="Z564" s="1">
        <v>5.3</v>
      </c>
      <c r="AA564" s="1">
        <v>54.891774431</v>
      </c>
      <c r="AB564" s="1">
        <v>53866.0</v>
      </c>
      <c r="AC564" s="1">
        <v>42.207792208</v>
      </c>
      <c r="AD564" s="1">
        <v>75.070028011</v>
      </c>
      <c r="AE564" s="1">
        <v>16.41337386</v>
      </c>
      <c r="AF564" s="1">
        <v>0.4436557232</v>
      </c>
      <c r="AG564" s="1">
        <v>1.4196983141</v>
      </c>
      <c r="AH564" s="1">
        <v>0.4436557232</v>
      </c>
      <c r="AI564" s="1">
        <v>0.0</v>
      </c>
      <c r="AJ564" s="1">
        <v>6.47737355809999</v>
      </c>
      <c r="AK564" s="1">
        <v>88.110026619</v>
      </c>
      <c r="AL564" s="1">
        <v>0.9720534629</v>
      </c>
      <c r="AM564" s="1">
        <v>49.42324756</v>
      </c>
      <c r="AN564" s="1">
        <v>100.0</v>
      </c>
      <c r="AO564" s="1">
        <v>26544.0</v>
      </c>
      <c r="AP564" s="1">
        <v>19.8</v>
      </c>
      <c r="AQ564" s="1">
        <v>4.3</v>
      </c>
      <c r="AR564" s="1">
        <v>12.1</v>
      </c>
      <c r="AS564" s="1">
        <v>17.1</v>
      </c>
      <c r="AT564" s="1">
        <v>26.0</v>
      </c>
      <c r="AU564" s="1">
        <v>15.8</v>
      </c>
      <c r="AV564" s="1">
        <v>9.0</v>
      </c>
      <c r="AW564" s="1">
        <v>1.6</v>
      </c>
      <c r="AX564" s="1">
        <v>0.4244</v>
      </c>
      <c r="AY564" s="1">
        <v>9.0</v>
      </c>
      <c r="AZ564" s="1">
        <v>14.1</v>
      </c>
      <c r="BA564" s="1">
        <v>21.5</v>
      </c>
      <c r="BB564" s="1">
        <v>3.13</v>
      </c>
      <c r="BC564" s="1" t="s">
        <v>1075</v>
      </c>
      <c r="BD564" s="1">
        <v>6.7</v>
      </c>
      <c r="BE564" s="1">
        <v>43.2</v>
      </c>
      <c r="BF564" s="1">
        <v>33.9</v>
      </c>
      <c r="BG564" s="1">
        <v>16.3</v>
      </c>
      <c r="BH564" s="1" t="s">
        <v>1097</v>
      </c>
    </row>
    <row r="565">
      <c r="A565" s="1">
        <v>16027.0</v>
      </c>
      <c r="B565" s="2" t="str">
        <f>IFERROR(__xludf.DUMMYFUNCTION("TO_TEXT(A565)"),"16027")</f>
        <v>16027</v>
      </c>
      <c r="C565" s="1">
        <v>202782.0</v>
      </c>
      <c r="D565" s="1">
        <v>587.396830598064</v>
      </c>
      <c r="E565" s="1" t="s">
        <v>1098</v>
      </c>
      <c r="F565" s="1" t="s">
        <v>1099</v>
      </c>
      <c r="G565" s="1">
        <v>345.221474541384</v>
      </c>
      <c r="H565" s="1">
        <v>17.4538842009999</v>
      </c>
      <c r="I565" s="1">
        <v>3.939976536</v>
      </c>
      <c r="J565" s="1">
        <v>6.8706164636</v>
      </c>
      <c r="K565" s="1">
        <v>14.129309587</v>
      </c>
      <c r="L565" s="1">
        <v>34.9</v>
      </c>
      <c r="M565" s="1">
        <v>7.8</v>
      </c>
      <c r="N565" s="1">
        <v>24.9</v>
      </c>
      <c r="O565" s="1">
        <v>77.60674984</v>
      </c>
      <c r="P565" s="1">
        <v>14.5678051559999</v>
      </c>
      <c r="Q565" s="1">
        <v>35.07169</v>
      </c>
      <c r="R565" s="1">
        <v>80.369950925</v>
      </c>
      <c r="S565" s="1">
        <v>15.2</v>
      </c>
      <c r="T565" s="1">
        <v>61588.0</v>
      </c>
      <c r="U565" s="1">
        <v>25.972592063</v>
      </c>
      <c r="V565" s="1">
        <v>263.36632233</v>
      </c>
      <c r="W565" s="1">
        <v>15.8960613509999</v>
      </c>
      <c r="X565" s="1">
        <v>12.2157790329999</v>
      </c>
      <c r="Y565" s="1">
        <v>78.944664264</v>
      </c>
      <c r="Z565" s="1">
        <v>9.8</v>
      </c>
      <c r="AA565" s="1">
        <v>8.0535380075</v>
      </c>
      <c r="AB565" s="1">
        <v>53381.0</v>
      </c>
      <c r="AC565" s="1">
        <v>59.099885413</v>
      </c>
      <c r="AD565" s="1">
        <v>68.16096659</v>
      </c>
      <c r="AE565" s="1">
        <v>11.03812525</v>
      </c>
      <c r="AF565" s="1">
        <v>0.570472351099999</v>
      </c>
      <c r="AG565" s="1">
        <v>1.7454216797</v>
      </c>
      <c r="AH565" s="1">
        <v>1.0729354494</v>
      </c>
      <c r="AI565" s="1">
        <v>0.3378091177</v>
      </c>
      <c r="AJ565" s="1">
        <v>25.567899633</v>
      </c>
      <c r="AK565" s="1">
        <v>70.103669368</v>
      </c>
      <c r="AL565" s="1">
        <v>3.9735505119</v>
      </c>
      <c r="AM565" s="1">
        <v>50.458391313</v>
      </c>
      <c r="AN565" s="1">
        <v>19.867882682</v>
      </c>
      <c r="AO565" s="1">
        <v>18639.0</v>
      </c>
      <c r="AP565" s="1">
        <v>18.7</v>
      </c>
      <c r="AQ565" s="1">
        <v>8.3</v>
      </c>
      <c r="AR565" s="1">
        <v>15.9</v>
      </c>
      <c r="AS565" s="1">
        <v>12.5</v>
      </c>
      <c r="AT565" s="1">
        <v>30.0</v>
      </c>
      <c r="AU565" s="1">
        <v>13.3</v>
      </c>
      <c r="AV565" s="1">
        <v>28.7</v>
      </c>
      <c r="AW565" s="1">
        <v>3.5</v>
      </c>
      <c r="AX565" s="1">
        <v>0.7584</v>
      </c>
      <c r="AY565" s="1">
        <v>10.1</v>
      </c>
      <c r="AZ565" s="1">
        <v>10.9</v>
      </c>
      <c r="BA565" s="1">
        <v>12.1</v>
      </c>
      <c r="BB565" s="1">
        <v>3.01</v>
      </c>
      <c r="BC565" s="1" t="s">
        <v>1075</v>
      </c>
      <c r="BD565" s="1">
        <v>14.9</v>
      </c>
      <c r="BE565" s="1">
        <v>32.1</v>
      </c>
      <c r="BF565" s="1">
        <v>34.4</v>
      </c>
      <c r="BG565" s="1">
        <v>18.7</v>
      </c>
      <c r="BH565" s="1" t="s">
        <v>1099</v>
      </c>
    </row>
    <row r="566">
      <c r="A566" s="1">
        <v>16029.0</v>
      </c>
      <c r="B566" s="2" t="str">
        <f>IFERROR(__xludf.DUMMYFUNCTION("TO_TEXT(A566)"),"16029")</f>
        <v>16029</v>
      </c>
      <c r="C566" s="1">
        <v>6813.0</v>
      </c>
      <c r="D566" s="1">
        <v>1764.10962568486</v>
      </c>
      <c r="E566" s="1" t="s">
        <v>1100</v>
      </c>
      <c r="F566" s="1" t="s">
        <v>1101</v>
      </c>
      <c r="G566" s="1">
        <v>3.86200488949493</v>
      </c>
      <c r="H566" s="1">
        <v>13.1741797659999</v>
      </c>
      <c r="I566" s="1">
        <v>3.6719737414</v>
      </c>
      <c r="J566" s="1">
        <v>8.5803432137</v>
      </c>
      <c r="K566" s="1">
        <v>12.8878697329999</v>
      </c>
      <c r="L566" s="1">
        <v>30.0</v>
      </c>
      <c r="M566" s="1">
        <v>7.8</v>
      </c>
      <c r="N566" s="1">
        <v>24.5</v>
      </c>
      <c r="O566" s="1">
        <v>34.755134281</v>
      </c>
      <c r="P566" s="1">
        <v>9.1050988554</v>
      </c>
      <c r="Q566" s="1">
        <v>42.64999</v>
      </c>
      <c r="R566" s="1">
        <v>90.990990991</v>
      </c>
      <c r="S566" s="1">
        <v>11.5</v>
      </c>
      <c r="T566" s="1">
        <v>1986.0</v>
      </c>
      <c r="U566" s="1">
        <v>12.0342396779999</v>
      </c>
      <c r="V566" s="1">
        <v>58.879811585</v>
      </c>
      <c r="W566" s="1">
        <v>9.7847358121</v>
      </c>
      <c r="X566" s="1">
        <v>7.2128577029</v>
      </c>
      <c r="Y566" s="1">
        <v>78.327698234</v>
      </c>
      <c r="Z566" s="1">
        <v>13.3</v>
      </c>
      <c r="AA566" s="1">
        <v>10.9210534929999</v>
      </c>
      <c r="AB566" s="1">
        <v>61219.0</v>
      </c>
      <c r="AC566" s="1">
        <v>36.659589526</v>
      </c>
      <c r="AD566" s="1">
        <v>79.717341482</v>
      </c>
      <c r="AE566" s="1">
        <v>8.14516129029999</v>
      </c>
      <c r="AF566" s="1">
        <v>0.1274787535</v>
      </c>
      <c r="AG566" s="1">
        <v>0.6798866856</v>
      </c>
      <c r="AH566" s="1">
        <v>0.4532577904</v>
      </c>
      <c r="AI566" s="1">
        <v>0.2407932011</v>
      </c>
      <c r="AJ566" s="1">
        <v>5.6798866856</v>
      </c>
      <c r="AK566" s="1">
        <v>91.940509915</v>
      </c>
      <c r="AL566" s="1">
        <v>1.0856079404</v>
      </c>
      <c r="AM566" s="1">
        <v>48.8668555239999</v>
      </c>
      <c r="AN566" s="1">
        <v>59.8879793189999</v>
      </c>
      <c r="AO566" s="1">
        <v>25146.0</v>
      </c>
      <c r="AP566" s="1">
        <v>10.2</v>
      </c>
      <c r="AQ566" s="1">
        <v>2.4</v>
      </c>
      <c r="AR566" s="1">
        <v>7.9</v>
      </c>
      <c r="AS566" s="1">
        <v>16.8</v>
      </c>
      <c r="AT566" s="1">
        <v>28.8</v>
      </c>
      <c r="AU566" s="1">
        <v>14.2</v>
      </c>
      <c r="AV566" s="1">
        <v>7.8</v>
      </c>
      <c r="AW566" s="1">
        <v>1.2</v>
      </c>
      <c r="AX566" s="1">
        <v>0.1888</v>
      </c>
      <c r="AY566" s="1">
        <v>10.1</v>
      </c>
      <c r="AZ566" s="1">
        <v>9.0</v>
      </c>
      <c r="BA566" s="1">
        <v>10.1</v>
      </c>
      <c r="BB566" s="1">
        <v>3.03</v>
      </c>
      <c r="BC566" s="1" t="s">
        <v>1075</v>
      </c>
      <c r="BD566" s="1">
        <v>8.8</v>
      </c>
      <c r="BE566" s="1">
        <v>32.4</v>
      </c>
      <c r="BF566" s="1">
        <v>39.9</v>
      </c>
      <c r="BG566" s="1">
        <v>19.0</v>
      </c>
      <c r="BH566" s="1" t="s">
        <v>1101</v>
      </c>
    </row>
    <row r="567">
      <c r="A567" s="1">
        <v>16031.0</v>
      </c>
      <c r="B567" s="2" t="str">
        <f>IFERROR(__xludf.DUMMYFUNCTION("TO_TEXT(A567)"),"16031")</f>
        <v>16031</v>
      </c>
      <c r="C567" s="1">
        <v>23441.0</v>
      </c>
      <c r="D567" s="1">
        <v>2565.6075778628</v>
      </c>
      <c r="E567" s="1" t="s">
        <v>1102</v>
      </c>
      <c r="F567" s="1" t="s">
        <v>1103</v>
      </c>
      <c r="G567" s="1">
        <v>9.13662720762884</v>
      </c>
      <c r="H567" s="1">
        <v>15.577016429</v>
      </c>
      <c r="I567" s="1">
        <v>3.7374334131</v>
      </c>
      <c r="J567" s="1">
        <v>7.0288753799</v>
      </c>
      <c r="K567" s="1">
        <v>13.554946077</v>
      </c>
      <c r="L567" s="1">
        <v>37.6</v>
      </c>
      <c r="M567" s="1">
        <v>7.8</v>
      </c>
      <c r="N567" s="1">
        <v>24.9</v>
      </c>
      <c r="O567" s="1">
        <v>59.140815615</v>
      </c>
      <c r="P567" s="1">
        <v>15.547720977</v>
      </c>
      <c r="Q567" s="1">
        <v>80.29074</v>
      </c>
      <c r="R567" s="1">
        <v>85.377358491</v>
      </c>
      <c r="S567" s="1">
        <v>17.1</v>
      </c>
      <c r="T567" s="1">
        <v>7605.0</v>
      </c>
      <c r="U567" s="1">
        <v>22.419460881</v>
      </c>
      <c r="V567" s="1">
        <v>188.14874321</v>
      </c>
      <c r="W567" s="1">
        <v>12.508101102</v>
      </c>
      <c r="X567" s="1">
        <v>7.6320939335</v>
      </c>
      <c r="Y567" s="1">
        <v>77.621404348</v>
      </c>
      <c r="Z567" s="1">
        <v>11.5</v>
      </c>
      <c r="AA567" s="1">
        <v>12.230515055</v>
      </c>
      <c r="AB567" s="1">
        <v>51804.0</v>
      </c>
      <c r="AC567" s="1">
        <v>50.2987506789999</v>
      </c>
      <c r="AD567" s="1">
        <v>69.686234818</v>
      </c>
      <c r="AE567" s="1">
        <v>9.492364837</v>
      </c>
      <c r="AF567" s="1">
        <v>0.4567549447</v>
      </c>
      <c r="AG567" s="1">
        <v>1.5755950386</v>
      </c>
      <c r="AH567" s="1">
        <v>0.800368756299999</v>
      </c>
      <c r="AI567" s="1">
        <v>0.398089172</v>
      </c>
      <c r="AJ567" s="1">
        <v>27.409487094</v>
      </c>
      <c r="AK567" s="1">
        <v>69.409989943</v>
      </c>
      <c r="AL567" s="1">
        <v>6.1325329023</v>
      </c>
      <c r="AM567" s="1">
        <v>49.065538049</v>
      </c>
      <c r="AN567" s="1">
        <v>51.5118508189999</v>
      </c>
      <c r="AO567" s="1">
        <v>18785.0</v>
      </c>
      <c r="AP567" s="1">
        <v>15.5</v>
      </c>
      <c r="AQ567" s="1">
        <v>4.5</v>
      </c>
      <c r="AR567" s="1">
        <v>18.1</v>
      </c>
      <c r="AS567" s="1">
        <v>13.3</v>
      </c>
      <c r="AT567" s="1">
        <v>32.6</v>
      </c>
      <c r="AU567" s="1">
        <v>12.1</v>
      </c>
      <c r="AV567" s="1">
        <v>29.2</v>
      </c>
      <c r="AW567" s="1">
        <v>7.0</v>
      </c>
      <c r="AX567" s="1">
        <v>0.7198</v>
      </c>
      <c r="AY567" s="1">
        <v>12.0</v>
      </c>
      <c r="AZ567" s="1">
        <v>9.8</v>
      </c>
      <c r="BA567" s="1">
        <v>11.1</v>
      </c>
      <c r="BB567" s="1">
        <v>3.18</v>
      </c>
      <c r="BC567" s="1" t="s">
        <v>1075</v>
      </c>
      <c r="BD567" s="1">
        <v>16.4</v>
      </c>
      <c r="BE567" s="1">
        <v>29.8</v>
      </c>
      <c r="BF567" s="1">
        <v>35.3</v>
      </c>
      <c r="BG567" s="1">
        <v>18.6</v>
      </c>
      <c r="BH567" s="1" t="s">
        <v>1103</v>
      </c>
    </row>
    <row r="568">
      <c r="A568" s="1">
        <v>16033.0</v>
      </c>
      <c r="B568" s="2" t="str">
        <f>IFERROR(__xludf.DUMMYFUNCTION("TO_TEXT(A568)"),"16033")</f>
        <v>16033</v>
      </c>
      <c r="C568" s="1">
        <v>960.0</v>
      </c>
      <c r="D568" s="1">
        <v>1763.1788758484</v>
      </c>
      <c r="E568" s="1" t="s">
        <v>302</v>
      </c>
      <c r="F568" s="1" t="s">
        <v>1104</v>
      </c>
      <c r="G568" s="1">
        <v>0.544471132878149</v>
      </c>
      <c r="H568" s="1">
        <v>24.8973085869999</v>
      </c>
      <c r="I568" s="1">
        <v>4.4322590618</v>
      </c>
      <c r="J568" s="1">
        <v>7.80443539465</v>
      </c>
      <c r="K568" s="1">
        <v>17.1161094309999</v>
      </c>
      <c r="L568" s="1">
        <v>28.4</v>
      </c>
      <c r="M568" s="1">
        <v>2.7</v>
      </c>
      <c r="N568" s="1">
        <v>22.5</v>
      </c>
      <c r="O568" s="1">
        <v>62.83095723</v>
      </c>
      <c r="P568" s="1">
        <v>26.19047619</v>
      </c>
      <c r="Q568" s="1">
        <v>0.0</v>
      </c>
      <c r="R568" s="1">
        <v>100.0</v>
      </c>
      <c r="S568" s="1">
        <v>20.8</v>
      </c>
      <c r="T568" s="1">
        <v>330.0</v>
      </c>
      <c r="U568" s="1">
        <v>19.090909091</v>
      </c>
      <c r="V568" s="1">
        <v>233.3722287</v>
      </c>
      <c r="W568" s="1">
        <v>24.561403509</v>
      </c>
      <c r="X568" s="1">
        <v>8.5409252669</v>
      </c>
      <c r="Y568" s="1">
        <v>77.482572377</v>
      </c>
      <c r="Z568" s="1">
        <v>3.4</v>
      </c>
      <c r="AA568" s="1">
        <v>65.370595651</v>
      </c>
      <c r="AB568" s="1">
        <v>48471.0</v>
      </c>
      <c r="AC568" s="1">
        <v>69.343065693</v>
      </c>
      <c r="AD568" s="1">
        <v>62.295081967</v>
      </c>
      <c r="AE568" s="1">
        <v>5.4054054054</v>
      </c>
      <c r="AF568" s="1">
        <v>0.704225352099999</v>
      </c>
      <c r="AG568" s="1">
        <v>3.2863849765</v>
      </c>
      <c r="AH568" s="1">
        <v>1.0563380282</v>
      </c>
      <c r="AI568" s="1">
        <v>0.234741784</v>
      </c>
      <c r="AJ568" s="1">
        <v>44.483568075</v>
      </c>
      <c r="AK568" s="1">
        <v>51.17370892</v>
      </c>
      <c r="AL568" s="1">
        <v>21.4943705219999</v>
      </c>
      <c r="AM568" s="1">
        <v>49.295774648</v>
      </c>
      <c r="AN568" s="1">
        <v>100.0</v>
      </c>
      <c r="AO568" s="1">
        <v>14622.0</v>
      </c>
      <c r="AP568" s="1">
        <v>27.1</v>
      </c>
      <c r="AQ568" s="1">
        <v>4.7</v>
      </c>
      <c r="AR568" s="1">
        <v>30.5</v>
      </c>
      <c r="AS568" s="1">
        <v>11.5</v>
      </c>
      <c r="AT568" s="1">
        <v>32.7</v>
      </c>
      <c r="AU568" s="1">
        <v>11.6</v>
      </c>
      <c r="AV568" s="1">
        <v>48.3</v>
      </c>
      <c r="AW568" s="1">
        <v>22.8</v>
      </c>
      <c r="AX568" s="1">
        <v>0.907</v>
      </c>
      <c r="AY568" s="1">
        <v>14.5</v>
      </c>
      <c r="AZ568" s="1">
        <v>9.2</v>
      </c>
      <c r="BA568" s="1">
        <v>9.9</v>
      </c>
      <c r="BB568" s="1">
        <v>3.14</v>
      </c>
      <c r="BC568" s="1" t="s">
        <v>1075</v>
      </c>
      <c r="BD568" s="1">
        <v>40.2</v>
      </c>
      <c r="BE568" s="1">
        <v>28.0</v>
      </c>
      <c r="BF568" s="1">
        <v>19.6</v>
      </c>
      <c r="BG568" s="1">
        <v>12.2</v>
      </c>
      <c r="BH568" s="1" t="s">
        <v>1104</v>
      </c>
    </row>
    <row r="569">
      <c r="A569" s="1">
        <v>16035.0</v>
      </c>
      <c r="B569" s="2" t="str">
        <f>IFERROR(__xludf.DUMMYFUNCTION("TO_TEXT(A569)"),"16035")</f>
        <v>16035</v>
      </c>
      <c r="C569" s="1">
        <v>8528.0</v>
      </c>
      <c r="D569" s="1">
        <v>2457.19043896677</v>
      </c>
      <c r="E569" s="1" t="s">
        <v>1105</v>
      </c>
      <c r="F569" s="1" t="s">
        <v>1106</v>
      </c>
      <c r="G569" s="1">
        <v>3.47063046671546</v>
      </c>
      <c r="H569" s="1">
        <v>14.0684029609999</v>
      </c>
      <c r="I569" s="1">
        <v>3.7251427051</v>
      </c>
      <c r="J569" s="1">
        <v>5.80645161289999</v>
      </c>
      <c r="K569" s="1">
        <v>13.4851756729999</v>
      </c>
      <c r="L569" s="1">
        <v>32.3</v>
      </c>
      <c r="M569" s="1">
        <v>7.3</v>
      </c>
      <c r="N569" s="1">
        <v>25.6</v>
      </c>
      <c r="O569" s="1">
        <v>70.596963817</v>
      </c>
      <c r="P569" s="1">
        <v>12.508896797</v>
      </c>
      <c r="Q569" s="1">
        <v>117.01381</v>
      </c>
      <c r="R569" s="1">
        <v>80.555555556</v>
      </c>
      <c r="S569" s="1">
        <v>23.2</v>
      </c>
      <c r="T569" s="1">
        <v>1421.0</v>
      </c>
      <c r="U569" s="1">
        <v>26.671358198</v>
      </c>
      <c r="V569" s="1">
        <v>239.13677457</v>
      </c>
      <c r="W569" s="1">
        <v>9.5367847411</v>
      </c>
      <c r="X569" s="1">
        <v>7.666850524</v>
      </c>
      <c r="Y569" s="1">
        <v>77.512366824</v>
      </c>
      <c r="Z569" s="1">
        <v>12.1</v>
      </c>
      <c r="AA569" s="1">
        <v>7.620492746</v>
      </c>
      <c r="AB569" s="1">
        <v>46417.0</v>
      </c>
      <c r="AC569" s="1">
        <v>60.481712756</v>
      </c>
      <c r="AD569" s="1">
        <v>76.234151605</v>
      </c>
      <c r="AE569" s="1">
        <v>9.5483133219</v>
      </c>
      <c r="AF569" s="1">
        <v>0.6508335236</v>
      </c>
      <c r="AG569" s="1">
        <v>2.4320621146</v>
      </c>
      <c r="AH569" s="1">
        <v>0.7307604476</v>
      </c>
      <c r="AI569" s="1">
        <v>0.2169445079</v>
      </c>
      <c r="AJ569" s="1">
        <v>4.4302352135</v>
      </c>
      <c r="AK569" s="1">
        <v>89.80360813</v>
      </c>
      <c r="AL569" s="1">
        <v>0.0</v>
      </c>
      <c r="AM569" s="1">
        <v>44.987440055</v>
      </c>
      <c r="AN569" s="1">
        <v>58.61203059</v>
      </c>
      <c r="AO569" s="1">
        <v>21316.0</v>
      </c>
      <c r="AP569" s="1">
        <v>13.1</v>
      </c>
      <c r="AQ569" s="1">
        <v>6.6</v>
      </c>
      <c r="AR569" s="1">
        <v>12.1</v>
      </c>
      <c r="AS569" s="1">
        <v>24.8</v>
      </c>
      <c r="AT569" s="1">
        <v>15.2</v>
      </c>
      <c r="AU569" s="1">
        <v>25.9</v>
      </c>
      <c r="AV569" s="1">
        <v>8.8</v>
      </c>
      <c r="AW569" s="1">
        <v>0.0</v>
      </c>
      <c r="AX569" s="1">
        <v>0.3789</v>
      </c>
      <c r="AY569" s="1">
        <v>13.5</v>
      </c>
      <c r="AZ569" s="1">
        <v>14.6</v>
      </c>
      <c r="BA569" s="1">
        <v>19.5</v>
      </c>
      <c r="BB569" s="1">
        <v>3.36</v>
      </c>
      <c r="BC569" s="1" t="s">
        <v>1075</v>
      </c>
      <c r="BD569" s="1">
        <v>9.6</v>
      </c>
      <c r="BE569" s="1">
        <v>35.5</v>
      </c>
      <c r="BF569" s="1">
        <v>37.1</v>
      </c>
      <c r="BG569" s="1">
        <v>17.9</v>
      </c>
      <c r="BH569" s="1" t="s">
        <v>1106</v>
      </c>
    </row>
    <row r="570">
      <c r="A570" s="1">
        <v>16037.0</v>
      </c>
      <c r="B570" s="2" t="str">
        <f>IFERROR(__xludf.DUMMYFUNCTION("TO_TEXT(A570)"),"16037")</f>
        <v>16037</v>
      </c>
      <c r="C570" s="1">
        <v>4185.0</v>
      </c>
      <c r="D570" s="1">
        <v>4922.59194237148</v>
      </c>
      <c r="E570" s="1" t="s">
        <v>561</v>
      </c>
      <c r="F570" s="1" t="s">
        <v>1107</v>
      </c>
      <c r="G570" s="1">
        <v>0.850161875896595</v>
      </c>
      <c r="H570" s="1">
        <v>14.799893286</v>
      </c>
      <c r="I570" s="1">
        <v>3.975744754</v>
      </c>
      <c r="J570" s="1">
        <v>8.2089552239</v>
      </c>
      <c r="K570" s="1">
        <v>14.229165323</v>
      </c>
      <c r="L570" s="1">
        <v>27.9</v>
      </c>
      <c r="M570" s="1">
        <v>6.4</v>
      </c>
      <c r="N570" s="1">
        <v>25.5</v>
      </c>
      <c r="O570" s="1">
        <v>75.824175824</v>
      </c>
      <c r="P570" s="1">
        <v>13.766145479</v>
      </c>
      <c r="Q570" s="1">
        <v>48.31939</v>
      </c>
      <c r="R570" s="1">
        <v>93.023255814</v>
      </c>
      <c r="S570" s="1">
        <v>23.2</v>
      </c>
      <c r="T570" s="1">
        <v>710.0</v>
      </c>
      <c r="U570" s="1">
        <v>20.985915493</v>
      </c>
      <c r="V570" s="1">
        <v>60.153994225</v>
      </c>
      <c r="W570" s="1">
        <v>10.8333333329999</v>
      </c>
      <c r="X570" s="1">
        <v>8.62745098039999</v>
      </c>
      <c r="Y570" s="1">
        <v>81.70391103</v>
      </c>
      <c r="Z570" s="1">
        <v>7.9</v>
      </c>
      <c r="AA570" s="1">
        <v>17.100257919</v>
      </c>
      <c r="AB570" s="1">
        <v>47682.0</v>
      </c>
      <c r="AC570" s="1">
        <v>40.344827586</v>
      </c>
      <c r="AD570" s="1">
        <v>74.787052811</v>
      </c>
      <c r="AE570" s="1">
        <v>8.99371069179999</v>
      </c>
      <c r="AF570" s="1">
        <v>0.4205607477</v>
      </c>
      <c r="AG570" s="1">
        <v>0.8644859813</v>
      </c>
      <c r="AH570" s="1">
        <v>0.3504672897</v>
      </c>
      <c r="AI570" s="1">
        <v>0.046728972</v>
      </c>
      <c r="AJ570" s="1">
        <v>4.7429906542</v>
      </c>
      <c r="AK570" s="1">
        <v>91.682242991</v>
      </c>
      <c r="AL570" s="1">
        <v>0.9779338014</v>
      </c>
      <c r="AM570" s="1">
        <v>48.691588785</v>
      </c>
      <c r="AN570" s="1">
        <v>100.0</v>
      </c>
      <c r="AO570" s="1">
        <v>23624.0</v>
      </c>
      <c r="AP570" s="1">
        <v>20.6</v>
      </c>
      <c r="AQ570" s="1">
        <v>3.6</v>
      </c>
      <c r="AR570" s="1">
        <v>7.4</v>
      </c>
      <c r="AS570" s="1">
        <v>24.7</v>
      </c>
      <c r="AT570" s="1">
        <v>18.7</v>
      </c>
      <c r="AU570" s="1">
        <v>19.6</v>
      </c>
      <c r="AV570" s="1">
        <v>4.3</v>
      </c>
      <c r="AW570" s="1">
        <v>1.2</v>
      </c>
      <c r="AX570" s="1">
        <v>0.3359</v>
      </c>
      <c r="AY570" s="1">
        <v>13.0</v>
      </c>
      <c r="AZ570" s="1">
        <v>15.6</v>
      </c>
      <c r="BA570" s="1">
        <v>20.0</v>
      </c>
      <c r="BB570" s="1">
        <v>3.78</v>
      </c>
      <c r="BC570" s="1" t="s">
        <v>1075</v>
      </c>
      <c r="BD570" s="1">
        <v>10.6</v>
      </c>
      <c r="BE570" s="1">
        <v>28.6</v>
      </c>
      <c r="BF570" s="1">
        <v>36.4</v>
      </c>
      <c r="BG570" s="1">
        <v>24.4</v>
      </c>
      <c r="BH570" s="1" t="s">
        <v>1107</v>
      </c>
    </row>
    <row r="571">
      <c r="A571" s="1">
        <v>16039.0</v>
      </c>
      <c r="B571" s="2" t="str">
        <f>IFERROR(__xludf.DUMMYFUNCTION("TO_TEXT(A571)"),"16039")</f>
        <v>16039</v>
      </c>
      <c r="C571" s="1">
        <v>26103.0</v>
      </c>
      <c r="D571" s="1">
        <v>3074.9840502908</v>
      </c>
      <c r="E571" s="1" t="s">
        <v>110</v>
      </c>
      <c r="F571" s="1" t="s">
        <v>1108</v>
      </c>
      <c r="G571" s="1">
        <v>8.48882451846586</v>
      </c>
      <c r="H571" s="1">
        <v>16.42678851</v>
      </c>
      <c r="I571" s="1">
        <v>3.9607757651</v>
      </c>
      <c r="J571" s="1">
        <v>7.38192055049999</v>
      </c>
      <c r="K571" s="1">
        <v>15.6042806809999</v>
      </c>
      <c r="L571" s="1">
        <v>35.2</v>
      </c>
      <c r="M571" s="1">
        <v>7.0</v>
      </c>
      <c r="N571" s="1">
        <v>25.6</v>
      </c>
      <c r="O571" s="1">
        <v>88.346031511</v>
      </c>
      <c r="P571" s="1">
        <v>13.520624303</v>
      </c>
      <c r="Q571" s="1">
        <v>67.10659</v>
      </c>
      <c r="R571" s="1">
        <v>82.919254658</v>
      </c>
      <c r="S571" s="1">
        <v>20.1</v>
      </c>
      <c r="T571" s="1">
        <v>6648.0</v>
      </c>
      <c r="U571" s="1">
        <v>28.685318893</v>
      </c>
      <c r="V571" s="1">
        <v>181.0268459</v>
      </c>
      <c r="W571" s="1">
        <v>14.2929806709999</v>
      </c>
      <c r="X571" s="1">
        <v>10.6960081879999</v>
      </c>
      <c r="Y571" s="1">
        <v>78.221022507</v>
      </c>
      <c r="Z571" s="1">
        <v>10.9</v>
      </c>
      <c r="AA571" s="1">
        <v>12.997611193</v>
      </c>
      <c r="AB571" s="1">
        <v>49344.0</v>
      </c>
      <c r="AC571" s="1">
        <v>49.819494585</v>
      </c>
      <c r="AD571" s="1">
        <v>58.065143413</v>
      </c>
      <c r="AE571" s="1">
        <v>9.312365094</v>
      </c>
      <c r="AF571" s="1">
        <v>2.9825011923</v>
      </c>
      <c r="AG571" s="1">
        <v>1.6801790234</v>
      </c>
      <c r="AH571" s="1">
        <v>3.1292417183</v>
      </c>
      <c r="AI571" s="1">
        <v>0.4035364467</v>
      </c>
      <c r="AJ571" s="1">
        <v>17.381415312</v>
      </c>
      <c r="AK571" s="1">
        <v>72.456803258</v>
      </c>
      <c r="AL571" s="1">
        <v>2.8005913272</v>
      </c>
      <c r="AM571" s="1">
        <v>47.576947063</v>
      </c>
      <c r="AN571" s="1">
        <v>26.88438494</v>
      </c>
      <c r="AO571" s="1">
        <v>22045.0</v>
      </c>
      <c r="AP571" s="1">
        <v>18.1</v>
      </c>
      <c r="AQ571" s="1">
        <v>7.5</v>
      </c>
      <c r="AR571" s="1">
        <v>13.7</v>
      </c>
      <c r="AS571" s="1">
        <v>11.8</v>
      </c>
      <c r="AT571" s="1">
        <v>26.4</v>
      </c>
      <c r="AU571" s="1">
        <v>13.1</v>
      </c>
      <c r="AV571" s="1">
        <v>26.0</v>
      </c>
      <c r="AW571" s="1">
        <v>3.6</v>
      </c>
      <c r="AX571" s="1">
        <v>0.6132</v>
      </c>
      <c r="AY571" s="1">
        <v>14.1</v>
      </c>
      <c r="AZ571" s="1">
        <v>11.9</v>
      </c>
      <c r="BA571" s="1">
        <v>13.6</v>
      </c>
      <c r="BB571" s="1">
        <v>3.14</v>
      </c>
      <c r="BC571" s="1" t="s">
        <v>1075</v>
      </c>
      <c r="BD571" s="1">
        <v>10.1</v>
      </c>
      <c r="BE571" s="1">
        <v>26.8</v>
      </c>
      <c r="BF571" s="1">
        <v>44.4</v>
      </c>
      <c r="BG571" s="1">
        <v>18.7</v>
      </c>
      <c r="BH571" s="1" t="s">
        <v>1108</v>
      </c>
    </row>
    <row r="572">
      <c r="A572" s="1">
        <v>16041.0</v>
      </c>
      <c r="B572" s="2" t="str">
        <f>IFERROR(__xludf.DUMMYFUNCTION("TO_TEXT(A572)"),"16041")</f>
        <v>16041</v>
      </c>
      <c r="C572" s="1">
        <v>13013.0</v>
      </c>
      <c r="D572" s="1">
        <v>663.21616219336</v>
      </c>
      <c r="E572" s="1" t="s">
        <v>118</v>
      </c>
      <c r="F572" s="1" t="s">
        <v>1109</v>
      </c>
      <c r="G572" s="1">
        <v>19.6210538008663</v>
      </c>
      <c r="H572" s="1">
        <v>12.686364763</v>
      </c>
      <c r="I572" s="1">
        <v>3.7181705452</v>
      </c>
      <c r="J572" s="1">
        <v>8.3211678832</v>
      </c>
      <c r="K572" s="1">
        <v>13.216661759</v>
      </c>
      <c r="L572" s="1">
        <v>33.5</v>
      </c>
      <c r="M572" s="1">
        <v>8.3</v>
      </c>
      <c r="N572" s="1">
        <v>27.6</v>
      </c>
      <c r="O572" s="1">
        <v>66.596277178</v>
      </c>
      <c r="P572" s="1">
        <v>11.8455158109999</v>
      </c>
      <c r="Q572" s="1">
        <v>36.86228</v>
      </c>
      <c r="R572" s="1">
        <v>84.150943396</v>
      </c>
      <c r="S572" s="1">
        <v>12.0</v>
      </c>
      <c r="T572" s="1">
        <v>4402.0</v>
      </c>
      <c r="U572" s="1">
        <v>10.995002272</v>
      </c>
      <c r="V572" s="1">
        <v>38.20001528</v>
      </c>
      <c r="W572" s="1">
        <v>12.781065089</v>
      </c>
      <c r="X572" s="1">
        <v>9.8081023454</v>
      </c>
      <c r="Y572" s="1">
        <v>77.290857358</v>
      </c>
      <c r="Z572" s="1">
        <v>7.7</v>
      </c>
      <c r="AA572" s="1">
        <v>3.4327782805</v>
      </c>
      <c r="AB572" s="1">
        <v>58170.0</v>
      </c>
      <c r="AC572" s="1">
        <v>43.359611886</v>
      </c>
      <c r="AD572" s="1">
        <v>80.810433163</v>
      </c>
      <c r="AE572" s="1">
        <v>7.7621208503</v>
      </c>
      <c r="AF572" s="1">
        <v>0.2622759726</v>
      </c>
      <c r="AG572" s="1">
        <v>0.9835348973</v>
      </c>
      <c r="AH572" s="1">
        <v>0.2185633105</v>
      </c>
      <c r="AI572" s="1">
        <v>0.0509981058</v>
      </c>
      <c r="AJ572" s="1">
        <v>6.6953227452</v>
      </c>
      <c r="AK572" s="1">
        <v>91.053475157</v>
      </c>
      <c r="AL572" s="1">
        <v>0.5384238864</v>
      </c>
      <c r="AM572" s="1">
        <v>48.8416144539999</v>
      </c>
      <c r="AN572" s="1">
        <v>66.189582356</v>
      </c>
      <c r="AO572" s="1">
        <v>19985.0</v>
      </c>
      <c r="AP572" s="1">
        <v>12.4</v>
      </c>
      <c r="AQ572" s="1">
        <v>3.8</v>
      </c>
      <c r="AR572" s="1">
        <v>10.0</v>
      </c>
      <c r="AS572" s="1">
        <v>13.6</v>
      </c>
      <c r="AT572" s="1">
        <v>34.1</v>
      </c>
      <c r="AU572" s="1">
        <v>14.0</v>
      </c>
      <c r="AV572" s="1">
        <v>8.6</v>
      </c>
      <c r="AW572" s="1">
        <v>1.1</v>
      </c>
      <c r="AX572" s="1">
        <v>0.1831</v>
      </c>
      <c r="AY572" s="1">
        <v>8.2</v>
      </c>
      <c r="AZ572" s="1">
        <v>9.5</v>
      </c>
      <c r="BA572" s="1">
        <v>12.6</v>
      </c>
      <c r="BB572" s="1">
        <v>3.08</v>
      </c>
      <c r="BC572" s="1" t="s">
        <v>1075</v>
      </c>
      <c r="BD572" s="1">
        <v>9.7</v>
      </c>
      <c r="BE572" s="1">
        <v>37.8</v>
      </c>
      <c r="BF572" s="1">
        <v>34.8</v>
      </c>
      <c r="BG572" s="1">
        <v>17.7</v>
      </c>
      <c r="BH572" s="1" t="s">
        <v>1109</v>
      </c>
    </row>
    <row r="573">
      <c r="A573" s="1">
        <v>16043.0</v>
      </c>
      <c r="B573" s="2" t="str">
        <f>IFERROR(__xludf.DUMMYFUNCTION("TO_TEXT(A573)"),"16043")</f>
        <v>16043</v>
      </c>
      <c r="C573" s="1">
        <v>12896.0</v>
      </c>
      <c r="D573" s="1">
        <v>1863.82478534963</v>
      </c>
      <c r="E573" s="1" t="s">
        <v>577</v>
      </c>
      <c r="F573" s="1" t="s">
        <v>1110</v>
      </c>
      <c r="G573" s="1">
        <v>6.91910532651323</v>
      </c>
      <c r="H573" s="1">
        <v>15.614298997</v>
      </c>
      <c r="I573" s="1">
        <v>3.956874355</v>
      </c>
      <c r="J573" s="1">
        <v>6.6718386346</v>
      </c>
      <c r="K573" s="1">
        <v>13.97382645</v>
      </c>
      <c r="L573" s="1">
        <v>29.7</v>
      </c>
      <c r="M573" s="1">
        <v>8.4</v>
      </c>
      <c r="N573" s="1">
        <v>22.3</v>
      </c>
      <c r="O573" s="1">
        <v>63.27594019</v>
      </c>
      <c r="P573" s="1">
        <v>14.041360649</v>
      </c>
      <c r="Q573" s="1">
        <v>22.91126</v>
      </c>
      <c r="R573" s="1">
        <v>86.554621849</v>
      </c>
      <c r="S573" s="1">
        <v>22.2</v>
      </c>
      <c r="T573" s="1">
        <v>3391.0</v>
      </c>
      <c r="U573" s="1">
        <v>14.803892657</v>
      </c>
      <c r="V573" s="1">
        <v>81.528068949</v>
      </c>
      <c r="W573" s="1">
        <v>13.66181411</v>
      </c>
      <c r="X573" s="1">
        <v>8.4459459459</v>
      </c>
      <c r="Y573" s="1">
        <v>80.524349097</v>
      </c>
      <c r="Z573" s="1">
        <v>11.4</v>
      </c>
      <c r="AA573" s="1">
        <v>4.247476968</v>
      </c>
      <c r="AB573" s="1">
        <v>51155.0</v>
      </c>
      <c r="AC573" s="1">
        <v>50.324675325</v>
      </c>
      <c r="AD573" s="1">
        <v>81.294964029</v>
      </c>
      <c r="AE573" s="1">
        <v>7.9104121992</v>
      </c>
      <c r="AF573" s="1">
        <v>0.3189550425</v>
      </c>
      <c r="AG573" s="1">
        <v>1.0404009721</v>
      </c>
      <c r="AH573" s="1">
        <v>0.3417375456</v>
      </c>
      <c r="AI573" s="1">
        <v>0.4100850547</v>
      </c>
      <c r="AJ573" s="1">
        <v>12.492405832</v>
      </c>
      <c r="AK573" s="1">
        <v>84.963547995</v>
      </c>
      <c r="AL573" s="1">
        <v>2.6127091404</v>
      </c>
      <c r="AM573" s="1">
        <v>47.691373026</v>
      </c>
      <c r="AN573" s="1">
        <v>72.043497961</v>
      </c>
      <c r="AO573" s="1">
        <v>21196.0</v>
      </c>
      <c r="AP573" s="1">
        <v>12.0</v>
      </c>
      <c r="AQ573" s="1">
        <v>5.2</v>
      </c>
      <c r="AR573" s="1">
        <v>12.6</v>
      </c>
      <c r="AS573" s="1">
        <v>16.2</v>
      </c>
      <c r="AT573" s="1">
        <v>28.1</v>
      </c>
      <c r="AU573" s="1">
        <v>12.8</v>
      </c>
      <c r="AV573" s="1">
        <v>14.7</v>
      </c>
      <c r="AW573" s="1">
        <v>2.7</v>
      </c>
      <c r="AX573" s="1">
        <v>0.4298</v>
      </c>
      <c r="AY573" s="1">
        <v>12.7</v>
      </c>
      <c r="AZ573" s="1">
        <v>9.6</v>
      </c>
      <c r="BA573" s="1">
        <v>11.6</v>
      </c>
      <c r="BB573" s="1">
        <v>3.26</v>
      </c>
      <c r="BC573" s="1" t="s">
        <v>1075</v>
      </c>
      <c r="BD573" s="1">
        <v>13.4</v>
      </c>
      <c r="BE573" s="1">
        <v>30.2</v>
      </c>
      <c r="BF573" s="1">
        <v>34.7</v>
      </c>
      <c r="BG573" s="1">
        <v>21.7</v>
      </c>
      <c r="BH573" s="1" t="s">
        <v>1110</v>
      </c>
    </row>
    <row r="574">
      <c r="A574" s="1">
        <v>16045.0</v>
      </c>
      <c r="B574" s="2" t="str">
        <f>IFERROR(__xludf.DUMMYFUNCTION("TO_TEXT(A574)"),"16045")</f>
        <v>16045</v>
      </c>
      <c r="C574" s="1">
        <v>16853.0</v>
      </c>
      <c r="D574" s="1">
        <v>559.791516366634</v>
      </c>
      <c r="E574" s="1" t="s">
        <v>1111</v>
      </c>
      <c r="F574" s="1" t="s">
        <v>1112</v>
      </c>
      <c r="G574" s="1">
        <v>30.1058510307293</v>
      </c>
      <c r="H574" s="1">
        <v>15.9912305059999</v>
      </c>
      <c r="I574" s="1">
        <v>3.9841248656</v>
      </c>
      <c r="J574" s="1">
        <v>8.1734186212</v>
      </c>
      <c r="K574" s="1">
        <v>14.071103765</v>
      </c>
      <c r="L574" s="1">
        <v>37.6</v>
      </c>
      <c r="M574" s="1">
        <v>6.9</v>
      </c>
      <c r="N574" s="1">
        <v>32.1</v>
      </c>
      <c r="O574" s="1">
        <v>73.903941623</v>
      </c>
      <c r="P574" s="1">
        <v>14.15480891</v>
      </c>
      <c r="Q574" s="1">
        <v>57.54071</v>
      </c>
      <c r="R574" s="1">
        <v>80.952380952</v>
      </c>
      <c r="S574" s="1">
        <v>20.1</v>
      </c>
      <c r="T574" s="1">
        <v>3931.0</v>
      </c>
      <c r="U574" s="1">
        <v>38.387178835</v>
      </c>
      <c r="V574" s="1">
        <v>183.43195266</v>
      </c>
      <c r="W574" s="1">
        <v>15.274463007</v>
      </c>
      <c r="X574" s="1">
        <v>14.379084967</v>
      </c>
      <c r="Y574" s="1">
        <v>77.521748041</v>
      </c>
      <c r="Z574" s="1">
        <v>11.5</v>
      </c>
      <c r="AA574" s="1">
        <v>12.409023119</v>
      </c>
      <c r="AB574" s="1">
        <v>49857.0</v>
      </c>
      <c r="AC574" s="1">
        <v>52.959747435</v>
      </c>
      <c r="AD574" s="1">
        <v>73.46194744</v>
      </c>
      <c r="AE574" s="1">
        <v>13.559052615</v>
      </c>
      <c r="AF574" s="1">
        <v>0.2381762504</v>
      </c>
      <c r="AG574" s="1">
        <v>1.2022229783</v>
      </c>
      <c r="AH574" s="1">
        <v>1.0831348531</v>
      </c>
      <c r="AI574" s="1">
        <v>0.158784167</v>
      </c>
      <c r="AJ574" s="1">
        <v>8.3701939435</v>
      </c>
      <c r="AK574" s="1">
        <v>87.620505841</v>
      </c>
      <c r="AL574" s="1">
        <v>1.165819174</v>
      </c>
      <c r="AM574" s="1">
        <v>50.0226834519999</v>
      </c>
      <c r="AN574" s="1">
        <v>45.020635205</v>
      </c>
      <c r="AO574" s="1">
        <v>18745.0</v>
      </c>
      <c r="AP574" s="1">
        <v>22.2</v>
      </c>
      <c r="AQ574" s="1">
        <v>9.0</v>
      </c>
      <c r="AR574" s="1">
        <v>12.7</v>
      </c>
      <c r="AS574" s="1">
        <v>21.4</v>
      </c>
      <c r="AT574" s="1">
        <v>23.2</v>
      </c>
      <c r="AU574" s="1">
        <v>20.3</v>
      </c>
      <c r="AV574" s="1">
        <v>11.8</v>
      </c>
      <c r="AW574" s="1">
        <v>1.0</v>
      </c>
      <c r="AX574" s="1">
        <v>0.7065</v>
      </c>
      <c r="AY574" s="1">
        <v>12.7</v>
      </c>
      <c r="AZ574" s="1">
        <v>13.9</v>
      </c>
      <c r="BA574" s="1">
        <v>18.1</v>
      </c>
      <c r="BB574" s="1">
        <v>3.3</v>
      </c>
      <c r="BC574" s="1" t="s">
        <v>1075</v>
      </c>
      <c r="BD574" s="1">
        <v>12.2</v>
      </c>
      <c r="BE574" s="1">
        <v>37.0</v>
      </c>
      <c r="BF574" s="1">
        <v>33.4</v>
      </c>
      <c r="BG574" s="1">
        <v>17.5</v>
      </c>
      <c r="BH574" s="1" t="s">
        <v>1112</v>
      </c>
    </row>
    <row r="575">
      <c r="A575" s="1">
        <v>16047.0</v>
      </c>
      <c r="B575" s="2" t="str">
        <f>IFERROR(__xludf.DUMMYFUNCTION("TO_TEXT(A575)"),"16047")</f>
        <v>16047</v>
      </c>
      <c r="C575" s="1">
        <v>15157.0</v>
      </c>
      <c r="D575" s="1">
        <v>729.283324839432</v>
      </c>
      <c r="E575" s="1" t="s">
        <v>1113</v>
      </c>
      <c r="F575" s="1" t="s">
        <v>1114</v>
      </c>
      <c r="G575" s="1">
        <v>20.7834177524039</v>
      </c>
      <c r="H575" s="1">
        <v>17.375188322</v>
      </c>
      <c r="I575" s="1">
        <v>3.9518415936</v>
      </c>
      <c r="J575" s="1">
        <v>7.3602264685</v>
      </c>
      <c r="K575" s="1">
        <v>14.635184187</v>
      </c>
      <c r="L575" s="1">
        <v>33.7</v>
      </c>
      <c r="M575" s="1">
        <v>8.8</v>
      </c>
      <c r="N575" s="1">
        <v>28.2</v>
      </c>
      <c r="O575" s="1">
        <v>72.801345059</v>
      </c>
      <c r="P575" s="1">
        <v>19.6817625459999</v>
      </c>
      <c r="Q575" s="1">
        <v>33.06004</v>
      </c>
      <c r="R575" s="1">
        <v>78.733031674</v>
      </c>
      <c r="S575" s="1">
        <v>19.6</v>
      </c>
      <c r="T575" s="1">
        <v>4092.0</v>
      </c>
      <c r="U575" s="1">
        <v>30.376344086</v>
      </c>
      <c r="V575" s="1">
        <v>157.72870662</v>
      </c>
      <c r="W575" s="1">
        <v>18.630136986</v>
      </c>
      <c r="X575" s="1">
        <v>10.867579909</v>
      </c>
      <c r="Y575" s="1">
        <v>77.502830535</v>
      </c>
      <c r="Z575" s="1">
        <v>10.7</v>
      </c>
      <c r="AA575" s="1">
        <v>0.5942163906</v>
      </c>
      <c r="AB575" s="1">
        <v>51302.0</v>
      </c>
      <c r="AC575" s="1">
        <v>60.907715582</v>
      </c>
      <c r="AD575" s="1">
        <v>68.259826536</v>
      </c>
      <c r="AE575" s="1">
        <v>7.9355840124</v>
      </c>
      <c r="AF575" s="1">
        <v>0.3092919189</v>
      </c>
      <c r="AG575" s="1">
        <v>2.0992366412</v>
      </c>
      <c r="AH575" s="1">
        <v>0.829165569899999</v>
      </c>
      <c r="AI575" s="1">
        <v>0.2500658068</v>
      </c>
      <c r="AJ575" s="1">
        <v>29.494603843</v>
      </c>
      <c r="AK575" s="1">
        <v>67.24137931</v>
      </c>
      <c r="AL575" s="1">
        <v>6.8434075645</v>
      </c>
      <c r="AM575" s="1">
        <v>49.091866281</v>
      </c>
      <c r="AN575" s="1">
        <v>58.0832902219999</v>
      </c>
      <c r="AO575" s="1">
        <v>20418.0</v>
      </c>
      <c r="AP575" s="1">
        <v>15.6</v>
      </c>
      <c r="AQ575" s="1">
        <v>4.3</v>
      </c>
      <c r="AR575" s="1">
        <v>23.7</v>
      </c>
      <c r="AS575" s="1">
        <v>16.5</v>
      </c>
      <c r="AT575" s="1">
        <v>28.4</v>
      </c>
      <c r="AU575" s="1">
        <v>14.7</v>
      </c>
      <c r="AV575" s="1">
        <v>31.9</v>
      </c>
      <c r="AW575" s="1">
        <v>8.8</v>
      </c>
      <c r="AX575" s="1">
        <v>0.6125</v>
      </c>
      <c r="AY575" s="1">
        <v>15.1</v>
      </c>
      <c r="AZ575" s="1">
        <v>10.5</v>
      </c>
      <c r="BA575" s="1">
        <v>12.9</v>
      </c>
      <c r="BB575" s="1">
        <v>3.07</v>
      </c>
      <c r="BC575" s="1" t="s">
        <v>1075</v>
      </c>
      <c r="BD575" s="1">
        <v>20.9</v>
      </c>
      <c r="BE575" s="1">
        <v>35.0</v>
      </c>
      <c r="BF575" s="1">
        <v>26.9</v>
      </c>
      <c r="BG575" s="1">
        <v>17.2</v>
      </c>
      <c r="BH575" s="1" t="s">
        <v>1114</v>
      </c>
    </row>
    <row r="576">
      <c r="A576" s="1">
        <v>16049.0</v>
      </c>
      <c r="B576" s="2" t="str">
        <f>IFERROR(__xludf.DUMMYFUNCTION("TO_TEXT(A576)"),"16049")</f>
        <v>16049</v>
      </c>
      <c r="C576" s="1">
        <v>16251.0</v>
      </c>
      <c r="D576" s="1">
        <v>8477.3190265512</v>
      </c>
      <c r="E576" s="1" t="s">
        <v>1115</v>
      </c>
      <c r="F576" s="1" t="s">
        <v>1116</v>
      </c>
      <c r="G576" s="1">
        <v>1.91699757306542</v>
      </c>
      <c r="H576" s="1">
        <v>16.935162072</v>
      </c>
      <c r="I576" s="1">
        <v>4.0399044271</v>
      </c>
      <c r="J576" s="1">
        <v>5.4579093432</v>
      </c>
      <c r="K576" s="1">
        <v>14.08857112</v>
      </c>
      <c r="L576" s="1">
        <v>31.9</v>
      </c>
      <c r="M576" s="1">
        <v>6.9</v>
      </c>
      <c r="N576" s="1">
        <v>26.9</v>
      </c>
      <c r="O576" s="1">
        <v>63.7855781639999</v>
      </c>
      <c r="P576" s="1">
        <v>15.87357331</v>
      </c>
      <c r="Q576" s="1">
        <v>61.09109</v>
      </c>
      <c r="R576" s="1">
        <v>84.920634921</v>
      </c>
      <c r="S576" s="1">
        <v>21.7</v>
      </c>
      <c r="T576" s="1">
        <v>3238.0</v>
      </c>
      <c r="U576" s="1">
        <v>14.546016059</v>
      </c>
      <c r="V576" s="1">
        <v>135.15173854</v>
      </c>
      <c r="W576" s="1">
        <v>15.1280062059999</v>
      </c>
      <c r="X576" s="1">
        <v>10.74108818</v>
      </c>
      <c r="Y576" s="1">
        <v>79.278313078</v>
      </c>
      <c r="Z576" s="1">
        <v>10.2</v>
      </c>
      <c r="AA576" s="1">
        <v>13.832269488</v>
      </c>
      <c r="AB576" s="1">
        <v>40569.0</v>
      </c>
      <c r="AC576" s="1">
        <v>47.088465845</v>
      </c>
      <c r="AD576" s="1">
        <v>77.946180019</v>
      </c>
      <c r="AE576" s="1">
        <v>14.420880914</v>
      </c>
      <c r="AF576" s="1">
        <v>0.4905226185</v>
      </c>
      <c r="AG576" s="1">
        <v>3.1490340943</v>
      </c>
      <c r="AH576" s="1">
        <v>0.6237509841</v>
      </c>
      <c r="AI576" s="1">
        <v>0.0666141828</v>
      </c>
      <c r="AJ576" s="1">
        <v>3.4518258342</v>
      </c>
      <c r="AK576" s="1">
        <v>90.686126082</v>
      </c>
      <c r="AL576" s="1">
        <v>0.8607399794</v>
      </c>
      <c r="AM576" s="1">
        <v>47.53224732</v>
      </c>
      <c r="AN576" s="1">
        <v>80.6356427119999</v>
      </c>
      <c r="AO576" s="1">
        <v>19524.0</v>
      </c>
      <c r="AP576" s="1">
        <v>16.1</v>
      </c>
      <c r="AQ576" s="1">
        <v>6.4</v>
      </c>
      <c r="AR576" s="1">
        <v>11.6</v>
      </c>
      <c r="AS576" s="1">
        <v>24.1</v>
      </c>
      <c r="AT576" s="1">
        <v>20.2</v>
      </c>
      <c r="AU576" s="1">
        <v>22.4</v>
      </c>
      <c r="AV576" s="1">
        <v>8.5</v>
      </c>
      <c r="AW576" s="1">
        <v>0.8</v>
      </c>
      <c r="AX576" s="1">
        <v>0.5791</v>
      </c>
      <c r="AY576" s="1">
        <v>13.8</v>
      </c>
      <c r="AZ576" s="1">
        <v>14.1</v>
      </c>
      <c r="BA576" s="1">
        <v>17.3</v>
      </c>
      <c r="BB576" s="1">
        <v>3.42</v>
      </c>
      <c r="BC576" s="1" t="s">
        <v>1075</v>
      </c>
      <c r="BD576" s="1">
        <v>9.5</v>
      </c>
      <c r="BE576" s="1">
        <v>36.1</v>
      </c>
      <c r="BF576" s="1">
        <v>34.6</v>
      </c>
      <c r="BG576" s="1">
        <v>19.8</v>
      </c>
      <c r="BH576" s="1" t="s">
        <v>1116</v>
      </c>
    </row>
    <row r="577">
      <c r="A577" s="1">
        <v>16051.0</v>
      </c>
      <c r="B577" s="2" t="str">
        <f>IFERROR(__xludf.DUMMYFUNCTION("TO_TEXT(A577)"),"16051")</f>
        <v>16051</v>
      </c>
      <c r="C577" s="1">
        <v>27096.0</v>
      </c>
      <c r="D577" s="1">
        <v>1093.75956533217</v>
      </c>
      <c r="E577" s="1" t="s">
        <v>132</v>
      </c>
      <c r="F577" s="1" t="s">
        <v>1117</v>
      </c>
      <c r="G577" s="1">
        <v>24.7732690609851</v>
      </c>
      <c r="H577" s="1">
        <v>13.3352164479999</v>
      </c>
      <c r="I577" s="1">
        <v>3.7214315961</v>
      </c>
      <c r="J577" s="1">
        <v>7.3333333333</v>
      </c>
      <c r="K577" s="1">
        <v>13.068839393</v>
      </c>
      <c r="L577" s="1">
        <v>31.9</v>
      </c>
      <c r="M577" s="1">
        <v>8.4</v>
      </c>
      <c r="N577" s="1">
        <v>22.5</v>
      </c>
      <c r="O577" s="1">
        <v>66.155317521</v>
      </c>
      <c r="P577" s="1">
        <v>12.529048802</v>
      </c>
      <c r="Q577" s="1">
        <v>24.60803</v>
      </c>
      <c r="R577" s="1">
        <v>89.7435897439999</v>
      </c>
      <c r="S577" s="1">
        <v>11.0</v>
      </c>
      <c r="T577" s="1">
        <v>9628.0</v>
      </c>
      <c r="U577" s="1">
        <v>14.592854175</v>
      </c>
      <c r="V577" s="1">
        <v>51.0920934989999</v>
      </c>
      <c r="W577" s="1">
        <v>11.840490798</v>
      </c>
      <c r="X577" s="1">
        <v>7.1296638345</v>
      </c>
      <c r="Y577" s="1">
        <v>79.823115271</v>
      </c>
      <c r="Z577" s="1">
        <v>10.9</v>
      </c>
      <c r="AA577" s="1">
        <v>5.9427876186</v>
      </c>
      <c r="AB577" s="1">
        <v>61927.0</v>
      </c>
      <c r="AC577" s="1">
        <v>40.287068004</v>
      </c>
      <c r="AD577" s="1">
        <v>79.669249451</v>
      </c>
      <c r="AE577" s="1">
        <v>8.0818965517</v>
      </c>
      <c r="AF577" s="1">
        <v>0.2819389246</v>
      </c>
      <c r="AG577" s="1">
        <v>1.338360678</v>
      </c>
      <c r="AH577" s="1">
        <v>0.669180339</v>
      </c>
      <c r="AI577" s="1">
        <v>0.1222867625</v>
      </c>
      <c r="AJ577" s="1">
        <v>10.618567207</v>
      </c>
      <c r="AK577" s="1">
        <v>86.531471857</v>
      </c>
      <c r="AL577" s="1">
        <v>2.2696981576</v>
      </c>
      <c r="AM577" s="1">
        <v>49.210231326</v>
      </c>
      <c r="AN577" s="1">
        <v>66.610558531</v>
      </c>
      <c r="AO577" s="1">
        <v>20750.0</v>
      </c>
      <c r="AP577" s="1">
        <v>11.2</v>
      </c>
      <c r="AQ577" s="1">
        <v>4.8</v>
      </c>
      <c r="AR577" s="1">
        <v>12.6</v>
      </c>
      <c r="AS577" s="1">
        <v>10.5</v>
      </c>
      <c r="AT577" s="1">
        <v>34.9</v>
      </c>
      <c r="AU577" s="1">
        <v>12.2</v>
      </c>
      <c r="AV577" s="1">
        <v>12.8</v>
      </c>
      <c r="AW577" s="1">
        <v>2.2</v>
      </c>
      <c r="AX577" s="1">
        <v>0.2993</v>
      </c>
      <c r="AY577" s="1">
        <v>9.2</v>
      </c>
      <c r="AZ577" s="1">
        <v>7.6</v>
      </c>
      <c r="BA577" s="1">
        <v>9.2</v>
      </c>
      <c r="BB577" s="1">
        <v>3.21</v>
      </c>
      <c r="BC577" s="1" t="s">
        <v>1075</v>
      </c>
      <c r="BD577" s="1">
        <v>9.8</v>
      </c>
      <c r="BE577" s="1">
        <v>25.5</v>
      </c>
      <c r="BF577" s="1">
        <v>40.0</v>
      </c>
      <c r="BG577" s="1">
        <v>24.7</v>
      </c>
      <c r="BH577" s="1" t="s">
        <v>1117</v>
      </c>
    </row>
    <row r="578">
      <c r="A578" s="1">
        <v>16053.0</v>
      </c>
      <c r="B578" s="2" t="str">
        <f>IFERROR(__xludf.DUMMYFUNCTION("TO_TEXT(A578)"),"16053")</f>
        <v>16053</v>
      </c>
      <c r="C578" s="1">
        <v>22694.0</v>
      </c>
      <c r="D578" s="1">
        <v>597.198642611938</v>
      </c>
      <c r="E578" s="1" t="s">
        <v>1118</v>
      </c>
      <c r="F578" s="1" t="s">
        <v>1119</v>
      </c>
      <c r="G578" s="1">
        <v>38.0007561650582</v>
      </c>
      <c r="H578" s="1">
        <v>17.255989744</v>
      </c>
      <c r="I578" s="1">
        <v>3.8598166861</v>
      </c>
      <c r="J578" s="1">
        <v>7.6114534252</v>
      </c>
      <c r="K578" s="1">
        <v>14.845888554</v>
      </c>
      <c r="L578" s="1">
        <v>31.8</v>
      </c>
      <c r="M578" s="1">
        <v>7.8</v>
      </c>
      <c r="N578" s="1">
        <v>28.4</v>
      </c>
      <c r="O578" s="1">
        <v>72.4412264239999</v>
      </c>
      <c r="P578" s="1">
        <v>20.493471678</v>
      </c>
      <c r="Q578" s="1">
        <v>38.09201</v>
      </c>
      <c r="R578" s="1">
        <v>78.827361564</v>
      </c>
      <c r="S578" s="1">
        <v>17.5</v>
      </c>
      <c r="T578" s="1">
        <v>7252.0</v>
      </c>
      <c r="U578" s="1">
        <v>27.523441809</v>
      </c>
      <c r="V578" s="1">
        <v>277.78992957</v>
      </c>
      <c r="W578" s="1">
        <v>16.219751472</v>
      </c>
      <c r="X578" s="1">
        <v>10.761154856</v>
      </c>
      <c r="Y578" s="1">
        <v>78.286253842</v>
      </c>
      <c r="Z578" s="1">
        <v>6.9</v>
      </c>
      <c r="AA578" s="1">
        <v>11.782322665</v>
      </c>
      <c r="AB578" s="1">
        <v>54020.0</v>
      </c>
      <c r="AC578" s="1">
        <v>62.576299726</v>
      </c>
      <c r="AD578" s="1">
        <v>63.9115993869999</v>
      </c>
      <c r="AE578" s="1">
        <v>11.115591398</v>
      </c>
      <c r="AF578" s="1">
        <v>0.362273579</v>
      </c>
      <c r="AG578" s="1">
        <v>2.2402665001</v>
      </c>
      <c r="AH578" s="1">
        <v>0.5829689777</v>
      </c>
      <c r="AI578" s="1">
        <v>0.1998750781</v>
      </c>
      <c r="AJ578" s="1">
        <v>36.356443889</v>
      </c>
      <c r="AK578" s="1">
        <v>61.128461378</v>
      </c>
      <c r="AL578" s="1">
        <v>11.5136499629999</v>
      </c>
      <c r="AM578" s="1">
        <v>49.027691026</v>
      </c>
      <c r="AN578" s="1">
        <v>51.318494681</v>
      </c>
      <c r="AO578" s="1">
        <v>18214.0</v>
      </c>
      <c r="AP578" s="1">
        <v>16.9</v>
      </c>
      <c r="AQ578" s="1">
        <v>5.1</v>
      </c>
      <c r="AR578" s="1">
        <v>25.0</v>
      </c>
      <c r="AS578" s="1">
        <v>12.5</v>
      </c>
      <c r="AT578" s="1">
        <v>31.0</v>
      </c>
      <c r="AU578" s="1">
        <v>11.6</v>
      </c>
      <c r="AV578" s="1">
        <v>36.0</v>
      </c>
      <c r="AW578" s="1">
        <v>11.5</v>
      </c>
      <c r="AX578" s="1">
        <v>0.6202</v>
      </c>
      <c r="AY578" s="1">
        <v>14.2</v>
      </c>
      <c r="AZ578" s="1">
        <v>10.6</v>
      </c>
      <c r="BA578" s="1">
        <v>12.2</v>
      </c>
      <c r="BB578" s="1">
        <v>2.85</v>
      </c>
      <c r="BC578" s="1" t="s">
        <v>1075</v>
      </c>
      <c r="BD578" s="1">
        <v>22.8</v>
      </c>
      <c r="BE578" s="1">
        <v>30.6</v>
      </c>
      <c r="BF578" s="1">
        <v>30.5</v>
      </c>
      <c r="BG578" s="1">
        <v>16.1</v>
      </c>
      <c r="BH578" s="1" t="s">
        <v>1119</v>
      </c>
    </row>
    <row r="579">
      <c r="A579" s="1">
        <v>16055.0</v>
      </c>
      <c r="B579" s="2" t="str">
        <f>IFERROR(__xludf.DUMMYFUNCTION("TO_TEXT(A579)"),"16055")</f>
        <v>16055</v>
      </c>
      <c r="C579" s="1">
        <v>147716.0</v>
      </c>
      <c r="D579" s="1">
        <v>1237.55655250145</v>
      </c>
      <c r="E579" s="1" t="s">
        <v>1120</v>
      </c>
      <c r="F579" s="1" t="s">
        <v>1121</v>
      </c>
      <c r="G579" s="1">
        <v>119.361009968736</v>
      </c>
      <c r="H579" s="1">
        <v>13.5486487379999</v>
      </c>
      <c r="I579" s="1">
        <v>3.9416594314</v>
      </c>
      <c r="J579" s="1">
        <v>5.4843132511</v>
      </c>
      <c r="K579" s="1">
        <v>14.219169868</v>
      </c>
      <c r="L579" s="1">
        <v>26.4</v>
      </c>
      <c r="M579" s="1">
        <v>7.6</v>
      </c>
      <c r="N579" s="1">
        <v>19.9</v>
      </c>
      <c r="O579" s="1">
        <v>85.516340058</v>
      </c>
      <c r="P579" s="1">
        <v>10.121583868</v>
      </c>
      <c r="Q579" s="1">
        <v>78.0273699999999</v>
      </c>
      <c r="R579" s="1">
        <v>88.194444444</v>
      </c>
      <c r="S579" s="1">
        <v>12.6</v>
      </c>
      <c r="T579" s="1">
        <v>35291.0</v>
      </c>
      <c r="U579" s="1">
        <v>30.6055368219999</v>
      </c>
      <c r="V579" s="1">
        <v>255.34153178</v>
      </c>
      <c r="W579" s="1">
        <v>15.6252730929999</v>
      </c>
      <c r="X579" s="1">
        <v>12.928596677</v>
      </c>
      <c r="Y579" s="1">
        <v>79.368782206</v>
      </c>
      <c r="Z579" s="1">
        <v>7.8</v>
      </c>
      <c r="AA579" s="1">
        <v>7.7847492827</v>
      </c>
      <c r="AB579" s="1">
        <v>56188.0</v>
      </c>
      <c r="AC579" s="1">
        <v>37.836521431</v>
      </c>
      <c r="AD579" s="1">
        <v>70.474568987</v>
      </c>
      <c r="AE579" s="1">
        <v>12.6554399759999</v>
      </c>
      <c r="AF579" s="1">
        <v>0.3764589332</v>
      </c>
      <c r="AG579" s="1">
        <v>1.3473267082</v>
      </c>
      <c r="AH579" s="1">
        <v>0.960960961</v>
      </c>
      <c r="AI579" s="1">
        <v>0.1362186929</v>
      </c>
      <c r="AJ579" s="1">
        <v>4.788706232</v>
      </c>
      <c r="AK579" s="1">
        <v>90.447354571</v>
      </c>
      <c r="AL579" s="1">
        <v>0.2694111047</v>
      </c>
      <c r="AM579" s="1">
        <v>50.605863596</v>
      </c>
      <c r="AN579" s="1">
        <v>24.2443715969999</v>
      </c>
      <c r="AO579" s="1">
        <v>26514.0</v>
      </c>
      <c r="AP579" s="1">
        <v>12.6</v>
      </c>
      <c r="AQ579" s="1">
        <v>7.1</v>
      </c>
      <c r="AR579" s="1">
        <v>7.6</v>
      </c>
      <c r="AS579" s="1">
        <v>16.9</v>
      </c>
      <c r="AT579" s="1">
        <v>23.6</v>
      </c>
      <c r="AU579" s="1">
        <v>13.5</v>
      </c>
      <c r="AV579" s="1">
        <v>8.8</v>
      </c>
      <c r="AW579" s="1">
        <v>0.2</v>
      </c>
      <c r="AX579" s="1">
        <v>0.2649</v>
      </c>
      <c r="AY579" s="1">
        <v>10.0</v>
      </c>
      <c r="AZ579" s="1">
        <v>10.9</v>
      </c>
      <c r="BA579" s="1">
        <v>14.0</v>
      </c>
      <c r="BB579" s="1">
        <v>3.37</v>
      </c>
      <c r="BC579" s="1" t="s">
        <v>1075</v>
      </c>
      <c r="BD579" s="1">
        <v>6.8</v>
      </c>
      <c r="BE579" s="1">
        <v>27.2</v>
      </c>
      <c r="BF579" s="1">
        <v>40.7</v>
      </c>
      <c r="BG579" s="1">
        <v>25.2</v>
      </c>
      <c r="BH579" s="1" t="s">
        <v>1121</v>
      </c>
    </row>
    <row r="580">
      <c r="A580" s="1">
        <v>16057.0</v>
      </c>
      <c r="B580" s="2" t="str">
        <f>IFERROR(__xludf.DUMMYFUNCTION("TO_TEXT(A580)"),"16057")</f>
        <v>16057</v>
      </c>
      <c r="C580" s="1">
        <v>38593.0</v>
      </c>
      <c r="D580" s="1">
        <v>1075.86090557399</v>
      </c>
      <c r="E580" s="1" t="s">
        <v>1122</v>
      </c>
      <c r="F580" s="1" t="s">
        <v>1123</v>
      </c>
      <c r="G580" s="1">
        <v>35.8717375081211</v>
      </c>
      <c r="H580" s="1">
        <v>13.581195223</v>
      </c>
      <c r="I580" s="1">
        <v>3.9072210863</v>
      </c>
      <c r="J580" s="1">
        <v>5.4450603195</v>
      </c>
      <c r="K580" s="1">
        <v>13.5649026009999</v>
      </c>
      <c r="L580" s="1">
        <v>23.8</v>
      </c>
      <c r="M580" s="1">
        <v>7.3</v>
      </c>
      <c r="N580" s="1">
        <v>16.6</v>
      </c>
      <c r="O580" s="1">
        <v>81.6829556439999</v>
      </c>
      <c r="P580" s="1">
        <v>9.2938798712</v>
      </c>
      <c r="Q580" s="1">
        <v>94.06859</v>
      </c>
      <c r="R580" s="1">
        <v>86.984126984</v>
      </c>
      <c r="S580" s="1">
        <v>10.2</v>
      </c>
      <c r="T580" s="1">
        <v>7296.0</v>
      </c>
      <c r="U580" s="1">
        <v>22.683662281</v>
      </c>
      <c r="V580" s="1">
        <v>105.2834307</v>
      </c>
      <c r="W580" s="1">
        <v>19.513797635</v>
      </c>
      <c r="X580" s="1">
        <v>18.001345895</v>
      </c>
      <c r="Y580" s="1">
        <v>81.841889655</v>
      </c>
      <c r="Z580" s="1">
        <v>5.5</v>
      </c>
      <c r="AA580" s="1">
        <v>2.6705425694</v>
      </c>
      <c r="AB580" s="1">
        <v>49538.0</v>
      </c>
      <c r="AC580" s="1">
        <v>31.93541623</v>
      </c>
      <c r="AD580" s="1">
        <v>53.007083065</v>
      </c>
      <c r="AE580" s="1">
        <v>17.304382365</v>
      </c>
      <c r="AF580" s="1">
        <v>1.0739024269</v>
      </c>
      <c r="AG580" s="1">
        <v>0.8820451488</v>
      </c>
      <c r="AH580" s="1">
        <v>2.6760352818</v>
      </c>
      <c r="AI580" s="1">
        <v>0.1669407485</v>
      </c>
      <c r="AJ580" s="1">
        <v>4.4924502915</v>
      </c>
      <c r="AK580" s="1">
        <v>88.289231076</v>
      </c>
      <c r="AL580" s="1">
        <v>0.2129265269</v>
      </c>
      <c r="AM580" s="1">
        <v>49.1752628689999</v>
      </c>
      <c r="AN580" s="1">
        <v>34.990871013</v>
      </c>
      <c r="AO580" s="1">
        <v>22717.0</v>
      </c>
      <c r="AP580" s="1">
        <v>22.4</v>
      </c>
      <c r="AQ580" s="1">
        <v>7.7</v>
      </c>
      <c r="AR580" s="1">
        <v>4.0</v>
      </c>
      <c r="AS580" s="1">
        <v>11.7</v>
      </c>
      <c r="AT580" s="1">
        <v>18.6</v>
      </c>
      <c r="AU580" s="1">
        <v>12.2</v>
      </c>
      <c r="AV580" s="1">
        <v>10.3</v>
      </c>
      <c r="AW580" s="1">
        <v>0.5</v>
      </c>
      <c r="AX580" s="1">
        <v>0.3171</v>
      </c>
      <c r="AY580" s="1">
        <v>11.7</v>
      </c>
      <c r="AZ580" s="1">
        <v>11.7</v>
      </c>
      <c r="BA580" s="1">
        <v>12.6</v>
      </c>
      <c r="BB580" s="1">
        <v>3.21</v>
      </c>
      <c r="BC580" s="1" t="s">
        <v>1075</v>
      </c>
      <c r="BD580" s="1">
        <v>4.2</v>
      </c>
      <c r="BE580" s="1">
        <v>19.7</v>
      </c>
      <c r="BF580" s="1">
        <v>30.7</v>
      </c>
      <c r="BG580" s="1">
        <v>45.4</v>
      </c>
      <c r="BH580" s="1" t="s">
        <v>1123</v>
      </c>
    </row>
    <row r="581">
      <c r="A581" s="1">
        <v>16059.0</v>
      </c>
      <c r="B581" s="2" t="str">
        <f>IFERROR(__xludf.DUMMYFUNCTION("TO_TEXT(A581)"),"16059")</f>
        <v>16059</v>
      </c>
      <c r="C581" s="1">
        <v>7743.0</v>
      </c>
      <c r="D581" s="1">
        <v>4563.39382625781</v>
      </c>
      <c r="E581" s="1" t="s">
        <v>1124</v>
      </c>
      <c r="F581" s="1" t="s">
        <v>1125</v>
      </c>
      <c r="G581" s="1">
        <v>1.69676348235533</v>
      </c>
      <c r="H581" s="1">
        <v>15.486609857</v>
      </c>
      <c r="I581" s="1">
        <v>4.1066635645</v>
      </c>
      <c r="J581" s="1">
        <v>7.0140280561</v>
      </c>
      <c r="K581" s="1">
        <v>15.235695687</v>
      </c>
      <c r="L581" s="1">
        <v>24.0</v>
      </c>
      <c r="M581" s="1">
        <v>6.4</v>
      </c>
      <c r="N581" s="1">
        <v>22.0</v>
      </c>
      <c r="O581" s="1">
        <v>77.94858871</v>
      </c>
      <c r="P581" s="1">
        <v>12.373968836</v>
      </c>
      <c r="Q581" s="1">
        <v>63.49206</v>
      </c>
      <c r="R581" s="1">
        <v>77.464788732</v>
      </c>
      <c r="S581" s="1">
        <v>22.9</v>
      </c>
      <c r="T581" s="1">
        <v>1433.0</v>
      </c>
      <c r="U581" s="1">
        <v>21.144452198</v>
      </c>
      <c r="V581" s="1">
        <v>174.76859344</v>
      </c>
      <c r="W581" s="1">
        <v>17.297297297</v>
      </c>
      <c r="X581" s="1">
        <v>14.441416894</v>
      </c>
      <c r="Y581" s="1">
        <v>79.137719401</v>
      </c>
      <c r="Z581" s="1">
        <v>10.5</v>
      </c>
      <c r="AA581" s="1">
        <v>16.249485925</v>
      </c>
      <c r="AB581" s="1">
        <v>44248.0</v>
      </c>
      <c r="AC581" s="1">
        <v>50.495049505</v>
      </c>
      <c r="AD581" s="1">
        <v>75.429698507</v>
      </c>
      <c r="AE581" s="1">
        <v>14.242515875</v>
      </c>
      <c r="AF581" s="1">
        <v>0.2889084286</v>
      </c>
      <c r="AG581" s="1">
        <v>1.2561236026</v>
      </c>
      <c r="AH581" s="1">
        <v>0.4145207888</v>
      </c>
      <c r="AI581" s="1">
        <v>0.0376837081</v>
      </c>
      <c r="AJ581" s="1">
        <v>3.4920236151</v>
      </c>
      <c r="AK581" s="1">
        <v>93.304861198</v>
      </c>
      <c r="AL581" s="1">
        <v>0.2558233472</v>
      </c>
      <c r="AM581" s="1">
        <v>49.378218817</v>
      </c>
      <c r="AN581" s="1">
        <v>61.139112903</v>
      </c>
      <c r="AO581" s="1">
        <v>21953.0</v>
      </c>
      <c r="AP581" s="1">
        <v>16.9</v>
      </c>
      <c r="AQ581" s="1">
        <v>5.8</v>
      </c>
      <c r="AR581" s="1">
        <v>8.5</v>
      </c>
      <c r="AS581" s="1">
        <v>27.0</v>
      </c>
      <c r="AT581" s="1">
        <v>17.7</v>
      </c>
      <c r="AU581" s="1">
        <v>20.0</v>
      </c>
      <c r="AV581" s="1">
        <v>6.5</v>
      </c>
      <c r="AW581" s="1">
        <v>0.2</v>
      </c>
      <c r="AX581" s="1">
        <v>0.3461</v>
      </c>
      <c r="AY581" s="1">
        <v>13.5</v>
      </c>
      <c r="AZ581" s="1">
        <v>12.7</v>
      </c>
      <c r="BA581" s="1">
        <v>17.7</v>
      </c>
      <c r="BB581" s="1">
        <v>3.99</v>
      </c>
      <c r="BC581" s="1" t="s">
        <v>1075</v>
      </c>
      <c r="BD581" s="1">
        <v>7.9</v>
      </c>
      <c r="BE581" s="1">
        <v>30.3</v>
      </c>
      <c r="BF581" s="1">
        <v>38.9</v>
      </c>
      <c r="BG581" s="1">
        <v>22.9</v>
      </c>
      <c r="BH581" s="1" t="s">
        <v>1125</v>
      </c>
    </row>
    <row r="582">
      <c r="A582" s="1">
        <v>16061.0</v>
      </c>
      <c r="B582" s="2" t="str">
        <f>IFERROR(__xludf.DUMMYFUNCTION("TO_TEXT(A582)"),"16061")</f>
        <v>16061</v>
      </c>
      <c r="C582" s="1">
        <v>3826.0</v>
      </c>
      <c r="D582" s="1">
        <v>478.86600937356</v>
      </c>
      <c r="E582" s="1" t="s">
        <v>1126</v>
      </c>
      <c r="F582" s="1" t="s">
        <v>1127</v>
      </c>
      <c r="G582" s="1">
        <v>7.98970886450068</v>
      </c>
      <c r="H582" s="1">
        <v>16.731328695</v>
      </c>
      <c r="I582" s="1">
        <v>4.2960830008</v>
      </c>
      <c r="J582" s="1">
        <v>7.6642335766</v>
      </c>
      <c r="K582" s="1">
        <v>14.940801504</v>
      </c>
      <c r="L582" s="1">
        <v>28.0</v>
      </c>
      <c r="M582" s="1">
        <v>6.4</v>
      </c>
      <c r="N582" s="1">
        <v>27.4</v>
      </c>
      <c r="O582" s="1">
        <v>54.3836691969999</v>
      </c>
      <c r="P582" s="1">
        <v>14.391534392</v>
      </c>
      <c r="Q582" s="1">
        <v>51.45356</v>
      </c>
      <c r="R582" s="1">
        <v>89.130434783</v>
      </c>
      <c r="S582" s="1">
        <v>23.3</v>
      </c>
      <c r="T582" s="1">
        <v>872.0</v>
      </c>
      <c r="U582" s="1">
        <v>29.816513761</v>
      </c>
      <c r="V582" s="1">
        <v>128.88258796</v>
      </c>
      <c r="W582" s="1">
        <v>15.692307692</v>
      </c>
      <c r="X582" s="1">
        <v>12.0422098079999</v>
      </c>
      <c r="Y582" s="1">
        <v>79.408322412</v>
      </c>
      <c r="Z582" s="1">
        <v>12.5</v>
      </c>
      <c r="AA582" s="1">
        <v>17.402367024</v>
      </c>
      <c r="AB582" s="1">
        <v>44911.0</v>
      </c>
      <c r="AC582" s="1">
        <v>57.512953368</v>
      </c>
      <c r="AD582" s="1">
        <v>71.507352941</v>
      </c>
      <c r="AE582" s="1">
        <v>11.319534282</v>
      </c>
      <c r="AF582" s="1">
        <v>0.518000518</v>
      </c>
      <c r="AG582" s="1">
        <v>6.4232064232</v>
      </c>
      <c r="AH582" s="1">
        <v>2.0202020202</v>
      </c>
      <c r="AI582" s="1">
        <v>0.2072002072</v>
      </c>
      <c r="AJ582" s="1">
        <v>4.662004662</v>
      </c>
      <c r="AK582" s="1">
        <v>83.32038332</v>
      </c>
      <c r="AL582" s="1">
        <v>0.6327372765</v>
      </c>
      <c r="AM582" s="1">
        <v>49.158249158</v>
      </c>
      <c r="AN582" s="1">
        <v>100.0</v>
      </c>
      <c r="AO582" s="1">
        <v>22589.0</v>
      </c>
      <c r="AP582" s="1">
        <v>15.9</v>
      </c>
      <c r="AQ582" s="1">
        <v>6.3</v>
      </c>
      <c r="AR582" s="1">
        <v>10.6</v>
      </c>
      <c r="AS582" s="1">
        <v>24.1</v>
      </c>
      <c r="AT582" s="1">
        <v>22.4</v>
      </c>
      <c r="AU582" s="1">
        <v>21.3</v>
      </c>
      <c r="AV582" s="1">
        <v>13.5</v>
      </c>
      <c r="AW582" s="1">
        <v>0.5</v>
      </c>
      <c r="AX582" s="1">
        <v>0.531</v>
      </c>
      <c r="AY582" s="1">
        <v>13.2</v>
      </c>
      <c r="AZ582" s="1">
        <v>15.0</v>
      </c>
      <c r="BA582" s="1">
        <v>19.5</v>
      </c>
      <c r="BB582" s="1">
        <v>3.01</v>
      </c>
      <c r="BC582" s="1" t="s">
        <v>1075</v>
      </c>
      <c r="BD582" s="1">
        <v>11.5</v>
      </c>
      <c r="BE582" s="1">
        <v>29.6</v>
      </c>
      <c r="BF582" s="1">
        <v>40.9</v>
      </c>
      <c r="BG582" s="1">
        <v>17.9</v>
      </c>
      <c r="BH582" s="1" t="s">
        <v>1127</v>
      </c>
    </row>
    <row r="583">
      <c r="A583" s="1">
        <v>16063.0</v>
      </c>
      <c r="B583" s="2" t="str">
        <f>IFERROR(__xludf.DUMMYFUNCTION("TO_TEXT(A583)"),"16063")</f>
        <v>16063</v>
      </c>
      <c r="C583" s="1">
        <v>5292.0</v>
      </c>
      <c r="D583" s="1">
        <v>1201.40398787084</v>
      </c>
      <c r="E583" s="1" t="s">
        <v>353</v>
      </c>
      <c r="F583" s="1" t="s">
        <v>1128</v>
      </c>
      <c r="G583" s="1">
        <v>4.40484637426468</v>
      </c>
      <c r="H583" s="1">
        <v>17.762430697</v>
      </c>
      <c r="I583" s="1">
        <v>4.0121384111</v>
      </c>
      <c r="J583" s="1">
        <v>5.6451612903</v>
      </c>
      <c r="K583" s="1">
        <v>14.777171409</v>
      </c>
      <c r="L583" s="1">
        <v>28.8</v>
      </c>
      <c r="M583" s="1">
        <v>5.0</v>
      </c>
      <c r="N583" s="1">
        <v>29.5</v>
      </c>
      <c r="O583" s="1">
        <v>20.007680492</v>
      </c>
      <c r="P583" s="1">
        <v>17.648366304</v>
      </c>
      <c r="Q583" s="1">
        <v>18.80406</v>
      </c>
      <c r="R583" s="1">
        <v>91.0447761189999</v>
      </c>
      <c r="S583" s="1">
        <v>20.2</v>
      </c>
      <c r="T583" s="1">
        <v>1621.0</v>
      </c>
      <c r="U583" s="1">
        <v>23.133867983</v>
      </c>
      <c r="V583" s="1">
        <v>177.09012956</v>
      </c>
      <c r="W583" s="1">
        <v>13.793103448</v>
      </c>
      <c r="X583" s="1">
        <v>7.9617834395</v>
      </c>
      <c r="Y583" s="1">
        <v>79.616662992</v>
      </c>
      <c r="Z583" s="1">
        <v>12.1</v>
      </c>
      <c r="AA583" s="1">
        <v>45.389756105</v>
      </c>
      <c r="AB583" s="1">
        <v>50464.0</v>
      </c>
      <c r="AC583" s="1">
        <v>64.585575888</v>
      </c>
      <c r="AD583" s="1">
        <v>69.116775341</v>
      </c>
      <c r="AE583" s="1">
        <v>9.2409240924</v>
      </c>
      <c r="AF583" s="1">
        <v>0.2985074627</v>
      </c>
      <c r="AG583" s="1">
        <v>1.7164179104</v>
      </c>
      <c r="AH583" s="1">
        <v>0.6529850746</v>
      </c>
      <c r="AI583" s="1">
        <v>0.1679104478</v>
      </c>
      <c r="AJ583" s="1">
        <v>30.3544776119999</v>
      </c>
      <c r="AK583" s="1">
        <v>66.2313432839999</v>
      </c>
      <c r="AL583" s="1">
        <v>7.9451502319</v>
      </c>
      <c r="AM583" s="1">
        <v>48.134328358</v>
      </c>
      <c r="AN583" s="1">
        <v>100.0</v>
      </c>
      <c r="AO583" s="1">
        <v>18239.0</v>
      </c>
      <c r="AP583" s="1">
        <v>12.0</v>
      </c>
      <c r="AQ583" s="1">
        <v>5.0</v>
      </c>
      <c r="AR583" s="1">
        <v>21.6</v>
      </c>
      <c r="AS583" s="1">
        <v>12.6</v>
      </c>
      <c r="AT583" s="1">
        <v>31.4</v>
      </c>
      <c r="AU583" s="1">
        <v>13.2</v>
      </c>
      <c r="AV583" s="1">
        <v>32.5</v>
      </c>
      <c r="AW583" s="1">
        <v>8.9</v>
      </c>
      <c r="AX583" s="1">
        <v>0.5247</v>
      </c>
      <c r="AY583" s="1">
        <v>11.2</v>
      </c>
      <c r="AZ583" s="1">
        <v>10.4</v>
      </c>
      <c r="BA583" s="1">
        <v>13.2</v>
      </c>
      <c r="BB583" s="1">
        <v>3.09</v>
      </c>
      <c r="BC583" s="1" t="s">
        <v>1075</v>
      </c>
      <c r="BD583" s="1">
        <v>23.4</v>
      </c>
      <c r="BE583" s="1">
        <v>33.3</v>
      </c>
      <c r="BF583" s="1">
        <v>33.1</v>
      </c>
      <c r="BG583" s="1">
        <v>10.3</v>
      </c>
      <c r="BH583" s="1" t="s">
        <v>1128</v>
      </c>
    </row>
    <row r="584">
      <c r="A584" s="1">
        <v>16065.0</v>
      </c>
      <c r="B584" s="2" t="str">
        <f>IFERROR(__xludf.DUMMYFUNCTION("TO_TEXT(A584)"),"16065")</f>
        <v>16065</v>
      </c>
      <c r="C584" s="1">
        <v>38114.0</v>
      </c>
      <c r="D584" s="1">
        <v>469.307873281722</v>
      </c>
      <c r="E584" s="1" t="s">
        <v>148</v>
      </c>
      <c r="F584" s="1" t="s">
        <v>1129</v>
      </c>
      <c r="G584" s="1">
        <v>81.2132124131667</v>
      </c>
      <c r="H584" s="1">
        <v>17.492126596</v>
      </c>
      <c r="I584" s="1">
        <v>4.4151286496</v>
      </c>
      <c r="J584" s="1">
        <v>5.5569914707</v>
      </c>
      <c r="K584" s="1">
        <v>15.4911746009999</v>
      </c>
      <c r="L584" s="1">
        <v>27.1</v>
      </c>
      <c r="M584" s="1">
        <v>6.2</v>
      </c>
      <c r="N584" s="1">
        <v>18.2</v>
      </c>
      <c r="O584" s="1">
        <v>84.369671782</v>
      </c>
      <c r="P584" s="1">
        <v>8.6437521165</v>
      </c>
      <c r="Q584" s="1">
        <v>63.87164</v>
      </c>
      <c r="R584" s="1">
        <v>90.822179732</v>
      </c>
      <c r="S584" s="1">
        <v>16.4</v>
      </c>
      <c r="T584" s="1">
        <v>10536.0</v>
      </c>
      <c r="U584" s="1">
        <v>8.5801063022</v>
      </c>
      <c r="V584" s="1">
        <v>53.7127286069999</v>
      </c>
      <c r="W584" s="1">
        <v>30.447193149</v>
      </c>
      <c r="X584" s="1">
        <v>23.588516746</v>
      </c>
      <c r="Y584" s="1">
        <v>81.241426296</v>
      </c>
      <c r="Z584" s="1">
        <v>7.2</v>
      </c>
      <c r="AA584" s="1">
        <v>10.872773705</v>
      </c>
      <c r="AB584" s="1">
        <v>41827.0</v>
      </c>
      <c r="AC584" s="1">
        <v>38.035482475</v>
      </c>
      <c r="AD584" s="1">
        <v>46.352941176</v>
      </c>
      <c r="AE584" s="1">
        <v>24.134633773</v>
      </c>
      <c r="AF584" s="1">
        <v>0.6029920619</v>
      </c>
      <c r="AG584" s="1">
        <v>0.5063097904</v>
      </c>
      <c r="AH584" s="1">
        <v>1.384083045</v>
      </c>
      <c r="AI584" s="1">
        <v>0.3332994097</v>
      </c>
      <c r="AJ584" s="1">
        <v>7.843985345</v>
      </c>
      <c r="AK584" s="1">
        <v>88.138611846</v>
      </c>
      <c r="AL584" s="1">
        <v>0.4218561671</v>
      </c>
      <c r="AM584" s="1">
        <v>49.394463668</v>
      </c>
      <c r="AN584" s="1">
        <v>28.463341858</v>
      </c>
      <c r="AO584" s="1">
        <v>15103.0</v>
      </c>
      <c r="AP584" s="1">
        <v>32.6</v>
      </c>
      <c r="AQ584" s="1">
        <v>9.4</v>
      </c>
      <c r="AR584" s="1">
        <v>3.8</v>
      </c>
      <c r="AS584" s="1">
        <v>6.2</v>
      </c>
      <c r="AT584" s="1">
        <v>27.2</v>
      </c>
      <c r="AU584" s="1">
        <v>6.4</v>
      </c>
      <c r="AV584" s="1">
        <v>10.5</v>
      </c>
      <c r="AW584" s="1">
        <v>0.5</v>
      </c>
      <c r="AX584" s="1">
        <v>0.4667</v>
      </c>
      <c r="AY584" s="1">
        <v>27.4</v>
      </c>
      <c r="AZ584" s="1">
        <v>11.4</v>
      </c>
      <c r="BA584" s="1">
        <v>11.9</v>
      </c>
      <c r="BB584" s="1">
        <v>2.97</v>
      </c>
      <c r="BC584" s="1" t="s">
        <v>1075</v>
      </c>
      <c r="BD584" s="1">
        <v>4.1</v>
      </c>
      <c r="BE584" s="1">
        <v>15.2</v>
      </c>
      <c r="BF584" s="1">
        <v>44.3</v>
      </c>
      <c r="BG584" s="1">
        <v>36.4</v>
      </c>
      <c r="BH584" s="1" t="s">
        <v>1129</v>
      </c>
    </row>
    <row r="585">
      <c r="A585" s="1">
        <v>16067.0</v>
      </c>
      <c r="B585" s="2" t="str">
        <f>IFERROR(__xludf.DUMMYFUNCTION("TO_TEXT(A585)"),"16067")</f>
        <v>16067</v>
      </c>
      <c r="C585" s="1">
        <v>20331.0</v>
      </c>
      <c r="D585" s="1">
        <v>757.194930698646</v>
      </c>
      <c r="E585" s="1" t="s">
        <v>1130</v>
      </c>
      <c r="F585" s="1" t="s">
        <v>1131</v>
      </c>
      <c r="G585" s="1">
        <v>26.8504174760402</v>
      </c>
      <c r="H585" s="1">
        <v>18.650785568</v>
      </c>
      <c r="I585" s="1">
        <v>3.966853904</v>
      </c>
      <c r="J585" s="1">
        <v>7.7235772358</v>
      </c>
      <c r="K585" s="1">
        <v>13.838325975</v>
      </c>
      <c r="L585" s="1">
        <v>34.0</v>
      </c>
      <c r="M585" s="1">
        <v>8.2</v>
      </c>
      <c r="N585" s="1">
        <v>29.8</v>
      </c>
      <c r="O585" s="1">
        <v>61.144053017</v>
      </c>
      <c r="P585" s="1">
        <v>17.483784258</v>
      </c>
      <c r="Q585" s="1">
        <v>28.94496</v>
      </c>
      <c r="R585" s="1">
        <v>76.802507837</v>
      </c>
      <c r="S585" s="1">
        <v>15.9</v>
      </c>
      <c r="T585" s="1">
        <v>5811.0</v>
      </c>
      <c r="U585" s="1">
        <v>33.367750817</v>
      </c>
      <c r="V585" s="1">
        <v>167.65885069</v>
      </c>
      <c r="W585" s="1">
        <v>10.468319559</v>
      </c>
      <c r="X585" s="1">
        <v>6.0984060984</v>
      </c>
      <c r="Y585" s="1">
        <v>79.044613696</v>
      </c>
      <c r="Z585" s="1">
        <v>13.2</v>
      </c>
      <c r="AA585" s="1">
        <v>7.9983172688</v>
      </c>
      <c r="AB585" s="1">
        <v>53447.0</v>
      </c>
      <c r="AC585" s="1">
        <v>99.29245283</v>
      </c>
      <c r="AD585" s="1">
        <v>71.685671109</v>
      </c>
      <c r="AE585" s="1">
        <v>6.9760696157</v>
      </c>
      <c r="AF585" s="1">
        <v>0.3361344538</v>
      </c>
      <c r="AG585" s="1">
        <v>2.2809123649</v>
      </c>
      <c r="AH585" s="1">
        <v>0.585834333699999</v>
      </c>
      <c r="AI585" s="1">
        <v>0.0576230492</v>
      </c>
      <c r="AJ585" s="1">
        <v>35.831932773</v>
      </c>
      <c r="AK585" s="1">
        <v>61.507803121</v>
      </c>
      <c r="AL585" s="1">
        <v>8.140513252</v>
      </c>
      <c r="AM585" s="1">
        <v>49.901560624</v>
      </c>
      <c r="AN585" s="1">
        <v>44.222432608</v>
      </c>
      <c r="AO585" s="1">
        <v>22103.0</v>
      </c>
      <c r="AP585" s="1">
        <v>17.8</v>
      </c>
      <c r="AQ585" s="1">
        <v>4.8</v>
      </c>
      <c r="AR585" s="1">
        <v>22.0</v>
      </c>
      <c r="AS585" s="1">
        <v>15.3</v>
      </c>
      <c r="AT585" s="1">
        <v>28.6</v>
      </c>
      <c r="AU585" s="1">
        <v>12.2</v>
      </c>
      <c r="AV585" s="1">
        <v>36.4</v>
      </c>
      <c r="AW585" s="1">
        <v>9.2</v>
      </c>
      <c r="AX585" s="1">
        <v>0.632</v>
      </c>
      <c r="AY585" s="1">
        <v>11.3</v>
      </c>
      <c r="AZ585" s="1">
        <v>11.3</v>
      </c>
      <c r="BA585" s="1">
        <v>14.3</v>
      </c>
      <c r="BB585" s="1">
        <v>2.76</v>
      </c>
      <c r="BC585" s="1" t="s">
        <v>1075</v>
      </c>
      <c r="BD585" s="1">
        <v>20.8</v>
      </c>
      <c r="BE585" s="1">
        <v>32.1</v>
      </c>
      <c r="BF585" s="1">
        <v>33.0</v>
      </c>
      <c r="BG585" s="1">
        <v>14.1</v>
      </c>
      <c r="BH585" s="1" t="s">
        <v>1131</v>
      </c>
    </row>
    <row r="586">
      <c r="A586" s="1">
        <v>16069.0</v>
      </c>
      <c r="B586" s="2" t="str">
        <f>IFERROR(__xludf.DUMMYFUNCTION("TO_TEXT(A586)"),"16069")</f>
        <v>16069</v>
      </c>
      <c r="C586" s="1">
        <v>39995.0</v>
      </c>
      <c r="D586" s="1">
        <v>848.288597182866</v>
      </c>
      <c r="E586" s="1" t="s">
        <v>1132</v>
      </c>
      <c r="F586" s="1" t="s">
        <v>1133</v>
      </c>
      <c r="G586" s="1">
        <v>47.1478694076777</v>
      </c>
      <c r="H586" s="1">
        <v>14.310009449</v>
      </c>
      <c r="I586" s="1">
        <v>4.0603160778</v>
      </c>
      <c r="J586" s="1">
        <v>5.5885850178</v>
      </c>
      <c r="K586" s="1">
        <v>14.997245759</v>
      </c>
      <c r="L586" s="1">
        <v>30.9</v>
      </c>
      <c r="M586" s="1">
        <v>7.9</v>
      </c>
      <c r="N586" s="1">
        <v>22.8</v>
      </c>
      <c r="O586" s="1">
        <v>74.985355915</v>
      </c>
      <c r="P586" s="1">
        <v>10.631905105</v>
      </c>
      <c r="Q586" s="1">
        <v>74.28501</v>
      </c>
      <c r="R586" s="1">
        <v>84.183673469</v>
      </c>
      <c r="S586" s="1">
        <v>15.1</v>
      </c>
      <c r="T586" s="1">
        <v>8602.0</v>
      </c>
      <c r="U586" s="1">
        <v>36.828644501</v>
      </c>
      <c r="V586" s="1">
        <v>144.80914897</v>
      </c>
      <c r="W586" s="1">
        <v>13.085271318</v>
      </c>
      <c r="X586" s="1">
        <v>9.7583934735</v>
      </c>
      <c r="Y586" s="1">
        <v>77.567810785</v>
      </c>
      <c r="Z586" s="1">
        <v>10.2</v>
      </c>
      <c r="AA586" s="1">
        <v>4.0824683717</v>
      </c>
      <c r="AB586" s="1">
        <v>54476.0</v>
      </c>
      <c r="AC586" s="1">
        <v>38.745526464</v>
      </c>
      <c r="AD586" s="1">
        <v>70.531223163</v>
      </c>
      <c r="AE586" s="1">
        <v>9.9636545933</v>
      </c>
      <c r="AF586" s="1">
        <v>0.4504058602</v>
      </c>
      <c r="AG586" s="1">
        <v>6.0037616314</v>
      </c>
      <c r="AH586" s="1">
        <v>0.8414175411</v>
      </c>
      <c r="AI586" s="1">
        <v>0.1212631162</v>
      </c>
      <c r="AJ586" s="1">
        <v>4.0462284696</v>
      </c>
      <c r="AK586" s="1">
        <v>86.881310632</v>
      </c>
      <c r="AL586" s="1">
        <v>0.4430060748</v>
      </c>
      <c r="AM586" s="1">
        <v>50.601366066</v>
      </c>
      <c r="AN586" s="1">
        <v>19.164650452</v>
      </c>
      <c r="AO586" s="1">
        <v>25179.0</v>
      </c>
      <c r="AP586" s="1">
        <v>13.6</v>
      </c>
      <c r="AQ586" s="1">
        <v>5.9</v>
      </c>
      <c r="AR586" s="1">
        <v>8.4</v>
      </c>
      <c r="AS586" s="1">
        <v>19.0</v>
      </c>
      <c r="AT586" s="1">
        <v>21.3</v>
      </c>
      <c r="AU586" s="1">
        <v>17.8</v>
      </c>
      <c r="AV586" s="1">
        <v>12.6</v>
      </c>
      <c r="AW586" s="1">
        <v>0.2</v>
      </c>
      <c r="AX586" s="1">
        <v>0.4082</v>
      </c>
      <c r="AY586" s="1">
        <v>11.1</v>
      </c>
      <c r="AZ586" s="1">
        <v>12.0</v>
      </c>
      <c r="BA586" s="1">
        <v>15.3</v>
      </c>
      <c r="BB586" s="1">
        <v>3.0</v>
      </c>
      <c r="BC586" s="1" t="s">
        <v>1075</v>
      </c>
      <c r="BD586" s="1">
        <v>8.0</v>
      </c>
      <c r="BE586" s="1">
        <v>32.1</v>
      </c>
      <c r="BF586" s="1">
        <v>37.0</v>
      </c>
      <c r="BG586" s="1">
        <v>22.9</v>
      </c>
      <c r="BH586" s="1" t="s">
        <v>1133</v>
      </c>
    </row>
    <row r="587">
      <c r="A587" s="1">
        <v>16071.0</v>
      </c>
      <c r="B587" s="2" t="str">
        <f>IFERROR(__xludf.DUMMYFUNCTION("TO_TEXT(A587)"),"16071")</f>
        <v>16071</v>
      </c>
      <c r="C587" s="1">
        <v>4269.0</v>
      </c>
      <c r="D587" s="1">
        <v>1198.84235052232</v>
      </c>
      <c r="E587" s="1" t="s">
        <v>1134</v>
      </c>
      <c r="F587" s="1" t="s">
        <v>1135</v>
      </c>
      <c r="G587" s="1">
        <v>3.56093526237211</v>
      </c>
      <c r="H587" s="1">
        <v>12.8421954129999</v>
      </c>
      <c r="I587" s="1">
        <v>3.8215088637</v>
      </c>
      <c r="J587" s="1">
        <v>5.5555555556</v>
      </c>
      <c r="K587" s="1">
        <v>12.96024348</v>
      </c>
      <c r="L587" s="1">
        <v>29.4</v>
      </c>
      <c r="M587" s="1">
        <v>8.0</v>
      </c>
      <c r="N587" s="1">
        <v>23.2</v>
      </c>
      <c r="O587" s="1">
        <v>48.1567895469999</v>
      </c>
      <c r="P587" s="1">
        <v>11.9224187109999</v>
      </c>
      <c r="Q587" s="1">
        <v>45.17732</v>
      </c>
      <c r="R587" s="1">
        <v>88.571428571</v>
      </c>
      <c r="S587" s="1">
        <v>14.9</v>
      </c>
      <c r="T587" s="1">
        <v>1269.0</v>
      </c>
      <c r="U587" s="1">
        <v>17.80929866</v>
      </c>
      <c r="V587" s="1">
        <v>69.718800837</v>
      </c>
      <c r="W587" s="1">
        <v>16.129032258</v>
      </c>
      <c r="X587" s="1">
        <v>12.516129032</v>
      </c>
      <c r="Y587" s="1">
        <v>80.1300875519999</v>
      </c>
      <c r="Z587" s="1">
        <v>8.2</v>
      </c>
      <c r="AA587" s="1">
        <v>4.8700633645</v>
      </c>
      <c r="AB587" s="1">
        <v>52602.0</v>
      </c>
      <c r="AC587" s="1">
        <v>25.067385445</v>
      </c>
      <c r="AD587" s="1">
        <v>80.694006309</v>
      </c>
      <c r="AE587" s="1">
        <v>11.051930759</v>
      </c>
      <c r="AF587" s="1">
        <v>0.4010695187</v>
      </c>
      <c r="AG587" s="1">
        <v>0.5347593583</v>
      </c>
      <c r="AH587" s="1">
        <v>0.6684491979</v>
      </c>
      <c r="AI587" s="1">
        <v>0.0668449198</v>
      </c>
      <c r="AJ587" s="1">
        <v>4.679144385</v>
      </c>
      <c r="AK587" s="1">
        <v>93.204099822</v>
      </c>
      <c r="AL587" s="1">
        <v>2.1454993835</v>
      </c>
      <c r="AM587" s="1">
        <v>49.777183601</v>
      </c>
      <c r="AN587" s="1">
        <v>100.0</v>
      </c>
      <c r="AO587" s="1">
        <v>19073.0</v>
      </c>
      <c r="AP587" s="1">
        <v>13.7</v>
      </c>
      <c r="AQ587" s="1">
        <v>7.0</v>
      </c>
      <c r="AR587" s="1">
        <v>6.4</v>
      </c>
      <c r="AS587" s="1">
        <v>19.3</v>
      </c>
      <c r="AT587" s="1">
        <v>27.8</v>
      </c>
      <c r="AU587" s="1">
        <v>17.8</v>
      </c>
      <c r="AV587" s="1">
        <v>5.9</v>
      </c>
      <c r="AW587" s="1">
        <v>1.8</v>
      </c>
      <c r="AX587" s="1">
        <v>0.3668</v>
      </c>
      <c r="AY587" s="1">
        <v>11.3</v>
      </c>
      <c r="AZ587" s="1">
        <v>10.8</v>
      </c>
      <c r="BA587" s="1">
        <v>13.9</v>
      </c>
      <c r="BB587" s="1">
        <v>3.06</v>
      </c>
      <c r="BC587" s="1" t="s">
        <v>1075</v>
      </c>
      <c r="BD587" s="1">
        <v>9.8</v>
      </c>
      <c r="BE587" s="1">
        <v>34.9</v>
      </c>
      <c r="BF587" s="1">
        <v>38.2</v>
      </c>
      <c r="BG587" s="1">
        <v>17.1</v>
      </c>
      <c r="BH587" s="1" t="s">
        <v>1135</v>
      </c>
    </row>
    <row r="588">
      <c r="A588" s="1">
        <v>16073.0</v>
      </c>
      <c r="B588" s="2" t="str">
        <f>IFERROR(__xludf.DUMMYFUNCTION("TO_TEXT(A588)"),"16073")</f>
        <v>16073</v>
      </c>
      <c r="C588" s="1">
        <v>11356.0</v>
      </c>
      <c r="D588" s="1">
        <v>7665.99155567987</v>
      </c>
      <c r="E588" s="1" t="s">
        <v>1136</v>
      </c>
      <c r="F588" s="1" t="s">
        <v>1137</v>
      </c>
      <c r="G588" s="1">
        <v>1.48134783576511</v>
      </c>
      <c r="H588" s="1">
        <v>20.0740428059999</v>
      </c>
      <c r="I588" s="1">
        <v>4.234193087</v>
      </c>
      <c r="J588" s="1">
        <v>7.47950819669999</v>
      </c>
      <c r="K588" s="1">
        <v>15.515514137</v>
      </c>
      <c r="L588" s="1">
        <v>39.3</v>
      </c>
      <c r="M588" s="1">
        <v>7.5</v>
      </c>
      <c r="N588" s="1">
        <v>26.3</v>
      </c>
      <c r="O588" s="1">
        <v>67.022384175</v>
      </c>
      <c r="P588" s="1">
        <v>23.1536070319999</v>
      </c>
      <c r="Q588" s="1">
        <v>8.59993</v>
      </c>
      <c r="R588" s="1">
        <v>93.58974359</v>
      </c>
      <c r="S588" s="1">
        <v>22.2</v>
      </c>
      <c r="T588" s="1">
        <v>2968.0</v>
      </c>
      <c r="U588" s="1">
        <v>29.110512129</v>
      </c>
      <c r="V588" s="1">
        <v>183.39009693</v>
      </c>
      <c r="W588" s="1">
        <v>16.9533169529999</v>
      </c>
      <c r="X588" s="1">
        <v>10.025062657</v>
      </c>
      <c r="Y588" s="1">
        <v>77.837472245</v>
      </c>
      <c r="Z588" s="1">
        <v>13.5</v>
      </c>
      <c r="AA588" s="1">
        <v>8.866710827</v>
      </c>
      <c r="AB588" s="1">
        <v>48192.0</v>
      </c>
      <c r="AC588" s="1">
        <v>64.778534923</v>
      </c>
      <c r="AD588" s="1">
        <v>70.588235294</v>
      </c>
      <c r="AE588" s="1">
        <v>10.036687631</v>
      </c>
      <c r="AF588" s="1">
        <v>0.4703668862</v>
      </c>
      <c r="AG588" s="1">
        <v>4.4385529804</v>
      </c>
      <c r="AH588" s="1">
        <v>0.7525870179</v>
      </c>
      <c r="AI588" s="1">
        <v>0.1966988797</v>
      </c>
      <c r="AJ588" s="1">
        <v>26.31488925</v>
      </c>
      <c r="AK588" s="1">
        <v>68.553835628</v>
      </c>
      <c r="AL588" s="1">
        <v>7.8341445152</v>
      </c>
      <c r="AM588" s="1">
        <v>48.986573163</v>
      </c>
      <c r="AN588" s="1">
        <v>77.29481173</v>
      </c>
      <c r="AO588" s="1">
        <v>18135.0</v>
      </c>
      <c r="AP588" s="1">
        <v>23.6</v>
      </c>
      <c r="AQ588" s="1">
        <v>8.8</v>
      </c>
      <c r="AR588" s="1">
        <v>25.0</v>
      </c>
      <c r="AS588" s="1">
        <v>16.5</v>
      </c>
      <c r="AT588" s="1">
        <v>26.8</v>
      </c>
      <c r="AU588" s="1">
        <v>16.2</v>
      </c>
      <c r="AV588" s="1">
        <v>31.9</v>
      </c>
      <c r="AW588" s="1">
        <v>7.7</v>
      </c>
      <c r="AX588" s="1">
        <v>0.9156</v>
      </c>
      <c r="AY588" s="1">
        <v>14.9</v>
      </c>
      <c r="AZ588" s="1">
        <v>13.4</v>
      </c>
      <c r="BA588" s="1">
        <v>17.4</v>
      </c>
      <c r="BB588" s="1">
        <v>3.28</v>
      </c>
      <c r="BC588" s="1" t="s">
        <v>1075</v>
      </c>
      <c r="BD588" s="1">
        <v>23.9</v>
      </c>
      <c r="BE588" s="1">
        <v>33.4</v>
      </c>
      <c r="BF588" s="1">
        <v>30.8</v>
      </c>
      <c r="BG588" s="1">
        <v>12.0</v>
      </c>
      <c r="BH588" s="1" t="s">
        <v>1137</v>
      </c>
    </row>
    <row r="589">
      <c r="A589" s="1">
        <v>16075.0</v>
      </c>
      <c r="B589" s="2" t="str">
        <f>IFERROR(__xludf.DUMMYFUNCTION("TO_TEXT(A589)"),"16075")</f>
        <v>16075</v>
      </c>
      <c r="C589" s="1">
        <v>22773.0</v>
      </c>
      <c r="D589" s="1">
        <v>406.896417808334</v>
      </c>
      <c r="E589" s="1" t="s">
        <v>1138</v>
      </c>
      <c r="F589" s="1" t="s">
        <v>1139</v>
      </c>
      <c r="G589" s="1">
        <v>55.9675607926514</v>
      </c>
      <c r="H589" s="1">
        <v>16.725740068</v>
      </c>
      <c r="I589" s="1">
        <v>3.9632943865</v>
      </c>
      <c r="J589" s="1">
        <v>6.8538791052</v>
      </c>
      <c r="K589" s="1">
        <v>14.651879435</v>
      </c>
      <c r="L589" s="1">
        <v>34.6</v>
      </c>
      <c r="M589" s="1">
        <v>7.6</v>
      </c>
      <c r="N589" s="1">
        <v>30.3</v>
      </c>
      <c r="O589" s="1">
        <v>67.418114308</v>
      </c>
      <c r="P589" s="1">
        <v>14.143245694</v>
      </c>
      <c r="Q589" s="1">
        <v>43.0756</v>
      </c>
      <c r="R589" s="1">
        <v>86.809815951</v>
      </c>
      <c r="S589" s="1">
        <v>16.1</v>
      </c>
      <c r="T589" s="1">
        <v>6172.0</v>
      </c>
      <c r="U589" s="1">
        <v>21.889176928</v>
      </c>
      <c r="V589" s="1">
        <v>220.24990732</v>
      </c>
      <c r="W589" s="1">
        <v>16.168395363</v>
      </c>
      <c r="X589" s="1">
        <v>11.3776137759999</v>
      </c>
      <c r="Y589" s="1">
        <v>77.376516694</v>
      </c>
      <c r="Z589" s="1">
        <v>10.8</v>
      </c>
      <c r="AA589" s="1">
        <v>9.8697051033</v>
      </c>
      <c r="AB589" s="1">
        <v>51835.0</v>
      </c>
      <c r="AC589" s="1">
        <v>52.69266481</v>
      </c>
      <c r="AD589" s="1">
        <v>72.627737226</v>
      </c>
      <c r="AE589" s="1">
        <v>8.0340485075</v>
      </c>
      <c r="AF589" s="1">
        <v>0.3651649611</v>
      </c>
      <c r="AG589" s="1">
        <v>1.7663793469</v>
      </c>
      <c r="AH589" s="1">
        <v>1.0190650079</v>
      </c>
      <c r="AI589" s="1">
        <v>0.1019065008</v>
      </c>
      <c r="AJ589" s="1">
        <v>17.383550592</v>
      </c>
      <c r="AK589" s="1">
        <v>78.3406224789999</v>
      </c>
      <c r="AL589" s="1">
        <v>2.8499697801</v>
      </c>
      <c r="AM589" s="1">
        <v>50.087045136</v>
      </c>
      <c r="AN589" s="1">
        <v>42.6689652119999</v>
      </c>
      <c r="AO589" s="1">
        <v>21700.0</v>
      </c>
      <c r="AP589" s="1">
        <v>18.9</v>
      </c>
      <c r="AQ589" s="1">
        <v>8.2</v>
      </c>
      <c r="AR589" s="1">
        <v>12.9</v>
      </c>
      <c r="AS589" s="1">
        <v>17.0</v>
      </c>
      <c r="AT589" s="1">
        <v>26.9</v>
      </c>
      <c r="AU589" s="1">
        <v>15.9</v>
      </c>
      <c r="AV589" s="1">
        <v>20.8</v>
      </c>
      <c r="AW589" s="1">
        <v>2.4</v>
      </c>
      <c r="AX589" s="1">
        <v>0.6199</v>
      </c>
      <c r="AY589" s="1">
        <v>11.0</v>
      </c>
      <c r="AZ589" s="1">
        <v>11.7</v>
      </c>
      <c r="BA589" s="1">
        <v>13.7</v>
      </c>
      <c r="BB589" s="1">
        <v>4.02</v>
      </c>
      <c r="BC589" s="1" t="s">
        <v>1075</v>
      </c>
      <c r="BD589" s="1">
        <v>14.3</v>
      </c>
      <c r="BE589" s="1">
        <v>34.7</v>
      </c>
      <c r="BF589" s="1">
        <v>35.3</v>
      </c>
      <c r="BG589" s="1">
        <v>15.7</v>
      </c>
      <c r="BH589" s="1" t="s">
        <v>1139</v>
      </c>
    </row>
    <row r="590">
      <c r="A590" s="1">
        <v>16077.0</v>
      </c>
      <c r="B590" s="2" t="str">
        <f>IFERROR(__xludf.DUMMYFUNCTION("TO_TEXT(A590)"),"16077")</f>
        <v>16077</v>
      </c>
      <c r="C590" s="1">
        <v>7696.0</v>
      </c>
      <c r="D590" s="1">
        <v>1403.82189381971</v>
      </c>
      <c r="E590" s="1" t="s">
        <v>1140</v>
      </c>
      <c r="F590" s="1" t="s">
        <v>1141</v>
      </c>
      <c r="G590" s="1">
        <v>5.4821769299093</v>
      </c>
      <c r="H590" s="1">
        <v>18.545596473</v>
      </c>
      <c r="I590" s="1">
        <v>3.9006083092</v>
      </c>
      <c r="J590" s="1">
        <v>6.4949608063</v>
      </c>
      <c r="K590" s="1">
        <v>14.506599275</v>
      </c>
      <c r="L590" s="1">
        <v>35.6</v>
      </c>
      <c r="M590" s="1">
        <v>8.5</v>
      </c>
      <c r="N590" s="1">
        <v>24.3</v>
      </c>
      <c r="O590" s="1">
        <v>68.7731866439999</v>
      </c>
      <c r="P590" s="1">
        <v>16.880443389</v>
      </c>
      <c r="Q590" s="1">
        <v>26.31579</v>
      </c>
      <c r="R590" s="1">
        <v>87.1794871789999</v>
      </c>
      <c r="S590" s="1">
        <v>19.4</v>
      </c>
      <c r="T590" s="1">
        <v>2320.0</v>
      </c>
      <c r="U590" s="1">
        <v>13.017241379</v>
      </c>
      <c r="V590" s="1">
        <v>110.42546281</v>
      </c>
      <c r="W590" s="1">
        <v>12.373225152</v>
      </c>
      <c r="X590" s="1">
        <v>9.0872210953</v>
      </c>
      <c r="Y590" s="1">
        <v>78.331679436</v>
      </c>
      <c r="Z590" s="1">
        <v>13.8</v>
      </c>
      <c r="AA590" s="1">
        <v>6.4810806494</v>
      </c>
      <c r="AB590" s="1">
        <v>51921.0</v>
      </c>
      <c r="AC590" s="1">
        <v>60.650705955</v>
      </c>
      <c r="AD590" s="1">
        <v>68.926772569</v>
      </c>
      <c r="AE590" s="1">
        <v>3.3319621555</v>
      </c>
      <c r="AF590" s="1">
        <v>0.3604531411</v>
      </c>
      <c r="AG590" s="1">
        <v>3.7461380021</v>
      </c>
      <c r="AH590" s="1">
        <v>0.5278063852</v>
      </c>
      <c r="AI590" s="1">
        <v>0.2188465499</v>
      </c>
      <c r="AJ590" s="1">
        <v>34.835221421</v>
      </c>
      <c r="AK590" s="1">
        <v>60.35015448</v>
      </c>
      <c r="AL590" s="1">
        <v>4.6439190146</v>
      </c>
      <c r="AM590" s="1">
        <v>49.1246138</v>
      </c>
      <c r="AN590" s="1">
        <v>42.586670078</v>
      </c>
      <c r="AO590" s="1">
        <v>20431.0</v>
      </c>
      <c r="AP590" s="1">
        <v>12.3</v>
      </c>
      <c r="AQ590" s="1">
        <v>6.6</v>
      </c>
      <c r="AR590" s="1">
        <v>20.8</v>
      </c>
      <c r="AS590" s="1">
        <v>14.5</v>
      </c>
      <c r="AT590" s="1">
        <v>31.2</v>
      </c>
      <c r="AU590" s="1">
        <v>17.3</v>
      </c>
      <c r="AV590" s="1">
        <v>36.9</v>
      </c>
      <c r="AW590" s="1">
        <v>6.0</v>
      </c>
      <c r="AX590" s="1">
        <v>0.7733</v>
      </c>
      <c r="AY590" s="1">
        <v>13.1</v>
      </c>
      <c r="AZ590" s="1">
        <v>9.6</v>
      </c>
      <c r="BA590" s="1">
        <v>10.2</v>
      </c>
      <c r="BB590" s="1">
        <v>3.04</v>
      </c>
      <c r="BC590" s="1" t="s">
        <v>1075</v>
      </c>
      <c r="BD590" s="1">
        <v>20.8</v>
      </c>
      <c r="BE590" s="1">
        <v>32.7</v>
      </c>
      <c r="BF590" s="1">
        <v>31.4</v>
      </c>
      <c r="BG590" s="1">
        <v>15.1</v>
      </c>
      <c r="BH590" s="1" t="s">
        <v>1141</v>
      </c>
    </row>
    <row r="591">
      <c r="A591" s="1">
        <v>16079.0</v>
      </c>
      <c r="B591" s="2" t="str">
        <f>IFERROR(__xludf.DUMMYFUNCTION("TO_TEXT(A591)"),"16079")</f>
        <v>16079</v>
      </c>
      <c r="C591" s="1">
        <v>12551.0</v>
      </c>
      <c r="D591" s="1">
        <v>2637.59764982252</v>
      </c>
      <c r="E591" s="1" t="s">
        <v>1142</v>
      </c>
      <c r="F591" s="1" t="s">
        <v>1143</v>
      </c>
      <c r="G591" s="1">
        <v>4.75849680895968</v>
      </c>
      <c r="H591" s="1">
        <v>15.4738307409999</v>
      </c>
      <c r="I591" s="1">
        <v>3.9922829127</v>
      </c>
      <c r="J591" s="1">
        <v>7.3818897638</v>
      </c>
      <c r="K591" s="1">
        <v>14.8220531979999</v>
      </c>
      <c r="L591" s="1">
        <v>35.4</v>
      </c>
      <c r="M591" s="1">
        <v>7.3</v>
      </c>
      <c r="N591" s="1">
        <v>21.9</v>
      </c>
      <c r="O591" s="1">
        <v>92.808460635</v>
      </c>
      <c r="P591" s="1">
        <v>13.595293129</v>
      </c>
      <c r="Q591" s="1">
        <v>47.83926</v>
      </c>
      <c r="R591" s="1">
        <v>93.984962406</v>
      </c>
      <c r="S591" s="1">
        <v>24.6</v>
      </c>
      <c r="T591" s="1">
        <v>2462.0</v>
      </c>
      <c r="U591" s="1">
        <v>34.402924452</v>
      </c>
      <c r="V591" s="1">
        <v>396.41639578</v>
      </c>
      <c r="W591" s="1">
        <v>14.575971731</v>
      </c>
      <c r="X591" s="1">
        <v>11.620411817</v>
      </c>
      <c r="Y591" s="1">
        <v>75.228380595</v>
      </c>
      <c r="Z591" s="1">
        <v>9.6</v>
      </c>
      <c r="AA591" s="1">
        <v>4.4368418303</v>
      </c>
      <c r="AB591" s="1">
        <v>36085.0</v>
      </c>
      <c r="AC591" s="1">
        <v>52.966360856</v>
      </c>
      <c r="AD591" s="1">
        <v>70.090252708</v>
      </c>
      <c r="AE591" s="1">
        <v>9.3308199811</v>
      </c>
      <c r="AF591" s="1">
        <v>0.4845264145</v>
      </c>
      <c r="AG591" s="1">
        <v>1.8130665833</v>
      </c>
      <c r="AH591" s="1">
        <v>0.6955298531</v>
      </c>
      <c r="AI591" s="1">
        <v>0.1719287277</v>
      </c>
      <c r="AJ591" s="1">
        <v>3.6183182244</v>
      </c>
      <c r="AK591" s="1">
        <v>91.090965927</v>
      </c>
      <c r="AL591" s="1">
        <v>1.0460962749</v>
      </c>
      <c r="AM591" s="1">
        <v>49.812441388</v>
      </c>
      <c r="AN591" s="1">
        <v>56.036036036</v>
      </c>
      <c r="AO591" s="1">
        <v>21875.0</v>
      </c>
      <c r="AP591" s="1">
        <v>17.9</v>
      </c>
      <c r="AQ591" s="1">
        <v>10.5</v>
      </c>
      <c r="AR591" s="1">
        <v>14.3</v>
      </c>
      <c r="AS591" s="1">
        <v>21.5</v>
      </c>
      <c r="AT591" s="1">
        <v>19.8</v>
      </c>
      <c r="AU591" s="1">
        <v>22.9</v>
      </c>
      <c r="AV591" s="1">
        <v>7.8</v>
      </c>
      <c r="AW591" s="1">
        <v>0.1</v>
      </c>
      <c r="AX591" s="1">
        <v>0.6479</v>
      </c>
      <c r="AY591" s="1">
        <v>19.1</v>
      </c>
      <c r="AZ591" s="1">
        <v>16.5</v>
      </c>
      <c r="BA591" s="1">
        <v>22.5</v>
      </c>
      <c r="BB591" s="1">
        <v>3.35</v>
      </c>
      <c r="BC591" s="1" t="s">
        <v>1075</v>
      </c>
      <c r="BD591" s="1">
        <v>13.8</v>
      </c>
      <c r="BE591" s="1">
        <v>37.0</v>
      </c>
      <c r="BF591" s="1">
        <v>37.7</v>
      </c>
      <c r="BG591" s="1">
        <v>11.5</v>
      </c>
      <c r="BH591" s="1" t="s">
        <v>1143</v>
      </c>
    </row>
    <row r="592">
      <c r="A592" s="1">
        <v>16081.0</v>
      </c>
      <c r="B592" s="2" t="str">
        <f>IFERROR(__xludf.DUMMYFUNCTION("TO_TEXT(A592)"),"16081")</f>
        <v>16081</v>
      </c>
      <c r="C592" s="1">
        <v>10437.0</v>
      </c>
      <c r="D592" s="1">
        <v>449.18124243461</v>
      </c>
      <c r="E592" s="1" t="s">
        <v>1144</v>
      </c>
      <c r="F592" s="1" t="s">
        <v>1145</v>
      </c>
      <c r="G592" s="1">
        <v>23.235609624815</v>
      </c>
      <c r="H592" s="1">
        <v>12.912337285</v>
      </c>
      <c r="I592" s="1">
        <v>3.5600094265</v>
      </c>
      <c r="J592" s="1">
        <v>8.0426356589</v>
      </c>
      <c r="K592" s="1">
        <v>13.476403875</v>
      </c>
      <c r="L592" s="1">
        <v>21.4</v>
      </c>
      <c r="M592" s="1">
        <v>8.8</v>
      </c>
      <c r="N592" s="1">
        <v>20.9</v>
      </c>
      <c r="O592" s="1">
        <v>90.422812193</v>
      </c>
      <c r="P592" s="1">
        <v>16.499553261</v>
      </c>
      <c r="Q592" s="1">
        <v>43.93287</v>
      </c>
      <c r="R592" s="1">
        <v>88.976377953</v>
      </c>
      <c r="S592" s="1">
        <v>10.9</v>
      </c>
      <c r="T592" s="1">
        <v>2921.0</v>
      </c>
      <c r="U592" s="1">
        <v>16.980486135</v>
      </c>
      <c r="V592" s="1">
        <v>85.336367515</v>
      </c>
      <c r="W592" s="1">
        <v>10.738255034</v>
      </c>
      <c r="X592" s="1">
        <v>7.9891304348</v>
      </c>
      <c r="Y592" s="1">
        <v>83.806937856</v>
      </c>
      <c r="Z592" s="1">
        <v>4.4</v>
      </c>
      <c r="AA592" s="1">
        <v>1.79674555009999</v>
      </c>
      <c r="AB592" s="1">
        <v>68749.0</v>
      </c>
      <c r="AC592" s="1">
        <v>37.098560354</v>
      </c>
      <c r="AD592" s="1">
        <v>73.956102784</v>
      </c>
      <c r="AE592" s="1">
        <v>7.49512399</v>
      </c>
      <c r="AF592" s="1">
        <v>0.206185567</v>
      </c>
      <c r="AG592" s="1">
        <v>0.8848797251</v>
      </c>
      <c r="AH592" s="1">
        <v>0.618556701</v>
      </c>
      <c r="AI592" s="1">
        <v>0.1718213058</v>
      </c>
      <c r="AJ592" s="1">
        <v>16.821305842</v>
      </c>
      <c r="AK592" s="1">
        <v>81.159793814</v>
      </c>
      <c r="AL592" s="1">
        <v>1.5442890443</v>
      </c>
      <c r="AM592" s="1">
        <v>47.5</v>
      </c>
      <c r="AN592" s="1">
        <v>100.0</v>
      </c>
      <c r="AO592" s="1">
        <v>29251.0</v>
      </c>
      <c r="AP592" s="1">
        <v>12.3</v>
      </c>
      <c r="AQ592" s="1">
        <v>5.9</v>
      </c>
      <c r="AR592" s="1">
        <v>8.8</v>
      </c>
      <c r="AS592" s="1">
        <v>8.1</v>
      </c>
      <c r="AT592" s="1">
        <v>28.1</v>
      </c>
      <c r="AU592" s="1">
        <v>8.0</v>
      </c>
      <c r="AV592" s="1">
        <v>19.1</v>
      </c>
      <c r="AW592" s="1">
        <v>3.6</v>
      </c>
      <c r="AX592" s="1">
        <v>0.2245</v>
      </c>
      <c r="AY592" s="1">
        <v>7.7</v>
      </c>
      <c r="AZ592" s="1">
        <v>6.4</v>
      </c>
      <c r="BA592" s="1">
        <v>6.2</v>
      </c>
      <c r="BB592" s="1">
        <v>3.13</v>
      </c>
      <c r="BC592" s="1" t="s">
        <v>1075</v>
      </c>
      <c r="BD592" s="1">
        <v>6.2</v>
      </c>
      <c r="BE592" s="1">
        <v>16.6</v>
      </c>
      <c r="BF592" s="1">
        <v>36.2</v>
      </c>
      <c r="BG592" s="1">
        <v>41.0</v>
      </c>
      <c r="BH592" s="1" t="s">
        <v>1145</v>
      </c>
    </row>
    <row r="593">
      <c r="A593" s="1">
        <v>16083.0</v>
      </c>
      <c r="B593" s="2" t="str">
        <f>IFERROR(__xludf.DUMMYFUNCTION("TO_TEXT(A593)"),"16083")</f>
        <v>16083</v>
      </c>
      <c r="C593" s="1">
        <v>80955.0</v>
      </c>
      <c r="D593" s="1">
        <v>1921.76241903372</v>
      </c>
      <c r="E593" s="1" t="s">
        <v>1146</v>
      </c>
      <c r="F593" s="1" t="s">
        <v>1147</v>
      </c>
      <c r="G593" s="1">
        <v>42.1253944807104</v>
      </c>
      <c r="H593" s="1">
        <v>15.3312258229999</v>
      </c>
      <c r="I593" s="1">
        <v>3.8593282392</v>
      </c>
      <c r="J593" s="1">
        <v>7.0641223184</v>
      </c>
      <c r="K593" s="1">
        <v>13.8711118159999</v>
      </c>
      <c r="L593" s="1">
        <v>32.8</v>
      </c>
      <c r="M593" s="1">
        <v>8.3</v>
      </c>
      <c r="N593" s="1">
        <v>24.2</v>
      </c>
      <c r="O593" s="1">
        <v>75.804739091</v>
      </c>
      <c r="P593" s="1">
        <v>13.977480647</v>
      </c>
      <c r="Q593" s="1">
        <v>69.31065</v>
      </c>
      <c r="R593" s="1">
        <v>79.63800905</v>
      </c>
      <c r="S593" s="1">
        <v>16.9</v>
      </c>
      <c r="T593" s="1">
        <v>23126.0</v>
      </c>
      <c r="U593" s="1">
        <v>23.1384588769999</v>
      </c>
      <c r="V593" s="1">
        <v>242.34786613</v>
      </c>
      <c r="W593" s="1">
        <v>15.102739726</v>
      </c>
      <c r="X593" s="1">
        <v>11.9647790059999</v>
      </c>
      <c r="Y593" s="1">
        <v>77.951358306</v>
      </c>
      <c r="Z593" s="1">
        <v>8.4</v>
      </c>
      <c r="AA593" s="1">
        <v>2.6166388485</v>
      </c>
      <c r="AB593" s="1">
        <v>51594.0</v>
      </c>
      <c r="AC593" s="1">
        <v>47.88880634</v>
      </c>
      <c r="AD593" s="1">
        <v>68.576733883</v>
      </c>
      <c r="AE593" s="1">
        <v>11.298977422</v>
      </c>
      <c r="AF593" s="1">
        <v>0.6017588086</v>
      </c>
      <c r="AG593" s="1">
        <v>1.3336276298</v>
      </c>
      <c r="AH593" s="1">
        <v>1.7251193643</v>
      </c>
      <c r="AI593" s="1">
        <v>0.3032027974</v>
      </c>
      <c r="AJ593" s="1">
        <v>16.910816556</v>
      </c>
      <c r="AK593" s="1">
        <v>78.586447648</v>
      </c>
      <c r="AL593" s="1">
        <v>2.6485186909</v>
      </c>
      <c r="AM593" s="1">
        <v>50.641837339</v>
      </c>
      <c r="AN593" s="1">
        <v>27.990418231</v>
      </c>
      <c r="AO593" s="1">
        <v>21682.0</v>
      </c>
      <c r="AP593" s="1">
        <v>15.6</v>
      </c>
      <c r="AQ593" s="1">
        <v>4.4</v>
      </c>
      <c r="AR593" s="1">
        <v>13.1</v>
      </c>
      <c r="AS593" s="1">
        <v>14.8</v>
      </c>
      <c r="AT593" s="1">
        <v>27.6</v>
      </c>
      <c r="AU593" s="1">
        <v>12.8</v>
      </c>
      <c r="AV593" s="1">
        <v>19.1</v>
      </c>
      <c r="AW593" s="1">
        <v>3.2</v>
      </c>
      <c r="AX593" s="1">
        <v>0.5126</v>
      </c>
      <c r="AY593" s="1">
        <v>11.0</v>
      </c>
      <c r="AZ593" s="1">
        <v>11.0</v>
      </c>
      <c r="BA593" s="1">
        <v>12.5</v>
      </c>
      <c r="BB593" s="1">
        <v>3.08</v>
      </c>
      <c r="BC593" s="1" t="s">
        <v>1075</v>
      </c>
      <c r="BD593" s="1">
        <v>12.9</v>
      </c>
      <c r="BE593" s="1">
        <v>27.2</v>
      </c>
      <c r="BF593" s="1">
        <v>39.3</v>
      </c>
      <c r="BG593" s="1">
        <v>20.6</v>
      </c>
      <c r="BH593" s="1" t="s">
        <v>1147</v>
      </c>
    </row>
    <row r="594">
      <c r="A594" s="1">
        <v>16085.0</v>
      </c>
      <c r="B594" s="2" t="str">
        <f>IFERROR(__xludf.DUMMYFUNCTION("TO_TEXT(A594)"),"16085")</f>
        <v>16085</v>
      </c>
      <c r="C594" s="1">
        <v>9897.0</v>
      </c>
      <c r="D594" s="1">
        <v>3665.21670818659</v>
      </c>
      <c r="E594" s="1" t="s">
        <v>1148</v>
      </c>
      <c r="F594" s="1" t="s">
        <v>1149</v>
      </c>
      <c r="G594" s="1">
        <v>2.70024961358879</v>
      </c>
      <c r="H594" s="1">
        <v>11.948611509</v>
      </c>
      <c r="I594" s="1">
        <v>3.6083685523</v>
      </c>
      <c r="J594" s="1">
        <v>4.9382716049</v>
      </c>
      <c r="K594" s="1">
        <v>11.845524966</v>
      </c>
      <c r="L594" s="1">
        <v>27.8</v>
      </c>
      <c r="M594" s="1">
        <v>7.8</v>
      </c>
      <c r="N594" s="1">
        <v>18.0</v>
      </c>
      <c r="O594" s="1">
        <v>86.138714257</v>
      </c>
      <c r="P594" s="1">
        <v>11.834759955</v>
      </c>
      <c r="Q594" s="1">
        <v>149.71461</v>
      </c>
      <c r="R594" s="1">
        <v>87.058823529</v>
      </c>
      <c r="S594" s="1">
        <v>13.9</v>
      </c>
      <c r="T594" s="1">
        <v>1886.0</v>
      </c>
      <c r="U594" s="1">
        <v>26.617179215</v>
      </c>
      <c r="V594" s="1">
        <v>327.20865844</v>
      </c>
      <c r="W594" s="1">
        <v>19.593613933</v>
      </c>
      <c r="X594" s="1">
        <v>16.105417277</v>
      </c>
      <c r="Y594" s="1">
        <v>83.951418628</v>
      </c>
      <c r="Z594" s="1">
        <v>6.4</v>
      </c>
      <c r="AA594" s="1">
        <v>6.5027641908</v>
      </c>
      <c r="AB594" s="1">
        <v>60285.0</v>
      </c>
      <c r="AC594" s="1">
        <v>31.545518701</v>
      </c>
      <c r="AD594" s="1">
        <v>78.734469806</v>
      </c>
      <c r="AE594" s="1">
        <v>14.315291334</v>
      </c>
      <c r="AF594" s="1">
        <v>0.335114573</v>
      </c>
      <c r="AG594" s="1">
        <v>1.2046010325</v>
      </c>
      <c r="AH594" s="1">
        <v>0.643057694</v>
      </c>
      <c r="AI594" s="1">
        <v>0.1086858074</v>
      </c>
      <c r="AJ594" s="1">
        <v>4.7097183226</v>
      </c>
      <c r="AK594" s="1">
        <v>91.930078797</v>
      </c>
      <c r="AL594" s="1">
        <v>0.0201816347</v>
      </c>
      <c r="AM594" s="1">
        <v>48.193098451</v>
      </c>
      <c r="AN594" s="1">
        <v>100.0</v>
      </c>
      <c r="AO594" s="1">
        <v>28133.0</v>
      </c>
      <c r="AP594" s="1">
        <v>14.0</v>
      </c>
      <c r="AQ594" s="1">
        <v>4.9</v>
      </c>
      <c r="AR594" s="1">
        <v>4.5</v>
      </c>
      <c r="AS594" s="1">
        <v>21.4</v>
      </c>
      <c r="AT594" s="1">
        <v>18.3</v>
      </c>
      <c r="AU594" s="1">
        <v>19.6</v>
      </c>
      <c r="AV594" s="1">
        <v>2.3</v>
      </c>
      <c r="AW594" s="1">
        <v>0.0</v>
      </c>
      <c r="AX594" s="1">
        <v>0.0809</v>
      </c>
      <c r="AY594" s="1">
        <v>8.8</v>
      </c>
      <c r="AZ594" s="1">
        <v>11.6</v>
      </c>
      <c r="BA594" s="1">
        <v>11.7</v>
      </c>
      <c r="BB594" s="1">
        <v>3.32</v>
      </c>
      <c r="BC594" s="1" t="s">
        <v>1075</v>
      </c>
      <c r="BD594" s="1">
        <v>5.4</v>
      </c>
      <c r="BE594" s="1">
        <v>26.7</v>
      </c>
      <c r="BF594" s="1">
        <v>37.6</v>
      </c>
      <c r="BG594" s="1">
        <v>30.4</v>
      </c>
      <c r="BH594" s="1" t="s">
        <v>1149</v>
      </c>
    </row>
    <row r="595">
      <c r="A595" s="1">
        <v>16087.0</v>
      </c>
      <c r="B595" s="2" t="str">
        <f>IFERROR(__xludf.DUMMYFUNCTION("TO_TEXT(A595)"),"16087")</f>
        <v>16087</v>
      </c>
      <c r="C595" s="1">
        <v>10035.0</v>
      </c>
      <c r="D595" s="1">
        <v>1452.86433356528</v>
      </c>
      <c r="E595" s="1" t="s">
        <v>188</v>
      </c>
      <c r="F595" s="1" t="s">
        <v>1150</v>
      </c>
      <c r="G595" s="1">
        <v>6.90704546058639</v>
      </c>
      <c r="H595" s="1">
        <v>17.976272292</v>
      </c>
      <c r="I595" s="1">
        <v>4.1506536117</v>
      </c>
      <c r="J595" s="1">
        <v>6.6319895969</v>
      </c>
      <c r="K595" s="1">
        <v>15.095073371</v>
      </c>
      <c r="L595" s="1">
        <v>35.1</v>
      </c>
      <c r="M595" s="1">
        <v>7.5</v>
      </c>
      <c r="N595" s="1">
        <v>29.7</v>
      </c>
      <c r="O595" s="1">
        <v>74.200823691</v>
      </c>
      <c r="P595" s="1">
        <v>16.4374415809999</v>
      </c>
      <c r="Q595" s="1">
        <v>49.40223</v>
      </c>
      <c r="R595" s="1">
        <v>89.795918367</v>
      </c>
      <c r="S595" s="1">
        <v>22.5</v>
      </c>
      <c r="T595" s="1">
        <v>2341.0</v>
      </c>
      <c r="U595" s="1">
        <v>39.256727894</v>
      </c>
      <c r="V595" s="1">
        <v>100.21044193</v>
      </c>
      <c r="W595" s="1">
        <v>17.503217503</v>
      </c>
      <c r="X595" s="1">
        <v>14.545454545</v>
      </c>
      <c r="Y595" s="1">
        <v>80.039333512</v>
      </c>
      <c r="Z595" s="1">
        <v>11.4</v>
      </c>
      <c r="AA595" s="1">
        <v>9.7703118099</v>
      </c>
      <c r="AB595" s="1">
        <v>43402.0</v>
      </c>
      <c r="AC595" s="1">
        <v>53.949579832</v>
      </c>
      <c r="AD595" s="1">
        <v>70.283723245</v>
      </c>
      <c r="AE595" s="1">
        <v>13.646937193</v>
      </c>
      <c r="AF595" s="1">
        <v>0.2755634288</v>
      </c>
      <c r="AG595" s="1">
        <v>1.6927467769</v>
      </c>
      <c r="AH595" s="1">
        <v>0.9939966539</v>
      </c>
      <c r="AI595" s="1">
        <v>0.147623265399999</v>
      </c>
      <c r="AJ595" s="1">
        <v>16.907784667</v>
      </c>
      <c r="AK595" s="1">
        <v>79.145753371</v>
      </c>
      <c r="AL595" s="1">
        <v>3.6316064887</v>
      </c>
      <c r="AM595" s="1">
        <v>50.221434898</v>
      </c>
      <c r="AN595" s="1">
        <v>45.5677583839999</v>
      </c>
      <c r="AO595" s="1">
        <v>19559.0</v>
      </c>
      <c r="AP595" s="1">
        <v>15.3</v>
      </c>
      <c r="AQ595" s="1">
        <v>9.4</v>
      </c>
      <c r="AR595" s="1">
        <v>16.2</v>
      </c>
      <c r="AS595" s="1">
        <v>23.1</v>
      </c>
      <c r="AT595" s="1">
        <v>23.8</v>
      </c>
      <c r="AU595" s="1">
        <v>19.3</v>
      </c>
      <c r="AV595" s="1">
        <v>21.3</v>
      </c>
      <c r="AW595" s="1">
        <v>3.0</v>
      </c>
      <c r="AX595" s="1">
        <v>0.8313</v>
      </c>
      <c r="AY595" s="1">
        <v>13.4</v>
      </c>
      <c r="AZ595" s="1">
        <v>13.4</v>
      </c>
      <c r="BA595" s="1">
        <v>18.1</v>
      </c>
      <c r="BB595" s="1">
        <v>3.03</v>
      </c>
      <c r="BC595" s="1" t="s">
        <v>1075</v>
      </c>
      <c r="BD595" s="1">
        <v>15.0</v>
      </c>
      <c r="BE595" s="1">
        <v>33.8</v>
      </c>
      <c r="BF595" s="1">
        <v>34.9</v>
      </c>
      <c r="BG595" s="1">
        <v>16.3</v>
      </c>
      <c r="BH595" s="1" t="s">
        <v>1150</v>
      </c>
    </row>
    <row r="596">
      <c r="A596" s="1">
        <v>17001.0</v>
      </c>
      <c r="B596" s="2" t="str">
        <f>IFERROR(__xludf.DUMMYFUNCTION("TO_TEXT(A596)"),"17001")</f>
        <v>17001</v>
      </c>
      <c r="C596" s="1">
        <v>66949.0</v>
      </c>
      <c r="D596" s="1">
        <v>855.205229955274</v>
      </c>
      <c r="E596" s="1" t="s">
        <v>532</v>
      </c>
      <c r="F596" s="1" t="s">
        <v>1151</v>
      </c>
      <c r="G596" s="1">
        <v>78.2841330419616</v>
      </c>
      <c r="H596" s="1">
        <v>14.772517959</v>
      </c>
      <c r="I596" s="1">
        <v>4.0718884052</v>
      </c>
      <c r="J596" s="1">
        <v>7.6694619147</v>
      </c>
      <c r="K596" s="1">
        <v>15.457187119</v>
      </c>
      <c r="L596" s="1">
        <v>36.6</v>
      </c>
      <c r="M596" s="1">
        <v>8.3</v>
      </c>
      <c r="N596" s="1">
        <v>27.6</v>
      </c>
      <c r="O596" s="1">
        <v>81.886055765</v>
      </c>
      <c r="P596" s="1">
        <v>5.2365870045</v>
      </c>
      <c r="Q596" s="1">
        <v>89.07812</v>
      </c>
      <c r="R596" s="1">
        <v>91.510770381</v>
      </c>
      <c r="S596" s="1">
        <v>15.9</v>
      </c>
      <c r="T596" s="1">
        <v>14784.0</v>
      </c>
      <c r="U596" s="1">
        <v>31.398809524</v>
      </c>
      <c r="V596" s="1">
        <v>346.26928864</v>
      </c>
      <c r="W596" s="1">
        <v>10.994860499</v>
      </c>
      <c r="X596" s="1">
        <v>9.388283127</v>
      </c>
      <c r="Y596" s="1">
        <v>78.288202676</v>
      </c>
      <c r="Z596" s="1">
        <v>11.0</v>
      </c>
      <c r="AA596" s="1">
        <v>3.171017875</v>
      </c>
      <c r="AB596" s="1">
        <v>55174.0</v>
      </c>
      <c r="AC596" s="1">
        <v>53.6019932839999</v>
      </c>
      <c r="AD596" s="1">
        <v>71.67032967</v>
      </c>
      <c r="AE596" s="1">
        <v>9.8169654602</v>
      </c>
      <c r="AF596" s="1">
        <v>3.763072567</v>
      </c>
      <c r="AG596" s="1">
        <v>0.2846660882</v>
      </c>
      <c r="AH596" s="1">
        <v>0.9879587767</v>
      </c>
      <c r="AI596" s="1">
        <v>0.0319678495</v>
      </c>
      <c r="AJ596" s="1">
        <v>1.6608058943</v>
      </c>
      <c r="AK596" s="1">
        <v>91.5498317879999</v>
      </c>
      <c r="AL596" s="1">
        <v>0.1893848203</v>
      </c>
      <c r="AM596" s="1">
        <v>50.8182247189999</v>
      </c>
      <c r="AN596" s="1">
        <v>32.599138638</v>
      </c>
      <c r="AO596" s="1">
        <v>26053.0</v>
      </c>
      <c r="AP596" s="1">
        <v>12.9</v>
      </c>
      <c r="AQ596" s="1">
        <v>6.4</v>
      </c>
      <c r="AR596" s="1">
        <v>8.3</v>
      </c>
      <c r="AS596" s="1">
        <v>18.6</v>
      </c>
      <c r="AT596" s="1">
        <v>22.7</v>
      </c>
      <c r="AU596" s="1">
        <v>13.7</v>
      </c>
      <c r="AV596" s="1">
        <v>7.7</v>
      </c>
      <c r="AW596" s="1">
        <v>0.3</v>
      </c>
      <c r="AX596" s="1">
        <v>0.2776</v>
      </c>
      <c r="AY596" s="1">
        <v>12.3</v>
      </c>
      <c r="AZ596" s="1">
        <v>10.2</v>
      </c>
      <c r="BA596" s="1">
        <v>14.2</v>
      </c>
      <c r="BB596" s="1">
        <v>2.85</v>
      </c>
      <c r="BC596" s="1" t="s">
        <v>1152</v>
      </c>
      <c r="BD596" s="1">
        <v>7.5</v>
      </c>
      <c r="BE596" s="1">
        <v>35.4</v>
      </c>
      <c r="BF596" s="1">
        <v>32.1</v>
      </c>
      <c r="BG596" s="1">
        <v>25.0</v>
      </c>
      <c r="BH596" s="1" t="s">
        <v>1151</v>
      </c>
    </row>
    <row r="597">
      <c r="A597" s="1">
        <v>17003.0</v>
      </c>
      <c r="B597" s="2" t="str">
        <f>IFERROR(__xludf.DUMMYFUNCTION("TO_TEXT(A597)"),"17003")</f>
        <v>17003</v>
      </c>
      <c r="C597" s="1">
        <v>7051.0</v>
      </c>
      <c r="D597" s="1">
        <v>235.521039300084</v>
      </c>
      <c r="E597" s="1" t="s">
        <v>1153</v>
      </c>
      <c r="F597" s="1" t="s">
        <v>1154</v>
      </c>
      <c r="G597" s="1">
        <v>29.9378774013311</v>
      </c>
      <c r="H597" s="1">
        <v>24.272540011</v>
      </c>
      <c r="I597" s="1">
        <v>4.9253294313</v>
      </c>
      <c r="J597" s="1">
        <v>8.3194675541</v>
      </c>
      <c r="K597" s="1">
        <v>21.551918626</v>
      </c>
      <c r="L597" s="1">
        <v>26.2</v>
      </c>
      <c r="M597" s="1">
        <v>5.4</v>
      </c>
      <c r="N597" s="1">
        <v>22.6</v>
      </c>
      <c r="O597" s="1">
        <v>58.351541636</v>
      </c>
      <c r="P597" s="1">
        <v>6.3651248465</v>
      </c>
      <c r="Q597" s="1">
        <v>15.83531</v>
      </c>
      <c r="R597" s="1">
        <v>92.547115385</v>
      </c>
      <c r="S597" s="1">
        <v>44.5</v>
      </c>
      <c r="T597" s="1">
        <v>1562.0</v>
      </c>
      <c r="U597" s="1">
        <v>56.081946223</v>
      </c>
      <c r="V597" s="1">
        <v>1316.354271</v>
      </c>
      <c r="W597" s="1">
        <v>17.554240631</v>
      </c>
      <c r="X597" s="1">
        <v>14.4118827779999</v>
      </c>
      <c r="Y597" s="1">
        <v>74.445441538</v>
      </c>
      <c r="Z597" s="1">
        <v>7.9</v>
      </c>
      <c r="AA597" s="1">
        <v>12.5076573309999</v>
      </c>
      <c r="AB597" s="1">
        <v>35249.0</v>
      </c>
      <c r="AC597" s="1">
        <v>91.54589372</v>
      </c>
      <c r="AD597" s="1">
        <v>71.287128713</v>
      </c>
      <c r="AE597" s="1">
        <v>15.521064302</v>
      </c>
      <c r="AF597" s="1">
        <v>31.96369637</v>
      </c>
      <c r="AG597" s="1">
        <v>0.4620462046</v>
      </c>
      <c r="AH597" s="1">
        <v>0.297029703</v>
      </c>
      <c r="AI597" s="1">
        <v>0.1650165017</v>
      </c>
      <c r="AJ597" s="1">
        <v>1.8151815182</v>
      </c>
      <c r="AK597" s="1">
        <v>63.201320132</v>
      </c>
      <c r="AL597" s="1">
        <v>0.0988142292</v>
      </c>
      <c r="AM597" s="1">
        <v>51.617161716</v>
      </c>
      <c r="AN597" s="1">
        <v>61.859674678</v>
      </c>
      <c r="AO597" s="1">
        <v>16067.0</v>
      </c>
      <c r="AP597" s="1">
        <v>33.5</v>
      </c>
      <c r="AQ597" s="1">
        <v>11.8</v>
      </c>
      <c r="AR597" s="1">
        <v>25.0</v>
      </c>
      <c r="AS597" s="1">
        <v>18.8</v>
      </c>
      <c r="AT597" s="1">
        <v>23.9</v>
      </c>
      <c r="AU597" s="1">
        <v>23.3</v>
      </c>
      <c r="AV597" s="1">
        <v>38.9</v>
      </c>
      <c r="AW597" s="1">
        <v>0.2</v>
      </c>
      <c r="AX597" s="1">
        <v>0.9959</v>
      </c>
      <c r="AY597" s="1">
        <v>24.0</v>
      </c>
      <c r="AZ597" s="1">
        <v>19.5</v>
      </c>
      <c r="BA597" s="1">
        <v>32.4</v>
      </c>
      <c r="BB597" s="1">
        <v>2.83</v>
      </c>
      <c r="BC597" s="1" t="s">
        <v>1152</v>
      </c>
      <c r="BD597" s="1">
        <v>13.5</v>
      </c>
      <c r="BE597" s="1">
        <v>40.7</v>
      </c>
      <c r="BF597" s="1">
        <v>32.9</v>
      </c>
      <c r="BG597" s="1">
        <v>12.9</v>
      </c>
      <c r="BH597" s="1" t="s">
        <v>1154</v>
      </c>
    </row>
    <row r="598">
      <c r="A598" s="1">
        <v>17005.0</v>
      </c>
      <c r="B598" s="2" t="str">
        <f>IFERROR(__xludf.DUMMYFUNCTION("TO_TEXT(A598)"),"17005")</f>
        <v>17005</v>
      </c>
      <c r="C598" s="1">
        <v>17137.0</v>
      </c>
      <c r="D598" s="1">
        <v>380.2790606023</v>
      </c>
      <c r="E598" s="1" t="s">
        <v>1155</v>
      </c>
      <c r="F598" s="1" t="s">
        <v>1156</v>
      </c>
      <c r="G598" s="1">
        <v>45.0642745694642</v>
      </c>
      <c r="H598" s="1">
        <v>15.598466912</v>
      </c>
      <c r="I598" s="1">
        <v>4.0183938855</v>
      </c>
      <c r="J598" s="1">
        <v>8.9034676664</v>
      </c>
      <c r="K598" s="1">
        <v>16.571008524</v>
      </c>
      <c r="L598" s="1">
        <v>25.5</v>
      </c>
      <c r="M598" s="1">
        <v>8.4</v>
      </c>
      <c r="N598" s="1">
        <v>24.9</v>
      </c>
      <c r="O598" s="1">
        <v>62.719495723</v>
      </c>
      <c r="P598" s="1">
        <v>6.6122516283</v>
      </c>
      <c r="Q598" s="1">
        <v>70.80481</v>
      </c>
      <c r="R598" s="1">
        <v>91.731825273</v>
      </c>
      <c r="S598" s="1">
        <v>18.3</v>
      </c>
      <c r="T598" s="1">
        <v>3186.0</v>
      </c>
      <c r="U598" s="1">
        <v>23.2266164469999</v>
      </c>
      <c r="V598" s="1">
        <v>39.246467818</v>
      </c>
      <c r="W598" s="1">
        <v>13.6363636359999</v>
      </c>
      <c r="X598" s="1">
        <v>9.7090606816</v>
      </c>
      <c r="Y598" s="1">
        <v>78.646101727</v>
      </c>
      <c r="Z598" s="1">
        <v>4.3</v>
      </c>
      <c r="AA598" s="1">
        <v>2.713725487</v>
      </c>
      <c r="AB598" s="1">
        <v>54800.0</v>
      </c>
      <c r="AC598" s="1">
        <v>46.548672566</v>
      </c>
      <c r="AD598" s="1">
        <v>77.484721775</v>
      </c>
      <c r="AE598" s="1">
        <v>7.4945751961</v>
      </c>
      <c r="AF598" s="1">
        <v>5.9951894167</v>
      </c>
      <c r="AG598" s="1">
        <v>0.6794948888</v>
      </c>
      <c r="AH598" s="1">
        <v>0.8057726999</v>
      </c>
      <c r="AI598" s="1">
        <v>0.0240529164</v>
      </c>
      <c r="AJ598" s="1">
        <v>3.6139506915</v>
      </c>
      <c r="AK598" s="1">
        <v>87.696933253</v>
      </c>
      <c r="AL598" s="1">
        <v>0.2070003764</v>
      </c>
      <c r="AM598" s="1">
        <v>48.015634396</v>
      </c>
      <c r="AN598" s="1">
        <v>60.738406123</v>
      </c>
      <c r="AO598" s="1">
        <v>23660.0</v>
      </c>
      <c r="AP598" s="1">
        <v>16.5</v>
      </c>
      <c r="AQ598" s="1">
        <v>5.9</v>
      </c>
      <c r="AR598" s="1">
        <v>12.1</v>
      </c>
      <c r="AS598" s="1">
        <v>16.8</v>
      </c>
      <c r="AT598" s="1">
        <v>19.9</v>
      </c>
      <c r="AU598" s="1">
        <v>16.2</v>
      </c>
      <c r="AV598" s="1">
        <v>12.2</v>
      </c>
      <c r="AW598" s="1">
        <v>0.2</v>
      </c>
      <c r="AX598" s="1">
        <v>0.4938</v>
      </c>
      <c r="AY598" s="1">
        <v>13.0</v>
      </c>
      <c r="AZ598" s="1">
        <v>10.3</v>
      </c>
      <c r="BA598" s="1">
        <v>15.8</v>
      </c>
      <c r="BB598" s="1">
        <v>2.89</v>
      </c>
      <c r="BC598" s="1" t="s">
        <v>1152</v>
      </c>
      <c r="BD598" s="1">
        <v>10.8</v>
      </c>
      <c r="BE598" s="1">
        <v>33.1</v>
      </c>
      <c r="BF598" s="1">
        <v>33.3</v>
      </c>
      <c r="BG598" s="1">
        <v>22.9</v>
      </c>
      <c r="BH598" s="1" t="s">
        <v>1156</v>
      </c>
    </row>
    <row r="599">
      <c r="A599" s="1">
        <v>17007.0</v>
      </c>
      <c r="B599" s="2" t="str">
        <f>IFERROR(__xludf.DUMMYFUNCTION("TO_TEXT(A599)"),"17007")</f>
        <v>17007</v>
      </c>
      <c r="C599" s="1">
        <v>53656.0</v>
      </c>
      <c r="D599" s="1">
        <v>280.735372696752</v>
      </c>
      <c r="E599" s="1" t="s">
        <v>293</v>
      </c>
      <c r="F599" s="1" t="s">
        <v>1157</v>
      </c>
      <c r="G599" s="1">
        <v>191.126609677216</v>
      </c>
      <c r="H599" s="1">
        <v>15.614342008</v>
      </c>
      <c r="I599" s="1">
        <v>3.8412610331</v>
      </c>
      <c r="J599" s="1">
        <v>6.6633391565</v>
      </c>
      <c r="K599" s="1">
        <v>15.135819484</v>
      </c>
      <c r="L599" s="1">
        <v>33.4</v>
      </c>
      <c r="M599" s="1">
        <v>8.8</v>
      </c>
      <c r="N599" s="1">
        <v>26.6</v>
      </c>
      <c r="O599" s="1">
        <v>88.837810394</v>
      </c>
      <c r="P599" s="1">
        <v>7.5019403482</v>
      </c>
      <c r="Q599" s="1">
        <v>56.06114</v>
      </c>
      <c r="R599" s="1">
        <v>91.256327769</v>
      </c>
      <c r="S599" s="1">
        <v>13.5</v>
      </c>
      <c r="T599" s="1">
        <v>13643.0</v>
      </c>
      <c r="U599" s="1">
        <v>29.934765081</v>
      </c>
      <c r="V599" s="1">
        <v>170.90824189</v>
      </c>
      <c r="W599" s="1">
        <v>13.854930725</v>
      </c>
      <c r="X599" s="1">
        <v>11.729240888</v>
      </c>
      <c r="Y599" s="1">
        <v>79.456425254</v>
      </c>
      <c r="Z599" s="1">
        <v>9.6</v>
      </c>
      <c r="AA599" s="1">
        <v>4.813578764</v>
      </c>
      <c r="AB599" s="1">
        <v>74507.0</v>
      </c>
      <c r="AC599" s="1">
        <v>43.233433579</v>
      </c>
      <c r="AD599" s="1">
        <v>79.798195505</v>
      </c>
      <c r="AE599" s="1">
        <v>11.051771117</v>
      </c>
      <c r="AF599" s="1">
        <v>2.4096160666</v>
      </c>
      <c r="AG599" s="1">
        <v>0.7764525823</v>
      </c>
      <c r="AH599" s="1">
        <v>1.534240439</v>
      </c>
      <c r="AI599" s="1">
        <v>0.0951901002</v>
      </c>
      <c r="AJ599" s="1">
        <v>22.407003005</v>
      </c>
      <c r="AK599" s="1">
        <v>72.154095974</v>
      </c>
      <c r="AL599" s="1">
        <v>3.6166508389</v>
      </c>
      <c r="AM599" s="1">
        <v>50.006532654</v>
      </c>
      <c r="AN599" s="1">
        <v>19.363057325</v>
      </c>
      <c r="AO599" s="1">
        <v>27825.0</v>
      </c>
      <c r="AP599" s="1">
        <v>11.1</v>
      </c>
      <c r="AQ599" s="1">
        <v>8.4</v>
      </c>
      <c r="AR599" s="1">
        <v>13.9</v>
      </c>
      <c r="AS599" s="1">
        <v>13.6</v>
      </c>
      <c r="AT599" s="1">
        <v>26.5</v>
      </c>
      <c r="AU599" s="1">
        <v>10.4</v>
      </c>
      <c r="AV599" s="1">
        <v>25.5</v>
      </c>
      <c r="AW599" s="1">
        <v>3.8</v>
      </c>
      <c r="AX599" s="1">
        <v>0.4339</v>
      </c>
      <c r="AY599" s="1">
        <v>8.9</v>
      </c>
      <c r="AZ599" s="1">
        <v>8.7</v>
      </c>
      <c r="BA599" s="1">
        <v>12.9</v>
      </c>
      <c r="BB599" s="1">
        <v>2.77</v>
      </c>
      <c r="BC599" s="1" t="s">
        <v>1152</v>
      </c>
      <c r="BD599" s="1">
        <v>13.8</v>
      </c>
      <c r="BE599" s="1">
        <v>34.8</v>
      </c>
      <c r="BF599" s="1">
        <v>27.9</v>
      </c>
      <c r="BG599" s="1">
        <v>23.5</v>
      </c>
      <c r="BH599" s="1" t="s">
        <v>1157</v>
      </c>
    </row>
    <row r="600">
      <c r="A600" s="1">
        <v>17009.0</v>
      </c>
      <c r="B600" s="2" t="str">
        <f>IFERROR(__xludf.DUMMYFUNCTION("TO_TEXT(A600)"),"17009")</f>
        <v>17009</v>
      </c>
      <c r="C600" s="1">
        <v>6836.0</v>
      </c>
      <c r="D600" s="1">
        <v>305.606790558458</v>
      </c>
      <c r="E600" s="1" t="s">
        <v>1158</v>
      </c>
      <c r="F600" s="1" t="s">
        <v>1159</v>
      </c>
      <c r="G600" s="1">
        <v>22.368612907809</v>
      </c>
      <c r="H600" s="1">
        <v>15.601500675</v>
      </c>
      <c r="I600" s="1">
        <v>3.7038532874</v>
      </c>
      <c r="J600" s="1">
        <v>6.52173913039999</v>
      </c>
      <c r="K600" s="1">
        <v>16.962569089</v>
      </c>
      <c r="L600" s="1">
        <v>23.4</v>
      </c>
      <c r="M600" s="1">
        <v>7.5</v>
      </c>
      <c r="N600" s="1">
        <v>23.2</v>
      </c>
      <c r="O600" s="1">
        <v>75.695545625</v>
      </c>
      <c r="P600" s="1">
        <v>3.6247334755</v>
      </c>
      <c r="Q600" s="1">
        <v>14.88982</v>
      </c>
      <c r="R600" s="1">
        <v>92.5</v>
      </c>
      <c r="S600" s="1">
        <v>14.8</v>
      </c>
      <c r="T600" s="1">
        <v>1046.0</v>
      </c>
      <c r="U600" s="1">
        <v>18.355640535</v>
      </c>
      <c r="V600" s="1">
        <v>134.39470692</v>
      </c>
      <c r="W600" s="1">
        <v>7.7464788732</v>
      </c>
      <c r="X600" s="1">
        <v>6.3477025107</v>
      </c>
      <c r="Y600" s="1">
        <v>77.898723255</v>
      </c>
      <c r="Z600" s="1">
        <v>4.6</v>
      </c>
      <c r="AA600" s="1">
        <v>13.0591758909999</v>
      </c>
      <c r="AB600" s="1">
        <v>55327.0</v>
      </c>
      <c r="AC600" s="1">
        <v>84.520547945</v>
      </c>
      <c r="AD600" s="1">
        <v>75.898418783</v>
      </c>
      <c r="AE600" s="1">
        <v>4.1604754829</v>
      </c>
      <c r="AF600" s="1">
        <v>18.486882245</v>
      </c>
      <c r="AG600" s="1">
        <v>1.2812690665</v>
      </c>
      <c r="AH600" s="1">
        <v>0.3355704698</v>
      </c>
      <c r="AI600" s="1">
        <v>0.0305064063</v>
      </c>
      <c r="AJ600" s="1">
        <v>6.6656497865</v>
      </c>
      <c r="AK600" s="1">
        <v>73.718730933</v>
      </c>
      <c r="AL600" s="1">
        <v>0.734375</v>
      </c>
      <c r="AM600" s="1">
        <v>35.250152532</v>
      </c>
      <c r="AN600" s="1">
        <v>41.06962664</v>
      </c>
      <c r="AO600" s="1">
        <v>21822.0</v>
      </c>
      <c r="AP600" s="1">
        <v>11.7</v>
      </c>
      <c r="AQ600" s="1">
        <v>5.1</v>
      </c>
      <c r="AR600" s="1">
        <v>14.1</v>
      </c>
      <c r="AS600" s="1">
        <v>13.1</v>
      </c>
      <c r="AT600" s="1">
        <v>15.3</v>
      </c>
      <c r="AU600" s="1">
        <v>11.3</v>
      </c>
      <c r="AV600" s="1">
        <v>23.6</v>
      </c>
      <c r="AW600" s="1">
        <v>0.5</v>
      </c>
      <c r="AX600" s="1">
        <v>0.334</v>
      </c>
      <c r="AY600" s="1">
        <v>14.8</v>
      </c>
      <c r="AZ600" s="1">
        <v>8.6</v>
      </c>
      <c r="BA600" s="1">
        <v>11.7</v>
      </c>
      <c r="BB600" s="1">
        <v>2.8</v>
      </c>
      <c r="BC600" s="1" t="s">
        <v>1152</v>
      </c>
      <c r="BD600" s="1">
        <v>17.0</v>
      </c>
      <c r="BE600" s="1">
        <v>37.5</v>
      </c>
      <c r="BF600" s="1">
        <v>31.4</v>
      </c>
      <c r="BG600" s="1">
        <v>14.1</v>
      </c>
      <c r="BH600" s="1" t="s">
        <v>1159</v>
      </c>
    </row>
    <row r="601">
      <c r="A601" s="1">
        <v>17011.0</v>
      </c>
      <c r="B601" s="2" t="str">
        <f>IFERROR(__xludf.DUMMYFUNCTION("TO_TEXT(A601)"),"17011")</f>
        <v>17011</v>
      </c>
      <c r="C601" s="1">
        <v>33822.0</v>
      </c>
      <c r="D601" s="1">
        <v>869.032973083184</v>
      </c>
      <c r="E601" s="1" t="s">
        <v>1160</v>
      </c>
      <c r="F601" s="1" t="s">
        <v>1161</v>
      </c>
      <c r="G601" s="1">
        <v>38.9191216531235</v>
      </c>
      <c r="H601" s="1">
        <v>15.165622447</v>
      </c>
      <c r="I601" s="1">
        <v>3.9133763266</v>
      </c>
      <c r="J601" s="1">
        <v>6.3127090301</v>
      </c>
      <c r="K601" s="1">
        <v>14.711604734</v>
      </c>
      <c r="L601" s="1">
        <v>27.4</v>
      </c>
      <c r="M601" s="1">
        <v>8.0</v>
      </c>
      <c r="N601" s="1">
        <v>30.4</v>
      </c>
      <c r="O601" s="1">
        <v>77.797472697</v>
      </c>
      <c r="P601" s="1">
        <v>6.0713323843</v>
      </c>
      <c r="Q601" s="1">
        <v>48.13043</v>
      </c>
      <c r="R601" s="1">
        <v>83.994395079</v>
      </c>
      <c r="S601" s="1">
        <v>17.1</v>
      </c>
      <c r="T601" s="1">
        <v>7171.0</v>
      </c>
      <c r="U601" s="1">
        <v>33.245014642</v>
      </c>
      <c r="V601" s="1">
        <v>131.69377231</v>
      </c>
      <c r="W601" s="1">
        <v>10.9882269</v>
      </c>
      <c r="X601" s="1">
        <v>9.2429135271</v>
      </c>
      <c r="Y601" s="1">
        <v>78.629183337</v>
      </c>
      <c r="Z601" s="1">
        <v>11.1</v>
      </c>
      <c r="AA601" s="1">
        <v>10.6549374129999</v>
      </c>
      <c r="AB601" s="1">
        <v>56099.0</v>
      </c>
      <c r="AC601" s="1">
        <v>50.2146760339999</v>
      </c>
      <c r="AD601" s="1">
        <v>76.341905107</v>
      </c>
      <c r="AE601" s="1">
        <v>9.2708800239</v>
      </c>
      <c r="AF601" s="1">
        <v>0.788045949099999</v>
      </c>
      <c r="AG601" s="1">
        <v>0.4728275695</v>
      </c>
      <c r="AH601" s="1">
        <v>1.0123359501</v>
      </c>
      <c r="AI601" s="1">
        <v>0.0454641894</v>
      </c>
      <c r="AJ601" s="1">
        <v>9.4626132816</v>
      </c>
      <c r="AK601" s="1">
        <v>87.382171976</v>
      </c>
      <c r="AL601" s="1">
        <v>1.26422250319999</v>
      </c>
      <c r="AM601" s="1">
        <v>50.901706423</v>
      </c>
      <c r="AN601" s="1">
        <v>57.390359655</v>
      </c>
      <c r="AO601" s="1">
        <v>27332.0</v>
      </c>
      <c r="AP601" s="1">
        <v>13.1</v>
      </c>
      <c r="AQ601" s="1">
        <v>6.9</v>
      </c>
      <c r="AR601" s="1">
        <v>9.3</v>
      </c>
      <c r="AS601" s="1">
        <v>20.0</v>
      </c>
      <c r="AT601" s="1">
        <v>22.0</v>
      </c>
      <c r="AU601" s="1">
        <v>13.4</v>
      </c>
      <c r="AV601" s="1">
        <v>11.2</v>
      </c>
      <c r="AW601" s="1">
        <v>1.2</v>
      </c>
      <c r="AX601" s="1">
        <v>0.3219</v>
      </c>
      <c r="AY601" s="1">
        <v>11.2</v>
      </c>
      <c r="AZ601" s="1">
        <v>10.1</v>
      </c>
      <c r="BA601" s="1">
        <v>16.5</v>
      </c>
      <c r="BB601" s="1">
        <v>3.05</v>
      </c>
      <c r="BC601" s="1" t="s">
        <v>1152</v>
      </c>
      <c r="BD601" s="1">
        <v>9.2</v>
      </c>
      <c r="BE601" s="1">
        <v>36.6</v>
      </c>
      <c r="BF601" s="1">
        <v>33.6</v>
      </c>
      <c r="BG601" s="1">
        <v>20.6</v>
      </c>
      <c r="BH601" s="1" t="s">
        <v>1161</v>
      </c>
    </row>
    <row r="602">
      <c r="A602" s="1">
        <v>17013.0</v>
      </c>
      <c r="B602" s="2" t="str">
        <f>IFERROR(__xludf.DUMMYFUNCTION("TO_TEXT(A602)"),"17013")</f>
        <v>17013</v>
      </c>
      <c r="C602" s="1">
        <v>4962.0</v>
      </c>
      <c r="D602" s="1">
        <v>253.824580673432</v>
      </c>
      <c r="E602" s="1" t="s">
        <v>74</v>
      </c>
      <c r="F602" s="1" t="s">
        <v>1162</v>
      </c>
      <c r="G602" s="1">
        <v>19.5489340978526</v>
      </c>
      <c r="H602" s="1">
        <v>13.69214692</v>
      </c>
      <c r="I602" s="1">
        <v>3.9319982649</v>
      </c>
      <c r="J602" s="1">
        <v>6.4220183486</v>
      </c>
      <c r="K602" s="1">
        <v>14.825065819</v>
      </c>
      <c r="L602" s="1">
        <v>36.2</v>
      </c>
      <c r="M602" s="1">
        <v>8.4</v>
      </c>
      <c r="N602" s="1">
        <v>23.4</v>
      </c>
      <c r="O602" s="1">
        <v>30.24169778</v>
      </c>
      <c r="P602" s="1">
        <v>5.9881847476</v>
      </c>
      <c r="Q602" s="1">
        <v>41.38216</v>
      </c>
      <c r="R602" s="1">
        <v>86.4103448279999</v>
      </c>
      <c r="S602" s="1">
        <v>15.3</v>
      </c>
      <c r="T602" s="1">
        <v>957.0</v>
      </c>
      <c r="U602" s="1">
        <v>20.2716823409999</v>
      </c>
      <c r="V602" s="1">
        <v>204.509002055</v>
      </c>
      <c r="W602" s="1">
        <v>9.3023255814</v>
      </c>
      <c r="X602" s="1">
        <v>8.2291666667</v>
      </c>
      <c r="Y602" s="1">
        <v>83.309100944</v>
      </c>
      <c r="Z602" s="1">
        <v>8.2</v>
      </c>
      <c r="AA602" s="1">
        <v>4.29805322399999</v>
      </c>
      <c r="AB602" s="1">
        <v>56099.0</v>
      </c>
      <c r="AC602" s="1">
        <v>42.367066895</v>
      </c>
      <c r="AD602" s="1">
        <v>83.988919668</v>
      </c>
      <c r="AE602" s="1">
        <v>11.078717201</v>
      </c>
      <c r="AF602" s="1">
        <v>0.3956684715</v>
      </c>
      <c r="AG602" s="1">
        <v>0.2707205331</v>
      </c>
      <c r="AH602" s="1">
        <v>0.2707205331</v>
      </c>
      <c r="AI602" s="1">
        <v>0.0208246564</v>
      </c>
      <c r="AJ602" s="1">
        <v>1.27030404</v>
      </c>
      <c r="AK602" s="1">
        <v>97.271970012</v>
      </c>
      <c r="AL602" s="1">
        <v>0.0217202433</v>
      </c>
      <c r="AM602" s="1">
        <v>50.166597251</v>
      </c>
      <c r="AN602" s="1">
        <v>100.0</v>
      </c>
      <c r="AO602" s="1">
        <v>25341.0</v>
      </c>
      <c r="AP602" s="1">
        <v>12.4</v>
      </c>
      <c r="AQ602" s="1">
        <v>5.7</v>
      </c>
      <c r="AR602" s="1">
        <v>8.2</v>
      </c>
      <c r="AS602" s="1">
        <v>22.7</v>
      </c>
      <c r="AT602" s="1">
        <v>21.0</v>
      </c>
      <c r="AU602" s="1">
        <v>17.0</v>
      </c>
      <c r="AV602" s="1">
        <v>2.2</v>
      </c>
      <c r="AW602" s="1">
        <v>0.0</v>
      </c>
      <c r="AX602" s="1">
        <v>0.1611</v>
      </c>
      <c r="AY602" s="1">
        <v>9.7</v>
      </c>
      <c r="AZ602" s="1">
        <v>11.3</v>
      </c>
      <c r="BA602" s="1">
        <v>17.4</v>
      </c>
      <c r="BB602" s="1">
        <v>3.08</v>
      </c>
      <c r="BC602" s="1" t="s">
        <v>1152</v>
      </c>
      <c r="BD602" s="1">
        <v>8.4</v>
      </c>
      <c r="BE602" s="1">
        <v>43.4</v>
      </c>
      <c r="BF602" s="1">
        <v>33.9</v>
      </c>
      <c r="BG602" s="1">
        <v>14.2</v>
      </c>
      <c r="BH602" s="1" t="s">
        <v>1162</v>
      </c>
    </row>
    <row r="603">
      <c r="A603" s="1">
        <v>17015.0</v>
      </c>
      <c r="B603" s="2" t="str">
        <f>IFERROR(__xludf.DUMMYFUNCTION("TO_TEXT(A603)"),"17015")</f>
        <v>17015</v>
      </c>
      <c r="C603" s="1">
        <v>14793.0</v>
      </c>
      <c r="D603" s="1">
        <v>445.06281981427</v>
      </c>
      <c r="E603" s="1" t="s">
        <v>298</v>
      </c>
      <c r="F603" s="1" t="s">
        <v>1163</v>
      </c>
      <c r="G603" s="1">
        <v>33.2380044825432</v>
      </c>
      <c r="H603" s="1">
        <v>13.532288519</v>
      </c>
      <c r="I603" s="1">
        <v>3.8562819452</v>
      </c>
      <c r="J603" s="1">
        <v>5.9183673469</v>
      </c>
      <c r="K603" s="1">
        <v>14.3499594059999</v>
      </c>
      <c r="L603" s="1">
        <v>25.1</v>
      </c>
      <c r="M603" s="1">
        <v>8.3</v>
      </c>
      <c r="N603" s="1">
        <v>28.3</v>
      </c>
      <c r="O603" s="1">
        <v>71.365438357</v>
      </c>
      <c r="P603" s="1">
        <v>6.9833948339</v>
      </c>
      <c r="Q603" s="1">
        <v>34.44001</v>
      </c>
      <c r="R603" s="1">
        <v>93.571914894</v>
      </c>
      <c r="S603" s="1">
        <v>17.0</v>
      </c>
      <c r="T603" s="1">
        <v>2762.0</v>
      </c>
      <c r="U603" s="1">
        <v>24.366401159</v>
      </c>
      <c r="V603" s="1">
        <v>46.851208371</v>
      </c>
      <c r="W603" s="1">
        <v>10.45112782</v>
      </c>
      <c r="X603" s="1">
        <v>9.7319524825</v>
      </c>
      <c r="Y603" s="1">
        <v>79.377607098</v>
      </c>
      <c r="Z603" s="1">
        <v>8.3</v>
      </c>
      <c r="AA603" s="1">
        <v>6.291495715</v>
      </c>
      <c r="AB603" s="1">
        <v>51963.0</v>
      </c>
      <c r="AC603" s="1">
        <v>41.8625678119999</v>
      </c>
      <c r="AD603" s="1">
        <v>76.235330451</v>
      </c>
      <c r="AE603" s="1">
        <v>8.9259913309</v>
      </c>
      <c r="AF603" s="1">
        <v>1.0410844047</v>
      </c>
      <c r="AG603" s="1">
        <v>0.447177194</v>
      </c>
      <c r="AH603" s="1">
        <v>0.544997205099999</v>
      </c>
      <c r="AI603" s="1">
        <v>0.020961431</v>
      </c>
      <c r="AJ603" s="1">
        <v>3.8638904416</v>
      </c>
      <c r="AK603" s="1">
        <v>93.012856344</v>
      </c>
      <c r="AL603" s="1">
        <v>0.3842807425</v>
      </c>
      <c r="AM603" s="1">
        <v>50.1327557289999</v>
      </c>
      <c r="AN603" s="1">
        <v>81.874309482</v>
      </c>
      <c r="AO603" s="1">
        <v>27325.0</v>
      </c>
      <c r="AP603" s="1">
        <v>11.4</v>
      </c>
      <c r="AQ603" s="1">
        <v>6.1</v>
      </c>
      <c r="AR603" s="1">
        <v>9.3</v>
      </c>
      <c r="AS603" s="1">
        <v>23.0</v>
      </c>
      <c r="AT603" s="1">
        <v>19.5</v>
      </c>
      <c r="AU603" s="1">
        <v>14.5</v>
      </c>
      <c r="AV603" s="1">
        <v>6.4</v>
      </c>
      <c r="AW603" s="1">
        <v>0.8</v>
      </c>
      <c r="AX603" s="1">
        <v>0.1665</v>
      </c>
      <c r="AY603" s="1">
        <v>11.1</v>
      </c>
      <c r="AZ603" s="1">
        <v>9.9</v>
      </c>
      <c r="BA603" s="1">
        <v>13.8</v>
      </c>
      <c r="BB603" s="1">
        <v>2.79</v>
      </c>
      <c r="BC603" s="1" t="s">
        <v>1152</v>
      </c>
      <c r="BD603" s="1">
        <v>8.8</v>
      </c>
      <c r="BE603" s="1">
        <v>38.1</v>
      </c>
      <c r="BF603" s="1">
        <v>33.5</v>
      </c>
      <c r="BG603" s="1">
        <v>19.5</v>
      </c>
      <c r="BH603" s="1" t="s">
        <v>1163</v>
      </c>
    </row>
    <row r="604">
      <c r="A604" s="1">
        <v>17017.0</v>
      </c>
      <c r="B604" s="2" t="str">
        <f>IFERROR(__xludf.DUMMYFUNCTION("TO_TEXT(A604)"),"17017")</f>
        <v>17017</v>
      </c>
      <c r="C604" s="1">
        <v>13068.0</v>
      </c>
      <c r="D604" s="1">
        <v>375.810761616008</v>
      </c>
      <c r="E604" s="1" t="s">
        <v>1164</v>
      </c>
      <c r="F604" s="1" t="s">
        <v>1165</v>
      </c>
      <c r="G604" s="1">
        <v>34.7728200858508</v>
      </c>
      <c r="H604" s="1">
        <v>17.318096731</v>
      </c>
      <c r="I604" s="1">
        <v>4.0670810801</v>
      </c>
      <c r="J604" s="1">
        <v>8.3540115798</v>
      </c>
      <c r="K604" s="1">
        <v>15.9206666</v>
      </c>
      <c r="L604" s="1">
        <v>34.7</v>
      </c>
      <c r="M604" s="1">
        <v>8.8</v>
      </c>
      <c r="N604" s="1">
        <v>26.9</v>
      </c>
      <c r="O604" s="1">
        <v>60.181791526</v>
      </c>
      <c r="P604" s="1">
        <v>8.5035999222</v>
      </c>
      <c r="Q604" s="1">
        <v>48.31939</v>
      </c>
      <c r="R604" s="1">
        <v>84.84736</v>
      </c>
      <c r="S604" s="1">
        <v>15.8</v>
      </c>
      <c r="T604" s="1">
        <v>3022.0</v>
      </c>
      <c r="U604" s="1">
        <v>34.910655195</v>
      </c>
      <c r="V604" s="1">
        <v>518.05458904</v>
      </c>
      <c r="W604" s="1">
        <v>9.3658536585</v>
      </c>
      <c r="X604" s="1">
        <v>5.8997050147</v>
      </c>
      <c r="Y604" s="1">
        <v>77.448984362</v>
      </c>
      <c r="Z604" s="1">
        <v>6.8</v>
      </c>
      <c r="AA604" s="1">
        <v>2.9030434991</v>
      </c>
      <c r="AB604" s="1">
        <v>52486.0</v>
      </c>
      <c r="AC604" s="1">
        <v>64.471403813</v>
      </c>
      <c r="AD604" s="1">
        <v>74.6616242039999</v>
      </c>
      <c r="AE604" s="1">
        <v>6.6763125258</v>
      </c>
      <c r="AF604" s="1">
        <v>3.67862969</v>
      </c>
      <c r="AG604" s="1">
        <v>0.693311582399999</v>
      </c>
      <c r="AH604" s="1">
        <v>0.660685155</v>
      </c>
      <c r="AI604" s="1">
        <v>0.1386623165</v>
      </c>
      <c r="AJ604" s="1">
        <v>19.241435563</v>
      </c>
      <c r="AK604" s="1">
        <v>75.432300163</v>
      </c>
      <c r="AL604" s="1">
        <v>6.1629379485</v>
      </c>
      <c r="AM604" s="1">
        <v>49.494290375</v>
      </c>
      <c r="AN604" s="1">
        <v>52.133118311</v>
      </c>
      <c r="AO604" s="1">
        <v>25010.0</v>
      </c>
      <c r="AP604" s="1">
        <v>13.9</v>
      </c>
      <c r="AQ604" s="1">
        <v>8.8</v>
      </c>
      <c r="AR604" s="1">
        <v>14.4</v>
      </c>
      <c r="AS604" s="1">
        <v>16.3</v>
      </c>
      <c r="AT604" s="1">
        <v>24.5</v>
      </c>
      <c r="AU604" s="1">
        <v>13.1</v>
      </c>
      <c r="AV604" s="1">
        <v>23.3</v>
      </c>
      <c r="AW604" s="1">
        <v>5.7</v>
      </c>
      <c r="AX604" s="1">
        <v>0.680999999999999</v>
      </c>
      <c r="AY604" s="1">
        <v>13.0</v>
      </c>
      <c r="AZ604" s="1">
        <v>9.7</v>
      </c>
      <c r="BA604" s="1">
        <v>12.8</v>
      </c>
      <c r="BB604" s="1">
        <v>2.93</v>
      </c>
      <c r="BC604" s="1" t="s">
        <v>1152</v>
      </c>
      <c r="BD604" s="1">
        <v>16.0</v>
      </c>
      <c r="BE604" s="1">
        <v>43.1</v>
      </c>
      <c r="BF604" s="1">
        <v>25.8</v>
      </c>
      <c r="BG604" s="1">
        <v>15.1</v>
      </c>
      <c r="BH604" s="1" t="s">
        <v>1165</v>
      </c>
    </row>
    <row r="605">
      <c r="A605" s="1">
        <v>17019.0</v>
      </c>
      <c r="B605" s="2" t="str">
        <f>IFERROR(__xludf.DUMMYFUNCTION("TO_TEXT(A605)"),"17019")</f>
        <v>17019</v>
      </c>
      <c r="C605" s="1">
        <v>206420.0</v>
      </c>
      <c r="D605" s="1">
        <v>996.23578200878</v>
      </c>
      <c r="E605" s="1" t="s">
        <v>1166</v>
      </c>
      <c r="F605" s="1" t="s">
        <v>1167</v>
      </c>
      <c r="G605" s="1">
        <v>207.199945763623</v>
      </c>
      <c r="H605" s="1">
        <v>16.332737938</v>
      </c>
      <c r="I605" s="1">
        <v>4.027667506</v>
      </c>
      <c r="J605" s="1">
        <v>8.2687651332</v>
      </c>
      <c r="K605" s="1">
        <v>15.765181249</v>
      </c>
      <c r="L605" s="1">
        <v>30.8</v>
      </c>
      <c r="M605" s="1">
        <v>7.5</v>
      </c>
      <c r="N605" s="1">
        <v>22.1</v>
      </c>
      <c r="O605" s="1">
        <v>84.216808152</v>
      </c>
      <c r="P605" s="1">
        <v>6.0591156358</v>
      </c>
      <c r="Q605" s="1">
        <v>95.03388</v>
      </c>
      <c r="R605" s="1">
        <v>86.297385241</v>
      </c>
      <c r="S605" s="1">
        <v>17.5</v>
      </c>
      <c r="T605" s="1">
        <v>38615.0</v>
      </c>
      <c r="U605" s="1">
        <v>34.160300401</v>
      </c>
      <c r="V605" s="1">
        <v>487.2054149</v>
      </c>
      <c r="W605" s="1">
        <v>19.791148682</v>
      </c>
      <c r="X605" s="1">
        <v>17.754281266</v>
      </c>
      <c r="Y605" s="1">
        <v>80.529049753</v>
      </c>
      <c r="Z605" s="1">
        <v>9.3</v>
      </c>
      <c r="AA605" s="1">
        <v>4.4981896848</v>
      </c>
      <c r="AB605" s="1">
        <v>53251.0</v>
      </c>
      <c r="AC605" s="1">
        <v>50.705629086</v>
      </c>
      <c r="AD605" s="1">
        <v>53.633377374</v>
      </c>
      <c r="AE605" s="1">
        <v>17.21814121</v>
      </c>
      <c r="AF605" s="1">
        <v>13.137730197</v>
      </c>
      <c r="AG605" s="1">
        <v>0.3633627484</v>
      </c>
      <c r="AH605" s="1">
        <v>11.10280356</v>
      </c>
      <c r="AI605" s="1">
        <v>0.1000080959</v>
      </c>
      <c r="AJ605" s="1">
        <v>6.0947791012</v>
      </c>
      <c r="AK605" s="1">
        <v>66.8435063789999</v>
      </c>
      <c r="AL605" s="1">
        <v>1.8635800753</v>
      </c>
      <c r="AM605" s="1">
        <v>50.170251878</v>
      </c>
      <c r="AN605" s="1">
        <v>12.710300824</v>
      </c>
      <c r="AO605" s="1">
        <v>27373.0</v>
      </c>
      <c r="AP605" s="1">
        <v>21.6</v>
      </c>
      <c r="AQ605" s="1">
        <v>5.4</v>
      </c>
      <c r="AR605" s="1">
        <v>5.3</v>
      </c>
      <c r="AS605" s="1">
        <v>11.1</v>
      </c>
      <c r="AT605" s="1">
        <v>19.0</v>
      </c>
      <c r="AU605" s="1">
        <v>8.5</v>
      </c>
      <c r="AV605" s="1">
        <v>31.1</v>
      </c>
      <c r="AW605" s="1">
        <v>1.8</v>
      </c>
      <c r="AX605" s="1">
        <v>0.4741</v>
      </c>
      <c r="AY605" s="1">
        <v>19.9</v>
      </c>
      <c r="AZ605" s="1">
        <v>11.0</v>
      </c>
      <c r="BA605" s="1">
        <v>12.8</v>
      </c>
      <c r="BB605" s="1">
        <v>3.08</v>
      </c>
      <c r="BC605" s="1" t="s">
        <v>1152</v>
      </c>
      <c r="BD605" s="1">
        <v>5.0</v>
      </c>
      <c r="BE605" s="1">
        <v>22.0</v>
      </c>
      <c r="BF605" s="1">
        <v>28.0</v>
      </c>
      <c r="BG605" s="1">
        <v>45.0</v>
      </c>
      <c r="BH605" s="1" t="s">
        <v>1167</v>
      </c>
    </row>
    <row r="606">
      <c r="A606" s="1">
        <v>17021.0</v>
      </c>
      <c r="B606" s="2" t="str">
        <f>IFERROR(__xludf.DUMMYFUNCTION("TO_TEXT(A606)"),"17021")</f>
        <v>17021</v>
      </c>
      <c r="C606" s="1">
        <v>33888.0</v>
      </c>
      <c r="D606" s="1">
        <v>709.377041631515</v>
      </c>
      <c r="E606" s="1" t="s">
        <v>1168</v>
      </c>
      <c r="F606" s="1" t="s">
        <v>1169</v>
      </c>
      <c r="G606" s="1">
        <v>47.7714924662068</v>
      </c>
      <c r="H606" s="1">
        <v>14.4001685509999</v>
      </c>
      <c r="I606" s="1">
        <v>3.9688611164</v>
      </c>
      <c r="J606" s="1">
        <v>8.7953313881</v>
      </c>
      <c r="K606" s="1">
        <v>15.659156087</v>
      </c>
      <c r="L606" s="1">
        <v>29.2</v>
      </c>
      <c r="M606" s="1">
        <v>8.4</v>
      </c>
      <c r="N606" s="1">
        <v>29.2</v>
      </c>
      <c r="O606" s="1">
        <v>67.261494253</v>
      </c>
      <c r="P606" s="1">
        <v>6.026812196</v>
      </c>
      <c r="Q606" s="1">
        <v>39.27255</v>
      </c>
      <c r="R606" s="1">
        <v>90.724602626</v>
      </c>
      <c r="S606" s="1">
        <v>17.9</v>
      </c>
      <c r="T606" s="1">
        <v>6772.0</v>
      </c>
      <c r="U606" s="1">
        <v>37.108682812</v>
      </c>
      <c r="V606" s="1">
        <v>184.74630041</v>
      </c>
      <c r="W606" s="1">
        <v>8.4172661871</v>
      </c>
      <c r="X606" s="1">
        <v>7.2573529412</v>
      </c>
      <c r="Y606" s="1">
        <v>77.541922921</v>
      </c>
      <c r="Z606" s="1">
        <v>13.6</v>
      </c>
      <c r="AA606" s="1">
        <v>3.0559519992</v>
      </c>
      <c r="AB606" s="1">
        <v>52936.0</v>
      </c>
      <c r="AC606" s="1">
        <v>53.204876131</v>
      </c>
      <c r="AD606" s="1">
        <v>74.510366597</v>
      </c>
      <c r="AE606" s="1">
        <v>7.7757685353</v>
      </c>
      <c r="AF606" s="1">
        <v>1.6166069624</v>
      </c>
      <c r="AG606" s="1">
        <v>0.2663727381</v>
      </c>
      <c r="AH606" s="1">
        <v>0.6245981446</v>
      </c>
      <c r="AI606" s="1">
        <v>0.0428645784999999</v>
      </c>
      <c r="AJ606" s="1">
        <v>1.65334802979999</v>
      </c>
      <c r="AK606" s="1">
        <v>94.911362175</v>
      </c>
      <c r="AL606" s="1">
        <v>0.1935033625</v>
      </c>
      <c r="AM606" s="1">
        <v>49.113621751</v>
      </c>
      <c r="AN606" s="1">
        <v>43.451149425</v>
      </c>
      <c r="AO606" s="1">
        <v>23823.0</v>
      </c>
      <c r="AP606" s="1">
        <v>13.6</v>
      </c>
      <c r="AQ606" s="1">
        <v>5.0</v>
      </c>
      <c r="AR606" s="1">
        <v>12.0</v>
      </c>
      <c r="AS606" s="1">
        <v>18.5</v>
      </c>
      <c r="AT606" s="1">
        <v>21.2</v>
      </c>
      <c r="AU606" s="1">
        <v>14.3</v>
      </c>
      <c r="AV606" s="1">
        <v>4.8</v>
      </c>
      <c r="AW606" s="1">
        <v>0.1</v>
      </c>
      <c r="AX606" s="1">
        <v>0.2986</v>
      </c>
      <c r="AY606" s="1">
        <v>12.3</v>
      </c>
      <c r="AZ606" s="1">
        <v>10.6</v>
      </c>
      <c r="BA606" s="1">
        <v>15.4</v>
      </c>
      <c r="BB606" s="1">
        <v>2.64</v>
      </c>
      <c r="BC606" s="1" t="s">
        <v>1152</v>
      </c>
      <c r="BD606" s="1">
        <v>10.3</v>
      </c>
      <c r="BE606" s="1">
        <v>41.8</v>
      </c>
      <c r="BF606" s="1">
        <v>30.8</v>
      </c>
      <c r="BG606" s="1">
        <v>17.1</v>
      </c>
      <c r="BH606" s="1" t="s">
        <v>1169</v>
      </c>
    </row>
    <row r="607">
      <c r="A607" s="1">
        <v>17023.0</v>
      </c>
      <c r="B607" s="2" t="str">
        <f>IFERROR(__xludf.DUMMYFUNCTION("TO_TEXT(A607)"),"17023")</f>
        <v>17023</v>
      </c>
      <c r="C607" s="1">
        <v>16089.0</v>
      </c>
      <c r="D607" s="1">
        <v>501.420650755814</v>
      </c>
      <c r="E607" s="1" t="s">
        <v>302</v>
      </c>
      <c r="F607" s="1" t="s">
        <v>1170</v>
      </c>
      <c r="G607" s="1">
        <v>32.0868316367671</v>
      </c>
      <c r="H607" s="1">
        <v>15.401350458</v>
      </c>
      <c r="I607" s="1">
        <v>4.1926659159</v>
      </c>
      <c r="J607" s="1">
        <v>8.3397092578</v>
      </c>
      <c r="K607" s="1">
        <v>16.057719883</v>
      </c>
      <c r="L607" s="1">
        <v>36.8</v>
      </c>
      <c r="M607" s="1">
        <v>8.4</v>
      </c>
      <c r="N607" s="1">
        <v>28.2</v>
      </c>
      <c r="O607" s="1">
        <v>61.3284358739999</v>
      </c>
      <c r="P607" s="1">
        <v>5.9166469708</v>
      </c>
      <c r="Q607" s="1">
        <v>44.39652</v>
      </c>
      <c r="R607" s="1">
        <v>89.415291262</v>
      </c>
      <c r="S607" s="1">
        <v>16.2</v>
      </c>
      <c r="T607" s="1">
        <v>3591.0</v>
      </c>
      <c r="U607" s="1">
        <v>33.027011974</v>
      </c>
      <c r="V607" s="1">
        <v>189.13274755</v>
      </c>
      <c r="W607" s="1">
        <v>8.5393258427</v>
      </c>
      <c r="X607" s="1">
        <v>6.5610859729</v>
      </c>
      <c r="Y607" s="1">
        <v>77.601947673</v>
      </c>
      <c r="Z607" s="1">
        <v>6.7</v>
      </c>
      <c r="AA607" s="1">
        <v>3.1230749609</v>
      </c>
      <c r="AB607" s="1">
        <v>54092.0</v>
      </c>
      <c r="AC607" s="1">
        <v>53.962118284</v>
      </c>
      <c r="AD607" s="1">
        <v>73.914968999</v>
      </c>
      <c r="AE607" s="1">
        <v>6.1795149081</v>
      </c>
      <c r="AF607" s="1">
        <v>0.4360092331</v>
      </c>
      <c r="AG607" s="1">
        <v>0.26288792</v>
      </c>
      <c r="AH607" s="1">
        <v>0.4167735317</v>
      </c>
      <c r="AI607" s="1">
        <v>0.0256476019</v>
      </c>
      <c r="AJ607" s="1">
        <v>1.5773275199</v>
      </c>
      <c r="AK607" s="1">
        <v>96.396511926</v>
      </c>
      <c r="AL607" s="1">
        <v>0.241464887</v>
      </c>
      <c r="AM607" s="1">
        <v>50.339830726</v>
      </c>
      <c r="AN607" s="1">
        <v>59.540863177</v>
      </c>
      <c r="AO607" s="1">
        <v>25806.0</v>
      </c>
      <c r="AP607" s="1">
        <v>16.3</v>
      </c>
      <c r="AQ607" s="1">
        <v>8.9</v>
      </c>
      <c r="AR607" s="1">
        <v>10.2</v>
      </c>
      <c r="AS607" s="1">
        <v>18.7</v>
      </c>
      <c r="AT607" s="1">
        <v>22.7</v>
      </c>
      <c r="AU607" s="1">
        <v>16.7</v>
      </c>
      <c r="AV607" s="1">
        <v>3.2</v>
      </c>
      <c r="AW607" s="1">
        <v>0.2</v>
      </c>
      <c r="AX607" s="1">
        <v>0.3203</v>
      </c>
      <c r="AY607" s="1">
        <v>10.8</v>
      </c>
      <c r="AZ607" s="1">
        <v>11.4</v>
      </c>
      <c r="BA607" s="1">
        <v>17.7</v>
      </c>
      <c r="BB607" s="1">
        <v>2.71</v>
      </c>
      <c r="BC607" s="1" t="s">
        <v>1152</v>
      </c>
      <c r="BD607" s="1">
        <v>7.2</v>
      </c>
      <c r="BE607" s="1">
        <v>40.0</v>
      </c>
      <c r="BF607" s="1">
        <v>33.0</v>
      </c>
      <c r="BG607" s="1">
        <v>19.9</v>
      </c>
      <c r="BH607" s="1" t="s">
        <v>1170</v>
      </c>
    </row>
    <row r="608">
      <c r="A608" s="1">
        <v>17025.0</v>
      </c>
      <c r="B608" s="2" t="str">
        <f>IFERROR(__xludf.DUMMYFUNCTION("TO_TEXT(A608)"),"17025")</f>
        <v>17025</v>
      </c>
      <c r="C608" s="1">
        <v>13466.0</v>
      </c>
      <c r="D608" s="1">
        <v>468.325829408455</v>
      </c>
      <c r="E608" s="1" t="s">
        <v>86</v>
      </c>
      <c r="F608" s="1" t="s">
        <v>1171</v>
      </c>
      <c r="G608" s="1">
        <v>28.7534856170733</v>
      </c>
      <c r="H608" s="1">
        <v>14.938190571</v>
      </c>
      <c r="I608" s="1">
        <v>4.1050957267</v>
      </c>
      <c r="J608" s="1">
        <v>7.3741007194</v>
      </c>
      <c r="K608" s="1">
        <v>15.831943526</v>
      </c>
      <c r="L608" s="1">
        <v>23.5</v>
      </c>
      <c r="M608" s="1">
        <v>8.4</v>
      </c>
      <c r="N608" s="1">
        <v>35.1</v>
      </c>
      <c r="O608" s="1">
        <v>52.247557003</v>
      </c>
      <c r="P608" s="1">
        <v>6.2036156042</v>
      </c>
      <c r="Q608" s="1">
        <v>15.0727299999999</v>
      </c>
      <c r="R608" s="1">
        <v>83.594516129</v>
      </c>
      <c r="S608" s="1">
        <v>18.8</v>
      </c>
      <c r="T608" s="1">
        <v>2939.0</v>
      </c>
      <c r="U608" s="1">
        <v>43.654304185</v>
      </c>
      <c r="V608" s="1">
        <v>59.755004482</v>
      </c>
      <c r="W608" s="1">
        <v>9.8389982111</v>
      </c>
      <c r="X608" s="1">
        <v>7.009009009</v>
      </c>
      <c r="Y608" s="1">
        <v>76.987167582</v>
      </c>
      <c r="Z608" s="1">
        <v>8.9</v>
      </c>
      <c r="AA608" s="1">
        <v>3.3520664283</v>
      </c>
      <c r="AB608" s="1">
        <v>45427.0</v>
      </c>
      <c r="AC608" s="1">
        <v>52.223634053</v>
      </c>
      <c r="AD608" s="1">
        <v>77.013125222</v>
      </c>
      <c r="AE608" s="1">
        <v>8.8268156425</v>
      </c>
      <c r="AF608" s="1">
        <v>0.4753640685</v>
      </c>
      <c r="AG608" s="1">
        <v>0.2490002264</v>
      </c>
      <c r="AH608" s="1">
        <v>0.860182600199999</v>
      </c>
      <c r="AI608" s="1">
        <v>0.0</v>
      </c>
      <c r="AJ608" s="1">
        <v>1.6449105863</v>
      </c>
      <c r="AK608" s="1">
        <v>95.872632611</v>
      </c>
      <c r="AL608" s="1">
        <v>1.2319186139</v>
      </c>
      <c r="AM608" s="1">
        <v>50.471591338</v>
      </c>
      <c r="AN608" s="1">
        <v>64.733984799</v>
      </c>
      <c r="AO608" s="1">
        <v>23843.0</v>
      </c>
      <c r="AP608" s="1">
        <v>14.1</v>
      </c>
      <c r="AQ608" s="1">
        <v>5.9</v>
      </c>
      <c r="AR608" s="1">
        <v>11.5</v>
      </c>
      <c r="AS608" s="1">
        <v>18.9</v>
      </c>
      <c r="AT608" s="1">
        <v>22.4</v>
      </c>
      <c r="AU608" s="1">
        <v>19.0</v>
      </c>
      <c r="AV608" s="1">
        <v>3.5</v>
      </c>
      <c r="AW608" s="1">
        <v>0.7</v>
      </c>
      <c r="AX608" s="1">
        <v>0.5205</v>
      </c>
      <c r="AY608" s="1">
        <v>13.8</v>
      </c>
      <c r="AZ608" s="1">
        <v>12.9</v>
      </c>
      <c r="BA608" s="1">
        <v>19.3</v>
      </c>
      <c r="BB608" s="1">
        <v>2.76</v>
      </c>
      <c r="BC608" s="1" t="s">
        <v>1152</v>
      </c>
      <c r="BD608" s="1">
        <v>12.0</v>
      </c>
      <c r="BE608" s="1">
        <v>38.6</v>
      </c>
      <c r="BF608" s="1">
        <v>34.4</v>
      </c>
      <c r="BG608" s="1">
        <v>15.0</v>
      </c>
      <c r="BH608" s="1" t="s">
        <v>1171</v>
      </c>
    </row>
    <row r="609">
      <c r="A609" s="1">
        <v>17027.0</v>
      </c>
      <c r="B609" s="2" t="str">
        <f>IFERROR(__xludf.DUMMYFUNCTION("TO_TEXT(A609)"),"17027")</f>
        <v>17027</v>
      </c>
      <c r="C609" s="1">
        <v>37858.0</v>
      </c>
      <c r="D609" s="1">
        <v>474.084652708035</v>
      </c>
      <c r="E609" s="1" t="s">
        <v>1172</v>
      </c>
      <c r="F609" s="1" t="s">
        <v>1173</v>
      </c>
      <c r="G609" s="1">
        <v>79.8549368425026</v>
      </c>
      <c r="H609" s="1">
        <v>12.990591612</v>
      </c>
      <c r="I609" s="1">
        <v>3.7668305067</v>
      </c>
      <c r="J609" s="1">
        <v>6.5963957837</v>
      </c>
      <c r="K609" s="1">
        <v>15.021206292</v>
      </c>
      <c r="L609" s="1">
        <v>38.9</v>
      </c>
      <c r="M609" s="1">
        <v>8.7</v>
      </c>
      <c r="N609" s="1">
        <v>21.0</v>
      </c>
      <c r="O609" s="1">
        <v>63.865791007</v>
      </c>
      <c r="P609" s="1">
        <v>4.7577418379</v>
      </c>
      <c r="Q609" s="1">
        <v>34.5616</v>
      </c>
      <c r="R609" s="1">
        <v>86.4720713729999</v>
      </c>
      <c r="S609" s="1">
        <v>10.2</v>
      </c>
      <c r="T609" s="1">
        <v>7956.0</v>
      </c>
      <c r="U609" s="1">
        <v>27.275012569</v>
      </c>
      <c r="V609" s="1">
        <v>146.249637999999</v>
      </c>
      <c r="W609" s="1">
        <v>9.77872947889999</v>
      </c>
      <c r="X609" s="1">
        <v>8.3652111151</v>
      </c>
      <c r="Y609" s="1">
        <v>79.655177592</v>
      </c>
      <c r="Z609" s="1">
        <v>13.2</v>
      </c>
      <c r="AA609" s="1">
        <v>4.8396660572</v>
      </c>
      <c r="AB609" s="1">
        <v>66597.0</v>
      </c>
      <c r="AC609" s="1">
        <v>35.93721145</v>
      </c>
      <c r="AD609" s="1">
        <v>78.893587033</v>
      </c>
      <c r="AE609" s="1">
        <v>8.6498194946</v>
      </c>
      <c r="AF609" s="1">
        <v>3.5548234544</v>
      </c>
      <c r="AG609" s="1">
        <v>0.3692978028</v>
      </c>
      <c r="AH609" s="1">
        <v>0.5446478387</v>
      </c>
      <c r="AI609" s="1">
        <v>0.0637636494</v>
      </c>
      <c r="AJ609" s="1">
        <v>3.1509870082</v>
      </c>
      <c r="AK609" s="1">
        <v>91.357368687</v>
      </c>
      <c r="AL609" s="1">
        <v>0.2925292529</v>
      </c>
      <c r="AM609" s="1">
        <v>48.194691676</v>
      </c>
      <c r="AN609" s="1">
        <v>48.7580106989999</v>
      </c>
      <c r="AO609" s="1">
        <v>29512.0</v>
      </c>
      <c r="AP609" s="1">
        <v>9.5</v>
      </c>
      <c r="AQ609" s="1">
        <v>4.8</v>
      </c>
      <c r="AR609" s="1">
        <v>10.6</v>
      </c>
      <c r="AS609" s="1">
        <v>15.9</v>
      </c>
      <c r="AT609" s="1">
        <v>21.4</v>
      </c>
      <c r="AU609" s="1">
        <v>13.4</v>
      </c>
      <c r="AV609" s="1">
        <v>8.4</v>
      </c>
      <c r="AW609" s="1">
        <v>0.4</v>
      </c>
      <c r="AX609" s="1">
        <v>0.1293</v>
      </c>
      <c r="AY609" s="1">
        <v>7.5</v>
      </c>
      <c r="AZ609" s="1">
        <v>8.7</v>
      </c>
      <c r="BA609" s="1">
        <v>11.9</v>
      </c>
      <c r="BB609" s="1">
        <v>2.69</v>
      </c>
      <c r="BC609" s="1" t="s">
        <v>1152</v>
      </c>
      <c r="BD609" s="1">
        <v>9.9</v>
      </c>
      <c r="BE609" s="1">
        <v>31.9</v>
      </c>
      <c r="BF609" s="1">
        <v>35.9</v>
      </c>
      <c r="BG609" s="1">
        <v>22.3</v>
      </c>
      <c r="BH609" s="1" t="s">
        <v>1173</v>
      </c>
    </row>
    <row r="610">
      <c r="A610" s="1">
        <v>17029.0</v>
      </c>
      <c r="B610" s="2" t="str">
        <f>IFERROR(__xludf.DUMMYFUNCTION("TO_TEXT(A610)"),"17029")</f>
        <v>17029</v>
      </c>
      <c r="C610" s="1">
        <v>52802.0</v>
      </c>
      <c r="D610" s="1">
        <v>508.287525405176</v>
      </c>
      <c r="E610" s="1" t="s">
        <v>1174</v>
      </c>
      <c r="F610" s="1" t="s">
        <v>1175</v>
      </c>
      <c r="G610" s="1">
        <v>103.882148116678</v>
      </c>
      <c r="H610" s="1">
        <v>17.736598203</v>
      </c>
      <c r="I610" s="1">
        <v>4.5033126758</v>
      </c>
      <c r="J610" s="1">
        <v>7.6572729861</v>
      </c>
      <c r="K610" s="1">
        <v>18.788086045</v>
      </c>
      <c r="L610" s="1">
        <v>36.6</v>
      </c>
      <c r="M610" s="1">
        <v>7.5</v>
      </c>
      <c r="N610" s="1">
        <v>29.9</v>
      </c>
      <c r="O610" s="1">
        <v>76.776864106</v>
      </c>
      <c r="P610" s="1">
        <v>6.9443060676</v>
      </c>
      <c r="Q610" s="1">
        <v>75.0303</v>
      </c>
      <c r="R610" s="1">
        <v>93.8020993339999</v>
      </c>
      <c r="S610" s="1">
        <v>21.8</v>
      </c>
      <c r="T610" s="1">
        <v>9300.0</v>
      </c>
      <c r="U610" s="1">
        <v>39.408602151</v>
      </c>
      <c r="V610" s="1">
        <v>277.51205236</v>
      </c>
      <c r="W610" s="1">
        <v>15.169471439</v>
      </c>
      <c r="X610" s="1">
        <v>14.166261546</v>
      </c>
      <c r="Y610" s="1">
        <v>78.639965322</v>
      </c>
      <c r="Z610" s="1">
        <v>9.6</v>
      </c>
      <c r="AA610" s="1">
        <v>6.48606477799999</v>
      </c>
      <c r="AB610" s="1">
        <v>47291.0</v>
      </c>
      <c r="AC610" s="1">
        <v>51.64702327</v>
      </c>
      <c r="AD610" s="1">
        <v>61.606509296</v>
      </c>
      <c r="AE610" s="1">
        <v>14.269479717</v>
      </c>
      <c r="AF610" s="1">
        <v>3.8537879532</v>
      </c>
      <c r="AG610" s="1">
        <v>0.253512823</v>
      </c>
      <c r="AH610" s="1">
        <v>1.0494251744</v>
      </c>
      <c r="AI610" s="1">
        <v>0.204382431</v>
      </c>
      <c r="AJ610" s="1">
        <v>2.7002063476</v>
      </c>
      <c r="AK610" s="1">
        <v>90.716321116</v>
      </c>
      <c r="AL610" s="1">
        <v>0.454305764</v>
      </c>
      <c r="AM610" s="1">
        <v>51.502407389</v>
      </c>
      <c r="AN610" s="1">
        <v>24.288604681</v>
      </c>
      <c r="AO610" s="1">
        <v>23944.0</v>
      </c>
      <c r="AP610" s="1">
        <v>21.9</v>
      </c>
      <c r="AQ610" s="1">
        <v>7.4</v>
      </c>
      <c r="AR610" s="1">
        <v>9.8</v>
      </c>
      <c r="AS610" s="1">
        <v>15.1</v>
      </c>
      <c r="AT610" s="1">
        <v>18.0</v>
      </c>
      <c r="AU610" s="1">
        <v>13.5</v>
      </c>
      <c r="AV610" s="1">
        <v>8.7</v>
      </c>
      <c r="AW610" s="1">
        <v>0.6</v>
      </c>
      <c r="AX610" s="1">
        <v>0.4164</v>
      </c>
      <c r="AY610" s="1">
        <v>16.8</v>
      </c>
      <c r="AZ610" s="1">
        <v>13.2</v>
      </c>
      <c r="BA610" s="1">
        <v>18.6</v>
      </c>
      <c r="BB610" s="1">
        <v>2.63</v>
      </c>
      <c r="BC610" s="1" t="s">
        <v>1152</v>
      </c>
      <c r="BD610" s="1">
        <v>8.6</v>
      </c>
      <c r="BE610" s="1">
        <v>30.5</v>
      </c>
      <c r="BF610" s="1">
        <v>34.9</v>
      </c>
      <c r="BG610" s="1">
        <v>26.0</v>
      </c>
      <c r="BH610" s="1" t="s">
        <v>1175</v>
      </c>
    </row>
    <row r="611">
      <c r="A611" s="1">
        <v>17031.0</v>
      </c>
      <c r="B611" s="2" t="str">
        <f>IFERROR(__xludf.DUMMYFUNCTION("TO_TEXT(A611)"),"17031")</f>
        <v>17031</v>
      </c>
      <c r="C611" s="1">
        <v>5227575.0</v>
      </c>
      <c r="D611" s="1">
        <v>944.990921860213</v>
      </c>
      <c r="E611" s="1" t="s">
        <v>859</v>
      </c>
      <c r="F611" s="1" t="s">
        <v>1176</v>
      </c>
      <c r="G611" s="1">
        <v>5531.87853880069</v>
      </c>
      <c r="H611" s="1">
        <v>17.140851058</v>
      </c>
      <c r="I611" s="1">
        <v>3.6623129607</v>
      </c>
      <c r="J611" s="1">
        <v>8.9574233719</v>
      </c>
      <c r="K611" s="1">
        <v>13.776183162</v>
      </c>
      <c r="L611" s="1">
        <v>28.0</v>
      </c>
      <c r="M611" s="1">
        <v>8.3</v>
      </c>
      <c r="N611" s="1">
        <v>21.0</v>
      </c>
      <c r="O611" s="1">
        <v>99.145933095</v>
      </c>
      <c r="P611" s="1">
        <v>9.972268492</v>
      </c>
      <c r="Q611" s="1">
        <v>93.31711</v>
      </c>
      <c r="R611" s="1">
        <v>88.180003292</v>
      </c>
      <c r="S611" s="1">
        <v>18.8</v>
      </c>
      <c r="T611" s="1">
        <v>1152812.0</v>
      </c>
      <c r="U611" s="1">
        <v>37.235906635</v>
      </c>
      <c r="V611" s="1">
        <v>619.81359093</v>
      </c>
      <c r="W611" s="1">
        <v>22.1684203509999</v>
      </c>
      <c r="X611" s="1">
        <v>19.221363413</v>
      </c>
      <c r="Y611" s="1">
        <v>79.415729611</v>
      </c>
      <c r="Z611" s="1">
        <v>9.5</v>
      </c>
      <c r="AA611" s="1">
        <v>1.6999444337</v>
      </c>
      <c r="AB611" s="1">
        <v>63347.0</v>
      </c>
      <c r="AC611" s="1">
        <v>63.1126679619999</v>
      </c>
      <c r="AD611" s="1">
        <v>56.888394199</v>
      </c>
      <c r="AE611" s="1">
        <v>18.852721561</v>
      </c>
      <c r="AF611" s="1">
        <v>23.041088947</v>
      </c>
      <c r="AG611" s="1">
        <v>0.7384046267</v>
      </c>
      <c r="AH611" s="1">
        <v>7.8786130972</v>
      </c>
      <c r="AI611" s="1">
        <v>0.0747612245</v>
      </c>
      <c r="AJ611" s="1">
        <v>25.5384381369999</v>
      </c>
      <c r="AK611" s="1">
        <v>42.08236552</v>
      </c>
      <c r="AL611" s="1">
        <v>7.028651671</v>
      </c>
      <c r="AM611" s="1">
        <v>51.431630156</v>
      </c>
      <c r="AN611" s="1">
        <v>0.0452963852</v>
      </c>
      <c r="AO611" s="1">
        <v>32179.0</v>
      </c>
      <c r="AP611" s="1">
        <v>16.7</v>
      </c>
      <c r="AQ611" s="1">
        <v>9.7</v>
      </c>
      <c r="AR611" s="1">
        <v>14.2</v>
      </c>
      <c r="AS611" s="1">
        <v>13.0</v>
      </c>
      <c r="AT611" s="1">
        <v>22.7</v>
      </c>
      <c r="AU611" s="1">
        <v>10.3</v>
      </c>
      <c r="AV611" s="1">
        <v>57.1</v>
      </c>
      <c r="AW611" s="1">
        <v>7.4</v>
      </c>
      <c r="AX611" s="1">
        <v>0.6937</v>
      </c>
      <c r="AY611" s="1">
        <v>13.0</v>
      </c>
      <c r="AZ611" s="1">
        <v>10.1</v>
      </c>
      <c r="BA611" s="1">
        <v>11.9</v>
      </c>
      <c r="BB611" s="1">
        <v>3.19</v>
      </c>
      <c r="BC611" s="1" t="s">
        <v>1152</v>
      </c>
      <c r="BD611" s="1">
        <v>12.9</v>
      </c>
      <c r="BE611" s="1">
        <v>23.1</v>
      </c>
      <c r="BF611" s="1">
        <v>25.2</v>
      </c>
      <c r="BG611" s="1">
        <v>38.8</v>
      </c>
      <c r="BH611" s="1" t="s">
        <v>1176</v>
      </c>
    </row>
    <row r="612">
      <c r="A612" s="1">
        <v>17033.0</v>
      </c>
      <c r="B612" s="2" t="str">
        <f>IFERROR(__xludf.DUMMYFUNCTION("TO_TEXT(A612)"),"17033")</f>
        <v>17033</v>
      </c>
      <c r="C612" s="1">
        <v>19441.0</v>
      </c>
      <c r="D612" s="1">
        <v>443.630304946074</v>
      </c>
      <c r="E612" s="1" t="s">
        <v>314</v>
      </c>
      <c r="F612" s="1" t="s">
        <v>1177</v>
      </c>
      <c r="G612" s="1">
        <v>43.8225247086381</v>
      </c>
      <c r="H612" s="1">
        <v>14.3463398429999</v>
      </c>
      <c r="I612" s="1">
        <v>3.8826022454</v>
      </c>
      <c r="J612" s="1">
        <v>8.3733699382</v>
      </c>
      <c r="K612" s="1">
        <v>15.979574429</v>
      </c>
      <c r="L612" s="1">
        <v>27.5</v>
      </c>
      <c r="M612" s="1">
        <v>8.3</v>
      </c>
      <c r="N612" s="1">
        <v>29.0</v>
      </c>
      <c r="O612" s="1">
        <v>61.538073371</v>
      </c>
      <c r="P612" s="1">
        <v>5.9251412429</v>
      </c>
      <c r="Q612" s="1">
        <v>58.01382</v>
      </c>
      <c r="R612" s="1">
        <v>88.611032028</v>
      </c>
      <c r="S612" s="1">
        <v>17.1</v>
      </c>
      <c r="T612" s="1">
        <v>3743.0</v>
      </c>
      <c r="U612" s="1">
        <v>25.80817526</v>
      </c>
      <c r="V612" s="1">
        <v>288.53089685</v>
      </c>
      <c r="W612" s="1">
        <v>10.86240948</v>
      </c>
      <c r="X612" s="1">
        <v>8.521070766</v>
      </c>
      <c r="Y612" s="1">
        <v>77.7460843189999</v>
      </c>
      <c r="Z612" s="1">
        <v>11.5</v>
      </c>
      <c r="AA612" s="1">
        <v>4.3667649726</v>
      </c>
      <c r="AB612" s="1">
        <v>52313.0</v>
      </c>
      <c r="AC612" s="1">
        <v>44.9001051519999</v>
      </c>
      <c r="AD612" s="1">
        <v>78.191558866</v>
      </c>
      <c r="AE612" s="1">
        <v>10.717174441</v>
      </c>
      <c r="AF612" s="1">
        <v>5.0672621896</v>
      </c>
      <c r="AG612" s="1">
        <v>0.3722018397</v>
      </c>
      <c r="AH612" s="1">
        <v>0.6167916201</v>
      </c>
      <c r="AI612" s="1">
        <v>0.0478545223</v>
      </c>
      <c r="AJ612" s="1">
        <v>2.2225767002</v>
      </c>
      <c r="AK612" s="1">
        <v>90.785345882</v>
      </c>
      <c r="AL612" s="1">
        <v>0.9024471266</v>
      </c>
      <c r="AM612" s="1">
        <v>47.7215930239999</v>
      </c>
      <c r="AN612" s="1">
        <v>60.165514457</v>
      </c>
      <c r="AO612" s="1">
        <v>26245.0</v>
      </c>
      <c r="AP612" s="1">
        <v>12.3</v>
      </c>
      <c r="AQ612" s="1">
        <v>6.7</v>
      </c>
      <c r="AR612" s="1">
        <v>11.0</v>
      </c>
      <c r="AS612" s="1">
        <v>18.3</v>
      </c>
      <c r="AT612" s="1">
        <v>19.5</v>
      </c>
      <c r="AU612" s="1">
        <v>16.3</v>
      </c>
      <c r="AV612" s="1">
        <v>8.9</v>
      </c>
      <c r="AW612" s="1">
        <v>0.8</v>
      </c>
      <c r="AX612" s="1">
        <v>0.2904</v>
      </c>
      <c r="AY612" s="1">
        <v>12.6</v>
      </c>
      <c r="AZ612" s="1">
        <v>10.8</v>
      </c>
      <c r="BA612" s="1">
        <v>15.1</v>
      </c>
      <c r="BB612" s="1">
        <v>2.76</v>
      </c>
      <c r="BC612" s="1" t="s">
        <v>1152</v>
      </c>
      <c r="BD612" s="1">
        <v>15.0</v>
      </c>
      <c r="BE612" s="1">
        <v>28.6</v>
      </c>
      <c r="BF612" s="1">
        <v>39.4</v>
      </c>
      <c r="BG612" s="1">
        <v>17.1</v>
      </c>
      <c r="BH612" s="1" t="s">
        <v>1177</v>
      </c>
    </row>
    <row r="613">
      <c r="A613" s="1">
        <v>17035.0</v>
      </c>
      <c r="B613" s="2" t="str">
        <f>IFERROR(__xludf.DUMMYFUNCTION("TO_TEXT(A613)"),"17035")</f>
        <v>17035</v>
      </c>
      <c r="C613" s="1">
        <v>10890.0</v>
      </c>
      <c r="D613" s="1">
        <v>346.025804296874</v>
      </c>
      <c r="E613" s="1" t="s">
        <v>1178</v>
      </c>
      <c r="F613" s="1" t="s">
        <v>1179</v>
      </c>
      <c r="G613" s="1">
        <v>31.4716413191453</v>
      </c>
      <c r="H613" s="1">
        <v>14.496170442</v>
      </c>
      <c r="I613" s="1">
        <v>4.0553933461</v>
      </c>
      <c r="J613" s="1">
        <v>7.39884393059999</v>
      </c>
      <c r="K613" s="1">
        <v>15.863592846</v>
      </c>
      <c r="L613" s="1">
        <v>32.5</v>
      </c>
      <c r="M613" s="1">
        <v>7.7</v>
      </c>
      <c r="N613" s="1">
        <v>28.0</v>
      </c>
      <c r="O613" s="1">
        <v>1.330557567</v>
      </c>
      <c r="P613" s="1">
        <v>6.5301478953</v>
      </c>
      <c r="Q613" s="1">
        <v>48.31939</v>
      </c>
      <c r="R613" s="1">
        <v>87.3528138529999</v>
      </c>
      <c r="S613" s="1">
        <v>15.2</v>
      </c>
      <c r="T613" s="1">
        <v>2469.0</v>
      </c>
      <c r="U613" s="1">
        <v>23.4102875659999</v>
      </c>
      <c r="V613" s="1">
        <v>115.15961122</v>
      </c>
      <c r="W613" s="1">
        <v>10.332541568</v>
      </c>
      <c r="X613" s="1">
        <v>7.7015643803</v>
      </c>
      <c r="Y613" s="1">
        <v>79.256090506</v>
      </c>
      <c r="Z613" s="1">
        <v>21.3</v>
      </c>
      <c r="AA613" s="1">
        <v>6.508531482</v>
      </c>
      <c r="AB613" s="1">
        <v>60572.0</v>
      </c>
      <c r="AC613" s="1">
        <v>42.40390482</v>
      </c>
      <c r="AD613" s="1">
        <v>79.199444702</v>
      </c>
      <c r="AE613" s="1">
        <v>6.6920695404</v>
      </c>
      <c r="AF613" s="1">
        <v>0.4626202813</v>
      </c>
      <c r="AG613" s="1">
        <v>0.1850481125</v>
      </c>
      <c r="AH613" s="1">
        <v>0.6199111769</v>
      </c>
      <c r="AI613" s="1">
        <v>0.1202812731</v>
      </c>
      <c r="AJ613" s="1">
        <v>1.0640266469</v>
      </c>
      <c r="AK613" s="1">
        <v>96.632124352</v>
      </c>
      <c r="AL613" s="1">
        <v>0.1176701314</v>
      </c>
      <c r="AM613" s="1">
        <v>50.259067358</v>
      </c>
      <c r="AN613" s="1">
        <v>100.0</v>
      </c>
      <c r="AO613" s="1">
        <v>22786.0</v>
      </c>
      <c r="AP613" s="1">
        <v>16.3</v>
      </c>
      <c r="AQ613" s="1">
        <v>6.2</v>
      </c>
      <c r="AR613" s="1">
        <v>11.2</v>
      </c>
      <c r="AS613" s="1">
        <v>18.0</v>
      </c>
      <c r="AT613" s="1">
        <v>23.0</v>
      </c>
      <c r="AU613" s="1">
        <v>18.2</v>
      </c>
      <c r="AV613" s="1">
        <v>3.1</v>
      </c>
      <c r="AW613" s="1">
        <v>0.0</v>
      </c>
      <c r="AX613" s="1">
        <v>0.3015</v>
      </c>
      <c r="AY613" s="1">
        <v>10.1</v>
      </c>
      <c r="AZ613" s="1">
        <v>10.8</v>
      </c>
      <c r="BA613" s="1">
        <v>15.6</v>
      </c>
      <c r="BB613" s="1">
        <v>2.73</v>
      </c>
      <c r="BC613" s="1" t="s">
        <v>1152</v>
      </c>
      <c r="BD613" s="1">
        <v>9.4</v>
      </c>
      <c r="BE613" s="1">
        <v>40.1</v>
      </c>
      <c r="BF613" s="1">
        <v>35.1</v>
      </c>
      <c r="BG613" s="1">
        <v>15.4</v>
      </c>
      <c r="BH613" s="1" t="s">
        <v>1179</v>
      </c>
    </row>
    <row r="614">
      <c r="A614" s="1">
        <v>17037.0</v>
      </c>
      <c r="B614" s="2" t="str">
        <f>IFERROR(__xludf.DUMMYFUNCTION("TO_TEXT(A614)"),"17037")</f>
        <v>17037</v>
      </c>
      <c r="C614" s="1">
        <v>104458.0</v>
      </c>
      <c r="D614" s="1">
        <v>631.351319346364</v>
      </c>
      <c r="E614" s="1" t="s">
        <v>108</v>
      </c>
      <c r="F614" s="1" t="s">
        <v>1180</v>
      </c>
      <c r="G614" s="1">
        <v>165.451463866655</v>
      </c>
      <c r="H614" s="1">
        <v>15.743360243</v>
      </c>
      <c r="I614" s="1">
        <v>4.1703728979</v>
      </c>
      <c r="J614" s="1">
        <v>7.4074074074</v>
      </c>
      <c r="K614" s="1">
        <v>15.89541067</v>
      </c>
      <c r="L614" s="1">
        <v>31.7</v>
      </c>
      <c r="M614" s="1">
        <v>7.2</v>
      </c>
      <c r="N614" s="1">
        <v>19.8</v>
      </c>
      <c r="O614" s="1">
        <v>84.329593001</v>
      </c>
      <c r="P614" s="1">
        <v>6.30721336899999</v>
      </c>
      <c r="Q614" s="1">
        <v>30.55388</v>
      </c>
      <c r="R614" s="1">
        <v>89.926627106</v>
      </c>
      <c r="S614" s="1">
        <v>13.2</v>
      </c>
      <c r="T614" s="1">
        <v>22294.0</v>
      </c>
      <c r="U614" s="1">
        <v>33.910469185</v>
      </c>
      <c r="V614" s="1">
        <v>275.76126675</v>
      </c>
      <c r="W614" s="1">
        <v>19.376421785</v>
      </c>
      <c r="X614" s="1">
        <v>17.004489185</v>
      </c>
      <c r="Y614" s="1">
        <v>79.556214921</v>
      </c>
      <c r="Z614" s="1">
        <v>5.6</v>
      </c>
      <c r="AA614" s="1">
        <v>12.575477288</v>
      </c>
      <c r="AB614" s="1">
        <v>63274.0</v>
      </c>
      <c r="AC614" s="1">
        <v>40.492251595</v>
      </c>
      <c r="AD614" s="1">
        <v>56.966289155</v>
      </c>
      <c r="AE614" s="1">
        <v>14.935349551</v>
      </c>
      <c r="AF614" s="1">
        <v>7.7374379459</v>
      </c>
      <c r="AG614" s="1">
        <v>0.4599444994</v>
      </c>
      <c r="AH614" s="1">
        <v>2.8268822677</v>
      </c>
      <c r="AI614" s="1">
        <v>0.0844991982</v>
      </c>
      <c r="AJ614" s="1">
        <v>11.446760704</v>
      </c>
      <c r="AK614" s="1">
        <v>76.255725301</v>
      </c>
      <c r="AL614" s="1">
        <v>1.5156608098</v>
      </c>
      <c r="AM614" s="1">
        <v>50.474827881</v>
      </c>
      <c r="AN614" s="1">
        <v>20.305249144</v>
      </c>
      <c r="AO614" s="1">
        <v>25172.0</v>
      </c>
      <c r="AP614" s="1">
        <v>18.2</v>
      </c>
      <c r="AQ614" s="1">
        <v>9.4</v>
      </c>
      <c r="AR614" s="1">
        <v>7.4</v>
      </c>
      <c r="AS614" s="1">
        <v>11.2</v>
      </c>
      <c r="AT614" s="1">
        <v>21.9</v>
      </c>
      <c r="AU614" s="1">
        <v>9.7</v>
      </c>
      <c r="AV614" s="1">
        <v>22.0</v>
      </c>
      <c r="AW614" s="1">
        <v>1.7</v>
      </c>
      <c r="AX614" s="1">
        <v>0.5272</v>
      </c>
      <c r="AY614" s="1">
        <v>13.0</v>
      </c>
      <c r="AZ614" s="1">
        <v>10.2</v>
      </c>
      <c r="BA614" s="1">
        <v>12.6</v>
      </c>
      <c r="BB614" s="1">
        <v>3.21</v>
      </c>
      <c r="BC614" s="1" t="s">
        <v>1152</v>
      </c>
      <c r="BD614" s="1">
        <v>7.7</v>
      </c>
      <c r="BE614" s="1">
        <v>24.9</v>
      </c>
      <c r="BF614" s="1">
        <v>35.1</v>
      </c>
      <c r="BG614" s="1">
        <v>32.3</v>
      </c>
      <c r="BH614" s="1" t="s">
        <v>1180</v>
      </c>
    </row>
    <row r="615">
      <c r="A615" s="1">
        <v>17039.0</v>
      </c>
      <c r="B615" s="2" t="str">
        <f>IFERROR(__xludf.DUMMYFUNCTION("TO_TEXT(A615)"),"17039")</f>
        <v>17039</v>
      </c>
      <c r="C615" s="1">
        <v>16322.0</v>
      </c>
      <c r="D615" s="1">
        <v>397.547443980752</v>
      </c>
      <c r="E615" s="1" t="s">
        <v>1181</v>
      </c>
      <c r="F615" s="1" t="s">
        <v>1182</v>
      </c>
      <c r="G615" s="1">
        <v>41.0567348555013</v>
      </c>
      <c r="H615" s="1">
        <v>13.9173583859999</v>
      </c>
      <c r="I615" s="1">
        <v>3.9153217245</v>
      </c>
      <c r="J615" s="1">
        <v>7.6033057851</v>
      </c>
      <c r="K615" s="1">
        <v>15.47872977</v>
      </c>
      <c r="L615" s="1">
        <v>27.5</v>
      </c>
      <c r="M615" s="1">
        <v>8.7</v>
      </c>
      <c r="N615" s="1">
        <v>25.0</v>
      </c>
      <c r="O615" s="1">
        <v>77.04848741</v>
      </c>
      <c r="P615" s="1">
        <v>5.2058205587</v>
      </c>
      <c r="Q615" s="1">
        <v>37.63643</v>
      </c>
      <c r="R615" s="1">
        <v>87.3106586829999</v>
      </c>
      <c r="S615" s="1">
        <v>17.4</v>
      </c>
      <c r="T615" s="1">
        <v>3480.0</v>
      </c>
      <c r="U615" s="1">
        <v>24.683908046</v>
      </c>
      <c r="V615" s="1">
        <v>188.23201339</v>
      </c>
      <c r="W615" s="1">
        <v>7.8125</v>
      </c>
      <c r="X615" s="1">
        <v>6.3861758077</v>
      </c>
      <c r="Y615" s="1">
        <v>76.706467977</v>
      </c>
      <c r="Z615" s="1">
        <v>10.2</v>
      </c>
      <c r="AA615" s="1">
        <v>1.0102865821</v>
      </c>
      <c r="AB615" s="1">
        <v>55300.0</v>
      </c>
      <c r="AC615" s="1">
        <v>46.88974689</v>
      </c>
      <c r="AD615" s="1">
        <v>79.363650008</v>
      </c>
      <c r="AE615" s="1">
        <v>6.6542288557</v>
      </c>
      <c r="AF615" s="1">
        <v>0.786352970999999</v>
      </c>
      <c r="AG615" s="1">
        <v>0.2600038049</v>
      </c>
      <c r="AH615" s="1">
        <v>0.4629336039</v>
      </c>
      <c r="AI615" s="1">
        <v>0.0507324497</v>
      </c>
      <c r="AJ615" s="1">
        <v>2.9488236413</v>
      </c>
      <c r="AK615" s="1">
        <v>94.394064303</v>
      </c>
      <c r="AL615" s="1">
        <v>0.4614978903</v>
      </c>
      <c r="AM615" s="1">
        <v>50.510495276</v>
      </c>
      <c r="AN615" s="1">
        <v>48.75309462</v>
      </c>
      <c r="AO615" s="1">
        <v>28294.0</v>
      </c>
      <c r="AP615" s="1">
        <v>12.0</v>
      </c>
      <c r="AQ615" s="1">
        <v>7.2</v>
      </c>
      <c r="AR615" s="1">
        <v>8.3</v>
      </c>
      <c r="AS615" s="1">
        <v>17.9</v>
      </c>
      <c r="AT615" s="1">
        <v>21.8</v>
      </c>
      <c r="AU615" s="1">
        <v>12.1</v>
      </c>
      <c r="AV615" s="1">
        <v>4.9</v>
      </c>
      <c r="AW615" s="1">
        <v>0.5</v>
      </c>
      <c r="AX615" s="1">
        <v>0.1003</v>
      </c>
      <c r="AY615" s="1">
        <v>11.0</v>
      </c>
      <c r="AZ615" s="1">
        <v>9.6</v>
      </c>
      <c r="BA615" s="1">
        <v>15.0</v>
      </c>
      <c r="BB615" s="1">
        <v>2.97</v>
      </c>
      <c r="BC615" s="1" t="s">
        <v>1152</v>
      </c>
      <c r="BD615" s="1">
        <v>8.5</v>
      </c>
      <c r="BE615" s="1">
        <v>37.8</v>
      </c>
      <c r="BF615" s="1">
        <v>32.5</v>
      </c>
      <c r="BG615" s="1">
        <v>21.3</v>
      </c>
      <c r="BH615" s="1" t="s">
        <v>1182</v>
      </c>
    </row>
    <row r="616">
      <c r="A616" s="1">
        <v>17041.0</v>
      </c>
      <c r="B616" s="2" t="str">
        <f>IFERROR(__xludf.DUMMYFUNCTION("TO_TEXT(A616)"),"17041")</f>
        <v>17041</v>
      </c>
      <c r="C616" s="1">
        <v>19770.0</v>
      </c>
      <c r="D616" s="1">
        <v>416.664526206424</v>
      </c>
      <c r="E616" s="1" t="s">
        <v>569</v>
      </c>
      <c r="F616" s="1" t="s">
        <v>1183</v>
      </c>
      <c r="G616" s="1">
        <v>47.4482437465903</v>
      </c>
      <c r="H616" s="1">
        <v>15.0623106079999</v>
      </c>
      <c r="I616" s="1">
        <v>3.9898038107</v>
      </c>
      <c r="J616" s="1">
        <v>6.4053009387</v>
      </c>
      <c r="K616" s="1">
        <v>15.715028593</v>
      </c>
      <c r="L616" s="1">
        <v>30.9</v>
      </c>
      <c r="M616" s="1">
        <v>8.7</v>
      </c>
      <c r="N616" s="1">
        <v>24.2</v>
      </c>
      <c r="O616" s="1">
        <v>70.840840841</v>
      </c>
      <c r="P616" s="1">
        <v>9.2782867046</v>
      </c>
      <c r="Q616" s="1">
        <v>30.38282</v>
      </c>
      <c r="R616" s="1">
        <v>96.455864811</v>
      </c>
      <c r="S616" s="1">
        <v>13.3</v>
      </c>
      <c r="T616" s="1">
        <v>4890.0</v>
      </c>
      <c r="U616" s="1">
        <v>24.867075665</v>
      </c>
      <c r="V616" s="1">
        <v>223.22120601</v>
      </c>
      <c r="W616" s="1">
        <v>10.978835979</v>
      </c>
      <c r="X616" s="1">
        <v>8.6229946524</v>
      </c>
      <c r="Y616" s="1">
        <v>78.742725739</v>
      </c>
      <c r="Z616" s="1">
        <v>8.7</v>
      </c>
      <c r="AA616" s="1">
        <v>3.0471262992</v>
      </c>
      <c r="AB616" s="1">
        <v>56976.0</v>
      </c>
      <c r="AC616" s="1">
        <v>41.561040694</v>
      </c>
      <c r="AD616" s="1">
        <v>71.685481754</v>
      </c>
      <c r="AE616" s="1">
        <v>9.2939878654</v>
      </c>
      <c r="AF616" s="1">
        <v>0.4774372401</v>
      </c>
      <c r="AG616" s="1">
        <v>0.354227629799999</v>
      </c>
      <c r="AH616" s="1">
        <v>0.693054058199999</v>
      </c>
      <c r="AI616" s="1">
        <v>0.0</v>
      </c>
      <c r="AJ616" s="1">
        <v>7.21289593919999</v>
      </c>
      <c r="AK616" s="1">
        <v>90.333179321</v>
      </c>
      <c r="AL616" s="1">
        <v>1.1637391919</v>
      </c>
      <c r="AM616" s="1">
        <v>50.613481185</v>
      </c>
      <c r="AN616" s="1">
        <v>61.6366366369999</v>
      </c>
      <c r="AO616" s="1">
        <v>26309.0</v>
      </c>
      <c r="AP616" s="1">
        <v>11.4</v>
      </c>
      <c r="AQ616" s="1">
        <v>5.3</v>
      </c>
      <c r="AR616" s="1">
        <v>16.0</v>
      </c>
      <c r="AS616" s="1">
        <v>16.2</v>
      </c>
      <c r="AT616" s="1">
        <v>25.4</v>
      </c>
      <c r="AU616" s="1">
        <v>10.7</v>
      </c>
      <c r="AV616" s="1">
        <v>9.3</v>
      </c>
      <c r="AW616" s="1">
        <v>1.7</v>
      </c>
      <c r="AX616" s="1">
        <v>0.3085</v>
      </c>
      <c r="AY616" s="1">
        <v>8.0</v>
      </c>
      <c r="AZ616" s="1">
        <v>9.2</v>
      </c>
      <c r="BA616" s="1">
        <v>12.9</v>
      </c>
      <c r="BB616" s="1">
        <v>2.91</v>
      </c>
      <c r="BC616" s="1" t="s">
        <v>1152</v>
      </c>
      <c r="BD616" s="1">
        <v>16.8</v>
      </c>
      <c r="BE616" s="1">
        <v>33.4</v>
      </c>
      <c r="BF616" s="1">
        <v>31.0</v>
      </c>
      <c r="BG616" s="1">
        <v>18.9</v>
      </c>
      <c r="BH616" s="1" t="s">
        <v>1183</v>
      </c>
    </row>
    <row r="617">
      <c r="A617" s="1">
        <v>17043.0</v>
      </c>
      <c r="B617" s="2" t="str">
        <f>IFERROR(__xludf.DUMMYFUNCTION("TO_TEXT(A617)"),"17043")</f>
        <v>17043</v>
      </c>
      <c r="C617" s="1">
        <v>930514.0</v>
      </c>
      <c r="D617" s="1">
        <v>327.517478669848</v>
      </c>
      <c r="E617" s="1" t="s">
        <v>1184</v>
      </c>
      <c r="F617" s="1" t="s">
        <v>1185</v>
      </c>
      <c r="G617" s="1">
        <v>2841.1124920084</v>
      </c>
      <c r="H617" s="1">
        <v>12.902530389</v>
      </c>
      <c r="I617" s="1">
        <v>3.7184269267</v>
      </c>
      <c r="J617" s="1">
        <v>7.0265534439</v>
      </c>
      <c r="K617" s="1">
        <v>12.257496254</v>
      </c>
      <c r="L617" s="1">
        <v>26.9</v>
      </c>
      <c r="M617" s="1">
        <v>9.1</v>
      </c>
      <c r="N617" s="1">
        <v>18.1</v>
      </c>
      <c r="O617" s="1">
        <v>99.626359437</v>
      </c>
      <c r="P617" s="1">
        <v>6.39759465929999</v>
      </c>
      <c r="Q617" s="1">
        <v>134.92767</v>
      </c>
      <c r="R617" s="1">
        <v>94.307007076</v>
      </c>
      <c r="S617" s="1">
        <v>7.9</v>
      </c>
      <c r="T617" s="1">
        <v>213675.0</v>
      </c>
      <c r="U617" s="1">
        <v>19.499239499</v>
      </c>
      <c r="V617" s="1">
        <v>88.585961321</v>
      </c>
      <c r="W617" s="1">
        <v>15.873858725</v>
      </c>
      <c r="X617" s="1">
        <v>13.590481444</v>
      </c>
      <c r="Y617" s="1">
        <v>82.384832928</v>
      </c>
      <c r="Z617" s="1">
        <v>8.7</v>
      </c>
      <c r="AA617" s="1">
        <v>3.965173815</v>
      </c>
      <c r="AB617" s="1">
        <v>93540.0</v>
      </c>
      <c r="AC617" s="1">
        <v>28.486065235</v>
      </c>
      <c r="AD617" s="1">
        <v>73.176761072</v>
      </c>
      <c r="AE617" s="1">
        <v>13.309825752</v>
      </c>
      <c r="AF617" s="1">
        <v>4.9307066959</v>
      </c>
      <c r="AG617" s="1">
        <v>0.3961925028</v>
      </c>
      <c r="AH617" s="1">
        <v>12.618499681</v>
      </c>
      <c r="AI617" s="1">
        <v>0.0545989668</v>
      </c>
      <c r="AJ617" s="1">
        <v>14.455372614</v>
      </c>
      <c r="AK617" s="1">
        <v>66.348621403</v>
      </c>
      <c r="AL617" s="1">
        <v>3.7234218558</v>
      </c>
      <c r="AM617" s="1">
        <v>50.870514296</v>
      </c>
      <c r="AN617" s="1">
        <v>0.0475502876999999</v>
      </c>
      <c r="AO617" s="1">
        <v>40547.0</v>
      </c>
      <c r="AP617" s="1">
        <v>7.0</v>
      </c>
      <c r="AQ617" s="1">
        <v>6.1</v>
      </c>
      <c r="AR617" s="1">
        <v>7.6</v>
      </c>
      <c r="AS617" s="1">
        <v>13.4</v>
      </c>
      <c r="AT617" s="1">
        <v>23.5</v>
      </c>
      <c r="AU617" s="1">
        <v>8.2</v>
      </c>
      <c r="AV617" s="1">
        <v>31.7</v>
      </c>
      <c r="AW617" s="1">
        <v>3.9</v>
      </c>
      <c r="AX617" s="1">
        <v>0.1579</v>
      </c>
      <c r="AY617" s="1">
        <v>6.0</v>
      </c>
      <c r="AZ617" s="1">
        <v>5.9</v>
      </c>
      <c r="BA617" s="1">
        <v>6.5</v>
      </c>
      <c r="BB617" s="1">
        <v>3.4</v>
      </c>
      <c r="BC617" s="1" t="s">
        <v>1152</v>
      </c>
      <c r="BD617" s="1">
        <v>7.0</v>
      </c>
      <c r="BE617" s="1">
        <v>18.2</v>
      </c>
      <c r="BF617" s="1">
        <v>25.4</v>
      </c>
      <c r="BG617" s="1">
        <v>49.4</v>
      </c>
      <c r="BH617" s="1" t="s">
        <v>1185</v>
      </c>
    </row>
    <row r="618">
      <c r="A618" s="1">
        <v>17045.0</v>
      </c>
      <c r="B618" s="2" t="str">
        <f>IFERROR(__xludf.DUMMYFUNCTION("TO_TEXT(A618)"),"17045")</f>
        <v>17045</v>
      </c>
      <c r="C618" s="1">
        <v>17828.0</v>
      </c>
      <c r="D618" s="1">
        <v>623.37395511309</v>
      </c>
      <c r="E618" s="1" t="s">
        <v>1186</v>
      </c>
      <c r="F618" s="1" t="s">
        <v>1187</v>
      </c>
      <c r="G618" s="1">
        <v>28.599205747641</v>
      </c>
      <c r="H618" s="1">
        <v>14.654341529</v>
      </c>
      <c r="I618" s="1">
        <v>4.0708523132</v>
      </c>
      <c r="J618" s="1">
        <v>8.9481946625</v>
      </c>
      <c r="K618" s="1">
        <v>15.360290299</v>
      </c>
      <c r="L618" s="1">
        <v>30.9</v>
      </c>
      <c r="M618" s="1">
        <v>7.2</v>
      </c>
      <c r="N618" s="1">
        <v>28.9</v>
      </c>
      <c r="O618" s="1">
        <v>53.321490095</v>
      </c>
      <c r="P618" s="1">
        <v>6.0119354601</v>
      </c>
      <c r="Q618" s="1">
        <v>34.62604</v>
      </c>
      <c r="R618" s="1">
        <v>86.90917226</v>
      </c>
      <c r="S618" s="1">
        <v>19.5</v>
      </c>
      <c r="T618" s="1">
        <v>3624.0</v>
      </c>
      <c r="U618" s="1">
        <v>37.306843267</v>
      </c>
      <c r="V618" s="1">
        <v>293.76663913</v>
      </c>
      <c r="W618" s="1">
        <v>11.3145846959999</v>
      </c>
      <c r="X618" s="1">
        <v>9.5962938451</v>
      </c>
      <c r="Y618" s="1">
        <v>77.091262117</v>
      </c>
      <c r="Z618" s="1">
        <v>9.0</v>
      </c>
      <c r="AA618" s="1">
        <v>15.465671801</v>
      </c>
      <c r="AB618" s="1">
        <v>51577.0</v>
      </c>
      <c r="AC618" s="1">
        <v>46.62004662</v>
      </c>
      <c r="AD618" s="1">
        <v>75.652173913</v>
      </c>
      <c r="AE618" s="1">
        <v>9.35251798559999</v>
      </c>
      <c r="AF618" s="1">
        <v>0.633640553</v>
      </c>
      <c r="AG618" s="1">
        <v>0.2476958525</v>
      </c>
      <c r="AH618" s="1">
        <v>0.3629032258</v>
      </c>
      <c r="AI618" s="1">
        <v>0.0288018433</v>
      </c>
      <c r="AJ618" s="1">
        <v>1.25</v>
      </c>
      <c r="AK618" s="1">
        <v>96.693548387</v>
      </c>
      <c r="AL618" s="1">
        <v>0.4568405867</v>
      </c>
      <c r="AM618" s="1">
        <v>50.979262673</v>
      </c>
      <c r="AN618" s="1">
        <v>51.8034022389999</v>
      </c>
      <c r="AO618" s="1">
        <v>25122.0</v>
      </c>
      <c r="AP618" s="1">
        <v>16.2</v>
      </c>
      <c r="AQ618" s="1">
        <v>9.4</v>
      </c>
      <c r="AR618" s="1">
        <v>12.2</v>
      </c>
      <c r="AS618" s="1">
        <v>20.2</v>
      </c>
      <c r="AT618" s="1">
        <v>21.5</v>
      </c>
      <c r="AU618" s="1">
        <v>15.9</v>
      </c>
      <c r="AV618" s="1">
        <v>2.8</v>
      </c>
      <c r="AW618" s="1">
        <v>0.4</v>
      </c>
      <c r="AX618" s="1">
        <v>0.3996</v>
      </c>
      <c r="AY618" s="1">
        <v>13.2</v>
      </c>
      <c r="AZ618" s="1">
        <v>10.8</v>
      </c>
      <c r="BA618" s="1">
        <v>15.9</v>
      </c>
      <c r="BB618" s="1">
        <v>2.86</v>
      </c>
      <c r="BC618" s="1" t="s">
        <v>1152</v>
      </c>
      <c r="BD618" s="1">
        <v>9.9</v>
      </c>
      <c r="BE618" s="1">
        <v>37.3</v>
      </c>
      <c r="BF618" s="1">
        <v>35.5</v>
      </c>
      <c r="BG618" s="1">
        <v>17.2</v>
      </c>
      <c r="BH618" s="1" t="s">
        <v>1187</v>
      </c>
    </row>
    <row r="619">
      <c r="A619" s="1">
        <v>17047.0</v>
      </c>
      <c r="B619" s="2" t="str">
        <f>IFERROR(__xludf.DUMMYFUNCTION("TO_TEXT(A619)"),"17047")</f>
        <v>17047</v>
      </c>
      <c r="C619" s="1">
        <v>6612.0</v>
      </c>
      <c r="D619" s="1">
        <v>222.418586462562</v>
      </c>
      <c r="E619" s="1" t="s">
        <v>1188</v>
      </c>
      <c r="F619" s="1" t="s">
        <v>1189</v>
      </c>
      <c r="G619" s="1">
        <v>29.7277314147168</v>
      </c>
      <c r="H619" s="1">
        <v>13.881104925</v>
      </c>
      <c r="I619" s="1">
        <v>3.9783975196</v>
      </c>
      <c r="J619" s="1">
        <v>7.80399274049999</v>
      </c>
      <c r="K619" s="1">
        <v>14.986962353</v>
      </c>
      <c r="L619" s="1">
        <v>30.2</v>
      </c>
      <c r="M619" s="1">
        <v>8.2</v>
      </c>
      <c r="N619" s="1">
        <v>26.5</v>
      </c>
      <c r="O619" s="1">
        <v>42.2258592469999</v>
      </c>
      <c r="P619" s="1">
        <v>5.8189655172</v>
      </c>
      <c r="Q619" s="1">
        <v>48.31939</v>
      </c>
      <c r="R619" s="1">
        <v>98.4</v>
      </c>
      <c r="S619" s="1">
        <v>14.7</v>
      </c>
      <c r="T619" s="1">
        <v>1438.0</v>
      </c>
      <c r="U619" s="1">
        <v>23.71349096</v>
      </c>
      <c r="V619" s="1">
        <v>204.509002055</v>
      </c>
      <c r="W619" s="1">
        <v>7.9422382671</v>
      </c>
      <c r="X619" s="1">
        <v>6.384531193</v>
      </c>
      <c r="Y619" s="1">
        <v>79.091103915</v>
      </c>
      <c r="Z619" s="1">
        <v>5.3</v>
      </c>
      <c r="AA619" s="1">
        <v>7.9269710873</v>
      </c>
      <c r="AB619" s="1">
        <v>51280.0</v>
      </c>
      <c r="AC619" s="1">
        <v>38.768898488</v>
      </c>
      <c r="AD619" s="1">
        <v>82.42074928</v>
      </c>
      <c r="AE619" s="1">
        <v>4.7636769632</v>
      </c>
      <c r="AF619" s="1">
        <v>0.5319148936</v>
      </c>
      <c r="AG619" s="1">
        <v>0.5162703379</v>
      </c>
      <c r="AH619" s="1">
        <v>0.3911138924</v>
      </c>
      <c r="AI619" s="1">
        <v>0.0</v>
      </c>
      <c r="AJ619" s="1">
        <v>1.5957446809</v>
      </c>
      <c r="AK619" s="1">
        <v>96.245306633</v>
      </c>
      <c r="AL619" s="1">
        <v>0.4239360835</v>
      </c>
      <c r="AM619" s="1">
        <v>50.735294118</v>
      </c>
      <c r="AN619" s="1">
        <v>100.0</v>
      </c>
      <c r="AO619" s="1">
        <v>25235.0</v>
      </c>
      <c r="AP619" s="1">
        <v>11.7</v>
      </c>
      <c r="AQ619" s="1">
        <v>7.2</v>
      </c>
      <c r="AR619" s="1">
        <v>11.0</v>
      </c>
      <c r="AS619" s="1">
        <v>19.4</v>
      </c>
      <c r="AT619" s="1">
        <v>22.9</v>
      </c>
      <c r="AU619" s="1">
        <v>15.5</v>
      </c>
      <c r="AV619" s="1">
        <v>3.1</v>
      </c>
      <c r="AW619" s="1">
        <v>0.2</v>
      </c>
      <c r="AX619" s="1">
        <v>0.1901</v>
      </c>
      <c r="AY619" s="1">
        <v>11.8</v>
      </c>
      <c r="AZ619" s="1">
        <v>9.9</v>
      </c>
      <c r="BA619" s="1">
        <v>14.7</v>
      </c>
      <c r="BB619" s="1">
        <v>2.8</v>
      </c>
      <c r="BC619" s="1" t="s">
        <v>1152</v>
      </c>
      <c r="BD619" s="1">
        <v>8.0</v>
      </c>
      <c r="BE619" s="1">
        <v>34.5</v>
      </c>
      <c r="BF619" s="1">
        <v>43.5</v>
      </c>
      <c r="BG619" s="1">
        <v>13.9</v>
      </c>
      <c r="BH619" s="1" t="s">
        <v>1189</v>
      </c>
    </row>
    <row r="620">
      <c r="A620" s="1">
        <v>17049.0</v>
      </c>
      <c r="B620" s="2" t="str">
        <f>IFERROR(__xludf.DUMMYFUNCTION("TO_TEXT(A620)"),"17049")</f>
        <v>17049</v>
      </c>
      <c r="C620" s="1">
        <v>34356.0</v>
      </c>
      <c r="D620" s="1">
        <v>478.77715958132</v>
      </c>
      <c r="E620" s="1" t="s">
        <v>884</v>
      </c>
      <c r="F620" s="1" t="s">
        <v>1190</v>
      </c>
      <c r="G620" s="1">
        <v>71.7578090609911</v>
      </c>
      <c r="H620" s="1">
        <v>14.1134533109999</v>
      </c>
      <c r="I620" s="1">
        <v>3.853931753</v>
      </c>
      <c r="J620" s="1">
        <v>7.3547979798</v>
      </c>
      <c r="K620" s="1">
        <v>15.118282713</v>
      </c>
      <c r="L620" s="1">
        <v>27.2</v>
      </c>
      <c r="M620" s="1">
        <v>8.5</v>
      </c>
      <c r="N620" s="1">
        <v>21.6</v>
      </c>
      <c r="O620" s="1">
        <v>57.572571696</v>
      </c>
      <c r="P620" s="1">
        <v>5.5948278924</v>
      </c>
      <c r="Q620" s="1">
        <v>82.03445</v>
      </c>
      <c r="R620" s="1">
        <v>92.339035667</v>
      </c>
      <c r="S620" s="1">
        <v>12.7</v>
      </c>
      <c r="T620" s="1">
        <v>7963.0</v>
      </c>
      <c r="U620" s="1">
        <v>26.635690067</v>
      </c>
      <c r="V620" s="1">
        <v>180.76428934</v>
      </c>
      <c r="W620" s="1">
        <v>7.5478783327</v>
      </c>
      <c r="X620" s="1">
        <v>6.1695685087</v>
      </c>
      <c r="Y620" s="1">
        <v>78.896803381</v>
      </c>
      <c r="Z620" s="1">
        <v>12.2</v>
      </c>
      <c r="AA620" s="1">
        <v>4.7752075426</v>
      </c>
      <c r="AB620" s="1">
        <v>60773.0</v>
      </c>
      <c r="AC620" s="1">
        <v>37.75671406</v>
      </c>
      <c r="AD620" s="1">
        <v>77.654002213</v>
      </c>
      <c r="AE620" s="1">
        <v>7.08733424779999</v>
      </c>
      <c r="AF620" s="1">
        <v>0.5261927035</v>
      </c>
      <c r="AG620" s="1">
        <v>0.2689429373</v>
      </c>
      <c r="AH620" s="1">
        <v>0.789289055199999</v>
      </c>
      <c r="AI620" s="1">
        <v>0.0263096352</v>
      </c>
      <c r="AJ620" s="1">
        <v>2.1983161833</v>
      </c>
      <c r="AK620" s="1">
        <v>95.556594949</v>
      </c>
      <c r="AL620" s="1">
        <v>0.8171571697</v>
      </c>
      <c r="AM620" s="1">
        <v>50.178320861</v>
      </c>
      <c r="AN620" s="1">
        <v>59.698615735</v>
      </c>
      <c r="AO620" s="1">
        <v>27680.0</v>
      </c>
      <c r="AP620" s="1">
        <v>10.8</v>
      </c>
      <c r="AQ620" s="1">
        <v>4.9</v>
      </c>
      <c r="AR620" s="1">
        <v>8.9</v>
      </c>
      <c r="AS620" s="1">
        <v>16.7</v>
      </c>
      <c r="AT620" s="1">
        <v>23.8</v>
      </c>
      <c r="AU620" s="1">
        <v>13.1</v>
      </c>
      <c r="AV620" s="1">
        <v>3.7</v>
      </c>
      <c r="AW620" s="1">
        <v>0.5</v>
      </c>
      <c r="AX620" s="1">
        <v>0.1359</v>
      </c>
      <c r="AY620" s="1">
        <v>9.2</v>
      </c>
      <c r="AZ620" s="1">
        <v>9.2</v>
      </c>
      <c r="BA620" s="1">
        <v>13.9</v>
      </c>
      <c r="BB620" s="1">
        <v>2.79</v>
      </c>
      <c r="BC620" s="1" t="s">
        <v>1152</v>
      </c>
      <c r="BD620" s="1">
        <v>6.9</v>
      </c>
      <c r="BE620" s="1">
        <v>35.8</v>
      </c>
      <c r="BF620" s="1">
        <v>34.5</v>
      </c>
      <c r="BG620" s="1">
        <v>22.7</v>
      </c>
      <c r="BH620" s="1" t="s">
        <v>1190</v>
      </c>
    </row>
    <row r="621">
      <c r="A621" s="1">
        <v>17051.0</v>
      </c>
      <c r="B621" s="2" t="str">
        <f>IFERROR(__xludf.DUMMYFUNCTION("TO_TEXT(A621)"),"17051")</f>
        <v>17051</v>
      </c>
      <c r="C621" s="1">
        <v>22025.0</v>
      </c>
      <c r="D621" s="1">
        <v>716.484694507404</v>
      </c>
      <c r="E621" s="1" t="s">
        <v>116</v>
      </c>
      <c r="F621" s="1" t="s">
        <v>1191</v>
      </c>
      <c r="G621" s="1">
        <v>30.7403635679093</v>
      </c>
      <c r="H621" s="1">
        <v>16.639989066</v>
      </c>
      <c r="I621" s="1">
        <v>4.1925291955</v>
      </c>
      <c r="J621" s="1">
        <v>7.4204946996</v>
      </c>
      <c r="K621" s="1">
        <v>17.433242818</v>
      </c>
      <c r="L621" s="1">
        <v>24.2</v>
      </c>
      <c r="M621" s="1">
        <v>7.2</v>
      </c>
      <c r="N621" s="1">
        <v>27.0</v>
      </c>
      <c r="O621" s="1">
        <v>52.926829268</v>
      </c>
      <c r="P621" s="1">
        <v>7.2004500281</v>
      </c>
      <c r="Q621" s="1">
        <v>13.7715799999999</v>
      </c>
      <c r="R621" s="1">
        <v>89.141138422</v>
      </c>
      <c r="S621" s="1">
        <v>20.9</v>
      </c>
      <c r="T621" s="1">
        <v>4468.0</v>
      </c>
      <c r="U621" s="1">
        <v>34.5568487019999</v>
      </c>
      <c r="V621" s="1">
        <v>135.33761902</v>
      </c>
      <c r="W621" s="1">
        <v>10.91503268</v>
      </c>
      <c r="X621" s="1">
        <v>8.8859416446</v>
      </c>
      <c r="Y621" s="1">
        <v>78.631763576</v>
      </c>
      <c r="Z621" s="1">
        <v>10.8</v>
      </c>
      <c r="AA621" s="1">
        <v>14.046754805</v>
      </c>
      <c r="AB621" s="1">
        <v>47484.0</v>
      </c>
      <c r="AC621" s="1">
        <v>54.962610469</v>
      </c>
      <c r="AD621" s="1">
        <v>80.527836134</v>
      </c>
      <c r="AE621" s="1">
        <v>9.8775622507</v>
      </c>
      <c r="AF621" s="1">
        <v>4.3752334703</v>
      </c>
      <c r="AG621" s="1">
        <v>0.2895031752</v>
      </c>
      <c r="AH621" s="1">
        <v>0.364213672</v>
      </c>
      <c r="AI621" s="1">
        <v>0.0233470303</v>
      </c>
      <c r="AJ621" s="1">
        <v>1.8257377662</v>
      </c>
      <c r="AK621" s="1">
        <v>92.164736645</v>
      </c>
      <c r="AL621" s="1">
        <v>0.360132372999999</v>
      </c>
      <c r="AM621" s="1">
        <v>47.217033993</v>
      </c>
      <c r="AN621" s="1">
        <v>66.987353207</v>
      </c>
      <c r="AO621" s="1">
        <v>21665.0</v>
      </c>
      <c r="AP621" s="1">
        <v>16.1</v>
      </c>
      <c r="AQ621" s="1">
        <v>8.0</v>
      </c>
      <c r="AR621" s="1">
        <v>17.5</v>
      </c>
      <c r="AS621" s="1">
        <v>16.8</v>
      </c>
      <c r="AT621" s="1">
        <v>21.6</v>
      </c>
      <c r="AU621" s="1">
        <v>16.9</v>
      </c>
      <c r="AV621" s="1">
        <v>8.1</v>
      </c>
      <c r="AW621" s="1">
        <v>0.5</v>
      </c>
      <c r="AX621" s="1">
        <v>0.5893</v>
      </c>
      <c r="AY621" s="1">
        <v>15.1</v>
      </c>
      <c r="AZ621" s="1">
        <v>13.1</v>
      </c>
      <c r="BA621" s="1">
        <v>20.6</v>
      </c>
      <c r="BB621" s="1">
        <v>2.59</v>
      </c>
      <c r="BC621" s="1" t="s">
        <v>1152</v>
      </c>
      <c r="BD621" s="1">
        <v>16.2</v>
      </c>
      <c r="BE621" s="1">
        <v>40.2</v>
      </c>
      <c r="BF621" s="1">
        <v>32.4</v>
      </c>
      <c r="BG621" s="1">
        <v>11.3</v>
      </c>
      <c r="BH621" s="1" t="s">
        <v>1191</v>
      </c>
    </row>
    <row r="622">
      <c r="A622" s="1">
        <v>17053.0</v>
      </c>
      <c r="B622" s="2" t="str">
        <f>IFERROR(__xludf.DUMMYFUNCTION("TO_TEXT(A622)"),"17053")</f>
        <v>17053</v>
      </c>
      <c r="C622" s="1">
        <v>13758.0</v>
      </c>
      <c r="D622" s="1">
        <v>485.608098173134</v>
      </c>
      <c r="E622" s="1" t="s">
        <v>1192</v>
      </c>
      <c r="F622" s="1" t="s">
        <v>1193</v>
      </c>
      <c r="G622" s="1">
        <v>28.3314879874488</v>
      </c>
      <c r="H622" s="1">
        <v>15.316361684</v>
      </c>
      <c r="I622" s="1">
        <v>4.1265886627</v>
      </c>
      <c r="J622" s="1">
        <v>6.492248062</v>
      </c>
      <c r="K622" s="1">
        <v>16.441938417</v>
      </c>
      <c r="L622" s="1">
        <v>25.2</v>
      </c>
      <c r="M622" s="1">
        <v>8.0</v>
      </c>
      <c r="N622" s="1">
        <v>27.8</v>
      </c>
      <c r="O622" s="1">
        <v>65.002485619</v>
      </c>
      <c r="P622" s="1">
        <v>6.1868214152</v>
      </c>
      <c r="Q622" s="1">
        <v>75.3012</v>
      </c>
      <c r="R622" s="1">
        <v>84.907</v>
      </c>
      <c r="S622" s="1">
        <v>15.9</v>
      </c>
      <c r="T622" s="1">
        <v>3049.0</v>
      </c>
      <c r="U622" s="1">
        <v>35.749426041</v>
      </c>
      <c r="V622" s="1">
        <v>252.25903614</v>
      </c>
      <c r="W622" s="1">
        <v>10.591350397</v>
      </c>
      <c r="X622" s="1">
        <v>7.7638640429</v>
      </c>
      <c r="Y622" s="1">
        <v>76.117497844</v>
      </c>
      <c r="Z622" s="1">
        <v>4.9</v>
      </c>
      <c r="AA622" s="1">
        <v>6.5218698454</v>
      </c>
      <c r="AB622" s="1">
        <v>55357.0</v>
      </c>
      <c r="AC622" s="1">
        <v>44.398025066</v>
      </c>
      <c r="AD622" s="1">
        <v>70.583145873</v>
      </c>
      <c r="AE622" s="1">
        <v>9.2060047025</v>
      </c>
      <c r="AF622" s="1">
        <v>0.9424004825</v>
      </c>
      <c r="AG622" s="1">
        <v>0.376960193</v>
      </c>
      <c r="AH622" s="1">
        <v>0.4975874548</v>
      </c>
      <c r="AI622" s="1">
        <v>0.0376960193</v>
      </c>
      <c r="AJ622" s="1">
        <v>3.5509650181</v>
      </c>
      <c r="AK622" s="1">
        <v>93.478588661</v>
      </c>
      <c r="AL622" s="1">
        <v>0.3237779357</v>
      </c>
      <c r="AM622" s="1">
        <v>50.572979493</v>
      </c>
      <c r="AN622" s="1">
        <v>41.7797031459999</v>
      </c>
      <c r="AO622" s="1">
        <v>25524.0</v>
      </c>
      <c r="AP622" s="1">
        <v>14.0</v>
      </c>
      <c r="AQ622" s="1">
        <v>7.5</v>
      </c>
      <c r="AR622" s="1">
        <v>11.2</v>
      </c>
      <c r="AS622" s="1">
        <v>19.6</v>
      </c>
      <c r="AT622" s="1">
        <v>23.1</v>
      </c>
      <c r="AU622" s="1">
        <v>16.7</v>
      </c>
      <c r="AV622" s="1">
        <v>5.2</v>
      </c>
      <c r="AW622" s="1">
        <v>0.3</v>
      </c>
      <c r="AX622" s="1">
        <v>0.3295</v>
      </c>
      <c r="AY622" s="1">
        <v>10.0</v>
      </c>
      <c r="AZ622" s="1">
        <v>12.3</v>
      </c>
      <c r="BA622" s="1">
        <v>19.3</v>
      </c>
      <c r="BB622" s="1">
        <v>2.98</v>
      </c>
      <c r="BC622" s="1" t="s">
        <v>1152</v>
      </c>
      <c r="BD622" s="1">
        <v>9.6</v>
      </c>
      <c r="BE622" s="1">
        <v>35.5</v>
      </c>
      <c r="BF622" s="1">
        <v>33.6</v>
      </c>
      <c r="BG622" s="1">
        <v>21.4</v>
      </c>
      <c r="BH622" s="1" t="s">
        <v>1193</v>
      </c>
    </row>
    <row r="623">
      <c r="A623" s="1">
        <v>17055.0</v>
      </c>
      <c r="B623" s="2" t="str">
        <f>IFERROR(__xludf.DUMMYFUNCTION("TO_TEXT(A623)"),"17055")</f>
        <v>17055</v>
      </c>
      <c r="C623" s="1">
        <v>39503.0</v>
      </c>
      <c r="D623" s="1">
        <v>408.890165524404</v>
      </c>
      <c r="E623" s="1" t="s">
        <v>118</v>
      </c>
      <c r="F623" s="1" t="s">
        <v>1194</v>
      </c>
      <c r="G623" s="1">
        <v>96.6102961887997</v>
      </c>
      <c r="H623" s="1">
        <v>17.292388593</v>
      </c>
      <c r="I623" s="1">
        <v>4.3445447898</v>
      </c>
      <c r="J623" s="1">
        <v>8.4888621312</v>
      </c>
      <c r="K623" s="1">
        <v>17.773051014</v>
      </c>
      <c r="L623" s="1">
        <v>26.6</v>
      </c>
      <c r="M623" s="1">
        <v>7.8</v>
      </c>
      <c r="N623" s="1">
        <v>28.5</v>
      </c>
      <c r="O623" s="1">
        <v>59.8695685139999</v>
      </c>
      <c r="P623" s="1">
        <v>6.7544770309</v>
      </c>
      <c r="Q623" s="1">
        <v>33.29833</v>
      </c>
      <c r="R623" s="1">
        <v>83.3361983469999</v>
      </c>
      <c r="S623" s="1">
        <v>26.0</v>
      </c>
      <c r="T623" s="1">
        <v>8447.0</v>
      </c>
      <c r="U623" s="1">
        <v>38.120042619</v>
      </c>
      <c r="V623" s="1">
        <v>160.30824181</v>
      </c>
      <c r="W623" s="1">
        <v>11.402966625</v>
      </c>
      <c r="X623" s="1">
        <v>9.7095959596</v>
      </c>
      <c r="Y623" s="1">
        <v>75.602424875</v>
      </c>
      <c r="Z623" s="1">
        <v>7.2</v>
      </c>
      <c r="AA623" s="1">
        <v>4.34842176399999</v>
      </c>
      <c r="AB623" s="1">
        <v>42071.0</v>
      </c>
      <c r="AC623" s="1">
        <v>47.670832657</v>
      </c>
      <c r="AD623" s="1">
        <v>73.814688565</v>
      </c>
      <c r="AE623" s="1">
        <v>11.53016537</v>
      </c>
      <c r="AF623" s="1">
        <v>0.558125113</v>
      </c>
      <c r="AG623" s="1">
        <v>0.4134260097</v>
      </c>
      <c r="AH623" s="1">
        <v>0.405674272</v>
      </c>
      <c r="AI623" s="1">
        <v>0.0155034754</v>
      </c>
      <c r="AJ623" s="1">
        <v>1.76998010389999</v>
      </c>
      <c r="AK623" s="1">
        <v>95.692617762</v>
      </c>
      <c r="AL623" s="1">
        <v>0.1112558341</v>
      </c>
      <c r="AM623" s="1">
        <v>50.667941397</v>
      </c>
      <c r="AN623" s="1">
        <v>48.580672885</v>
      </c>
      <c r="AO623" s="1">
        <v>22119.0</v>
      </c>
      <c r="AP623" s="1">
        <v>19.2</v>
      </c>
      <c r="AQ623" s="1">
        <v>10.7</v>
      </c>
      <c r="AR623" s="1">
        <v>12.3</v>
      </c>
      <c r="AS623" s="1">
        <v>19.4</v>
      </c>
      <c r="AT623" s="1">
        <v>22.2</v>
      </c>
      <c r="AU623" s="1">
        <v>19.7</v>
      </c>
      <c r="AV623" s="1">
        <v>3.7</v>
      </c>
      <c r="AW623" s="1">
        <v>0.2</v>
      </c>
      <c r="AX623" s="1">
        <v>0.5552</v>
      </c>
      <c r="AY623" s="1">
        <v>16.4</v>
      </c>
      <c r="AZ623" s="1">
        <v>14.8</v>
      </c>
      <c r="BA623" s="1">
        <v>22.1</v>
      </c>
      <c r="BB623" s="1">
        <v>2.95</v>
      </c>
      <c r="BC623" s="1" t="s">
        <v>1152</v>
      </c>
      <c r="BD623" s="1">
        <v>11.1</v>
      </c>
      <c r="BE623" s="1">
        <v>33.0</v>
      </c>
      <c r="BF623" s="1">
        <v>39.2</v>
      </c>
      <c r="BG623" s="1">
        <v>16.7</v>
      </c>
      <c r="BH623" s="1" t="s">
        <v>1194</v>
      </c>
    </row>
    <row r="624">
      <c r="A624" s="1">
        <v>17057.0</v>
      </c>
      <c r="B624" s="2" t="str">
        <f>IFERROR(__xludf.DUMMYFUNCTION("TO_TEXT(A624)"),"17057")</f>
        <v>17057</v>
      </c>
      <c r="C624" s="1">
        <v>36047.0</v>
      </c>
      <c r="D624" s="1">
        <v>865.594657938885</v>
      </c>
      <c r="E624" s="1" t="s">
        <v>328</v>
      </c>
      <c r="F624" s="1" t="s">
        <v>1195</v>
      </c>
      <c r="G624" s="1">
        <v>41.6442034032805</v>
      </c>
      <c r="H624" s="1">
        <v>15.800072405</v>
      </c>
      <c r="I624" s="1">
        <v>4.018733185</v>
      </c>
      <c r="J624" s="1">
        <v>7.7308817384</v>
      </c>
      <c r="K624" s="1">
        <v>16.784846708</v>
      </c>
      <c r="L624" s="1">
        <v>28.8</v>
      </c>
      <c r="M624" s="1">
        <v>7.9</v>
      </c>
      <c r="N624" s="1">
        <v>23.2</v>
      </c>
      <c r="O624" s="1">
        <v>56.982923737</v>
      </c>
      <c r="P624" s="1">
        <v>6.3841411067</v>
      </c>
      <c r="Q624" s="1">
        <v>31.33011</v>
      </c>
      <c r="R624" s="1">
        <v>89.029985755</v>
      </c>
      <c r="S624" s="1">
        <v>20.5</v>
      </c>
      <c r="T624" s="1">
        <v>6986.0</v>
      </c>
      <c r="U624" s="1">
        <v>41.654738048</v>
      </c>
      <c r="V624" s="1">
        <v>115.29038766</v>
      </c>
      <c r="W624" s="1">
        <v>10.863411182</v>
      </c>
      <c r="X624" s="1">
        <v>8.8944543828</v>
      </c>
      <c r="Y624" s="1">
        <v>76.5335310689999</v>
      </c>
      <c r="Z624" s="1">
        <v>8.1</v>
      </c>
      <c r="AA624" s="1">
        <v>6.50576345309999</v>
      </c>
      <c r="AB624" s="1">
        <v>51258.0</v>
      </c>
      <c r="AC624" s="1">
        <v>50.199521149</v>
      </c>
      <c r="AD624" s="1">
        <v>76.82753726</v>
      </c>
      <c r="AE624" s="1">
        <v>8.8906717234</v>
      </c>
      <c r="AF624" s="1">
        <v>3.7825737573</v>
      </c>
      <c r="AG624" s="1">
        <v>0.6686947538</v>
      </c>
      <c r="AH624" s="1">
        <v>0.3415222133</v>
      </c>
      <c r="AI624" s="1">
        <v>0.0114797383</v>
      </c>
      <c r="AJ624" s="1">
        <v>3.1052691999</v>
      </c>
      <c r="AK624" s="1">
        <v>91.64562048</v>
      </c>
      <c r="AL624" s="1">
        <v>0.914082208</v>
      </c>
      <c r="AM624" s="1">
        <v>47.9594765239999</v>
      </c>
      <c r="AN624" s="1">
        <v>60.02589765</v>
      </c>
      <c r="AO624" s="1">
        <v>22969.0</v>
      </c>
      <c r="AP624" s="1">
        <v>15.6</v>
      </c>
      <c r="AQ624" s="1">
        <v>7.8</v>
      </c>
      <c r="AR624" s="1">
        <v>12.4</v>
      </c>
      <c r="AS624" s="1">
        <v>18.9</v>
      </c>
      <c r="AT624" s="1">
        <v>20.3</v>
      </c>
      <c r="AU624" s="1">
        <v>14.9</v>
      </c>
      <c r="AV624" s="1">
        <v>7.9</v>
      </c>
      <c r="AW624" s="1">
        <v>1.1</v>
      </c>
      <c r="AX624" s="1">
        <v>0.5189</v>
      </c>
      <c r="AY624" s="1">
        <v>13.3</v>
      </c>
      <c r="AZ624" s="1">
        <v>12.5</v>
      </c>
      <c r="BA624" s="1">
        <v>19.2</v>
      </c>
      <c r="BB624" s="1">
        <v>2.67</v>
      </c>
      <c r="BC624" s="1" t="s">
        <v>1152</v>
      </c>
      <c r="BD624" s="1">
        <v>11.4</v>
      </c>
      <c r="BE624" s="1">
        <v>34.5</v>
      </c>
      <c r="BF624" s="1">
        <v>36.6</v>
      </c>
      <c r="BG624" s="1">
        <v>17.6</v>
      </c>
      <c r="BH624" s="1" t="s">
        <v>1195</v>
      </c>
    </row>
    <row r="625">
      <c r="A625" s="1">
        <v>17059.0</v>
      </c>
      <c r="B625" s="2" t="str">
        <f>IFERROR(__xludf.DUMMYFUNCTION("TO_TEXT(A625)"),"17059")</f>
        <v>17059</v>
      </c>
      <c r="C625" s="1">
        <v>5325.0</v>
      </c>
      <c r="D625" s="1">
        <v>323.07083305592</v>
      </c>
      <c r="E625" s="1" t="s">
        <v>1196</v>
      </c>
      <c r="F625" s="1" t="s">
        <v>1197</v>
      </c>
      <c r="G625" s="1">
        <v>16.4824535524638</v>
      </c>
      <c r="H625" s="1">
        <v>16.572608522</v>
      </c>
      <c r="I625" s="1">
        <v>4.3018387167</v>
      </c>
      <c r="J625" s="1">
        <v>7.5268817204</v>
      </c>
      <c r="K625" s="1">
        <v>17.027156625</v>
      </c>
      <c r="L625" s="1">
        <v>23.0</v>
      </c>
      <c r="M625" s="1">
        <v>5.8</v>
      </c>
      <c r="N625" s="1">
        <v>24.2</v>
      </c>
      <c r="O625" s="1">
        <v>36.5360529609999</v>
      </c>
      <c r="P625" s="1">
        <v>6.622004638</v>
      </c>
      <c r="Q625" s="1">
        <v>19.68504</v>
      </c>
      <c r="R625" s="1">
        <v>89.5</v>
      </c>
      <c r="S625" s="1">
        <v>31.9</v>
      </c>
      <c r="T625" s="1">
        <v>1069.0</v>
      </c>
      <c r="U625" s="1">
        <v>42.563143124</v>
      </c>
      <c r="V625" s="1">
        <v>179.67434026</v>
      </c>
      <c r="W625" s="1">
        <v>5.6644880174</v>
      </c>
      <c r="X625" s="1">
        <v>3.6123348018</v>
      </c>
      <c r="Y625" s="1">
        <v>74.000434713</v>
      </c>
      <c r="Z625" s="1">
        <v>14.1</v>
      </c>
      <c r="AA625" s="1">
        <v>29.268744051</v>
      </c>
      <c r="AB625" s="1">
        <v>43330.0</v>
      </c>
      <c r="AC625" s="1">
        <v>64.228723404</v>
      </c>
      <c r="AD625" s="1">
        <v>75.108038029</v>
      </c>
      <c r="AE625" s="1">
        <v>6.5032987747</v>
      </c>
      <c r="AF625" s="1">
        <v>0.652431791199999</v>
      </c>
      <c r="AG625" s="1">
        <v>0.4547251878</v>
      </c>
      <c r="AH625" s="1">
        <v>0.2372479241</v>
      </c>
      <c r="AI625" s="1">
        <v>0.0</v>
      </c>
      <c r="AJ625" s="1">
        <v>1.7200474496</v>
      </c>
      <c r="AK625" s="1">
        <v>95.37366548</v>
      </c>
      <c r="AL625" s="1">
        <v>0.3474351114</v>
      </c>
      <c r="AM625" s="1">
        <v>51.16646896</v>
      </c>
      <c r="AN625" s="1">
        <v>100.0</v>
      </c>
      <c r="AO625" s="1">
        <v>23109.0</v>
      </c>
      <c r="AP625" s="1">
        <v>16.2</v>
      </c>
      <c r="AQ625" s="1">
        <v>9.1</v>
      </c>
      <c r="AR625" s="1">
        <v>13.8</v>
      </c>
      <c r="AS625" s="1">
        <v>22.6</v>
      </c>
      <c r="AT625" s="1">
        <v>21.6</v>
      </c>
      <c r="AU625" s="1">
        <v>22.1</v>
      </c>
      <c r="AV625" s="1">
        <v>4.3</v>
      </c>
      <c r="AW625" s="1">
        <v>0.2</v>
      </c>
      <c r="AX625" s="1">
        <v>0.3766</v>
      </c>
      <c r="AY625" s="1">
        <v>19.0</v>
      </c>
      <c r="AZ625" s="1">
        <v>14.9</v>
      </c>
      <c r="BA625" s="1">
        <v>24.7</v>
      </c>
      <c r="BB625" s="1">
        <v>2.68</v>
      </c>
      <c r="BC625" s="1" t="s">
        <v>1152</v>
      </c>
      <c r="BD625" s="1">
        <v>13.1</v>
      </c>
      <c r="BE625" s="1">
        <v>39.8</v>
      </c>
      <c r="BF625" s="1">
        <v>36.3</v>
      </c>
      <c r="BG625" s="1">
        <v>10.9</v>
      </c>
      <c r="BH625" s="1" t="s">
        <v>1197</v>
      </c>
    </row>
    <row r="626">
      <c r="A626" s="1">
        <v>17061.0</v>
      </c>
      <c r="B626" s="2" t="str">
        <f>IFERROR(__xludf.DUMMYFUNCTION("TO_TEXT(A626)"),"17061")</f>
        <v>17061</v>
      </c>
      <c r="C626" s="1">
        <v>13390.0</v>
      </c>
      <c r="D626" s="1">
        <v>543.018992975925</v>
      </c>
      <c r="E626" s="1" t="s">
        <v>122</v>
      </c>
      <c r="F626" s="1" t="s">
        <v>1198</v>
      </c>
      <c r="G626" s="1">
        <v>24.6584376848742</v>
      </c>
      <c r="H626" s="1">
        <v>15.498565151</v>
      </c>
      <c r="I626" s="1">
        <v>4.1138292776</v>
      </c>
      <c r="J626" s="1">
        <v>7.17299578059999</v>
      </c>
      <c r="K626" s="1">
        <v>16.87536568</v>
      </c>
      <c r="L626" s="1">
        <v>28.2</v>
      </c>
      <c r="M626" s="1">
        <v>7.9</v>
      </c>
      <c r="N626" s="1">
        <v>28.3</v>
      </c>
      <c r="O626" s="1">
        <v>55.653175861</v>
      </c>
      <c r="P626" s="1">
        <v>6.4296011533</v>
      </c>
      <c r="Q626" s="1">
        <v>22.77213</v>
      </c>
      <c r="R626" s="1">
        <v>95.242807018</v>
      </c>
      <c r="S626" s="1">
        <v>19.9</v>
      </c>
      <c r="T626" s="1">
        <v>2750.0</v>
      </c>
      <c r="U626" s="1">
        <v>36.327272727</v>
      </c>
      <c r="V626" s="1">
        <v>202.94648226</v>
      </c>
      <c r="W626" s="1">
        <v>10.984848485</v>
      </c>
      <c r="X626" s="1">
        <v>8.9423076923</v>
      </c>
      <c r="Y626" s="1">
        <v>75.872466746</v>
      </c>
      <c r="Z626" s="1">
        <v>11.4</v>
      </c>
      <c r="AA626" s="1">
        <v>6.34895646039999</v>
      </c>
      <c r="AB626" s="1">
        <v>47314.0</v>
      </c>
      <c r="AC626" s="1">
        <v>57.939914163</v>
      </c>
      <c r="AD626" s="1">
        <v>79.080919081</v>
      </c>
      <c r="AE626" s="1">
        <v>5.9651333753</v>
      </c>
      <c r="AF626" s="1">
        <v>1.3032812021</v>
      </c>
      <c r="AG626" s="1">
        <v>0.2836553205</v>
      </c>
      <c r="AH626" s="1">
        <v>0.2683226004</v>
      </c>
      <c r="AI626" s="1">
        <v>0.01533272</v>
      </c>
      <c r="AJ626" s="1">
        <v>1.280282122</v>
      </c>
      <c r="AK626" s="1">
        <v>96.067157314</v>
      </c>
      <c r="AL626" s="1">
        <v>0.0477783086</v>
      </c>
      <c r="AM626" s="1">
        <v>49.662680159</v>
      </c>
      <c r="AN626" s="1">
        <v>70.8483364539999</v>
      </c>
      <c r="AO626" s="1">
        <v>21916.0</v>
      </c>
      <c r="AP626" s="1">
        <v>17.4</v>
      </c>
      <c r="AQ626" s="1">
        <v>7.9</v>
      </c>
      <c r="AR626" s="1">
        <v>13.9</v>
      </c>
      <c r="AS626" s="1">
        <v>18.4</v>
      </c>
      <c r="AT626" s="1">
        <v>21.6</v>
      </c>
      <c r="AU626" s="1">
        <v>15.8</v>
      </c>
      <c r="AV626" s="1">
        <v>3.2</v>
      </c>
      <c r="AW626" s="1">
        <v>0.0</v>
      </c>
      <c r="AX626" s="1">
        <v>0.3126</v>
      </c>
      <c r="AY626" s="1">
        <v>13.7</v>
      </c>
      <c r="AZ626" s="1">
        <v>11.7</v>
      </c>
      <c r="BA626" s="1">
        <v>17.0</v>
      </c>
      <c r="BB626" s="1">
        <v>2.8</v>
      </c>
      <c r="BC626" s="1" t="s">
        <v>1152</v>
      </c>
      <c r="BD626" s="1">
        <v>9.4</v>
      </c>
      <c r="BE626" s="1">
        <v>47.6</v>
      </c>
      <c r="BF626" s="1">
        <v>30.2</v>
      </c>
      <c r="BG626" s="1">
        <v>12.8</v>
      </c>
      <c r="BH626" s="1" t="s">
        <v>1198</v>
      </c>
    </row>
    <row r="627">
      <c r="A627" s="1">
        <v>17063.0</v>
      </c>
      <c r="B627" s="2" t="str">
        <f>IFERROR(__xludf.DUMMYFUNCTION("TO_TEXT(A627)"),"17063")</f>
        <v>17063</v>
      </c>
      <c r="C627" s="1">
        <v>50338.0</v>
      </c>
      <c r="D627" s="1">
        <v>418.051769456814</v>
      </c>
      <c r="E627" s="1" t="s">
        <v>1199</v>
      </c>
      <c r="F627" s="1" t="s">
        <v>1200</v>
      </c>
      <c r="G627" s="1">
        <v>120.410924382417</v>
      </c>
      <c r="H627" s="1">
        <v>13.5144132009999</v>
      </c>
      <c r="I627" s="1">
        <v>3.7293429138</v>
      </c>
      <c r="J627" s="1">
        <v>6.976744186</v>
      </c>
      <c r="K627" s="1">
        <v>14.5144421279999</v>
      </c>
      <c r="L627" s="1">
        <v>34.9</v>
      </c>
      <c r="M627" s="1">
        <v>8.6</v>
      </c>
      <c r="N627" s="1">
        <v>24.6</v>
      </c>
      <c r="O627" s="1">
        <v>87.50973773</v>
      </c>
      <c r="P627" s="1">
        <v>4.9975940056</v>
      </c>
      <c r="Q627" s="1">
        <v>31.6293</v>
      </c>
      <c r="R627" s="1">
        <v>93.817420397</v>
      </c>
      <c r="S627" s="1">
        <v>8.3</v>
      </c>
      <c r="T627" s="1">
        <v>12736.0</v>
      </c>
      <c r="U627" s="1">
        <v>24.206972362</v>
      </c>
      <c r="V627" s="1">
        <v>101.41679259</v>
      </c>
      <c r="W627" s="1">
        <v>14.6407347379999</v>
      </c>
      <c r="X627" s="1">
        <v>12.628117292</v>
      </c>
      <c r="Y627" s="1">
        <v>78.635982852</v>
      </c>
      <c r="Z627" s="1">
        <v>4.9</v>
      </c>
      <c r="AA627" s="1">
        <v>4.9515619977</v>
      </c>
      <c r="AB627" s="1">
        <v>79348.0</v>
      </c>
      <c r="AC627" s="1">
        <v>26.3337393419999</v>
      </c>
      <c r="AD627" s="1">
        <v>71.136199608</v>
      </c>
      <c r="AE627" s="1">
        <v>10.499501024</v>
      </c>
      <c r="AF627" s="1">
        <v>1.58126029979999</v>
      </c>
      <c r="AG627" s="1">
        <v>0.3492113317</v>
      </c>
      <c r="AH627" s="1">
        <v>0.878913913499999</v>
      </c>
      <c r="AI627" s="1">
        <v>0.0510083968</v>
      </c>
      <c r="AJ627" s="1">
        <v>10.215412383</v>
      </c>
      <c r="AK627" s="1">
        <v>86.141410971</v>
      </c>
      <c r="AL627" s="1">
        <v>0.8824709186</v>
      </c>
      <c r="AM627" s="1">
        <v>50.125559131</v>
      </c>
      <c r="AN627" s="1">
        <v>24.375287138</v>
      </c>
      <c r="AO627" s="1">
        <v>30232.0</v>
      </c>
      <c r="AP627" s="1">
        <v>9.8</v>
      </c>
      <c r="AQ627" s="1">
        <v>7.5</v>
      </c>
      <c r="AR627" s="1">
        <v>7.1</v>
      </c>
      <c r="AS627" s="1">
        <v>12.9</v>
      </c>
      <c r="AT627" s="1">
        <v>25.9</v>
      </c>
      <c r="AU627" s="1">
        <v>10.9</v>
      </c>
      <c r="AV627" s="1">
        <v>12.6</v>
      </c>
      <c r="AW627" s="1">
        <v>0.7</v>
      </c>
      <c r="AX627" s="1">
        <v>0.1057</v>
      </c>
      <c r="AY627" s="1">
        <v>5.6</v>
      </c>
      <c r="AZ627" s="1">
        <v>8.0</v>
      </c>
      <c r="BA627" s="1">
        <v>10.4</v>
      </c>
      <c r="BB627" s="1">
        <v>3.12</v>
      </c>
      <c r="BC627" s="1" t="s">
        <v>1152</v>
      </c>
      <c r="BD627" s="1">
        <v>6.8</v>
      </c>
      <c r="BE627" s="1">
        <v>33.8</v>
      </c>
      <c r="BF627" s="1">
        <v>36.5</v>
      </c>
      <c r="BG627" s="1">
        <v>22.9</v>
      </c>
      <c r="BH627" s="1" t="s">
        <v>1200</v>
      </c>
    </row>
    <row r="628">
      <c r="A628" s="1">
        <v>17065.0</v>
      </c>
      <c r="B628" s="2" t="str">
        <f>IFERROR(__xludf.DUMMYFUNCTION("TO_TEXT(A628)"),"17065")</f>
        <v>17065</v>
      </c>
      <c r="C628" s="1">
        <v>8251.0</v>
      </c>
      <c r="D628" s="1">
        <v>434.665375194832</v>
      </c>
      <c r="E628" s="1" t="s">
        <v>719</v>
      </c>
      <c r="F628" s="1" t="s">
        <v>1201</v>
      </c>
      <c r="G628" s="1">
        <v>18.9824183633252</v>
      </c>
      <c r="H628" s="1">
        <v>15.21274661</v>
      </c>
      <c r="I628" s="1">
        <v>4.0746629873</v>
      </c>
      <c r="J628" s="1">
        <v>7.0085470085</v>
      </c>
      <c r="K628" s="1">
        <v>16.029568925</v>
      </c>
      <c r="L628" s="1">
        <v>25.4</v>
      </c>
      <c r="M628" s="1">
        <v>8.3</v>
      </c>
      <c r="N628" s="1">
        <v>27.5</v>
      </c>
      <c r="O628" s="1">
        <v>11.682629774</v>
      </c>
      <c r="P628" s="1">
        <v>5.6848352335</v>
      </c>
      <c r="Q628" s="1">
        <v>48.81621</v>
      </c>
      <c r="R628" s="1">
        <v>98.7</v>
      </c>
      <c r="S628" s="1">
        <v>19.6</v>
      </c>
      <c r="T628" s="1">
        <v>1815.0</v>
      </c>
      <c r="U628" s="1">
        <v>22.258953168</v>
      </c>
      <c r="V628" s="1">
        <v>55.3914327919999</v>
      </c>
      <c r="W628" s="1">
        <v>9.5729013255</v>
      </c>
      <c r="X628" s="1">
        <v>8.3081570997</v>
      </c>
      <c r="Y628" s="1">
        <v>78.163893023</v>
      </c>
      <c r="Z628" s="1">
        <v>19.3</v>
      </c>
      <c r="AA628" s="1">
        <v>4.3301928162</v>
      </c>
      <c r="AB628" s="1">
        <v>53028.0</v>
      </c>
      <c r="AC628" s="1">
        <v>49.7965825869999</v>
      </c>
      <c r="AD628" s="1">
        <v>80.598341232</v>
      </c>
      <c r="AE628" s="1">
        <v>5.8058375635</v>
      </c>
      <c r="AF628" s="1">
        <v>0.6860222957</v>
      </c>
      <c r="AG628" s="1">
        <v>0.441014333</v>
      </c>
      <c r="AH628" s="1">
        <v>0.3675119441</v>
      </c>
      <c r="AI628" s="1">
        <v>0.0122503981</v>
      </c>
      <c r="AJ628" s="1">
        <v>1.7150557393</v>
      </c>
      <c r="AK628" s="1">
        <v>96.067622198</v>
      </c>
      <c r="AL628" s="1">
        <v>0.2063185042</v>
      </c>
      <c r="AM628" s="1">
        <v>51.096410633</v>
      </c>
      <c r="AN628" s="1">
        <v>68.097434078</v>
      </c>
      <c r="AO628" s="1">
        <v>24309.0</v>
      </c>
      <c r="AP628" s="1">
        <v>15.0</v>
      </c>
      <c r="AQ628" s="1">
        <v>4.3</v>
      </c>
      <c r="AR628" s="1">
        <v>10.2</v>
      </c>
      <c r="AS628" s="1">
        <v>20.2</v>
      </c>
      <c r="AT628" s="1">
        <v>22.4</v>
      </c>
      <c r="AU628" s="1">
        <v>16.3</v>
      </c>
      <c r="AV628" s="1">
        <v>1.0</v>
      </c>
      <c r="AW628" s="1">
        <v>0.0</v>
      </c>
      <c r="AX628" s="1">
        <v>0.1385</v>
      </c>
      <c r="AY628" s="1">
        <v>12.7</v>
      </c>
      <c r="AZ628" s="1">
        <v>10.2</v>
      </c>
      <c r="BA628" s="1">
        <v>14.6</v>
      </c>
      <c r="BB628" s="1">
        <v>2.74</v>
      </c>
      <c r="BC628" s="1" t="s">
        <v>1152</v>
      </c>
      <c r="BD628" s="1">
        <v>12.9</v>
      </c>
      <c r="BE628" s="1">
        <v>34.9</v>
      </c>
      <c r="BF628" s="1">
        <v>35.2</v>
      </c>
      <c r="BG628" s="1">
        <v>17.0</v>
      </c>
      <c r="BH628" s="1" t="s">
        <v>1201</v>
      </c>
    </row>
    <row r="629">
      <c r="A629" s="1">
        <v>17067.0</v>
      </c>
      <c r="B629" s="2" t="str">
        <f>IFERROR(__xludf.DUMMYFUNCTION("TO_TEXT(A629)"),"17067")</f>
        <v>17067</v>
      </c>
      <c r="C629" s="1">
        <v>18633.0</v>
      </c>
      <c r="D629" s="1">
        <v>793.725544399834</v>
      </c>
      <c r="E629" s="1" t="s">
        <v>917</v>
      </c>
      <c r="F629" s="1" t="s">
        <v>1202</v>
      </c>
      <c r="G629" s="1">
        <v>23.4753689502196</v>
      </c>
      <c r="H629" s="1">
        <v>13.997109854</v>
      </c>
      <c r="I629" s="1">
        <v>3.9951485179</v>
      </c>
      <c r="J629" s="1">
        <v>6.4323111444</v>
      </c>
      <c r="K629" s="1">
        <v>14.6525416579999</v>
      </c>
      <c r="L629" s="1">
        <v>31.1</v>
      </c>
      <c r="M629" s="1">
        <v>7.6</v>
      </c>
      <c r="N629" s="1">
        <v>30.5</v>
      </c>
      <c r="O629" s="1">
        <v>58.3542713569999</v>
      </c>
      <c r="P629" s="1">
        <v>5.5720170557</v>
      </c>
      <c r="Q629" s="1">
        <v>22.19756</v>
      </c>
      <c r="R629" s="1">
        <v>82.220763723</v>
      </c>
      <c r="S629" s="1">
        <v>16.8</v>
      </c>
      <c r="T629" s="1">
        <v>3780.0</v>
      </c>
      <c r="U629" s="1">
        <v>29.259259259</v>
      </c>
      <c r="V629" s="1">
        <v>75.6859035</v>
      </c>
      <c r="W629" s="1">
        <v>7.3139158576</v>
      </c>
      <c r="X629" s="1">
        <v>5.8823529412</v>
      </c>
      <c r="Y629" s="1">
        <v>79.42305356</v>
      </c>
      <c r="Z629" s="1">
        <v>7.4</v>
      </c>
      <c r="AA629" s="1">
        <v>14.167799082</v>
      </c>
      <c r="AB629" s="1">
        <v>53553.0</v>
      </c>
      <c r="AC629" s="1">
        <v>50.15522594</v>
      </c>
      <c r="AD629" s="1">
        <v>81.495956873</v>
      </c>
      <c r="AE629" s="1">
        <v>5.8897418004</v>
      </c>
      <c r="AF629" s="1">
        <v>0.5772248375</v>
      </c>
      <c r="AG629" s="1">
        <v>0.3866845999</v>
      </c>
      <c r="AH629" s="1">
        <v>0.4259134723</v>
      </c>
      <c r="AI629" s="1">
        <v>0.0896659942</v>
      </c>
      <c r="AJ629" s="1">
        <v>1.6083837705</v>
      </c>
      <c r="AK629" s="1">
        <v>96.021071509</v>
      </c>
      <c r="AL629" s="1">
        <v>0.204105435</v>
      </c>
      <c r="AM629" s="1">
        <v>50.403496974</v>
      </c>
      <c r="AN629" s="1">
        <v>70.974664992</v>
      </c>
      <c r="AO629" s="1">
        <v>25647.0</v>
      </c>
      <c r="AP629" s="1">
        <v>11.5</v>
      </c>
      <c r="AQ629" s="1">
        <v>6.8</v>
      </c>
      <c r="AR629" s="1">
        <v>7.5</v>
      </c>
      <c r="AS629" s="1">
        <v>22.6</v>
      </c>
      <c r="AT629" s="1">
        <v>20.8</v>
      </c>
      <c r="AU629" s="1">
        <v>13.5</v>
      </c>
      <c r="AV629" s="1">
        <v>3.4</v>
      </c>
      <c r="AW629" s="1">
        <v>0.2</v>
      </c>
      <c r="AX629" s="1">
        <v>0.0907</v>
      </c>
      <c r="AY629" s="1">
        <v>12.3</v>
      </c>
      <c r="AZ629" s="1">
        <v>10.0</v>
      </c>
      <c r="BA629" s="1">
        <v>15.9</v>
      </c>
      <c r="BB629" s="1">
        <v>2.75</v>
      </c>
      <c r="BC629" s="1" t="s">
        <v>1152</v>
      </c>
      <c r="BD629" s="1">
        <v>6.6</v>
      </c>
      <c r="BE629" s="1">
        <v>36.6</v>
      </c>
      <c r="BF629" s="1">
        <v>35.9</v>
      </c>
      <c r="BG629" s="1">
        <v>21.0</v>
      </c>
      <c r="BH629" s="1" t="s">
        <v>1202</v>
      </c>
    </row>
    <row r="630">
      <c r="A630" s="1">
        <v>17069.0</v>
      </c>
      <c r="B630" s="2" t="str">
        <f>IFERROR(__xludf.DUMMYFUNCTION("TO_TEXT(A630)"),"17069")</f>
        <v>17069</v>
      </c>
      <c r="C630" s="1">
        <v>4173.0</v>
      </c>
      <c r="D630" s="1">
        <v>177.528139361818</v>
      </c>
      <c r="E630" s="1" t="s">
        <v>1203</v>
      </c>
      <c r="F630" s="1" t="s">
        <v>1204</v>
      </c>
      <c r="G630" s="1">
        <v>23.5061326897313</v>
      </c>
      <c r="H630" s="1">
        <v>17.617054518</v>
      </c>
      <c r="I630" s="1">
        <v>4.3475970118</v>
      </c>
      <c r="J630" s="1">
        <v>8.2191780822</v>
      </c>
      <c r="K630" s="1">
        <v>17.958192509</v>
      </c>
      <c r="L630" s="1">
        <v>24.5</v>
      </c>
      <c r="M630" s="1">
        <v>7.8</v>
      </c>
      <c r="N630" s="1">
        <v>25.5</v>
      </c>
      <c r="O630" s="1">
        <v>77.893518519</v>
      </c>
      <c r="P630" s="1">
        <v>7.2934669893</v>
      </c>
      <c r="Q630" s="1">
        <v>98.86307</v>
      </c>
      <c r="R630" s="1">
        <v>91.8</v>
      </c>
      <c r="S630" s="1">
        <v>32.0</v>
      </c>
      <c r="T630" s="1">
        <v>706.0</v>
      </c>
      <c r="U630" s="1">
        <v>24.787535411</v>
      </c>
      <c r="V630" s="1">
        <v>206.58646251</v>
      </c>
      <c r="W630" s="1">
        <v>11.627906977</v>
      </c>
      <c r="X630" s="1">
        <v>8.6608927382</v>
      </c>
      <c r="Y630" s="1">
        <v>72.040352759</v>
      </c>
      <c r="Z630" s="1">
        <v>4.9</v>
      </c>
      <c r="AA630" s="1">
        <v>4.7753709454</v>
      </c>
      <c r="AB630" s="1">
        <v>41713.0</v>
      </c>
      <c r="AC630" s="1">
        <v>54.62478185</v>
      </c>
      <c r="AD630" s="1">
        <v>80.319888734</v>
      </c>
      <c r="AE630" s="1">
        <v>4.9556213018</v>
      </c>
      <c r="AF630" s="1">
        <v>0.5115089514</v>
      </c>
      <c r="AG630" s="1">
        <v>0.7416879795</v>
      </c>
      <c r="AH630" s="1">
        <v>0.4603580563</v>
      </c>
      <c r="AI630" s="1">
        <v>0.1278772379</v>
      </c>
      <c r="AJ630" s="1">
        <v>2.2506393862</v>
      </c>
      <c r="AK630" s="1">
        <v>94.680306905</v>
      </c>
      <c r="AL630" s="1">
        <v>0.0</v>
      </c>
      <c r="AM630" s="1">
        <v>49.25831202</v>
      </c>
      <c r="AN630" s="1">
        <v>100.0</v>
      </c>
      <c r="AO630" s="1">
        <v>21573.0</v>
      </c>
      <c r="AP630" s="1">
        <v>18.8</v>
      </c>
      <c r="AQ630" s="1">
        <v>18.1</v>
      </c>
      <c r="AR630" s="1">
        <v>16.8</v>
      </c>
      <c r="AS630" s="1">
        <v>17.8</v>
      </c>
      <c r="AT630" s="1">
        <v>17.9</v>
      </c>
      <c r="AU630" s="1">
        <v>27.2</v>
      </c>
      <c r="AV630" s="1">
        <v>7.2</v>
      </c>
      <c r="AW630" s="1">
        <v>0.0</v>
      </c>
      <c r="AX630" s="1">
        <v>0.4521</v>
      </c>
      <c r="AY630" s="1">
        <v>18.0</v>
      </c>
      <c r="AZ630" s="1">
        <v>15.4</v>
      </c>
      <c r="BA630" s="1">
        <v>23.3</v>
      </c>
      <c r="BB630" s="1">
        <v>2.65</v>
      </c>
      <c r="BC630" s="1" t="s">
        <v>1152</v>
      </c>
      <c r="BD630" s="1">
        <v>20.4</v>
      </c>
      <c r="BE630" s="1">
        <v>32.3</v>
      </c>
      <c r="BF630" s="1">
        <v>36.5</v>
      </c>
      <c r="BG630" s="1">
        <v>10.8</v>
      </c>
      <c r="BH630" s="1" t="s">
        <v>1204</v>
      </c>
    </row>
    <row r="631">
      <c r="A631" s="1">
        <v>17071.0</v>
      </c>
      <c r="B631" s="2" t="str">
        <f>IFERROR(__xludf.DUMMYFUNCTION("TO_TEXT(A631)"),"17071")</f>
        <v>17071</v>
      </c>
      <c r="C631" s="1">
        <v>6966.0</v>
      </c>
      <c r="D631" s="1">
        <v>378.87174390893</v>
      </c>
      <c r="E631" s="1" t="s">
        <v>1205</v>
      </c>
      <c r="F631" s="1" t="s">
        <v>1206</v>
      </c>
      <c r="G631" s="1">
        <v>18.3861692300665</v>
      </c>
      <c r="H631" s="1">
        <v>13.8450638729999</v>
      </c>
      <c r="I631" s="1">
        <v>3.9008651394</v>
      </c>
      <c r="J631" s="1">
        <v>10.538116592</v>
      </c>
      <c r="K631" s="1">
        <v>14.314352686</v>
      </c>
      <c r="L631" s="1">
        <v>26.5</v>
      </c>
      <c r="M631" s="1">
        <v>8.8</v>
      </c>
      <c r="N631" s="1">
        <v>31.9</v>
      </c>
      <c r="O631" s="1">
        <v>44.086754877</v>
      </c>
      <c r="P631" s="1">
        <v>7.5156985871</v>
      </c>
      <c r="Q631" s="1">
        <v>48.31939</v>
      </c>
      <c r="R631" s="1">
        <v>82.0</v>
      </c>
      <c r="S631" s="1">
        <v>16.1</v>
      </c>
      <c r="T631" s="1">
        <v>1270.0</v>
      </c>
      <c r="U631" s="1">
        <v>25.984251969</v>
      </c>
      <c r="V631" s="1">
        <v>204.509002055</v>
      </c>
      <c r="W631" s="1">
        <v>6.3829787234</v>
      </c>
      <c r="X631" s="1">
        <v>5.224625624</v>
      </c>
      <c r="Y631" s="1">
        <v>78.714190694</v>
      </c>
      <c r="Z631" s="1">
        <v>13.5</v>
      </c>
      <c r="AA631" s="1">
        <v>0.4559022307</v>
      </c>
      <c r="AB631" s="1">
        <v>53632.0</v>
      </c>
      <c r="AC631" s="1">
        <v>56.472081218</v>
      </c>
      <c r="AD631" s="1">
        <v>81.371237458</v>
      </c>
      <c r="AE631" s="1">
        <v>4.0361864997</v>
      </c>
      <c r="AF631" s="1">
        <v>0.3428230735</v>
      </c>
      <c r="AG631" s="1">
        <v>0.2981070204</v>
      </c>
      <c r="AH631" s="1">
        <v>0.4471605306</v>
      </c>
      <c r="AI631" s="1">
        <v>0.0745267551</v>
      </c>
      <c r="AJ631" s="1">
        <v>1.9675063348</v>
      </c>
      <c r="AK631" s="1">
        <v>95.76688031</v>
      </c>
      <c r="AL631" s="1">
        <v>0.0610314312</v>
      </c>
      <c r="AM631" s="1">
        <v>51.170070055</v>
      </c>
      <c r="AN631" s="1">
        <v>99.658982403</v>
      </c>
      <c r="AO631" s="1">
        <v>26504.0</v>
      </c>
      <c r="AP631" s="1">
        <v>10.6</v>
      </c>
      <c r="AQ631" s="1">
        <v>7.5</v>
      </c>
      <c r="AR631" s="1">
        <v>11.1</v>
      </c>
      <c r="AS631" s="1">
        <v>23.3</v>
      </c>
      <c r="AT631" s="1">
        <v>19.2</v>
      </c>
      <c r="AU631" s="1">
        <v>17.0</v>
      </c>
      <c r="AV631" s="1">
        <v>3.5</v>
      </c>
      <c r="AW631" s="1">
        <v>0.2</v>
      </c>
      <c r="AX631" s="1">
        <v>0.1522</v>
      </c>
      <c r="AY631" s="1">
        <v>11.0</v>
      </c>
      <c r="AZ631" s="1">
        <v>9.6</v>
      </c>
      <c r="BA631" s="1">
        <v>15.4</v>
      </c>
      <c r="BB631" s="1">
        <v>2.72</v>
      </c>
      <c r="BC631" s="1" t="s">
        <v>1152</v>
      </c>
      <c r="BD631" s="1">
        <v>8.8</v>
      </c>
      <c r="BE631" s="1">
        <v>41.7</v>
      </c>
      <c r="BF631" s="1">
        <v>31.2</v>
      </c>
      <c r="BG631" s="1">
        <v>18.3</v>
      </c>
      <c r="BH631" s="1" t="s">
        <v>1206</v>
      </c>
    </row>
    <row r="632">
      <c r="A632" s="1">
        <v>17073.0</v>
      </c>
      <c r="B632" s="2" t="str">
        <f>IFERROR(__xludf.DUMMYFUNCTION("TO_TEXT(A632)"),"17073")</f>
        <v>17073</v>
      </c>
      <c r="C632" s="1">
        <v>49681.0</v>
      </c>
      <c r="D632" s="1">
        <v>822.996515014528</v>
      </c>
      <c r="E632" s="1" t="s">
        <v>126</v>
      </c>
      <c r="F632" s="1" t="s">
        <v>1207</v>
      </c>
      <c r="G632" s="1">
        <v>60.3659907346303</v>
      </c>
      <c r="H632" s="1">
        <v>14.378699355</v>
      </c>
      <c r="I632" s="1">
        <v>3.9058653214</v>
      </c>
      <c r="J632" s="1">
        <v>7.1524966262</v>
      </c>
      <c r="K632" s="1">
        <v>14.6948895</v>
      </c>
      <c r="L632" s="1">
        <v>36.6</v>
      </c>
      <c r="M632" s="1">
        <v>8.4</v>
      </c>
      <c r="N632" s="1">
        <v>25.6</v>
      </c>
      <c r="O632" s="1">
        <v>77.205561938</v>
      </c>
      <c r="P632" s="1">
        <v>6.245360772</v>
      </c>
      <c r="Q632" s="1">
        <v>22.29971</v>
      </c>
      <c r="R632" s="1">
        <v>92.0726446279999</v>
      </c>
      <c r="S632" s="1">
        <v>16.6</v>
      </c>
      <c r="T632" s="1">
        <v>11034.0</v>
      </c>
      <c r="U632" s="1">
        <v>26.8352365419999</v>
      </c>
      <c r="V632" s="1">
        <v>129.81344912</v>
      </c>
      <c r="W632" s="1">
        <v>7.97317436659999</v>
      </c>
      <c r="X632" s="1">
        <v>7.18577866799999</v>
      </c>
      <c r="Y632" s="1">
        <v>79.275600825</v>
      </c>
      <c r="Z632" s="1">
        <v>13.7</v>
      </c>
      <c r="AA632" s="1">
        <v>5.0681722665</v>
      </c>
      <c r="AB632" s="1">
        <v>58042.0</v>
      </c>
      <c r="AC632" s="1">
        <v>41.73086182</v>
      </c>
      <c r="AD632" s="1">
        <v>77.780552365</v>
      </c>
      <c r="AE632" s="1">
        <v>7.8374605801</v>
      </c>
      <c r="AF632" s="1">
        <v>1.8231819108</v>
      </c>
      <c r="AG632" s="1">
        <v>0.3198207374</v>
      </c>
      <c r="AH632" s="1">
        <v>0.4827867183</v>
      </c>
      <c r="AI632" s="1">
        <v>0.0305561214</v>
      </c>
      <c r="AJ632" s="1">
        <v>6.0195559177</v>
      </c>
      <c r="AK632" s="1">
        <v>90.187410878</v>
      </c>
      <c r="AL632" s="1">
        <v>0.796181752</v>
      </c>
      <c r="AM632" s="1">
        <v>50.154817682</v>
      </c>
      <c r="AN632" s="1">
        <v>50.275323852</v>
      </c>
      <c r="AO632" s="1">
        <v>27777.0</v>
      </c>
      <c r="AP632" s="1">
        <v>12.3</v>
      </c>
      <c r="AQ632" s="1">
        <v>5.3</v>
      </c>
      <c r="AR632" s="1">
        <v>11.1</v>
      </c>
      <c r="AS632" s="1">
        <v>18.5</v>
      </c>
      <c r="AT632" s="1">
        <v>22.9</v>
      </c>
      <c r="AU632" s="1">
        <v>12.3</v>
      </c>
      <c r="AV632" s="1">
        <v>9.1</v>
      </c>
      <c r="AW632" s="1">
        <v>0.9</v>
      </c>
      <c r="AX632" s="1">
        <v>0.1515</v>
      </c>
      <c r="AY632" s="1">
        <v>8.7</v>
      </c>
      <c r="AZ632" s="1">
        <v>9.7</v>
      </c>
      <c r="BA632" s="1">
        <v>14.7</v>
      </c>
      <c r="BB632" s="1">
        <v>2.66</v>
      </c>
      <c r="BC632" s="1" t="s">
        <v>1152</v>
      </c>
      <c r="BD632" s="1">
        <v>8.8</v>
      </c>
      <c r="BE632" s="1">
        <v>33.7</v>
      </c>
      <c r="BF632" s="1">
        <v>34.2</v>
      </c>
      <c r="BG632" s="1">
        <v>23.3</v>
      </c>
      <c r="BH632" s="1" t="s">
        <v>1207</v>
      </c>
    </row>
    <row r="633">
      <c r="A633" s="1">
        <v>17075.0</v>
      </c>
      <c r="B633" s="2" t="str">
        <f>IFERROR(__xludf.DUMMYFUNCTION("TO_TEXT(A633)"),"17075")</f>
        <v>17075</v>
      </c>
      <c r="C633" s="1">
        <v>28814.0</v>
      </c>
      <c r="D633" s="1">
        <v>1117.29093087433</v>
      </c>
      <c r="E633" s="1" t="s">
        <v>1208</v>
      </c>
      <c r="F633" s="1" t="s">
        <v>1209</v>
      </c>
      <c r="G633" s="1">
        <v>25.7891648484534</v>
      </c>
      <c r="H633" s="1">
        <v>16.116657442</v>
      </c>
      <c r="I633" s="1">
        <v>4.1103502017</v>
      </c>
      <c r="J633" s="1">
        <v>7.7678989237</v>
      </c>
      <c r="K633" s="1">
        <v>15.6466591559999</v>
      </c>
      <c r="L633" s="1">
        <v>29.0</v>
      </c>
      <c r="M633" s="1">
        <v>8.1</v>
      </c>
      <c r="N633" s="1">
        <v>25.7</v>
      </c>
      <c r="O633" s="1">
        <v>42.055320008</v>
      </c>
      <c r="P633" s="1">
        <v>7.7443401436</v>
      </c>
      <c r="Q633" s="1">
        <v>35.87315</v>
      </c>
      <c r="R633" s="1">
        <v>94.021289355</v>
      </c>
      <c r="S633" s="1">
        <v>16.6</v>
      </c>
      <c r="T633" s="1">
        <v>6072.0</v>
      </c>
      <c r="U633" s="1">
        <v>29.199604743</v>
      </c>
      <c r="V633" s="1">
        <v>136.36621906</v>
      </c>
      <c r="W633" s="1">
        <v>13.823529412</v>
      </c>
      <c r="X633" s="1">
        <v>11.380329253</v>
      </c>
      <c r="Y633" s="1">
        <v>75.595956667</v>
      </c>
      <c r="Z633" s="1">
        <v>8.5</v>
      </c>
      <c r="AA633" s="1">
        <v>7.5394834769</v>
      </c>
      <c r="AB633" s="1">
        <v>55247.0</v>
      </c>
      <c r="AC633" s="1">
        <v>50.150987224</v>
      </c>
      <c r="AD633" s="1">
        <v>76.857118601</v>
      </c>
      <c r="AE633" s="1">
        <v>12.355415352</v>
      </c>
      <c r="AF633" s="1">
        <v>1.0650630343</v>
      </c>
      <c r="AG633" s="1">
        <v>0.369511665</v>
      </c>
      <c r="AH633" s="1">
        <v>0.5615128242</v>
      </c>
      <c r="AI633" s="1">
        <v>0.0326039704</v>
      </c>
      <c r="AJ633" s="1">
        <v>7.1837414867</v>
      </c>
      <c r="AK633" s="1">
        <v>89.802202579</v>
      </c>
      <c r="AL633" s="1">
        <v>1.2255912447</v>
      </c>
      <c r="AM633" s="1">
        <v>50.873061875</v>
      </c>
      <c r="AN633" s="1">
        <v>71.741032371</v>
      </c>
      <c r="AO633" s="1">
        <v>25562.0</v>
      </c>
      <c r="AP633" s="1">
        <v>16.1</v>
      </c>
      <c r="AQ633" s="1">
        <v>6.7</v>
      </c>
      <c r="AR633" s="1">
        <v>11.3</v>
      </c>
      <c r="AS633" s="1">
        <v>20.5</v>
      </c>
      <c r="AT633" s="1">
        <v>22.2</v>
      </c>
      <c r="AU633" s="1">
        <v>14.4</v>
      </c>
      <c r="AV633" s="1">
        <v>9.2</v>
      </c>
      <c r="AW633" s="1">
        <v>1.3</v>
      </c>
      <c r="AX633" s="1">
        <v>0.3566</v>
      </c>
      <c r="AY633" s="1">
        <v>11.6</v>
      </c>
      <c r="AZ633" s="1">
        <v>10.7</v>
      </c>
      <c r="BA633" s="1">
        <v>15.5</v>
      </c>
      <c r="BB633" s="1">
        <v>3.0</v>
      </c>
      <c r="BC633" s="1" t="s">
        <v>1152</v>
      </c>
      <c r="BD633" s="1">
        <v>10.5</v>
      </c>
      <c r="BE633" s="1">
        <v>39.8</v>
      </c>
      <c r="BF633" s="1">
        <v>33.8</v>
      </c>
      <c r="BG633" s="1">
        <v>15.9</v>
      </c>
      <c r="BH633" s="1" t="s">
        <v>1209</v>
      </c>
    </row>
    <row r="634">
      <c r="A634" s="1">
        <v>17077.0</v>
      </c>
      <c r="B634" s="2" t="str">
        <f>IFERROR(__xludf.DUMMYFUNCTION("TO_TEXT(A634)"),"17077")</f>
        <v>17077</v>
      </c>
      <c r="C634" s="1">
        <v>59188.0</v>
      </c>
      <c r="D634" s="1">
        <v>584.071708977106</v>
      </c>
      <c r="E634" s="1" t="s">
        <v>130</v>
      </c>
      <c r="F634" s="1" t="s">
        <v>1210</v>
      </c>
      <c r="G634" s="1">
        <v>101.336871980423</v>
      </c>
      <c r="H634" s="1">
        <v>19.08448859</v>
      </c>
      <c r="I634" s="1">
        <v>4.5833535697</v>
      </c>
      <c r="J634" s="1">
        <v>8.6624203822</v>
      </c>
      <c r="K634" s="1">
        <v>18.822572359</v>
      </c>
      <c r="L634" s="1">
        <v>23.7</v>
      </c>
      <c r="M634" s="1">
        <v>6.4</v>
      </c>
      <c r="N634" s="1">
        <v>24.8</v>
      </c>
      <c r="O634" s="1">
        <v>77.54824139</v>
      </c>
      <c r="P634" s="1">
        <v>7.6966352916</v>
      </c>
      <c r="Q634" s="1">
        <v>130.395989999999</v>
      </c>
      <c r="R634" s="1">
        <v>86.635509397</v>
      </c>
      <c r="S634" s="1">
        <v>28.9</v>
      </c>
      <c r="T634" s="1">
        <v>10469.0</v>
      </c>
      <c r="U634" s="1">
        <v>45.706371191</v>
      </c>
      <c r="V634" s="1">
        <v>418.52060212</v>
      </c>
      <c r="W634" s="1">
        <v>20.769068244</v>
      </c>
      <c r="X634" s="1">
        <v>20.1812956</v>
      </c>
      <c r="Y634" s="1">
        <v>78.257465296</v>
      </c>
      <c r="Z634" s="1">
        <v>4.8</v>
      </c>
      <c r="AA634" s="1">
        <v>11.218130382</v>
      </c>
      <c r="AB634" s="1">
        <v>41445.0</v>
      </c>
      <c r="AC634" s="1">
        <v>63.24822695</v>
      </c>
      <c r="AD634" s="1">
        <v>51.938637896</v>
      </c>
      <c r="AE634" s="1">
        <v>19.59692029</v>
      </c>
      <c r="AF634" s="1">
        <v>14.827844442</v>
      </c>
      <c r="AG634" s="1">
        <v>0.5398909769</v>
      </c>
      <c r="AH634" s="1">
        <v>3.7862031732</v>
      </c>
      <c r="AI634" s="1">
        <v>0.085337606</v>
      </c>
      <c r="AJ634" s="1">
        <v>4.5176683676</v>
      </c>
      <c r="AK634" s="1">
        <v>73.900625229</v>
      </c>
      <c r="AL634" s="1">
        <v>0.7545063296</v>
      </c>
      <c r="AM634" s="1">
        <v>50.277782616</v>
      </c>
      <c r="AN634" s="1">
        <v>37.166627919</v>
      </c>
      <c r="AO634" s="1">
        <v>21948.0</v>
      </c>
      <c r="AP634" s="1">
        <v>28.3</v>
      </c>
      <c r="AQ634" s="1">
        <v>9.0</v>
      </c>
      <c r="AR634" s="1">
        <v>7.7</v>
      </c>
      <c r="AS634" s="1">
        <v>13.1</v>
      </c>
      <c r="AT634" s="1">
        <v>18.1</v>
      </c>
      <c r="AU634" s="1">
        <v>13.1</v>
      </c>
      <c r="AV634" s="1">
        <v>25.0</v>
      </c>
      <c r="AW634" s="1">
        <v>0.8</v>
      </c>
      <c r="AX634" s="1">
        <v>0.5568</v>
      </c>
      <c r="AY634" s="1">
        <v>25.4</v>
      </c>
      <c r="AZ634" s="1">
        <v>14.7</v>
      </c>
      <c r="BA634" s="1">
        <v>18.9</v>
      </c>
      <c r="BB634" s="1">
        <v>2.89</v>
      </c>
      <c r="BC634" s="1" t="s">
        <v>1152</v>
      </c>
      <c r="BD634" s="1">
        <v>8.1</v>
      </c>
      <c r="BE634" s="1">
        <v>24.1</v>
      </c>
      <c r="BF634" s="1">
        <v>33.7</v>
      </c>
      <c r="BG634" s="1">
        <v>34.1</v>
      </c>
      <c r="BH634" s="1" t="s">
        <v>1210</v>
      </c>
    </row>
    <row r="635">
      <c r="A635" s="1">
        <v>17079.0</v>
      </c>
      <c r="B635" s="2" t="str">
        <f>IFERROR(__xludf.DUMMYFUNCTION("TO_TEXT(A635)"),"17079")</f>
        <v>17079</v>
      </c>
      <c r="C635" s="1">
        <v>9592.0</v>
      </c>
      <c r="D635" s="1">
        <v>494.514838105854</v>
      </c>
      <c r="E635" s="1" t="s">
        <v>932</v>
      </c>
      <c r="F635" s="1" t="s">
        <v>1211</v>
      </c>
      <c r="G635" s="1">
        <v>19.3967890564019</v>
      </c>
      <c r="H635" s="1">
        <v>13.662605848</v>
      </c>
      <c r="I635" s="1">
        <v>3.9320318454</v>
      </c>
      <c r="J635" s="1">
        <v>7.0440251572</v>
      </c>
      <c r="K635" s="1">
        <v>14.925071324</v>
      </c>
      <c r="L635" s="1">
        <v>24.9</v>
      </c>
      <c r="M635" s="1">
        <v>8.5</v>
      </c>
      <c r="N635" s="1">
        <v>20.5</v>
      </c>
      <c r="O635" s="1">
        <v>35.6362136519999</v>
      </c>
      <c r="P635" s="1">
        <v>5.8236057069</v>
      </c>
      <c r="Q635" s="1">
        <v>10.44059</v>
      </c>
      <c r="R635" s="1">
        <v>93.0</v>
      </c>
      <c r="S635" s="1">
        <v>15.4</v>
      </c>
      <c r="T635" s="1">
        <v>2102.0</v>
      </c>
      <c r="U635" s="1">
        <v>18.3634633679999</v>
      </c>
      <c r="V635" s="1">
        <v>204.509002055</v>
      </c>
      <c r="W635" s="1">
        <v>7.3924731183</v>
      </c>
      <c r="X635" s="1">
        <v>6.6377675427</v>
      </c>
      <c r="Y635" s="1">
        <v>79.726592213</v>
      </c>
      <c r="Z635" s="1">
        <v>10.0</v>
      </c>
      <c r="AA635" s="1">
        <v>3.9989066993</v>
      </c>
      <c r="AB635" s="1">
        <v>54552.0</v>
      </c>
      <c r="AC635" s="1">
        <v>41.477688369</v>
      </c>
      <c r="AD635" s="1">
        <v>82.412472648</v>
      </c>
      <c r="AE635" s="1">
        <v>10.082597551</v>
      </c>
      <c r="AF635" s="1">
        <v>0.2913328478</v>
      </c>
      <c r="AG635" s="1">
        <v>0.2080948913</v>
      </c>
      <c r="AH635" s="1">
        <v>0.3225470815</v>
      </c>
      <c r="AI635" s="1">
        <v>0.0208094891</v>
      </c>
      <c r="AJ635" s="1">
        <v>1.5294974508</v>
      </c>
      <c r="AK635" s="1">
        <v>96.961814587</v>
      </c>
      <c r="AL635" s="1">
        <v>0.6211869107</v>
      </c>
      <c r="AM635" s="1">
        <v>49.973988139</v>
      </c>
      <c r="AN635" s="1">
        <v>69.8597649</v>
      </c>
      <c r="AO635" s="1">
        <v>25811.0</v>
      </c>
      <c r="AP635" s="1">
        <v>8.2</v>
      </c>
      <c r="AQ635" s="1">
        <v>4.0</v>
      </c>
      <c r="AR635" s="1">
        <v>9.9</v>
      </c>
      <c r="AS635" s="1">
        <v>17.9</v>
      </c>
      <c r="AT635" s="1">
        <v>23.1</v>
      </c>
      <c r="AU635" s="1">
        <v>16.3</v>
      </c>
      <c r="AV635" s="1">
        <v>2.6</v>
      </c>
      <c r="AW635" s="1">
        <v>0.0</v>
      </c>
      <c r="AX635" s="1">
        <v>0.0315</v>
      </c>
      <c r="AY635" s="1">
        <v>9.9</v>
      </c>
      <c r="AZ635" s="1">
        <v>11.9</v>
      </c>
      <c r="BA635" s="1">
        <v>16.8</v>
      </c>
      <c r="BB635" s="1">
        <v>2.81</v>
      </c>
      <c r="BC635" s="1" t="s">
        <v>1152</v>
      </c>
      <c r="BD635" s="1">
        <v>10.2</v>
      </c>
      <c r="BE635" s="1">
        <v>39.1</v>
      </c>
      <c r="BF635" s="1">
        <v>34.1</v>
      </c>
      <c r="BG635" s="1">
        <v>16.6</v>
      </c>
      <c r="BH635" s="1" t="s">
        <v>1211</v>
      </c>
    </row>
    <row r="636">
      <c r="A636" s="1">
        <v>17081.0</v>
      </c>
      <c r="B636" s="2" t="str">
        <f>IFERROR(__xludf.DUMMYFUNCTION("TO_TEXT(A636)"),"17081")</f>
        <v>17081</v>
      </c>
      <c r="C636" s="1">
        <v>38523.0</v>
      </c>
      <c r="D636" s="1">
        <v>571.166251943718</v>
      </c>
      <c r="E636" s="1" t="s">
        <v>132</v>
      </c>
      <c r="F636" s="1" t="s">
        <v>1212</v>
      </c>
      <c r="G636" s="1">
        <v>67.4462117971844</v>
      </c>
      <c r="H636" s="1">
        <v>17.088516843</v>
      </c>
      <c r="I636" s="1">
        <v>4.2258731666</v>
      </c>
      <c r="J636" s="1">
        <v>8.9248895434</v>
      </c>
      <c r="K636" s="1">
        <v>17.155619404</v>
      </c>
      <c r="L636" s="1">
        <v>33.3</v>
      </c>
      <c r="M636" s="1">
        <v>7.4</v>
      </c>
      <c r="N636" s="1">
        <v>24.7</v>
      </c>
      <c r="O636" s="1">
        <v>57.624848688</v>
      </c>
      <c r="P636" s="1">
        <v>5.8724370442</v>
      </c>
      <c r="Q636" s="1">
        <v>62.86178</v>
      </c>
      <c r="R636" s="1">
        <v>86.016876574</v>
      </c>
      <c r="S636" s="1">
        <v>25.5</v>
      </c>
      <c r="T636" s="1">
        <v>8319.0</v>
      </c>
      <c r="U636" s="1">
        <v>37.240052891</v>
      </c>
      <c r="V636" s="1">
        <v>602.70827354</v>
      </c>
      <c r="W636" s="1">
        <v>12.376563529</v>
      </c>
      <c r="X636" s="1">
        <v>9.45406125169999</v>
      </c>
      <c r="Y636" s="1">
        <v>76.065377835</v>
      </c>
      <c r="Z636" s="1">
        <v>9.9</v>
      </c>
      <c r="AA636" s="1">
        <v>8.5866680321</v>
      </c>
      <c r="AB636" s="1">
        <v>47425.0</v>
      </c>
      <c r="AC636" s="1">
        <v>60.608166811</v>
      </c>
      <c r="AD636" s="1">
        <v>72.686067135</v>
      </c>
      <c r="AE636" s="1">
        <v>10.664229129</v>
      </c>
      <c r="AF636" s="1">
        <v>8.5642517187</v>
      </c>
      <c r="AG636" s="1">
        <v>0.346377578</v>
      </c>
      <c r="AH636" s="1">
        <v>1.2030671602</v>
      </c>
      <c r="AI636" s="1">
        <v>0.0370174511</v>
      </c>
      <c r="AJ636" s="1">
        <v>2.7974616605</v>
      </c>
      <c r="AK636" s="1">
        <v>85.452141724</v>
      </c>
      <c r="AL636" s="1">
        <v>0.3298208346</v>
      </c>
      <c r="AM636" s="1">
        <v>48.580116341</v>
      </c>
      <c r="AN636" s="1">
        <v>58.7709583539999</v>
      </c>
      <c r="AO636" s="1">
        <v>23054.0</v>
      </c>
      <c r="AP636" s="1">
        <v>17.7</v>
      </c>
      <c r="AQ636" s="1">
        <v>9.4</v>
      </c>
      <c r="AR636" s="1">
        <v>14.1</v>
      </c>
      <c r="AS636" s="1">
        <v>17.8</v>
      </c>
      <c r="AT636" s="1">
        <v>21.9</v>
      </c>
      <c r="AU636" s="1">
        <v>18.4</v>
      </c>
      <c r="AV636" s="1">
        <v>13.9</v>
      </c>
      <c r="AW636" s="1">
        <v>0.3</v>
      </c>
      <c r="AX636" s="1">
        <v>0.8087</v>
      </c>
      <c r="AY636" s="1">
        <v>14.9</v>
      </c>
      <c r="AZ636" s="1">
        <v>13.8</v>
      </c>
      <c r="BA636" s="1">
        <v>21.9</v>
      </c>
      <c r="BB636" s="1">
        <v>2.73</v>
      </c>
      <c r="BC636" s="1" t="s">
        <v>1152</v>
      </c>
      <c r="BD636" s="1">
        <v>12.6</v>
      </c>
      <c r="BE636" s="1">
        <v>30.6</v>
      </c>
      <c r="BF636" s="1">
        <v>38.9</v>
      </c>
      <c r="BG636" s="1">
        <v>17.9</v>
      </c>
      <c r="BH636" s="1" t="s">
        <v>1212</v>
      </c>
    </row>
    <row r="637">
      <c r="A637" s="1">
        <v>17083.0</v>
      </c>
      <c r="B637" s="2" t="str">
        <f>IFERROR(__xludf.DUMMYFUNCTION("TO_TEXT(A637)"),"17083")</f>
        <v>17083</v>
      </c>
      <c r="C637" s="1">
        <v>22441.0</v>
      </c>
      <c r="D637" s="1">
        <v>369.280736251118</v>
      </c>
      <c r="E637" s="1" t="s">
        <v>1213</v>
      </c>
      <c r="F637" s="1" t="s">
        <v>1214</v>
      </c>
      <c r="G637" s="1">
        <v>60.7694845602227</v>
      </c>
      <c r="H637" s="1">
        <v>13.527783487</v>
      </c>
      <c r="I637" s="1">
        <v>3.8308563825</v>
      </c>
      <c r="J637" s="1">
        <v>8.19341840159999</v>
      </c>
      <c r="K637" s="1">
        <v>14.591594214</v>
      </c>
      <c r="L637" s="1">
        <v>33.8</v>
      </c>
      <c r="M637" s="1">
        <v>8.6</v>
      </c>
      <c r="N637" s="1">
        <v>35.4</v>
      </c>
      <c r="O637" s="1">
        <v>74.30498151</v>
      </c>
      <c r="P637" s="1">
        <v>5.0440630798</v>
      </c>
      <c r="Q637" s="1">
        <v>41.0191</v>
      </c>
      <c r="R637" s="1">
        <v>84.5</v>
      </c>
      <c r="S637" s="1">
        <v>13.6</v>
      </c>
      <c r="T637" s="1">
        <v>4562.0</v>
      </c>
      <c r="U637" s="1">
        <v>21.174923279</v>
      </c>
      <c r="V637" s="1">
        <v>132.04717889</v>
      </c>
      <c r="W637" s="1">
        <v>11.187214612</v>
      </c>
      <c r="X637" s="1">
        <v>9.92498557409999</v>
      </c>
      <c r="Y637" s="1">
        <v>76.648492445</v>
      </c>
      <c r="Z637" s="1">
        <v>14.4</v>
      </c>
      <c r="AA637" s="1">
        <v>4.2063694769</v>
      </c>
      <c r="AB637" s="1">
        <v>59117.0</v>
      </c>
      <c r="AC637" s="1">
        <v>43.344974777</v>
      </c>
      <c r="AD637" s="1">
        <v>80.692440854</v>
      </c>
      <c r="AE637" s="1">
        <v>9.533444418</v>
      </c>
      <c r="AF637" s="1">
        <v>0.723211424899999</v>
      </c>
      <c r="AG637" s="1">
        <v>0.366183</v>
      </c>
      <c r="AH637" s="1">
        <v>0.7506751499</v>
      </c>
      <c r="AI637" s="1">
        <v>0.0320410125</v>
      </c>
      <c r="AJ637" s="1">
        <v>1.48304114979999</v>
      </c>
      <c r="AK637" s="1">
        <v>95.619535863</v>
      </c>
      <c r="AL637" s="1">
        <v>0.6274658934</v>
      </c>
      <c r="AM637" s="1">
        <v>51.128301369</v>
      </c>
      <c r="AN637" s="1">
        <v>60.569936915</v>
      </c>
      <c r="AO637" s="1">
        <v>26346.0</v>
      </c>
      <c r="AP637" s="1">
        <v>9.1</v>
      </c>
      <c r="AQ637" s="1">
        <v>7.9</v>
      </c>
      <c r="AR637" s="1">
        <v>8.8</v>
      </c>
      <c r="AS637" s="1">
        <v>17.6</v>
      </c>
      <c r="AT637" s="1">
        <v>21.4</v>
      </c>
      <c r="AU637" s="1">
        <v>13.2</v>
      </c>
      <c r="AV637" s="1">
        <v>3.8</v>
      </c>
      <c r="AW637" s="1">
        <v>0.4</v>
      </c>
      <c r="AX637" s="1">
        <v>0.1503</v>
      </c>
      <c r="AY637" s="1">
        <v>10.4</v>
      </c>
      <c r="AZ637" s="1">
        <v>9.1</v>
      </c>
      <c r="BA637" s="1">
        <v>13.0</v>
      </c>
      <c r="BB637" s="1">
        <v>2.94</v>
      </c>
      <c r="BC637" s="1" t="s">
        <v>1152</v>
      </c>
      <c r="BD637" s="1">
        <v>7.7</v>
      </c>
      <c r="BE637" s="1">
        <v>38.8</v>
      </c>
      <c r="BF637" s="1">
        <v>33.2</v>
      </c>
      <c r="BG637" s="1">
        <v>20.3</v>
      </c>
      <c r="BH637" s="1" t="s">
        <v>1214</v>
      </c>
    </row>
    <row r="638">
      <c r="A638" s="1">
        <v>17085.0</v>
      </c>
      <c r="B638" s="2" t="str">
        <f>IFERROR(__xludf.DUMMYFUNCTION("TO_TEXT(A638)"),"17085")</f>
        <v>17085</v>
      </c>
      <c r="C638" s="1">
        <v>22186.0</v>
      </c>
      <c r="D638" s="1">
        <v>600.9056777984</v>
      </c>
      <c r="E638" s="1" t="s">
        <v>1215</v>
      </c>
      <c r="F638" s="1" t="s">
        <v>1216</v>
      </c>
      <c r="G638" s="1">
        <v>36.9209358801287</v>
      </c>
      <c r="H638" s="1">
        <v>12.835257267</v>
      </c>
      <c r="I638" s="1">
        <v>3.7492812132</v>
      </c>
      <c r="J638" s="1">
        <v>6.7984189723</v>
      </c>
      <c r="K638" s="1">
        <v>13.2120447709999</v>
      </c>
      <c r="L638" s="1">
        <v>28.7</v>
      </c>
      <c r="M638" s="1">
        <v>8.6</v>
      </c>
      <c r="N638" s="1">
        <v>25.8</v>
      </c>
      <c r="O638" s="1">
        <v>73.375077167</v>
      </c>
      <c r="P638" s="1">
        <v>7.1269203799</v>
      </c>
      <c r="Q638" s="1">
        <v>46.30916</v>
      </c>
      <c r="R638" s="1">
        <v>92.889334741</v>
      </c>
      <c r="S638" s="1">
        <v>12.2</v>
      </c>
      <c r="T638" s="1">
        <v>4169.0</v>
      </c>
      <c r="U638" s="1">
        <v>25.545694411</v>
      </c>
      <c r="V638" s="1">
        <v>131.11284906</v>
      </c>
      <c r="W638" s="1">
        <v>11.290322581</v>
      </c>
      <c r="X638" s="1">
        <v>9.9737532808</v>
      </c>
      <c r="Y638" s="1">
        <v>79.998907343</v>
      </c>
      <c r="Z638" s="1">
        <v>10.3</v>
      </c>
      <c r="AA638" s="1">
        <v>6.172585061</v>
      </c>
      <c r="AB638" s="1">
        <v>56832.0</v>
      </c>
      <c r="AC638" s="1">
        <v>34.014423077</v>
      </c>
      <c r="AD638" s="1">
        <v>78.1512605039999</v>
      </c>
      <c r="AE638" s="1">
        <v>9.7117327944</v>
      </c>
      <c r="AF638" s="1">
        <v>0.6458859871</v>
      </c>
      <c r="AG638" s="1">
        <v>0.3276233268</v>
      </c>
      <c r="AH638" s="1">
        <v>0.5756809885</v>
      </c>
      <c r="AI638" s="1">
        <v>0.0561639989</v>
      </c>
      <c r="AJ638" s="1">
        <v>3.1077412712</v>
      </c>
      <c r="AK638" s="1">
        <v>94.472526444</v>
      </c>
      <c r="AL638" s="1">
        <v>0.5929893358</v>
      </c>
      <c r="AM638" s="1">
        <v>49.957877001</v>
      </c>
      <c r="AN638" s="1">
        <v>72.5901755</v>
      </c>
      <c r="AO638" s="1">
        <v>29892.0</v>
      </c>
      <c r="AP638" s="1">
        <v>9.3</v>
      </c>
      <c r="AQ638" s="1">
        <v>4.9</v>
      </c>
      <c r="AR638" s="1">
        <v>8.0</v>
      </c>
      <c r="AS638" s="1">
        <v>24.4</v>
      </c>
      <c r="AT638" s="1">
        <v>19.7</v>
      </c>
      <c r="AU638" s="1">
        <v>12.2</v>
      </c>
      <c r="AV638" s="1">
        <v>5.0</v>
      </c>
      <c r="AW638" s="1">
        <v>0.4</v>
      </c>
      <c r="AX638" s="1">
        <v>0.0385</v>
      </c>
      <c r="AY638" s="1">
        <v>9.3</v>
      </c>
      <c r="AZ638" s="1">
        <v>9.0</v>
      </c>
      <c r="BA638" s="1">
        <v>12.8</v>
      </c>
      <c r="BB638" s="1">
        <v>3.19</v>
      </c>
      <c r="BC638" s="1" t="s">
        <v>1152</v>
      </c>
      <c r="BD638" s="1">
        <v>7.7</v>
      </c>
      <c r="BE638" s="1">
        <v>35.9</v>
      </c>
      <c r="BF638" s="1">
        <v>31.4</v>
      </c>
      <c r="BG638" s="1">
        <v>25.0</v>
      </c>
      <c r="BH638" s="1" t="s">
        <v>1216</v>
      </c>
    </row>
    <row r="639">
      <c r="A639" s="1">
        <v>17087.0</v>
      </c>
      <c r="B639" s="2" t="str">
        <f>IFERROR(__xludf.DUMMYFUNCTION("TO_TEXT(A639)"),"17087")</f>
        <v>17087</v>
      </c>
      <c r="C639" s="1">
        <v>12866.0</v>
      </c>
      <c r="D639" s="1">
        <v>343.916905906426</v>
      </c>
      <c r="E639" s="1" t="s">
        <v>347</v>
      </c>
      <c r="F639" s="1" t="s">
        <v>1217</v>
      </c>
      <c r="G639" s="1">
        <v>37.4101993215205</v>
      </c>
      <c r="H639" s="1">
        <v>16.137607945</v>
      </c>
      <c r="I639" s="1">
        <v>3.9765409514</v>
      </c>
      <c r="J639" s="1">
        <v>6.2416998672</v>
      </c>
      <c r="K639" s="1">
        <v>16.530659705</v>
      </c>
      <c r="L639" s="1">
        <v>24.6</v>
      </c>
      <c r="M639" s="1">
        <v>7.1</v>
      </c>
      <c r="N639" s="1">
        <v>26.1</v>
      </c>
      <c r="O639" s="1">
        <v>69.058973136</v>
      </c>
      <c r="P639" s="1">
        <v>5.87888784169999</v>
      </c>
      <c r="Q639" s="1">
        <v>7.75193999999999</v>
      </c>
      <c r="R639" s="1">
        <v>97.238391225</v>
      </c>
      <c r="S639" s="1">
        <v>16.4</v>
      </c>
      <c r="T639" s="1">
        <v>2280.0</v>
      </c>
      <c r="U639" s="1">
        <v>30.175438596</v>
      </c>
      <c r="V639" s="1">
        <v>262.14009454</v>
      </c>
      <c r="W639" s="1">
        <v>9.65593784679999</v>
      </c>
      <c r="X639" s="1">
        <v>8.1797752809</v>
      </c>
      <c r="Y639" s="1">
        <v>78.179086955</v>
      </c>
      <c r="Z639" s="1">
        <v>8.2</v>
      </c>
      <c r="AA639" s="1">
        <v>14.386328282</v>
      </c>
      <c r="AB639" s="1">
        <v>53884.0</v>
      </c>
      <c r="AC639" s="1">
        <v>47.997805815</v>
      </c>
      <c r="AD639" s="1">
        <v>84.131736527</v>
      </c>
      <c r="AE639" s="1">
        <v>8.4510414173</v>
      </c>
      <c r="AF639" s="1">
        <v>6.8802183687</v>
      </c>
      <c r="AG639" s="1">
        <v>0.3773281952</v>
      </c>
      <c r="AH639" s="1">
        <v>0.2970456005</v>
      </c>
      <c r="AI639" s="1">
        <v>0.0321130379</v>
      </c>
      <c r="AJ639" s="1">
        <v>3.1470777136</v>
      </c>
      <c r="AK639" s="1">
        <v>88.3750802829999</v>
      </c>
      <c r="AL639" s="1">
        <v>0.0333361113</v>
      </c>
      <c r="AM639" s="1">
        <v>45.43192036</v>
      </c>
      <c r="AN639" s="1">
        <v>100.0</v>
      </c>
      <c r="AO639" s="1">
        <v>20928.0</v>
      </c>
      <c r="AP639" s="1">
        <v>12.6</v>
      </c>
      <c r="AQ639" s="1">
        <v>8.9</v>
      </c>
      <c r="AR639" s="1">
        <v>16.6</v>
      </c>
      <c r="AS639" s="1">
        <v>19.0</v>
      </c>
      <c r="AT639" s="1">
        <v>18.0</v>
      </c>
      <c r="AU639" s="1">
        <v>17.3</v>
      </c>
      <c r="AV639" s="1">
        <v>14.0</v>
      </c>
      <c r="AW639" s="1">
        <v>0.1</v>
      </c>
      <c r="AX639" s="1">
        <v>0.4855</v>
      </c>
      <c r="AY639" s="1">
        <v>12.9</v>
      </c>
      <c r="AZ639" s="1">
        <v>11.9</v>
      </c>
      <c r="BA639" s="1">
        <v>18.2</v>
      </c>
      <c r="BB639" s="1">
        <v>2.76</v>
      </c>
      <c r="BC639" s="1" t="s">
        <v>1152</v>
      </c>
      <c r="BD639" s="1">
        <v>17.8</v>
      </c>
      <c r="BE639" s="1">
        <v>31.6</v>
      </c>
      <c r="BF639" s="1">
        <v>34.7</v>
      </c>
      <c r="BG639" s="1">
        <v>16.0</v>
      </c>
      <c r="BH639" s="1" t="s">
        <v>1217</v>
      </c>
    </row>
    <row r="640">
      <c r="A640" s="1">
        <v>17089.0</v>
      </c>
      <c r="B640" s="2" t="str">
        <f>IFERROR(__xludf.DUMMYFUNCTION("TO_TEXT(A640)"),"17089")</f>
        <v>17089</v>
      </c>
      <c r="C640" s="1">
        <v>526615.0</v>
      </c>
      <c r="D640" s="1">
        <v>520.162946086698</v>
      </c>
      <c r="E640" s="1" t="s">
        <v>1218</v>
      </c>
      <c r="F640" s="1" t="s">
        <v>1219</v>
      </c>
      <c r="G640" s="1">
        <v>1012.4039091247</v>
      </c>
      <c r="H640" s="1">
        <v>16.040688669</v>
      </c>
      <c r="I640" s="1">
        <v>3.6730928453</v>
      </c>
      <c r="J640" s="1">
        <v>7.1508427933</v>
      </c>
      <c r="K640" s="1">
        <v>13.14262051</v>
      </c>
      <c r="L640" s="1">
        <v>28.8</v>
      </c>
      <c r="M640" s="1">
        <v>9.3</v>
      </c>
      <c r="N640" s="1">
        <v>14.8</v>
      </c>
      <c r="O640" s="1">
        <v>96.4389474239999</v>
      </c>
      <c r="P640" s="1">
        <v>9.10372450759999</v>
      </c>
      <c r="Q640" s="1">
        <v>40.77304</v>
      </c>
      <c r="R640" s="1">
        <v>88.10308255</v>
      </c>
      <c r="S640" s="1">
        <v>11.9</v>
      </c>
      <c r="T640" s="1">
        <v>138618.0</v>
      </c>
      <c r="U640" s="1">
        <v>26.54489316</v>
      </c>
      <c r="V640" s="1">
        <v>165.71738515</v>
      </c>
      <c r="W640" s="1">
        <v>17.755583698</v>
      </c>
      <c r="X640" s="1">
        <v>13.95639172</v>
      </c>
      <c r="Y640" s="1">
        <v>81.488029907</v>
      </c>
      <c r="Z640" s="1">
        <v>9.5</v>
      </c>
      <c r="AA640" s="1">
        <v>3.8208340533</v>
      </c>
      <c r="AB640" s="1">
        <v>79834.0</v>
      </c>
      <c r="AC640" s="1">
        <v>42.048586629</v>
      </c>
      <c r="AD640" s="1">
        <v>73.47767481</v>
      </c>
      <c r="AE640" s="1">
        <v>13.462605145</v>
      </c>
      <c r="AF640" s="1">
        <v>5.309462839</v>
      </c>
      <c r="AG640" s="1">
        <v>1.0336642856</v>
      </c>
      <c r="AH640" s="1">
        <v>4.3757581203</v>
      </c>
      <c r="AI640" s="1">
        <v>0.0808661665</v>
      </c>
      <c r="AJ640" s="1">
        <v>32.246881411</v>
      </c>
      <c r="AK640" s="1">
        <v>56.758127798</v>
      </c>
      <c r="AL640" s="1">
        <v>6.9902603488</v>
      </c>
      <c r="AM640" s="1">
        <v>50.198047232</v>
      </c>
      <c r="AN640" s="1">
        <v>3.558335549</v>
      </c>
      <c r="AO640" s="1">
        <v>31774.0</v>
      </c>
      <c r="AP640" s="1">
        <v>11.0</v>
      </c>
      <c r="AQ640" s="1">
        <v>6.9</v>
      </c>
      <c r="AR640" s="1">
        <v>16.9</v>
      </c>
      <c r="AS640" s="1">
        <v>11.7</v>
      </c>
      <c r="AT640" s="1">
        <v>27.1</v>
      </c>
      <c r="AU640" s="1">
        <v>8.2</v>
      </c>
      <c r="AV640" s="1">
        <v>42.0</v>
      </c>
      <c r="AW640" s="1">
        <v>7.9</v>
      </c>
      <c r="AX640" s="1">
        <v>0.4394</v>
      </c>
      <c r="AY640" s="1">
        <v>8.2</v>
      </c>
      <c r="AZ640" s="1">
        <v>7.1</v>
      </c>
      <c r="BA640" s="1">
        <v>9.4</v>
      </c>
      <c r="BB640" s="1">
        <v>3.02</v>
      </c>
      <c r="BC640" s="1" t="s">
        <v>1152</v>
      </c>
      <c r="BD640" s="1">
        <v>15.4</v>
      </c>
      <c r="BE640" s="1">
        <v>22.7</v>
      </c>
      <c r="BF640" s="1">
        <v>28.7</v>
      </c>
      <c r="BG640" s="1">
        <v>33.1</v>
      </c>
      <c r="BH640" s="1" t="s">
        <v>1219</v>
      </c>
    </row>
    <row r="641">
      <c r="A641" s="1">
        <v>17091.0</v>
      </c>
      <c r="B641" s="2" t="str">
        <f>IFERROR(__xludf.DUMMYFUNCTION("TO_TEXT(A641)"),"17091")</f>
        <v>17091</v>
      </c>
      <c r="C641" s="1">
        <v>111493.0</v>
      </c>
      <c r="D641" s="1">
        <v>676.570597551345</v>
      </c>
      <c r="E641" s="1" t="s">
        <v>1220</v>
      </c>
      <c r="F641" s="1" t="s">
        <v>1221</v>
      </c>
      <c r="G641" s="1">
        <v>164.791376396664</v>
      </c>
      <c r="H641" s="1">
        <v>16.445733525</v>
      </c>
      <c r="I641" s="1">
        <v>4.0592325456</v>
      </c>
      <c r="J641" s="1">
        <v>9.1608846487</v>
      </c>
      <c r="K641" s="1">
        <v>16.023435143</v>
      </c>
      <c r="L641" s="1">
        <v>41.2</v>
      </c>
      <c r="M641" s="1">
        <v>8.0</v>
      </c>
      <c r="N641" s="1">
        <v>36.5</v>
      </c>
      <c r="O641" s="1">
        <v>79.9522252289999</v>
      </c>
      <c r="P641" s="1">
        <v>6.6581044065</v>
      </c>
      <c r="Q641" s="1">
        <v>40.14415</v>
      </c>
      <c r="R641" s="1">
        <v>93.163778626</v>
      </c>
      <c r="S641" s="1">
        <v>20.2</v>
      </c>
      <c r="T641" s="1">
        <v>25556.0</v>
      </c>
      <c r="U641" s="1">
        <v>37.267177962</v>
      </c>
      <c r="V641" s="1">
        <v>317.84175691</v>
      </c>
      <c r="W641" s="1">
        <v>15.773221344</v>
      </c>
      <c r="X641" s="1">
        <v>14.174369223</v>
      </c>
      <c r="Y641" s="1">
        <v>76.478550602</v>
      </c>
      <c r="Z641" s="1">
        <v>10.8</v>
      </c>
      <c r="AA641" s="1">
        <v>4.5971853953</v>
      </c>
      <c r="AB641" s="1">
        <v>53884.0</v>
      </c>
      <c r="AC641" s="1">
        <v>50.567059753</v>
      </c>
      <c r="AD641" s="1">
        <v>68.212234707</v>
      </c>
      <c r="AE641" s="1">
        <v>14.345140874</v>
      </c>
      <c r="AF641" s="1">
        <v>14.615901985</v>
      </c>
      <c r="AG641" s="1">
        <v>0.4335417727</v>
      </c>
      <c r="AH641" s="1">
        <v>1.0697665964</v>
      </c>
      <c r="AI641" s="1">
        <v>0.0472624155</v>
      </c>
      <c r="AJ641" s="1">
        <v>10.626772341</v>
      </c>
      <c r="AK641" s="1">
        <v>71.857049371</v>
      </c>
      <c r="AL641" s="1">
        <v>1.3471720876</v>
      </c>
      <c r="AM641" s="1">
        <v>50.779829855</v>
      </c>
      <c r="AN641" s="1">
        <v>24.456804379</v>
      </c>
      <c r="AO641" s="1">
        <v>25111.0</v>
      </c>
      <c r="AP641" s="1">
        <v>15.7</v>
      </c>
      <c r="AQ641" s="1">
        <v>8.4</v>
      </c>
      <c r="AR641" s="1">
        <v>12.7</v>
      </c>
      <c r="AS641" s="1">
        <v>15.0</v>
      </c>
      <c r="AT641" s="1">
        <v>24.1</v>
      </c>
      <c r="AU641" s="1">
        <v>16.5</v>
      </c>
      <c r="AV641" s="1">
        <v>27.7</v>
      </c>
      <c r="AW641" s="1">
        <v>1.5</v>
      </c>
      <c r="AX641" s="1">
        <v>0.7307</v>
      </c>
      <c r="AY641" s="1">
        <v>12.7</v>
      </c>
      <c r="AZ641" s="1">
        <v>11.6</v>
      </c>
      <c r="BA641" s="1">
        <v>15.7</v>
      </c>
      <c r="BB641" s="1">
        <v>2.9</v>
      </c>
      <c r="BC641" s="1" t="s">
        <v>1152</v>
      </c>
      <c r="BD641" s="1">
        <v>11.8</v>
      </c>
      <c r="BE641" s="1">
        <v>34.4</v>
      </c>
      <c r="BF641" s="1">
        <v>33.0</v>
      </c>
      <c r="BG641" s="1">
        <v>20.8</v>
      </c>
      <c r="BH641" s="1" t="s">
        <v>1221</v>
      </c>
    </row>
    <row r="642">
      <c r="A642" s="1">
        <v>17093.0</v>
      </c>
      <c r="B642" s="2" t="str">
        <f>IFERROR(__xludf.DUMMYFUNCTION("TO_TEXT(A642)"),"17093")</f>
        <v>17093</v>
      </c>
      <c r="C642" s="1">
        <v>121452.0</v>
      </c>
      <c r="D642" s="1">
        <v>320.284326041574</v>
      </c>
      <c r="E642" s="1" t="s">
        <v>1222</v>
      </c>
      <c r="F642" s="1" t="s">
        <v>1223</v>
      </c>
      <c r="G642" s="1">
        <v>379.200573131497</v>
      </c>
      <c r="H642" s="1">
        <v>13.435042057</v>
      </c>
      <c r="I642" s="1">
        <v>3.475683056</v>
      </c>
      <c r="J642" s="1">
        <v>6.8602993585</v>
      </c>
      <c r="K642" s="1">
        <v>13.875341355</v>
      </c>
      <c r="L642" s="1">
        <v>31.4</v>
      </c>
      <c r="M642" s="1">
        <v>9.4</v>
      </c>
      <c r="N642" s="1">
        <v>22.0</v>
      </c>
      <c r="O642" s="1">
        <v>93.856331056</v>
      </c>
      <c r="P642" s="1">
        <v>5.2563618316</v>
      </c>
      <c r="Q642" s="1">
        <v>37.23716</v>
      </c>
      <c r="R642" s="1">
        <v>95.267103935</v>
      </c>
      <c r="S642" s="1">
        <v>5.4</v>
      </c>
      <c r="T642" s="1">
        <v>36106.0</v>
      </c>
      <c r="U642" s="1">
        <v>20.528444026</v>
      </c>
      <c r="V642" s="1">
        <v>104.20369984</v>
      </c>
      <c r="W642" s="1">
        <v>12.705283259</v>
      </c>
      <c r="X642" s="1">
        <v>10.678247541</v>
      </c>
      <c r="Y642" s="1">
        <v>81.964534143</v>
      </c>
      <c r="Z642" s="1">
        <v>7.6</v>
      </c>
      <c r="AA642" s="1">
        <v>3.0362085535</v>
      </c>
      <c r="AB642" s="1">
        <v>93345.0</v>
      </c>
      <c r="AC642" s="1">
        <v>26.936061381</v>
      </c>
      <c r="AD642" s="1">
        <v>83.042542134</v>
      </c>
      <c r="AE642" s="1">
        <v>11.737873274</v>
      </c>
      <c r="AF642" s="1">
        <v>7.2055661963</v>
      </c>
      <c r="AG642" s="1">
        <v>0.5402024782</v>
      </c>
      <c r="AH642" s="1">
        <v>3.2365242544</v>
      </c>
      <c r="AI642" s="1">
        <v>0.0672321463</v>
      </c>
      <c r="AJ642" s="1">
        <v>19.464488137</v>
      </c>
      <c r="AK642" s="1">
        <v>68.40714537</v>
      </c>
      <c r="AL642" s="1">
        <v>2.9711866603</v>
      </c>
      <c r="AM642" s="1">
        <v>50.428018606</v>
      </c>
      <c r="AN642" s="1">
        <v>10.419571887</v>
      </c>
      <c r="AO642" s="1">
        <v>31920.0</v>
      </c>
      <c r="AP642" s="1">
        <v>5.4</v>
      </c>
      <c r="AQ642" s="1">
        <v>5.3</v>
      </c>
      <c r="AR642" s="1">
        <v>6.8</v>
      </c>
      <c r="AS642" s="1">
        <v>8.8</v>
      </c>
      <c r="AT642" s="1">
        <v>29.8</v>
      </c>
      <c r="AU642" s="1">
        <v>7.2</v>
      </c>
      <c r="AV642" s="1">
        <v>28.0</v>
      </c>
      <c r="AW642" s="1">
        <v>3.1</v>
      </c>
      <c r="AX642" s="1">
        <v>0.1086</v>
      </c>
      <c r="AY642" s="1">
        <v>4.0</v>
      </c>
      <c r="AZ642" s="1">
        <v>4.8</v>
      </c>
      <c r="BA642" s="1">
        <v>6.4</v>
      </c>
      <c r="BB642" s="1">
        <v>2.86</v>
      </c>
      <c r="BC642" s="1" t="s">
        <v>1152</v>
      </c>
      <c r="BD642" s="1">
        <v>7.6</v>
      </c>
      <c r="BE642" s="1">
        <v>22.9</v>
      </c>
      <c r="BF642" s="1">
        <v>33.4</v>
      </c>
      <c r="BG642" s="1">
        <v>36.2</v>
      </c>
      <c r="BH642" s="1" t="s">
        <v>1223</v>
      </c>
    </row>
    <row r="643">
      <c r="A643" s="1">
        <v>17095.0</v>
      </c>
      <c r="B643" s="2" t="str">
        <f>IFERROR(__xludf.DUMMYFUNCTION("TO_TEXT(A643)"),"17095")</f>
        <v>17095</v>
      </c>
      <c r="C643" s="1">
        <v>51752.0</v>
      </c>
      <c r="D643" s="1">
        <v>716.414789195896</v>
      </c>
      <c r="E643" s="1" t="s">
        <v>1224</v>
      </c>
      <c r="F643" s="1" t="s">
        <v>1225</v>
      </c>
      <c r="G643" s="1">
        <v>72.2374813871255</v>
      </c>
      <c r="H643" s="1">
        <v>17.9619988209999</v>
      </c>
      <c r="I643" s="1">
        <v>4.289513608</v>
      </c>
      <c r="J643" s="1">
        <v>7.8461149076</v>
      </c>
      <c r="K643" s="1">
        <v>17.757583803</v>
      </c>
      <c r="L643" s="1">
        <v>29.2</v>
      </c>
      <c r="M643" s="1">
        <v>7.6</v>
      </c>
      <c r="N643" s="1">
        <v>30.1</v>
      </c>
      <c r="O643" s="1">
        <v>76.624652771</v>
      </c>
      <c r="P643" s="1">
        <v>5.780457199</v>
      </c>
      <c r="Q643" s="1">
        <v>57.26924</v>
      </c>
      <c r="R643" s="1">
        <v>86.847717842</v>
      </c>
      <c r="S643" s="1">
        <v>22.7</v>
      </c>
      <c r="T643" s="1">
        <v>9929.0</v>
      </c>
      <c r="U643" s="1">
        <v>38.916305771</v>
      </c>
      <c r="V643" s="1">
        <v>354.78735501</v>
      </c>
      <c r="W643" s="1">
        <v>11.53937101</v>
      </c>
      <c r="X643" s="1">
        <v>10.048309179</v>
      </c>
      <c r="Y643" s="1">
        <v>77.150679834</v>
      </c>
      <c r="Z643" s="1">
        <v>17.5</v>
      </c>
      <c r="AA643" s="1">
        <v>6.777326785</v>
      </c>
      <c r="AB643" s="1">
        <v>44553.0</v>
      </c>
      <c r="AC643" s="1">
        <v>54.495439409</v>
      </c>
      <c r="AD643" s="1">
        <v>65.420067211</v>
      </c>
      <c r="AE643" s="1">
        <v>10.18</v>
      </c>
      <c r="AF643" s="1">
        <v>7.85640166029999</v>
      </c>
      <c r="AG643" s="1">
        <v>0.4210568327</v>
      </c>
      <c r="AH643" s="1">
        <v>1.0576309068</v>
      </c>
      <c r="AI643" s="1">
        <v>0.0359195402</v>
      </c>
      <c r="AJ643" s="1">
        <v>5.8548850575</v>
      </c>
      <c r="AK643" s="1">
        <v>82.706736909</v>
      </c>
      <c r="AL643" s="1">
        <v>0.5015647993</v>
      </c>
      <c r="AM643" s="1">
        <v>49.566969987</v>
      </c>
      <c r="AN643" s="1">
        <v>24.320187456</v>
      </c>
      <c r="AO643" s="1">
        <v>22939.0</v>
      </c>
      <c r="AP643" s="1">
        <v>17.6</v>
      </c>
      <c r="AQ643" s="1">
        <v>6.8</v>
      </c>
      <c r="AR643" s="1">
        <v>12.0</v>
      </c>
      <c r="AS643" s="1">
        <v>19.6</v>
      </c>
      <c r="AT643" s="1">
        <v>19.9</v>
      </c>
      <c r="AU643" s="1">
        <v>16.4</v>
      </c>
      <c r="AV643" s="1">
        <v>16.2</v>
      </c>
      <c r="AW643" s="1">
        <v>0.6</v>
      </c>
      <c r="AX643" s="1">
        <v>0.6336</v>
      </c>
      <c r="AY643" s="1">
        <v>18.6</v>
      </c>
      <c r="AZ643" s="1">
        <v>13.1</v>
      </c>
      <c r="BA643" s="1">
        <v>18.9</v>
      </c>
      <c r="BB643" s="1">
        <v>2.73</v>
      </c>
      <c r="BC643" s="1" t="s">
        <v>1152</v>
      </c>
      <c r="BD643" s="1">
        <v>10.9</v>
      </c>
      <c r="BE643" s="1">
        <v>36.6</v>
      </c>
      <c r="BF643" s="1">
        <v>33.5</v>
      </c>
      <c r="BG643" s="1">
        <v>18.9</v>
      </c>
      <c r="BH643" s="1" t="s">
        <v>1225</v>
      </c>
    </row>
    <row r="644">
      <c r="A644" s="1">
        <v>17097.0</v>
      </c>
      <c r="B644" s="2" t="str">
        <f>IFERROR(__xludf.DUMMYFUNCTION("TO_TEXT(A644)"),"17097")</f>
        <v>17097</v>
      </c>
      <c r="C644" s="1">
        <v>702890.0</v>
      </c>
      <c r="D644" s="1">
        <v>443.876951923</v>
      </c>
      <c r="E644" s="1" t="s">
        <v>450</v>
      </c>
      <c r="F644" s="1" t="s">
        <v>1226</v>
      </c>
      <c r="G644" s="1">
        <v>1583.5244361188</v>
      </c>
      <c r="H644" s="1">
        <v>14.044699195</v>
      </c>
      <c r="I644" s="1">
        <v>3.6245527539</v>
      </c>
      <c r="J644" s="1">
        <v>7.5104983463</v>
      </c>
      <c r="K644" s="1">
        <v>13.759033259</v>
      </c>
      <c r="L644" s="1">
        <v>25.4</v>
      </c>
      <c r="M644" s="1">
        <v>9.0</v>
      </c>
      <c r="N644" s="1">
        <v>19.8</v>
      </c>
      <c r="O644" s="1">
        <v>98.817846593</v>
      </c>
      <c r="P644" s="1">
        <v>7.13481839899999</v>
      </c>
      <c r="Q644" s="1">
        <v>111.29748</v>
      </c>
      <c r="R644" s="1">
        <v>90.943451402</v>
      </c>
      <c r="S644" s="1">
        <v>10.3</v>
      </c>
      <c r="T644" s="1">
        <v>173313.0</v>
      </c>
      <c r="U644" s="1">
        <v>23.557378846</v>
      </c>
      <c r="V644" s="1">
        <v>154.19857244</v>
      </c>
      <c r="W644" s="1">
        <v>16.335422875</v>
      </c>
      <c r="X644" s="1">
        <v>13.830868474</v>
      </c>
      <c r="Y644" s="1">
        <v>81.611164162</v>
      </c>
      <c r="Z644" s="1">
        <v>8.7</v>
      </c>
      <c r="AA644" s="1">
        <v>5.8084881246</v>
      </c>
      <c r="AB644" s="1">
        <v>87336.0</v>
      </c>
      <c r="AC644" s="1">
        <v>33.0998551909999</v>
      </c>
      <c r="AD644" s="1">
        <v>73.352488229</v>
      </c>
      <c r="AE644" s="1">
        <v>13.808834752</v>
      </c>
      <c r="AF644" s="1">
        <v>6.8373019497</v>
      </c>
      <c r="AG644" s="1">
        <v>0.864686544</v>
      </c>
      <c r="AH644" s="1">
        <v>8.2854378795</v>
      </c>
      <c r="AI644" s="1">
        <v>0.098597096</v>
      </c>
      <c r="AJ644" s="1">
        <v>22.172931601</v>
      </c>
      <c r="AK644" s="1">
        <v>60.992791425</v>
      </c>
      <c r="AL644" s="1">
        <v>4.8371463856</v>
      </c>
      <c r="AM644" s="1">
        <v>50.0204043189999</v>
      </c>
      <c r="AN644" s="1">
        <v>1.2673037065</v>
      </c>
      <c r="AO644" s="1">
        <v>40655.0</v>
      </c>
      <c r="AP644" s="1">
        <v>8.9</v>
      </c>
      <c r="AQ644" s="1">
        <v>7.0</v>
      </c>
      <c r="AR644" s="1">
        <v>10.2</v>
      </c>
      <c r="AS644" s="1">
        <v>12.2</v>
      </c>
      <c r="AT644" s="1">
        <v>25.5</v>
      </c>
      <c r="AU644" s="1">
        <v>8.5</v>
      </c>
      <c r="AV644" s="1">
        <v>36.6</v>
      </c>
      <c r="AW644" s="1">
        <v>5.2</v>
      </c>
      <c r="AX644" s="1">
        <v>0.3502</v>
      </c>
      <c r="AY644" s="1">
        <v>7.2</v>
      </c>
      <c r="AZ644" s="1">
        <v>6.9</v>
      </c>
      <c r="BA644" s="1">
        <v>8.3</v>
      </c>
      <c r="BB644" s="1">
        <v>3.29</v>
      </c>
      <c r="BC644" s="1" t="s">
        <v>1152</v>
      </c>
      <c r="BD644" s="1">
        <v>9.4</v>
      </c>
      <c r="BE644" s="1">
        <v>20.8</v>
      </c>
      <c r="BF644" s="1">
        <v>24.6</v>
      </c>
      <c r="BG644" s="1">
        <v>45.3</v>
      </c>
      <c r="BH644" s="1" t="s">
        <v>1226</v>
      </c>
    </row>
    <row r="645">
      <c r="A645" s="1">
        <v>17099.0</v>
      </c>
      <c r="B645" s="2" t="str">
        <f>IFERROR(__xludf.DUMMYFUNCTION("TO_TEXT(A645)"),"17099")</f>
        <v>17099</v>
      </c>
      <c r="C645" s="1">
        <v>111935.0</v>
      </c>
      <c r="D645" s="1">
        <v>1135.1360197522</v>
      </c>
      <c r="E645" s="1" t="s">
        <v>1227</v>
      </c>
      <c r="F645" s="1" t="s">
        <v>1228</v>
      </c>
      <c r="G645" s="1">
        <v>98.6093279151122</v>
      </c>
      <c r="H645" s="1">
        <v>15.1072229079999</v>
      </c>
      <c r="I645" s="1">
        <v>3.9349839197</v>
      </c>
      <c r="J645" s="1">
        <v>7.37704918029999</v>
      </c>
      <c r="K645" s="1">
        <v>16.0650174759999</v>
      </c>
      <c r="L645" s="1">
        <v>28.1</v>
      </c>
      <c r="M645" s="1">
        <v>8.2</v>
      </c>
      <c r="N645" s="1">
        <v>29.9</v>
      </c>
      <c r="O645" s="1">
        <v>81.537691795</v>
      </c>
      <c r="P645" s="1">
        <v>5.921120497</v>
      </c>
      <c r="Q645" s="1">
        <v>36.3415</v>
      </c>
      <c r="R645" s="1">
        <v>85.48473066</v>
      </c>
      <c r="S645" s="1">
        <v>20.2</v>
      </c>
      <c r="T645" s="1">
        <v>23877.0</v>
      </c>
      <c r="U645" s="1">
        <v>34.183523893</v>
      </c>
      <c r="V645" s="1">
        <v>124.61986292</v>
      </c>
      <c r="W645" s="1">
        <v>13.297272932</v>
      </c>
      <c r="X645" s="1">
        <v>12.071722248</v>
      </c>
      <c r="Y645" s="1">
        <v>77.118690637</v>
      </c>
      <c r="Z645" s="1">
        <v>13.3</v>
      </c>
      <c r="AA645" s="1">
        <v>6.1002818979</v>
      </c>
      <c r="AB645" s="1">
        <v>54063.0</v>
      </c>
      <c r="AC645" s="1">
        <v>48.20042343</v>
      </c>
      <c r="AD645" s="1">
        <v>72.457665084</v>
      </c>
      <c r="AE645" s="1">
        <v>11.2427672379999</v>
      </c>
      <c r="AF645" s="1">
        <v>2.6126290779</v>
      </c>
      <c r="AG645" s="1">
        <v>0.3920314356</v>
      </c>
      <c r="AH645" s="1">
        <v>0.9394133236</v>
      </c>
      <c r="AI645" s="1">
        <v>0.0328977428</v>
      </c>
      <c r="AJ645" s="1">
        <v>10.027414786</v>
      </c>
      <c r="AK645" s="1">
        <v>85.049803527</v>
      </c>
      <c r="AL645" s="1">
        <v>1.1057300408</v>
      </c>
      <c r="AM645" s="1">
        <v>49.533034817</v>
      </c>
      <c r="AN645" s="1">
        <v>30.2148800959999</v>
      </c>
      <c r="AO645" s="1">
        <v>26228.0</v>
      </c>
      <c r="AP645" s="1">
        <v>13.9</v>
      </c>
      <c r="AQ645" s="1">
        <v>9.6</v>
      </c>
      <c r="AR645" s="1">
        <v>11.6</v>
      </c>
      <c r="AS645" s="1">
        <v>17.5</v>
      </c>
      <c r="AT645" s="1">
        <v>22.0</v>
      </c>
      <c r="AU645" s="1">
        <v>13.2</v>
      </c>
      <c r="AV645" s="1">
        <v>13.5</v>
      </c>
      <c r="AW645" s="1">
        <v>1.2</v>
      </c>
      <c r="AX645" s="1">
        <v>0.3973</v>
      </c>
      <c r="AY645" s="1">
        <v>12.2</v>
      </c>
      <c r="AZ645" s="1">
        <v>11.0</v>
      </c>
      <c r="BA645" s="1">
        <v>16.5</v>
      </c>
      <c r="BB645" s="1">
        <v>2.84</v>
      </c>
      <c r="BC645" s="1" t="s">
        <v>1152</v>
      </c>
      <c r="BD645" s="1">
        <v>11.4</v>
      </c>
      <c r="BE645" s="1">
        <v>35.6</v>
      </c>
      <c r="BF645" s="1">
        <v>35.1</v>
      </c>
      <c r="BG645" s="1">
        <v>17.8</v>
      </c>
      <c r="BH645" s="1" t="s">
        <v>1228</v>
      </c>
    </row>
    <row r="646">
      <c r="A646" s="1">
        <v>17101.0</v>
      </c>
      <c r="B646" s="2" t="str">
        <f>IFERROR(__xludf.DUMMYFUNCTION("TO_TEXT(A646)"),"17101")</f>
        <v>17101</v>
      </c>
      <c r="C646" s="1">
        <v>16582.0</v>
      </c>
      <c r="D646" s="1">
        <v>372.177951064128</v>
      </c>
      <c r="E646" s="1" t="s">
        <v>138</v>
      </c>
      <c r="F646" s="1" t="s">
        <v>1229</v>
      </c>
      <c r="G646" s="1">
        <v>44.5539558498532</v>
      </c>
      <c r="H646" s="1">
        <v>16.689726126</v>
      </c>
      <c r="I646" s="1">
        <v>4.0016642371</v>
      </c>
      <c r="J646" s="1">
        <v>9.49477351919999</v>
      </c>
      <c r="K646" s="1">
        <v>17.81350613</v>
      </c>
      <c r="L646" s="1">
        <v>22.6</v>
      </c>
      <c r="M646" s="1">
        <v>7.7</v>
      </c>
      <c r="N646" s="1">
        <v>26.0</v>
      </c>
      <c r="O646" s="1">
        <v>41.008732846</v>
      </c>
      <c r="P646" s="1">
        <v>6.7980655169</v>
      </c>
      <c r="Q646" s="1">
        <v>24.74023</v>
      </c>
      <c r="R646" s="1">
        <v>79.020783646</v>
      </c>
      <c r="S646" s="1">
        <v>20.9</v>
      </c>
      <c r="T646" s="1">
        <v>3114.0</v>
      </c>
      <c r="U646" s="1">
        <v>33.6544637119999</v>
      </c>
      <c r="V646" s="1">
        <v>107.31148948</v>
      </c>
      <c r="W646" s="1">
        <v>10.2610261029999</v>
      </c>
      <c r="X646" s="1">
        <v>7.1441523119</v>
      </c>
      <c r="Y646" s="1">
        <v>75.840890841</v>
      </c>
      <c r="Z646" s="1">
        <v>17.2</v>
      </c>
      <c r="AA646" s="1">
        <v>5.2180251197</v>
      </c>
      <c r="AB646" s="1">
        <v>43767.0</v>
      </c>
      <c r="AC646" s="1">
        <v>56.8401658219999</v>
      </c>
      <c r="AD646" s="1">
        <v>71.077473958</v>
      </c>
      <c r="AE646" s="1">
        <v>8.2505991099</v>
      </c>
      <c r="AF646" s="1">
        <v>9.7177291468</v>
      </c>
      <c r="AG646" s="1">
        <v>0.424992071</v>
      </c>
      <c r="AH646" s="1">
        <v>0.4884237234</v>
      </c>
      <c r="AI646" s="1">
        <v>0.0380589914</v>
      </c>
      <c r="AJ646" s="1">
        <v>3.8883602918</v>
      </c>
      <c r="AK646" s="1">
        <v>84.75737393</v>
      </c>
      <c r="AL646" s="1">
        <v>0.6971138185</v>
      </c>
      <c r="AM646" s="1">
        <v>43.9517919439999</v>
      </c>
      <c r="AN646" s="1">
        <v>58.016990435</v>
      </c>
      <c r="AO646" s="1">
        <v>16417.0</v>
      </c>
      <c r="AP646" s="1">
        <v>16.0</v>
      </c>
      <c r="AQ646" s="1">
        <v>5.6</v>
      </c>
      <c r="AR646" s="1">
        <v>21.9</v>
      </c>
      <c r="AS646" s="1">
        <v>16.7</v>
      </c>
      <c r="AT646" s="1">
        <v>19.0</v>
      </c>
      <c r="AU646" s="1">
        <v>21.2</v>
      </c>
      <c r="AV646" s="1">
        <v>22.9</v>
      </c>
      <c r="AW646" s="1">
        <v>1.4</v>
      </c>
      <c r="AX646" s="1">
        <v>0.7985</v>
      </c>
      <c r="AY646" s="1">
        <v>18.4</v>
      </c>
      <c r="AZ646" s="1">
        <v>13.6</v>
      </c>
      <c r="BA646" s="1">
        <v>21.2</v>
      </c>
      <c r="BB646" s="1">
        <v>2.84</v>
      </c>
      <c r="BC646" s="1" t="s">
        <v>1152</v>
      </c>
      <c r="BD646" s="1">
        <v>15.1</v>
      </c>
      <c r="BE646" s="1">
        <v>34.7</v>
      </c>
      <c r="BF646" s="1">
        <v>35.3</v>
      </c>
      <c r="BG646" s="1">
        <v>14.9</v>
      </c>
      <c r="BH646" s="1" t="s">
        <v>1229</v>
      </c>
    </row>
    <row r="647">
      <c r="A647" s="1">
        <v>17103.0</v>
      </c>
      <c r="B647" s="2" t="str">
        <f>IFERROR(__xludf.DUMMYFUNCTION("TO_TEXT(A647)"),"17103")</f>
        <v>17103</v>
      </c>
      <c r="C647" s="1">
        <v>34718.0</v>
      </c>
      <c r="D647" s="1">
        <v>724.856795525806</v>
      </c>
      <c r="E647" s="1" t="s">
        <v>140</v>
      </c>
      <c r="F647" s="1" t="s">
        <v>1230</v>
      </c>
      <c r="G647" s="1">
        <v>47.896357203654</v>
      </c>
      <c r="H647" s="1">
        <v>15.238541428</v>
      </c>
      <c r="I647" s="1">
        <v>3.840482846</v>
      </c>
      <c r="J647" s="1">
        <v>6.5110565111</v>
      </c>
      <c r="K647" s="1">
        <v>16.018595132</v>
      </c>
      <c r="L647" s="1">
        <v>37.1</v>
      </c>
      <c r="M647" s="1">
        <v>8.6</v>
      </c>
      <c r="N647" s="1">
        <v>27.7</v>
      </c>
      <c r="O647" s="1">
        <v>65.968194055</v>
      </c>
      <c r="P647" s="1">
        <v>5.8109657272</v>
      </c>
      <c r="Q647" s="1">
        <v>69.75528</v>
      </c>
      <c r="R647" s="1">
        <v>83.375732899</v>
      </c>
      <c r="S647" s="1">
        <v>14.3</v>
      </c>
      <c r="T647" s="1">
        <v>6731.0</v>
      </c>
      <c r="U647" s="1">
        <v>27.677908186</v>
      </c>
      <c r="V647" s="1">
        <v>141.62216387</v>
      </c>
      <c r="W647" s="1">
        <v>10.403554239</v>
      </c>
      <c r="X647" s="1">
        <v>8.2374906647</v>
      </c>
      <c r="Y647" s="1">
        <v>78.745114363</v>
      </c>
      <c r="Z647" s="1">
        <v>8.4</v>
      </c>
      <c r="AA647" s="1">
        <v>3.3567289306</v>
      </c>
      <c r="AB647" s="1">
        <v>54915.0</v>
      </c>
      <c r="AC647" s="1">
        <v>44.184938036</v>
      </c>
      <c r="AD647" s="1">
        <v>72.815533981</v>
      </c>
      <c r="AE647" s="1">
        <v>8.8599004675</v>
      </c>
      <c r="AF647" s="1">
        <v>5.3618911259</v>
      </c>
      <c r="AG647" s="1">
        <v>0.3652514391</v>
      </c>
      <c r="AH647" s="1">
        <v>0.8444613272</v>
      </c>
      <c r="AI647" s="1">
        <v>0.0496741957</v>
      </c>
      <c r="AJ647" s="1">
        <v>6.35829705169999</v>
      </c>
      <c r="AK647" s="1">
        <v>86.091225199</v>
      </c>
      <c r="AL647" s="1">
        <v>0.7076406893</v>
      </c>
      <c r="AM647" s="1">
        <v>46.8982847789999</v>
      </c>
      <c r="AN647" s="1">
        <v>53.212511448</v>
      </c>
      <c r="AO647" s="1">
        <v>27021.0</v>
      </c>
      <c r="AP647" s="1">
        <v>12.0</v>
      </c>
      <c r="AQ647" s="1">
        <v>6.4</v>
      </c>
      <c r="AR647" s="1">
        <v>11.7</v>
      </c>
      <c r="AS647" s="1">
        <v>17.5</v>
      </c>
      <c r="AT647" s="1">
        <v>20.2</v>
      </c>
      <c r="AU647" s="1">
        <v>13.7</v>
      </c>
      <c r="AV647" s="1">
        <v>13.0</v>
      </c>
      <c r="AW647" s="1">
        <v>0.9</v>
      </c>
      <c r="AX647" s="1">
        <v>0.3448</v>
      </c>
      <c r="AY647" s="1">
        <v>12.0</v>
      </c>
      <c r="AZ647" s="1">
        <v>10.0</v>
      </c>
      <c r="BA647" s="1">
        <v>13.0</v>
      </c>
      <c r="BB647" s="1">
        <v>2.66</v>
      </c>
      <c r="BC647" s="1" t="s">
        <v>1152</v>
      </c>
      <c r="BD647" s="1">
        <v>11.2</v>
      </c>
      <c r="BE647" s="1">
        <v>33.8</v>
      </c>
      <c r="BF647" s="1">
        <v>36.8</v>
      </c>
      <c r="BG647" s="1">
        <v>18.2</v>
      </c>
      <c r="BH647" s="1" t="s">
        <v>1230</v>
      </c>
    </row>
    <row r="648">
      <c r="A648" s="1">
        <v>17105.0</v>
      </c>
      <c r="B648" s="2" t="str">
        <f>IFERROR(__xludf.DUMMYFUNCTION("TO_TEXT(A648)"),"17105")</f>
        <v>17105</v>
      </c>
      <c r="C648" s="1">
        <v>37278.0</v>
      </c>
      <c r="D648" s="1">
        <v>1044.22792701665</v>
      </c>
      <c r="E648" s="1" t="s">
        <v>1231</v>
      </c>
      <c r="F648" s="1" t="s">
        <v>1232</v>
      </c>
      <c r="G648" s="1">
        <v>35.6991026915962</v>
      </c>
      <c r="H648" s="1">
        <v>15.275449708</v>
      </c>
      <c r="I648" s="1">
        <v>3.946925558</v>
      </c>
      <c r="J648" s="1">
        <v>7.5380359613</v>
      </c>
      <c r="K648" s="1">
        <v>15.977553742</v>
      </c>
      <c r="L648" s="1">
        <v>34.3</v>
      </c>
      <c r="M648" s="1">
        <v>8.5</v>
      </c>
      <c r="N648" s="1">
        <v>26.9</v>
      </c>
      <c r="O648" s="1">
        <v>69.98716303</v>
      </c>
      <c r="P648" s="1">
        <v>5.7222685874</v>
      </c>
      <c r="Q648" s="1">
        <v>46.55239</v>
      </c>
      <c r="R648" s="1">
        <v>93.656704782</v>
      </c>
      <c r="S648" s="1">
        <v>16.3</v>
      </c>
      <c r="T648" s="1">
        <v>7540.0</v>
      </c>
      <c r="U648" s="1">
        <v>36.777188329</v>
      </c>
      <c r="V648" s="1">
        <v>183.64480933</v>
      </c>
      <c r="W648" s="1">
        <v>12.151462995</v>
      </c>
      <c r="X648" s="1">
        <v>10.479166667</v>
      </c>
      <c r="Y648" s="1">
        <v>76.90120832</v>
      </c>
      <c r="Z648" s="1">
        <v>10.3</v>
      </c>
      <c r="AA648" s="1">
        <v>2.444225305</v>
      </c>
      <c r="AB648" s="1">
        <v>59323.0</v>
      </c>
      <c r="AC648" s="1">
        <v>44.053167616</v>
      </c>
      <c r="AD648" s="1">
        <v>72.067039106</v>
      </c>
      <c r="AE648" s="1">
        <v>11.652862802</v>
      </c>
      <c r="AF648" s="1">
        <v>4.0239366908</v>
      </c>
      <c r="AG648" s="1">
        <v>0.276837896</v>
      </c>
      <c r="AH648" s="1">
        <v>1.0094796007</v>
      </c>
      <c r="AI648" s="1">
        <v>0.0139817119</v>
      </c>
      <c r="AJ648" s="1">
        <v>4.6279466458</v>
      </c>
      <c r="AK648" s="1">
        <v>88.9152987889999</v>
      </c>
      <c r="AL648" s="1">
        <v>0.2766050371</v>
      </c>
      <c r="AM648" s="1">
        <v>49.84759934</v>
      </c>
      <c r="AN648" s="1">
        <v>40.803594352</v>
      </c>
      <c r="AO648" s="1">
        <v>26777.0</v>
      </c>
      <c r="AP648" s="1">
        <v>12.8</v>
      </c>
      <c r="AQ648" s="1">
        <v>6.1</v>
      </c>
      <c r="AR648" s="1">
        <v>11.7</v>
      </c>
      <c r="AS648" s="1">
        <v>17.3</v>
      </c>
      <c r="AT648" s="1">
        <v>21.8</v>
      </c>
      <c r="AU648" s="1">
        <v>14.6</v>
      </c>
      <c r="AV648" s="1">
        <v>10.7</v>
      </c>
      <c r="AW648" s="1">
        <v>0.5</v>
      </c>
      <c r="AX648" s="1">
        <v>0.397</v>
      </c>
      <c r="AY648" s="1">
        <v>13.0</v>
      </c>
      <c r="AZ648" s="1">
        <v>11.2</v>
      </c>
      <c r="BA648" s="1">
        <v>16.0</v>
      </c>
      <c r="BB648" s="1">
        <v>2.74</v>
      </c>
      <c r="BC648" s="1" t="s">
        <v>1152</v>
      </c>
      <c r="BD648" s="1">
        <v>10.1</v>
      </c>
      <c r="BE648" s="1">
        <v>44.7</v>
      </c>
      <c r="BF648" s="1">
        <v>30.4</v>
      </c>
      <c r="BG648" s="1">
        <v>14.8</v>
      </c>
      <c r="BH648" s="1" t="s">
        <v>1232</v>
      </c>
    </row>
    <row r="649">
      <c r="A649" s="1">
        <v>17107.0</v>
      </c>
      <c r="B649" s="2" t="str">
        <f>IFERROR(__xludf.DUMMYFUNCTION("TO_TEXT(A649)"),"17107")</f>
        <v>17107</v>
      </c>
      <c r="C649" s="1">
        <v>29820.0</v>
      </c>
      <c r="D649" s="1">
        <v>618.05619736372</v>
      </c>
      <c r="E649" s="1" t="s">
        <v>357</v>
      </c>
      <c r="F649" s="1" t="s">
        <v>1233</v>
      </c>
      <c r="G649" s="1">
        <v>48.2480397853712</v>
      </c>
      <c r="H649" s="1">
        <v>14.046134963</v>
      </c>
      <c r="I649" s="1">
        <v>3.8422601799</v>
      </c>
      <c r="J649" s="1">
        <v>8.4480303749</v>
      </c>
      <c r="K649" s="1">
        <v>14.9360693909999</v>
      </c>
      <c r="L649" s="1">
        <v>36.1</v>
      </c>
      <c r="M649" s="1">
        <v>7.9</v>
      </c>
      <c r="N649" s="1">
        <v>24.3</v>
      </c>
      <c r="O649" s="1">
        <v>73.934994225</v>
      </c>
      <c r="P649" s="1">
        <v>5.2516302454</v>
      </c>
      <c r="Q649" s="1">
        <v>27.3551</v>
      </c>
      <c r="R649" s="1">
        <v>82.157476636</v>
      </c>
      <c r="S649" s="1">
        <v>17.0</v>
      </c>
      <c r="T649" s="1">
        <v>5575.0</v>
      </c>
      <c r="U649" s="1">
        <v>24.753363229</v>
      </c>
      <c r="V649" s="1">
        <v>233.22987495</v>
      </c>
      <c r="W649" s="1">
        <v>7.9891057649</v>
      </c>
      <c r="X649" s="1">
        <v>7.0032124828</v>
      </c>
      <c r="Y649" s="1">
        <v>76.9865977039999</v>
      </c>
      <c r="Z649" s="1">
        <v>18.2</v>
      </c>
      <c r="AA649" s="1">
        <v>10.314851593</v>
      </c>
      <c r="AB649" s="1">
        <v>52959.0</v>
      </c>
      <c r="AC649" s="1">
        <v>45.667125172</v>
      </c>
      <c r="AD649" s="1">
        <v>72.746504783</v>
      </c>
      <c r="AE649" s="1">
        <v>7.6141176471</v>
      </c>
      <c r="AF649" s="1">
        <v>8.0069144339</v>
      </c>
      <c r="AG649" s="1">
        <v>0.3699222126</v>
      </c>
      <c r="AH649" s="1">
        <v>0.7675021608</v>
      </c>
      <c r="AI649" s="1">
        <v>0.0207433016</v>
      </c>
      <c r="AJ649" s="1">
        <v>3.5159896283</v>
      </c>
      <c r="AK649" s="1">
        <v>86.167675022</v>
      </c>
      <c r="AL649" s="1">
        <v>0.24600246</v>
      </c>
      <c r="AM649" s="1">
        <v>49.230769231</v>
      </c>
      <c r="AN649" s="1">
        <v>39.864708794</v>
      </c>
      <c r="AO649" s="1">
        <v>23410.0</v>
      </c>
      <c r="AP649" s="1">
        <v>12.5</v>
      </c>
      <c r="AQ649" s="1">
        <v>7.1</v>
      </c>
      <c r="AR649" s="1">
        <v>12.6</v>
      </c>
      <c r="AS649" s="1">
        <v>17.0</v>
      </c>
      <c r="AT649" s="1">
        <v>18.7</v>
      </c>
      <c r="AU649" s="1">
        <v>15.2</v>
      </c>
      <c r="AV649" s="1">
        <v>20.8</v>
      </c>
      <c r="AW649" s="1">
        <v>0.2</v>
      </c>
      <c r="AX649" s="1">
        <v>0.3938</v>
      </c>
      <c r="AY649" s="1">
        <v>12.8</v>
      </c>
      <c r="AZ649" s="1">
        <v>9.8</v>
      </c>
      <c r="BA649" s="1">
        <v>14.0</v>
      </c>
      <c r="BB649" s="1">
        <v>2.57</v>
      </c>
      <c r="BC649" s="1" t="s">
        <v>1152</v>
      </c>
      <c r="BD649" s="1">
        <v>11.3</v>
      </c>
      <c r="BE649" s="1">
        <v>35.3</v>
      </c>
      <c r="BF649" s="1">
        <v>33.5</v>
      </c>
      <c r="BG649" s="1">
        <v>19.9</v>
      </c>
      <c r="BH649" s="1" t="s">
        <v>1233</v>
      </c>
    </row>
    <row r="650">
      <c r="A650" s="1">
        <v>17109.0</v>
      </c>
      <c r="B650" s="2" t="str">
        <f>IFERROR(__xludf.DUMMYFUNCTION("TO_TEXT(A650)"),"17109")</f>
        <v>17109</v>
      </c>
      <c r="C650" s="1">
        <v>31727.0</v>
      </c>
      <c r="D650" s="1">
        <v>589.407130892975</v>
      </c>
      <c r="E650" s="1" t="s">
        <v>1234</v>
      </c>
      <c r="F650" s="1" t="s">
        <v>1235</v>
      </c>
      <c r="G650" s="1">
        <v>53.8286667009478</v>
      </c>
      <c r="H650" s="1">
        <v>17.1754568</v>
      </c>
      <c r="I650" s="1">
        <v>4.3517297879</v>
      </c>
      <c r="J650" s="1">
        <v>6.6598881546</v>
      </c>
      <c r="K650" s="1">
        <v>16.749291714</v>
      </c>
      <c r="L650" s="1">
        <v>34.8</v>
      </c>
      <c r="M650" s="1">
        <v>7.4</v>
      </c>
      <c r="N650" s="1">
        <v>27.1</v>
      </c>
      <c r="O650" s="1">
        <v>72.454924568</v>
      </c>
      <c r="P650" s="1">
        <v>7.1379951899</v>
      </c>
      <c r="Q650" s="1">
        <v>48.66496</v>
      </c>
      <c r="R650" s="1">
        <v>89.252420185</v>
      </c>
      <c r="S650" s="1">
        <v>22.9</v>
      </c>
      <c r="T650" s="1">
        <v>5120.0</v>
      </c>
      <c r="U650" s="1">
        <v>29.921875</v>
      </c>
      <c r="V650" s="1">
        <v>257.36571194</v>
      </c>
      <c r="W650" s="1">
        <v>15.118243243</v>
      </c>
      <c r="X650" s="1">
        <v>13.472654513</v>
      </c>
      <c r="Y650" s="1">
        <v>78.289981541</v>
      </c>
      <c r="Z650" s="1">
        <v>9.4</v>
      </c>
      <c r="AA650" s="1">
        <v>6.73174642559999</v>
      </c>
      <c r="AB650" s="1">
        <v>42887.0</v>
      </c>
      <c r="AC650" s="1">
        <v>49.262971698</v>
      </c>
      <c r="AD650" s="1">
        <v>66.728657457</v>
      </c>
      <c r="AE650" s="1">
        <v>12.020316027</v>
      </c>
      <c r="AF650" s="1">
        <v>5.3380070105</v>
      </c>
      <c r="AG650" s="1">
        <v>0.387247538</v>
      </c>
      <c r="AH650" s="1">
        <v>2.3802370222</v>
      </c>
      <c r="AI650" s="1">
        <v>0.0166917042</v>
      </c>
      <c r="AJ650" s="1">
        <v>2.7941912869</v>
      </c>
      <c r="AK650" s="1">
        <v>87.7416124189999</v>
      </c>
      <c r="AL650" s="1">
        <v>0.5179768434</v>
      </c>
      <c r="AM650" s="1">
        <v>51.013186446</v>
      </c>
      <c r="AN650" s="1">
        <v>29.50447688</v>
      </c>
      <c r="AO650" s="1">
        <v>22387.0</v>
      </c>
      <c r="AP650" s="1">
        <v>23.5</v>
      </c>
      <c r="AQ650" s="1">
        <v>9.3</v>
      </c>
      <c r="AR650" s="1">
        <v>7.2</v>
      </c>
      <c r="AS650" s="1">
        <v>15.1</v>
      </c>
      <c r="AT650" s="1">
        <v>16.6</v>
      </c>
      <c r="AU650" s="1">
        <v>12.3</v>
      </c>
      <c r="AV650" s="1">
        <v>11.7</v>
      </c>
      <c r="AW650" s="1">
        <v>0.4</v>
      </c>
      <c r="AX650" s="1">
        <v>0.5154</v>
      </c>
      <c r="AY650" s="1">
        <v>23.3</v>
      </c>
      <c r="AZ650" s="1">
        <v>12.3</v>
      </c>
      <c r="BA650" s="1">
        <v>15.3</v>
      </c>
      <c r="BB650" s="1">
        <v>2.75</v>
      </c>
      <c r="BC650" s="1" t="s">
        <v>1152</v>
      </c>
      <c r="BD650" s="1">
        <v>6.4</v>
      </c>
      <c r="BE650" s="1">
        <v>31.2</v>
      </c>
      <c r="BF650" s="1">
        <v>30.1</v>
      </c>
      <c r="BG650" s="1">
        <v>32.2</v>
      </c>
      <c r="BH650" s="1" t="s">
        <v>1235</v>
      </c>
    </row>
    <row r="651">
      <c r="A651" s="1">
        <v>17111.0</v>
      </c>
      <c r="B651" s="2" t="str">
        <f>IFERROR(__xludf.DUMMYFUNCTION("TO_TEXT(A651)"),"17111")</f>
        <v>17111</v>
      </c>
      <c r="C651" s="1">
        <v>307083.0</v>
      </c>
      <c r="D651" s="1">
        <v>603.221184774476</v>
      </c>
      <c r="E651" s="1" t="s">
        <v>1236</v>
      </c>
      <c r="F651" s="1" t="s">
        <v>1237</v>
      </c>
      <c r="G651" s="1">
        <v>509.071975174095</v>
      </c>
      <c r="H651" s="1">
        <v>13.410050334</v>
      </c>
      <c r="I651" s="1">
        <v>3.7207096843</v>
      </c>
      <c r="J651" s="1">
        <v>6.6039010766</v>
      </c>
      <c r="K651" s="1">
        <v>13.611800059</v>
      </c>
      <c r="L651" s="1">
        <v>33.0</v>
      </c>
      <c r="M651" s="1">
        <v>8.9</v>
      </c>
      <c r="N651" s="1">
        <v>21.3</v>
      </c>
      <c r="O651" s="1">
        <v>91.6715248089999</v>
      </c>
      <c r="P651" s="1">
        <v>5.9537428688</v>
      </c>
      <c r="Q651" s="1">
        <v>51.11251</v>
      </c>
      <c r="R651" s="1">
        <v>93.090276588</v>
      </c>
      <c r="S651" s="1">
        <v>7.8</v>
      </c>
      <c r="T651" s="1">
        <v>73738.0</v>
      </c>
      <c r="U651" s="1">
        <v>19.737448805</v>
      </c>
      <c r="V651" s="1">
        <v>95.731314112</v>
      </c>
      <c r="W651" s="1">
        <v>13.699936427</v>
      </c>
      <c r="X651" s="1">
        <v>12.1498743429999</v>
      </c>
      <c r="Y651" s="1">
        <v>80.43515265</v>
      </c>
      <c r="Z651" s="1">
        <v>10.1</v>
      </c>
      <c r="AA651" s="1">
        <v>7.0793904534</v>
      </c>
      <c r="AB651" s="1">
        <v>86268.0</v>
      </c>
      <c r="AC651" s="1">
        <v>27.487041375</v>
      </c>
      <c r="AD651" s="1">
        <v>79.267878224</v>
      </c>
      <c r="AE651" s="1">
        <v>11.394406382</v>
      </c>
      <c r="AF651" s="1">
        <v>1.5228311242</v>
      </c>
      <c r="AG651" s="1">
        <v>0.504909745</v>
      </c>
      <c r="AH651" s="1">
        <v>2.9743656221</v>
      </c>
      <c r="AI651" s="1">
        <v>0.0512039408</v>
      </c>
      <c r="AJ651" s="1">
        <v>13.448488187</v>
      </c>
      <c r="AK651" s="1">
        <v>80.620604725</v>
      </c>
      <c r="AL651" s="1">
        <v>2.4660454561</v>
      </c>
      <c r="AM651" s="1">
        <v>50.21745471</v>
      </c>
      <c r="AN651" s="1">
        <v>9.8785464438</v>
      </c>
      <c r="AO651" s="1">
        <v>34589.0</v>
      </c>
      <c r="AP651" s="1">
        <v>7.8</v>
      </c>
      <c r="AQ651" s="1">
        <v>6.5</v>
      </c>
      <c r="AR651" s="1">
        <v>7.4</v>
      </c>
      <c r="AS651" s="1">
        <v>12.2</v>
      </c>
      <c r="AT651" s="1">
        <v>25.0</v>
      </c>
      <c r="AU651" s="1">
        <v>8.6</v>
      </c>
      <c r="AV651" s="1">
        <v>17.7</v>
      </c>
      <c r="AW651" s="1">
        <v>2.4</v>
      </c>
      <c r="AX651" s="1">
        <v>0.0812</v>
      </c>
      <c r="AY651" s="1">
        <v>5.4</v>
      </c>
      <c r="AZ651" s="1">
        <v>6.2</v>
      </c>
      <c r="BA651" s="1">
        <v>8.3</v>
      </c>
      <c r="BB651" s="1">
        <v>3.15</v>
      </c>
      <c r="BC651" s="1" t="s">
        <v>1152</v>
      </c>
      <c r="BD651" s="1">
        <v>6.9</v>
      </c>
      <c r="BE651" s="1">
        <v>26.5</v>
      </c>
      <c r="BF651" s="1">
        <v>32.2</v>
      </c>
      <c r="BG651" s="1">
        <v>34.4</v>
      </c>
      <c r="BH651" s="1" t="s">
        <v>1237</v>
      </c>
    </row>
    <row r="652">
      <c r="A652" s="1">
        <v>17113.0</v>
      </c>
      <c r="B652" s="2" t="str">
        <f>IFERROR(__xludf.DUMMYFUNCTION("TO_TEXT(A652)"),"17113")</f>
        <v>17113</v>
      </c>
      <c r="C652" s="1">
        <v>173254.0</v>
      </c>
      <c r="D652" s="1">
        <v>1183.34902475663</v>
      </c>
      <c r="E652" s="1" t="s">
        <v>1238</v>
      </c>
      <c r="F652" s="1" t="s">
        <v>1239</v>
      </c>
      <c r="G652" s="1">
        <v>146.409889538407</v>
      </c>
      <c r="H652" s="1">
        <v>14.719305294</v>
      </c>
      <c r="I652" s="1">
        <v>3.8027216952</v>
      </c>
      <c r="J652" s="1">
        <v>7.8423149507</v>
      </c>
      <c r="K652" s="1">
        <v>14.973773714</v>
      </c>
      <c r="L652" s="1">
        <v>33.5</v>
      </c>
      <c r="M652" s="1">
        <v>7.7</v>
      </c>
      <c r="N652" s="1">
        <v>23.2</v>
      </c>
      <c r="O652" s="1">
        <v>83.8652607739999</v>
      </c>
      <c r="P652" s="1">
        <v>5.1281505601</v>
      </c>
      <c r="Q652" s="1">
        <v>56.88084</v>
      </c>
      <c r="R652" s="1">
        <v>91.5884115739999</v>
      </c>
      <c r="S652" s="1">
        <v>10.5</v>
      </c>
      <c r="T652" s="1">
        <v>37419.0</v>
      </c>
      <c r="U652" s="1">
        <v>24.281781982</v>
      </c>
      <c r="V652" s="1">
        <v>287.30394327</v>
      </c>
      <c r="W652" s="1">
        <v>13.766962323</v>
      </c>
      <c r="X652" s="1">
        <v>12.465711204</v>
      </c>
      <c r="Y652" s="1">
        <v>80.182875914</v>
      </c>
      <c r="Z652" s="1">
        <v>11.0</v>
      </c>
      <c r="AA652" s="1">
        <v>9.7929884708</v>
      </c>
      <c r="AB652" s="1">
        <v>67087.0</v>
      </c>
      <c r="AC652" s="1">
        <v>35.608748197</v>
      </c>
      <c r="AD652" s="1">
        <v>64.148490757</v>
      </c>
      <c r="AE652" s="1">
        <v>11.870959564</v>
      </c>
      <c r="AF652" s="1">
        <v>7.9153840813</v>
      </c>
      <c r="AG652" s="1">
        <v>0.2945124633</v>
      </c>
      <c r="AH652" s="1">
        <v>5.4152104983</v>
      </c>
      <c r="AI652" s="1">
        <v>0.0526535052</v>
      </c>
      <c r="AJ652" s="1">
        <v>5.0628370403</v>
      </c>
      <c r="AK652" s="1">
        <v>79.287499711</v>
      </c>
      <c r="AL652" s="1">
        <v>0.898692810499999</v>
      </c>
      <c r="AM652" s="1">
        <v>51.415279931</v>
      </c>
      <c r="AN652" s="1">
        <v>16.496827306</v>
      </c>
      <c r="AO652" s="1">
        <v>31752.0</v>
      </c>
      <c r="AP652" s="1">
        <v>14.2</v>
      </c>
      <c r="AQ652" s="1">
        <v>4.7</v>
      </c>
      <c r="AR652" s="1">
        <v>4.4</v>
      </c>
      <c r="AS652" s="1">
        <v>11.4</v>
      </c>
      <c r="AT652" s="1">
        <v>22.0</v>
      </c>
      <c r="AU652" s="1">
        <v>9.2</v>
      </c>
      <c r="AV652" s="1">
        <v>20.0</v>
      </c>
      <c r="AW652" s="1">
        <v>1.0</v>
      </c>
      <c r="AX652" s="1">
        <v>0.1933</v>
      </c>
      <c r="AY652" s="1">
        <v>14.3</v>
      </c>
      <c r="AZ652" s="1">
        <v>9.2</v>
      </c>
      <c r="BA652" s="1">
        <v>10.7</v>
      </c>
      <c r="BB652" s="1">
        <v>3.0</v>
      </c>
      <c r="BC652" s="1" t="s">
        <v>1152</v>
      </c>
      <c r="BD652" s="1">
        <v>4.1</v>
      </c>
      <c r="BE652" s="1">
        <v>24.6</v>
      </c>
      <c r="BF652" s="1">
        <v>26.5</v>
      </c>
      <c r="BG652" s="1">
        <v>44.8</v>
      </c>
      <c r="BH652" s="1" t="s">
        <v>1239</v>
      </c>
    </row>
    <row r="653">
      <c r="A653" s="1">
        <v>17115.0</v>
      </c>
      <c r="B653" s="2" t="str">
        <f>IFERROR(__xludf.DUMMYFUNCTION("TO_TEXT(A653)"),"17115")</f>
        <v>17115</v>
      </c>
      <c r="C653" s="1">
        <v>108404.0</v>
      </c>
      <c r="D653" s="1">
        <v>580.687177069204</v>
      </c>
      <c r="E653" s="1" t="s">
        <v>146</v>
      </c>
      <c r="F653" s="1" t="s">
        <v>1240</v>
      </c>
      <c r="G653" s="1">
        <v>186.682269353919</v>
      </c>
      <c r="H653" s="1">
        <v>16.337623633</v>
      </c>
      <c r="I653" s="1">
        <v>4.2408942144</v>
      </c>
      <c r="J653" s="1">
        <v>9.7391490272</v>
      </c>
      <c r="K653" s="1">
        <v>16.439218044</v>
      </c>
      <c r="L653" s="1">
        <v>31.5</v>
      </c>
      <c r="M653" s="1">
        <v>7.4</v>
      </c>
      <c r="N653" s="1">
        <v>29.6</v>
      </c>
      <c r="O653" s="1">
        <v>85.029069767</v>
      </c>
      <c r="P653" s="1">
        <v>5.53622271429999</v>
      </c>
      <c r="Q653" s="1">
        <v>83.1750199999999</v>
      </c>
      <c r="R653" s="1">
        <v>84.808781484</v>
      </c>
      <c r="S653" s="1">
        <v>27.0</v>
      </c>
      <c r="T653" s="1">
        <v>23610.0</v>
      </c>
      <c r="U653" s="1">
        <v>41.202880136</v>
      </c>
      <c r="V653" s="1">
        <v>389.60553025</v>
      </c>
      <c r="W653" s="1">
        <v>13.096299599</v>
      </c>
      <c r="X653" s="1">
        <v>11.325873177</v>
      </c>
      <c r="Y653" s="1">
        <v>77.544413626</v>
      </c>
      <c r="Z653" s="1">
        <v>14.4</v>
      </c>
      <c r="AA653" s="1">
        <v>7.3736533197</v>
      </c>
      <c r="AB653" s="1">
        <v>50684.0</v>
      </c>
      <c r="AC653" s="1">
        <v>50.450901804</v>
      </c>
      <c r="AD653" s="1">
        <v>69.539591504</v>
      </c>
      <c r="AE653" s="1">
        <v>12.059740381</v>
      </c>
      <c r="AF653" s="1">
        <v>17.277866911</v>
      </c>
      <c r="AG653" s="1">
        <v>0.2654901062</v>
      </c>
      <c r="AH653" s="1">
        <v>1.1889754756</v>
      </c>
      <c r="AI653" s="1">
        <v>0.0506150201999999</v>
      </c>
      <c r="AJ653" s="1">
        <v>2.3483459393</v>
      </c>
      <c r="AK653" s="1">
        <v>76.185155474</v>
      </c>
      <c r="AL653" s="1">
        <v>0.2731119759</v>
      </c>
      <c r="AM653" s="1">
        <v>52.09909084</v>
      </c>
      <c r="AN653" s="1">
        <v>15.261627907</v>
      </c>
      <c r="AO653" s="1">
        <v>27010.0</v>
      </c>
      <c r="AP653" s="1">
        <v>18.7</v>
      </c>
      <c r="AQ653" s="1">
        <v>10.1</v>
      </c>
      <c r="AR653" s="1">
        <v>10.4</v>
      </c>
      <c r="AS653" s="1">
        <v>17.8</v>
      </c>
      <c r="AT653" s="1">
        <v>22.4</v>
      </c>
      <c r="AU653" s="1">
        <v>15.1</v>
      </c>
      <c r="AV653" s="1">
        <v>23.0</v>
      </c>
      <c r="AW653" s="1">
        <v>0.3</v>
      </c>
      <c r="AX653" s="1">
        <v>0.6301</v>
      </c>
      <c r="AY653" s="1">
        <v>16.7</v>
      </c>
      <c r="AZ653" s="1">
        <v>12.6</v>
      </c>
      <c r="BA653" s="1">
        <v>19.1</v>
      </c>
      <c r="BB653" s="1">
        <v>2.77</v>
      </c>
      <c r="BC653" s="1" t="s">
        <v>1152</v>
      </c>
      <c r="BD653" s="1">
        <v>9.6</v>
      </c>
      <c r="BE653" s="1">
        <v>35.4</v>
      </c>
      <c r="BF653" s="1">
        <v>32.9</v>
      </c>
      <c r="BG653" s="1">
        <v>22.1</v>
      </c>
      <c r="BH653" s="1" t="s">
        <v>1240</v>
      </c>
    </row>
    <row r="654">
      <c r="A654" s="1">
        <v>17117.0</v>
      </c>
      <c r="B654" s="2" t="str">
        <f>IFERROR(__xludf.DUMMYFUNCTION("TO_TEXT(A654)"),"17117")</f>
        <v>17117</v>
      </c>
      <c r="C654" s="1">
        <v>46482.0</v>
      </c>
      <c r="D654" s="1">
        <v>862.918537100238</v>
      </c>
      <c r="E654" s="1" t="s">
        <v>1241</v>
      </c>
      <c r="F654" s="1" t="s">
        <v>1242</v>
      </c>
      <c r="G654" s="1">
        <v>53.8660348590942</v>
      </c>
      <c r="H654" s="1">
        <v>14.360907995</v>
      </c>
      <c r="I654" s="1">
        <v>4.1235867912</v>
      </c>
      <c r="J654" s="1">
        <v>9.6015061186</v>
      </c>
      <c r="K654" s="1">
        <v>15.814530973</v>
      </c>
      <c r="L654" s="1">
        <v>28.0</v>
      </c>
      <c r="M654" s="1">
        <v>8.2</v>
      </c>
      <c r="N654" s="1">
        <v>23.4</v>
      </c>
      <c r="O654" s="1">
        <v>61.2980215639999</v>
      </c>
      <c r="P654" s="1">
        <v>5.9535682624</v>
      </c>
      <c r="Q654" s="1">
        <v>24.20455</v>
      </c>
      <c r="R654" s="1">
        <v>87.9404472339999</v>
      </c>
      <c r="S654" s="1">
        <v>19.3</v>
      </c>
      <c r="T654" s="1">
        <v>9666.0</v>
      </c>
      <c r="U654" s="1">
        <v>31.36768053</v>
      </c>
      <c r="V654" s="1">
        <v>170.07381203</v>
      </c>
      <c r="W654" s="1">
        <v>10.557184751</v>
      </c>
      <c r="X654" s="1">
        <v>8.5173160173</v>
      </c>
      <c r="Y654" s="1">
        <v>76.753897855</v>
      </c>
      <c r="Z654" s="1">
        <v>15.2</v>
      </c>
      <c r="AA654" s="1">
        <v>6.1842695307</v>
      </c>
      <c r="AB654" s="1">
        <v>53409.0</v>
      </c>
      <c r="AC654" s="1">
        <v>49.636979671</v>
      </c>
      <c r="AD654" s="1">
        <v>76.289154059</v>
      </c>
      <c r="AE654" s="1">
        <v>9.54139565649999</v>
      </c>
      <c r="AF654" s="1">
        <v>0.9644031514</v>
      </c>
      <c r="AG654" s="1">
        <v>0.3707545296</v>
      </c>
      <c r="AH654" s="1">
        <v>0.386202635</v>
      </c>
      <c r="AI654" s="1">
        <v>0.033103083</v>
      </c>
      <c r="AJ654" s="1">
        <v>1.2755721316</v>
      </c>
      <c r="AK654" s="1">
        <v>95.952596385</v>
      </c>
      <c r="AL654" s="1">
        <v>0.2071489401</v>
      </c>
      <c r="AM654" s="1">
        <v>50.54620087</v>
      </c>
      <c r="AN654" s="1">
        <v>58.513555951</v>
      </c>
      <c r="AO654" s="1">
        <v>26779.0</v>
      </c>
      <c r="AP654" s="1">
        <v>13.0</v>
      </c>
      <c r="AQ654" s="1">
        <v>9.4</v>
      </c>
      <c r="AR654" s="1">
        <v>10.0</v>
      </c>
      <c r="AS654" s="1">
        <v>18.7</v>
      </c>
      <c r="AT654" s="1">
        <v>21.7</v>
      </c>
      <c r="AU654" s="1">
        <v>15.8</v>
      </c>
      <c r="AV654" s="1">
        <v>3.6</v>
      </c>
      <c r="AW654" s="1">
        <v>0.3</v>
      </c>
      <c r="AX654" s="1">
        <v>0.2658</v>
      </c>
      <c r="AY654" s="1">
        <v>13.5</v>
      </c>
      <c r="AZ654" s="1">
        <v>10.9</v>
      </c>
      <c r="BA654" s="1">
        <v>17.1</v>
      </c>
      <c r="BB654" s="1">
        <v>3.16</v>
      </c>
      <c r="BC654" s="1" t="s">
        <v>1152</v>
      </c>
      <c r="BD654" s="1">
        <v>8.7</v>
      </c>
      <c r="BE654" s="1">
        <v>39.8</v>
      </c>
      <c r="BF654" s="1">
        <v>33.1</v>
      </c>
      <c r="BG654" s="1">
        <v>18.4</v>
      </c>
      <c r="BH654" s="1" t="s">
        <v>1242</v>
      </c>
    </row>
    <row r="655">
      <c r="A655" s="1">
        <v>17119.0</v>
      </c>
      <c r="B655" s="2" t="str">
        <f>IFERROR(__xludf.DUMMYFUNCTION("TO_TEXT(A655)"),"17119")</f>
        <v>17119</v>
      </c>
      <c r="C655" s="1">
        <v>266759.0</v>
      </c>
      <c r="D655" s="1">
        <v>715.733518008426</v>
      </c>
      <c r="E655" s="1" t="s">
        <v>148</v>
      </c>
      <c r="F655" s="1" t="s">
        <v>1243</v>
      </c>
      <c r="G655" s="1">
        <v>372.707150480075</v>
      </c>
      <c r="H655" s="1">
        <v>15.327855388</v>
      </c>
      <c r="I655" s="1">
        <v>3.9721839776</v>
      </c>
      <c r="J655" s="1">
        <v>8.5049112202</v>
      </c>
      <c r="K655" s="1">
        <v>16.476964233</v>
      </c>
      <c r="L655" s="1">
        <v>36.9</v>
      </c>
      <c r="M655" s="1">
        <v>7.5</v>
      </c>
      <c r="N655" s="1">
        <v>23.9</v>
      </c>
      <c r="O655" s="1">
        <v>81.337779725</v>
      </c>
      <c r="P655" s="1">
        <v>4.9205690007</v>
      </c>
      <c r="Q655" s="1">
        <v>45.58675</v>
      </c>
      <c r="R655" s="1">
        <v>86.985338718</v>
      </c>
      <c r="S655" s="1">
        <v>17.3</v>
      </c>
      <c r="T655" s="1">
        <v>57791.0</v>
      </c>
      <c r="U655" s="1">
        <v>32.614074856</v>
      </c>
      <c r="V655" s="1">
        <v>248.72637528</v>
      </c>
      <c r="W655" s="1">
        <v>12.096435079</v>
      </c>
      <c r="X655" s="1">
        <v>10.5849450129999</v>
      </c>
      <c r="Y655" s="1">
        <v>76.74025434</v>
      </c>
      <c r="Z655" s="1">
        <v>10.8</v>
      </c>
      <c r="AA655" s="1">
        <v>12.066069755</v>
      </c>
      <c r="AB655" s="1">
        <v>60121.0</v>
      </c>
      <c r="AC655" s="1">
        <v>44.65838178</v>
      </c>
      <c r="AD655" s="1">
        <v>70.761453455</v>
      </c>
      <c r="AE655" s="1">
        <v>11.88916202</v>
      </c>
      <c r="AF655" s="1">
        <v>8.6670624402</v>
      </c>
      <c r="AG655" s="1">
        <v>0.3346429152</v>
      </c>
      <c r="AH655" s="1">
        <v>1.0319101871</v>
      </c>
      <c r="AI655" s="1">
        <v>0.0635254348</v>
      </c>
      <c r="AJ655" s="1">
        <v>3.3812168902</v>
      </c>
      <c r="AK655" s="1">
        <v>84.762214466</v>
      </c>
      <c r="AL655" s="1">
        <v>0.3769677878</v>
      </c>
      <c r="AM655" s="1">
        <v>51.309266773</v>
      </c>
      <c r="AN655" s="1">
        <v>13.340661463</v>
      </c>
      <c r="AO655" s="1">
        <v>29100.0</v>
      </c>
      <c r="AP655" s="1">
        <v>13.2</v>
      </c>
      <c r="AQ655" s="1">
        <v>8.2</v>
      </c>
      <c r="AR655" s="1">
        <v>7.4</v>
      </c>
      <c r="AS655" s="1">
        <v>15.6</v>
      </c>
      <c r="AT655" s="1">
        <v>22.2</v>
      </c>
      <c r="AU655" s="1">
        <v>12.5</v>
      </c>
      <c r="AV655" s="1">
        <v>14.2</v>
      </c>
      <c r="AW655" s="1">
        <v>0.3</v>
      </c>
      <c r="AX655" s="1">
        <v>0.2165</v>
      </c>
      <c r="AY655" s="1">
        <v>10.9</v>
      </c>
      <c r="AZ655" s="1">
        <v>10.7</v>
      </c>
      <c r="BA655" s="1">
        <v>14.9</v>
      </c>
      <c r="BB655" s="1">
        <v>2.9</v>
      </c>
      <c r="BC655" s="1" t="s">
        <v>1152</v>
      </c>
      <c r="BD655" s="1">
        <v>7.5</v>
      </c>
      <c r="BE655" s="1">
        <v>29.8</v>
      </c>
      <c r="BF655" s="1">
        <v>35.8</v>
      </c>
      <c r="BG655" s="1">
        <v>26.8</v>
      </c>
      <c r="BH655" s="1" t="s">
        <v>1243</v>
      </c>
    </row>
    <row r="656">
      <c r="A656" s="1">
        <v>17121.0</v>
      </c>
      <c r="B656" s="2" t="str">
        <f>IFERROR(__xludf.DUMMYFUNCTION("TO_TEXT(A656)"),"17121")</f>
        <v>17121</v>
      </c>
      <c r="C656" s="1">
        <v>38503.0</v>
      </c>
      <c r="D656" s="1">
        <v>572.37395815021</v>
      </c>
      <c r="E656" s="1" t="s">
        <v>152</v>
      </c>
      <c r="F656" s="1" t="s">
        <v>1244</v>
      </c>
      <c r="G656" s="1">
        <v>67.2689584348552</v>
      </c>
      <c r="H656" s="1">
        <v>16.715550642</v>
      </c>
      <c r="I656" s="1">
        <v>4.2113966595</v>
      </c>
      <c r="J656" s="1">
        <v>8.7867326157</v>
      </c>
      <c r="K656" s="1">
        <v>17.3831129559999</v>
      </c>
      <c r="L656" s="1">
        <v>29.6</v>
      </c>
      <c r="M656" s="1">
        <v>7.2</v>
      </c>
      <c r="N656" s="1">
        <v>32.3</v>
      </c>
      <c r="O656" s="1">
        <v>64.728554403</v>
      </c>
      <c r="P656" s="1">
        <v>6.173415024</v>
      </c>
      <c r="Q656" s="1">
        <v>36.93736</v>
      </c>
      <c r="R656" s="1">
        <v>82.080718796</v>
      </c>
      <c r="S656" s="1">
        <v>30.2</v>
      </c>
      <c r="T656" s="1">
        <v>8477.0</v>
      </c>
      <c r="U656" s="1">
        <v>41.701073493</v>
      </c>
      <c r="V656" s="1">
        <v>347.06626924</v>
      </c>
      <c r="W656" s="1">
        <v>12.941919192</v>
      </c>
      <c r="X656" s="1">
        <v>9.51320394529999</v>
      </c>
      <c r="Y656" s="1">
        <v>74.303582856</v>
      </c>
      <c r="Z656" s="1">
        <v>17.3</v>
      </c>
      <c r="AA656" s="1">
        <v>12.4916792659999</v>
      </c>
      <c r="AB656" s="1">
        <v>46096.0</v>
      </c>
      <c r="AC656" s="1">
        <v>65.811833771</v>
      </c>
      <c r="AD656" s="1">
        <v>73.3739709669999</v>
      </c>
      <c r="AE656" s="1">
        <v>9.9469235306</v>
      </c>
      <c r="AF656" s="1">
        <v>4.1759702286</v>
      </c>
      <c r="AG656" s="1">
        <v>0.356193514099999</v>
      </c>
      <c r="AH656" s="1">
        <v>0.6804891015</v>
      </c>
      <c r="AI656" s="1">
        <v>0.0265816055</v>
      </c>
      <c r="AJ656" s="1">
        <v>2.110579479</v>
      </c>
      <c r="AK656" s="1">
        <v>90.890483785</v>
      </c>
      <c r="AL656" s="1">
        <v>0.4203446826</v>
      </c>
      <c r="AM656" s="1">
        <v>51.108452951</v>
      </c>
      <c r="AN656" s="1">
        <v>45.056672668</v>
      </c>
      <c r="AO656" s="1">
        <v>23366.0</v>
      </c>
      <c r="AP656" s="1">
        <v>18.3</v>
      </c>
      <c r="AQ656" s="1">
        <v>9.1</v>
      </c>
      <c r="AR656" s="1">
        <v>11.5</v>
      </c>
      <c r="AS656" s="1">
        <v>18.4</v>
      </c>
      <c r="AT656" s="1">
        <v>22.9</v>
      </c>
      <c r="AU656" s="1">
        <v>17.8</v>
      </c>
      <c r="AV656" s="1">
        <v>8.3</v>
      </c>
      <c r="AW656" s="1">
        <v>0.5</v>
      </c>
      <c r="AX656" s="1">
        <v>0.7227</v>
      </c>
      <c r="AY656" s="1">
        <v>15.0</v>
      </c>
      <c r="AZ656" s="1">
        <v>13.2</v>
      </c>
      <c r="BA656" s="1">
        <v>20.9</v>
      </c>
      <c r="BB656" s="1">
        <v>2.92</v>
      </c>
      <c r="BC656" s="1" t="s">
        <v>1152</v>
      </c>
      <c r="BD656" s="1">
        <v>11.0</v>
      </c>
      <c r="BE656" s="1">
        <v>35.2</v>
      </c>
      <c r="BF656" s="1">
        <v>38.6</v>
      </c>
      <c r="BG656" s="1">
        <v>15.2</v>
      </c>
      <c r="BH656" s="1" t="s">
        <v>1244</v>
      </c>
    </row>
    <row r="657">
      <c r="A657" s="1">
        <v>17123.0</v>
      </c>
      <c r="B657" s="2" t="str">
        <f>IFERROR(__xludf.DUMMYFUNCTION("TO_TEXT(A657)"),"17123")</f>
        <v>17123</v>
      </c>
      <c r="C657" s="1">
        <v>12060.0</v>
      </c>
      <c r="D657" s="1">
        <v>386.79230018274</v>
      </c>
      <c r="E657" s="1" t="s">
        <v>154</v>
      </c>
      <c r="F657" s="1" t="s">
        <v>1245</v>
      </c>
      <c r="G657" s="1">
        <v>31.1795245001057</v>
      </c>
      <c r="H657" s="1">
        <v>13.4948863609999</v>
      </c>
      <c r="I657" s="1">
        <v>3.8608589529</v>
      </c>
      <c r="J657" s="1">
        <v>8.111239861</v>
      </c>
      <c r="K657" s="1">
        <v>14.477472573</v>
      </c>
      <c r="L657" s="1">
        <v>26.5</v>
      </c>
      <c r="M657" s="1">
        <v>8.4</v>
      </c>
      <c r="N657" s="1">
        <v>26.5</v>
      </c>
      <c r="O657" s="1">
        <v>58.3939873419999</v>
      </c>
      <c r="P657" s="1">
        <v>5.8862876254</v>
      </c>
      <c r="Q657" s="1">
        <v>8.52515</v>
      </c>
      <c r="R657" s="1">
        <v>86.506382979</v>
      </c>
      <c r="S657" s="1">
        <v>13.6</v>
      </c>
      <c r="T657" s="1">
        <v>2318.0</v>
      </c>
      <c r="U657" s="1">
        <v>21.1389128559999</v>
      </c>
      <c r="V657" s="1">
        <v>161.11707841</v>
      </c>
      <c r="W657" s="1">
        <v>9.4853683148</v>
      </c>
      <c r="X657" s="1">
        <v>8.30456852789999</v>
      </c>
      <c r="Y657" s="1">
        <v>76.964554764</v>
      </c>
      <c r="Z657" s="1">
        <v>13.5</v>
      </c>
      <c r="AA657" s="1">
        <v>6.09407270399999</v>
      </c>
      <c r="AB657" s="1">
        <v>57422.0</v>
      </c>
      <c r="AC657" s="1">
        <v>46.575342466</v>
      </c>
      <c r="AD657" s="1">
        <v>82.096873084</v>
      </c>
      <c r="AE657" s="1">
        <v>8.386009271</v>
      </c>
      <c r="AF657" s="1">
        <v>0.728281602199999</v>
      </c>
      <c r="AG657" s="1">
        <v>0.3988208774</v>
      </c>
      <c r="AH657" s="1">
        <v>0.4855210681</v>
      </c>
      <c r="AI657" s="1">
        <v>0.0173400381</v>
      </c>
      <c r="AJ657" s="1">
        <v>2.9738165424</v>
      </c>
      <c r="AK657" s="1">
        <v>94.563898041</v>
      </c>
      <c r="AL657" s="1">
        <v>0.2064076102</v>
      </c>
      <c r="AM657" s="1">
        <v>50.364140801</v>
      </c>
      <c r="AN657" s="1">
        <v>100.0</v>
      </c>
      <c r="AO657" s="1">
        <v>28279.0</v>
      </c>
      <c r="AP657" s="1">
        <v>9.9</v>
      </c>
      <c r="AQ657" s="1">
        <v>5.9</v>
      </c>
      <c r="AR657" s="1">
        <v>8.2</v>
      </c>
      <c r="AS657" s="1">
        <v>22.1</v>
      </c>
      <c r="AT657" s="1">
        <v>20.3</v>
      </c>
      <c r="AU657" s="1">
        <v>13.0</v>
      </c>
      <c r="AV657" s="1">
        <v>5.0</v>
      </c>
      <c r="AW657" s="1">
        <v>0.3</v>
      </c>
      <c r="AX657" s="1">
        <v>0.0455</v>
      </c>
      <c r="AY657" s="1">
        <v>9.0</v>
      </c>
      <c r="AZ657" s="1">
        <v>9.6</v>
      </c>
      <c r="BA657" s="1">
        <v>15.7</v>
      </c>
      <c r="BB657" s="1">
        <v>2.92</v>
      </c>
      <c r="BC657" s="1" t="s">
        <v>1152</v>
      </c>
      <c r="BD657" s="1">
        <v>7.1</v>
      </c>
      <c r="BE657" s="1">
        <v>39.4</v>
      </c>
      <c r="BF657" s="1">
        <v>34.6</v>
      </c>
      <c r="BG657" s="1">
        <v>18.9</v>
      </c>
      <c r="BH657" s="1" t="s">
        <v>1245</v>
      </c>
    </row>
    <row r="658">
      <c r="A658" s="1">
        <v>17125.0</v>
      </c>
      <c r="B658" s="2" t="str">
        <f>IFERROR(__xludf.DUMMYFUNCTION("TO_TEXT(A658)"),"17125")</f>
        <v>17125</v>
      </c>
      <c r="C658" s="1">
        <v>13931.0</v>
      </c>
      <c r="D658" s="1">
        <v>539.237426203792</v>
      </c>
      <c r="E658" s="1" t="s">
        <v>1246</v>
      </c>
      <c r="F658" s="1" t="s">
        <v>1247</v>
      </c>
      <c r="G658" s="1">
        <v>25.8346311346999</v>
      </c>
      <c r="H658" s="1">
        <v>14.906069905</v>
      </c>
      <c r="I658" s="1">
        <v>4.0902277747</v>
      </c>
      <c r="J658" s="1">
        <v>8.0906148867</v>
      </c>
      <c r="K658" s="1">
        <v>16.240359929</v>
      </c>
      <c r="L658" s="1">
        <v>29.8</v>
      </c>
      <c r="M658" s="1">
        <v>7.4</v>
      </c>
      <c r="N658" s="1">
        <v>27.4</v>
      </c>
      <c r="O658" s="1">
        <v>54.670666848</v>
      </c>
      <c r="P658" s="1">
        <v>6.2529472791</v>
      </c>
      <c r="Q658" s="1">
        <v>21.87386</v>
      </c>
      <c r="R658" s="1">
        <v>87.041523342</v>
      </c>
      <c r="S658" s="1">
        <v>23.4</v>
      </c>
      <c r="T658" s="1">
        <v>2808.0</v>
      </c>
      <c r="U658" s="1">
        <v>39.672364672</v>
      </c>
      <c r="V658" s="1">
        <v>363.5996364</v>
      </c>
      <c r="W658" s="1">
        <v>11.585866886</v>
      </c>
      <c r="X658" s="1">
        <v>10.17369727</v>
      </c>
      <c r="Y658" s="1">
        <v>76.962754015</v>
      </c>
      <c r="Z658" s="1">
        <v>12.8</v>
      </c>
      <c r="AA658" s="1">
        <v>12.183960632</v>
      </c>
      <c r="AB658" s="1">
        <v>48764.0</v>
      </c>
      <c r="AC658" s="1">
        <v>50.619923044</v>
      </c>
      <c r="AD658" s="1">
        <v>77.99900448</v>
      </c>
      <c r="AE658" s="1">
        <v>9.4789166952</v>
      </c>
      <c r="AF658" s="1">
        <v>0.6855879101</v>
      </c>
      <c r="AG658" s="1">
        <v>0.3980833026</v>
      </c>
      <c r="AH658" s="1">
        <v>0.4423147807</v>
      </c>
      <c r="AI658" s="1">
        <v>0.007371913</v>
      </c>
      <c r="AJ658" s="1">
        <v>1.0984150387</v>
      </c>
      <c r="AK658" s="1">
        <v>96.3730187979999</v>
      </c>
      <c r="AL658" s="1">
        <v>0.0076341705</v>
      </c>
      <c r="AM658" s="1">
        <v>50.689273867</v>
      </c>
      <c r="AN658" s="1">
        <v>77.485340243</v>
      </c>
      <c r="AO658" s="1">
        <v>25166.0</v>
      </c>
      <c r="AP658" s="1">
        <v>15.5</v>
      </c>
      <c r="AQ658" s="1">
        <v>10.1</v>
      </c>
      <c r="AR658" s="1">
        <v>12.7</v>
      </c>
      <c r="AS658" s="1">
        <v>20.5</v>
      </c>
      <c r="AT658" s="1">
        <v>21.2</v>
      </c>
      <c r="AU658" s="1">
        <v>15.8</v>
      </c>
      <c r="AV658" s="1">
        <v>3.3</v>
      </c>
      <c r="AW658" s="1">
        <v>0.1</v>
      </c>
      <c r="AX658" s="1">
        <v>0.3066</v>
      </c>
      <c r="AY658" s="1">
        <v>12.1</v>
      </c>
      <c r="AZ658" s="1">
        <v>12.8</v>
      </c>
      <c r="BA658" s="1">
        <v>19.8</v>
      </c>
      <c r="BB658" s="1">
        <v>2.85</v>
      </c>
      <c r="BC658" s="1" t="s">
        <v>1152</v>
      </c>
      <c r="BD658" s="1">
        <v>10.8</v>
      </c>
      <c r="BE658" s="1">
        <v>42.8</v>
      </c>
      <c r="BF658" s="1">
        <v>30.4</v>
      </c>
      <c r="BG658" s="1">
        <v>16.0</v>
      </c>
      <c r="BH658" s="1" t="s">
        <v>1247</v>
      </c>
    </row>
    <row r="659">
      <c r="A659" s="1">
        <v>17127.0</v>
      </c>
      <c r="B659" s="2" t="str">
        <f>IFERROR(__xludf.DUMMYFUNCTION("TO_TEXT(A659)"),"17127")</f>
        <v>17127</v>
      </c>
      <c r="C659" s="1">
        <v>14883.0</v>
      </c>
      <c r="D659" s="1">
        <v>237.217517433804</v>
      </c>
      <c r="E659" s="1" t="s">
        <v>1248</v>
      </c>
      <c r="F659" s="1" t="s">
        <v>1249</v>
      </c>
      <c r="G659" s="1">
        <v>62.7398859957849</v>
      </c>
      <c r="H659" s="1">
        <v>16.496836009</v>
      </c>
      <c r="I659" s="1">
        <v>4.2177694444</v>
      </c>
      <c r="J659" s="1">
        <v>7.8733031674</v>
      </c>
      <c r="K659" s="1">
        <v>16.249928423</v>
      </c>
      <c r="L659" s="1">
        <v>33.4</v>
      </c>
      <c r="M659" s="1">
        <v>7.8</v>
      </c>
      <c r="N659" s="1">
        <v>30.9</v>
      </c>
      <c r="O659" s="1">
        <v>77.166375008</v>
      </c>
      <c r="P659" s="1">
        <v>6.1435254656</v>
      </c>
      <c r="Q659" s="1">
        <v>20.91467</v>
      </c>
      <c r="R659" s="1">
        <v>86.321171171</v>
      </c>
      <c r="S659" s="1">
        <v>26.1</v>
      </c>
      <c r="T659" s="1">
        <v>3197.0</v>
      </c>
      <c r="U659" s="1">
        <v>33.59399437</v>
      </c>
      <c r="V659" s="1">
        <v>318.13720513</v>
      </c>
      <c r="W659" s="1">
        <v>13.8655462179999</v>
      </c>
      <c r="X659" s="1">
        <v>12.46179966</v>
      </c>
      <c r="Y659" s="1">
        <v>74.51086571</v>
      </c>
      <c r="Z659" s="1">
        <v>26.0</v>
      </c>
      <c r="AA659" s="1">
        <v>4.373540833</v>
      </c>
      <c r="AB659" s="1">
        <v>43783.0</v>
      </c>
      <c r="AC659" s="1">
        <v>59.703445268</v>
      </c>
      <c r="AD659" s="1">
        <v>75.3119281319999</v>
      </c>
      <c r="AE659" s="1">
        <v>10.970537262</v>
      </c>
      <c r="AF659" s="1">
        <v>5.703125</v>
      </c>
      <c r="AG659" s="1">
        <v>0.5184659091</v>
      </c>
      <c r="AH659" s="1">
        <v>0.625</v>
      </c>
      <c r="AI659" s="1">
        <v>0.0142045455</v>
      </c>
      <c r="AJ659" s="1">
        <v>2.96875</v>
      </c>
      <c r="AK659" s="1">
        <v>88.011363636</v>
      </c>
      <c r="AL659" s="1">
        <v>0.1609599064</v>
      </c>
      <c r="AM659" s="1">
        <v>52.109375</v>
      </c>
      <c r="AN659" s="1">
        <v>50.508782163</v>
      </c>
      <c r="AO659" s="1">
        <v>23673.0</v>
      </c>
      <c r="AP659" s="1">
        <v>18.8</v>
      </c>
      <c r="AQ659" s="1">
        <v>7.8</v>
      </c>
      <c r="AR659" s="1">
        <v>15.0</v>
      </c>
      <c r="AS659" s="1">
        <v>20.5</v>
      </c>
      <c r="AT659" s="1">
        <v>22.0</v>
      </c>
      <c r="AU659" s="1">
        <v>20.1</v>
      </c>
      <c r="AV659" s="1">
        <v>11.1</v>
      </c>
      <c r="AW659" s="1">
        <v>0.3</v>
      </c>
      <c r="AX659" s="1">
        <v>0.7189</v>
      </c>
      <c r="AY659" s="1">
        <v>15.9</v>
      </c>
      <c r="AZ659" s="1">
        <v>14.8</v>
      </c>
      <c r="BA659" s="1">
        <v>22.1</v>
      </c>
      <c r="BB659" s="1">
        <v>2.73</v>
      </c>
      <c r="BC659" s="1" t="s">
        <v>1152</v>
      </c>
      <c r="BD659" s="1">
        <v>13.2</v>
      </c>
      <c r="BE659" s="1">
        <v>33.6</v>
      </c>
      <c r="BF659" s="1">
        <v>39.3</v>
      </c>
      <c r="BG659" s="1">
        <v>13.9</v>
      </c>
      <c r="BH659" s="1" t="s">
        <v>1249</v>
      </c>
    </row>
    <row r="660">
      <c r="A660" s="1">
        <v>17129.0</v>
      </c>
      <c r="B660" s="2" t="str">
        <f>IFERROR(__xludf.DUMMYFUNCTION("TO_TEXT(A660)"),"17129")</f>
        <v>17129</v>
      </c>
      <c r="C660" s="1">
        <v>12576.0</v>
      </c>
      <c r="D660" s="1">
        <v>314.437301601114</v>
      </c>
      <c r="E660" s="1" t="s">
        <v>1250</v>
      </c>
      <c r="F660" s="1" t="s">
        <v>1251</v>
      </c>
      <c r="G660" s="1">
        <v>39.9952548122091</v>
      </c>
      <c r="H660" s="1">
        <v>13.0710173779999</v>
      </c>
      <c r="I660" s="1">
        <v>3.8680147271</v>
      </c>
      <c r="J660" s="1">
        <v>7.8823529412</v>
      </c>
      <c r="K660" s="1">
        <v>14.616425182</v>
      </c>
      <c r="L660" s="1">
        <v>30.1</v>
      </c>
      <c r="M660" s="1">
        <v>8.9</v>
      </c>
      <c r="N660" s="1">
        <v>22.3</v>
      </c>
      <c r="O660" s="1">
        <v>42.109405746</v>
      </c>
      <c r="P660" s="1">
        <v>5.4073175662</v>
      </c>
      <c r="Q660" s="1">
        <v>40.83299</v>
      </c>
      <c r="R660" s="1">
        <v>86.882966226</v>
      </c>
      <c r="S660" s="1">
        <v>14.5</v>
      </c>
      <c r="T660" s="1">
        <v>2671.0</v>
      </c>
      <c r="U660" s="1">
        <v>33.433171097</v>
      </c>
      <c r="V660" s="1">
        <v>83.7668635919999</v>
      </c>
      <c r="W660" s="1">
        <v>11.781609195</v>
      </c>
      <c r="X660" s="1">
        <v>9.83446932809999</v>
      </c>
      <c r="Y660" s="1">
        <v>78.8636812869999</v>
      </c>
      <c r="Z660" s="1">
        <v>9.8</v>
      </c>
      <c r="AA660" s="1">
        <v>0.4497434962</v>
      </c>
      <c r="AB660" s="1">
        <v>74872.0</v>
      </c>
      <c r="AC660" s="1">
        <v>37.804218496</v>
      </c>
      <c r="AD660" s="1">
        <v>77.183532128</v>
      </c>
      <c r="AE660" s="1">
        <v>7.6984603079</v>
      </c>
      <c r="AF660" s="1">
        <v>0.8626302083</v>
      </c>
      <c r="AG660" s="1">
        <v>0.3336588542</v>
      </c>
      <c r="AH660" s="1">
        <v>0.3824869792</v>
      </c>
      <c r="AI660" s="1">
        <v>0.0244140625</v>
      </c>
      <c r="AJ660" s="1">
        <v>1.5625</v>
      </c>
      <c r="AK660" s="1">
        <v>95.540364583</v>
      </c>
      <c r="AL660" s="1">
        <v>0.0</v>
      </c>
      <c r="AM660" s="1">
        <v>51.261393229</v>
      </c>
      <c r="AN660" s="1">
        <v>75.694608422</v>
      </c>
      <c r="AO660" s="1">
        <v>31323.0</v>
      </c>
      <c r="AP660" s="1">
        <v>12.7</v>
      </c>
      <c r="AQ660" s="1">
        <v>5.7</v>
      </c>
      <c r="AR660" s="1">
        <v>8.1</v>
      </c>
      <c r="AS660" s="1">
        <v>18.1</v>
      </c>
      <c r="AT660" s="1">
        <v>22.7</v>
      </c>
      <c r="AU660" s="1">
        <v>13.1</v>
      </c>
      <c r="AV660" s="1">
        <v>4.0</v>
      </c>
      <c r="AW660" s="1">
        <v>0.0</v>
      </c>
      <c r="AX660" s="1">
        <v>0.1019</v>
      </c>
      <c r="AY660" s="1">
        <v>8.2</v>
      </c>
      <c r="AZ660" s="1">
        <v>9.0</v>
      </c>
      <c r="BA660" s="1">
        <v>14.5</v>
      </c>
      <c r="BB660" s="1">
        <v>2.9</v>
      </c>
      <c r="BC660" s="1" t="s">
        <v>1152</v>
      </c>
      <c r="BD660" s="1">
        <v>5.9</v>
      </c>
      <c r="BE660" s="1">
        <v>35.8</v>
      </c>
      <c r="BF660" s="1">
        <v>34.3</v>
      </c>
      <c r="BG660" s="1">
        <v>24.0</v>
      </c>
      <c r="BH660" s="1" t="s">
        <v>1251</v>
      </c>
    </row>
    <row r="661">
      <c r="A661" s="1">
        <v>17131.0</v>
      </c>
      <c r="B661" s="2" t="str">
        <f>IFERROR(__xludf.DUMMYFUNCTION("TO_TEXT(A661)"),"17131")</f>
        <v>17131</v>
      </c>
      <c r="C661" s="1">
        <v>15971.0</v>
      </c>
      <c r="D661" s="1">
        <v>561.199404104862</v>
      </c>
      <c r="E661" s="1" t="s">
        <v>1252</v>
      </c>
      <c r="F661" s="1" t="s">
        <v>1253</v>
      </c>
      <c r="G661" s="1">
        <v>28.4586902323506</v>
      </c>
      <c r="H661" s="1">
        <v>13.724373552</v>
      </c>
      <c r="I661" s="1">
        <v>3.832550437</v>
      </c>
      <c r="J661" s="1">
        <v>7.51953125</v>
      </c>
      <c r="K661" s="1">
        <v>15.154565366</v>
      </c>
      <c r="L661" s="1">
        <v>32.6</v>
      </c>
      <c r="M661" s="1">
        <v>8.2</v>
      </c>
      <c r="N661" s="1">
        <v>24.2</v>
      </c>
      <c r="O661" s="1">
        <v>54.442010466</v>
      </c>
      <c r="P661" s="1">
        <v>5.3441361814</v>
      </c>
      <c r="Q661" s="1">
        <v>19.20861</v>
      </c>
      <c r="R661" s="1">
        <v>87.4</v>
      </c>
      <c r="S661" s="1">
        <v>12.6</v>
      </c>
      <c r="T661" s="1">
        <v>3371.0</v>
      </c>
      <c r="U661" s="1">
        <v>26.93562741</v>
      </c>
      <c r="V661" s="1">
        <v>95.712098009</v>
      </c>
      <c r="W661" s="1">
        <v>8.7585681645</v>
      </c>
      <c r="X661" s="1">
        <v>6.8619892059</v>
      </c>
      <c r="Y661" s="1">
        <v>77.855239669</v>
      </c>
      <c r="Z661" s="1">
        <v>12.2</v>
      </c>
      <c r="AA661" s="1">
        <v>7.0613422546</v>
      </c>
      <c r="AB661" s="1">
        <v>58384.0</v>
      </c>
      <c r="AC661" s="1">
        <v>37.990654206</v>
      </c>
      <c r="AD661" s="1">
        <v>77.85326087</v>
      </c>
      <c r="AE661" s="1">
        <v>8.4447240132</v>
      </c>
      <c r="AF661" s="1">
        <v>0.7499519262</v>
      </c>
      <c r="AG661" s="1">
        <v>0.2499839754</v>
      </c>
      <c r="AH661" s="1">
        <v>0.4743285687</v>
      </c>
      <c r="AI661" s="1">
        <v>0.0384590731</v>
      </c>
      <c r="AJ661" s="1">
        <v>2.5062495994</v>
      </c>
      <c r="AK661" s="1">
        <v>95.038779565</v>
      </c>
      <c r="AL661" s="1">
        <v>0.0804882957</v>
      </c>
      <c r="AM661" s="1">
        <v>50.054483687</v>
      </c>
      <c r="AN661" s="1">
        <v>77.75952294</v>
      </c>
      <c r="AO661" s="1">
        <v>27566.0</v>
      </c>
      <c r="AP661" s="1">
        <v>10.3</v>
      </c>
      <c r="AQ661" s="1">
        <v>6.1</v>
      </c>
      <c r="AR661" s="1">
        <v>8.1</v>
      </c>
      <c r="AS661" s="1">
        <v>20.3</v>
      </c>
      <c r="AT661" s="1">
        <v>21.9</v>
      </c>
      <c r="AU661" s="1">
        <v>12.5</v>
      </c>
      <c r="AV661" s="1">
        <v>4.0</v>
      </c>
      <c r="AW661" s="1">
        <v>0.1</v>
      </c>
      <c r="AX661" s="1">
        <v>0.0646</v>
      </c>
      <c r="AY661" s="1">
        <v>8.1</v>
      </c>
      <c r="AZ661" s="1">
        <v>9.8</v>
      </c>
      <c r="BA661" s="1">
        <v>15.6</v>
      </c>
      <c r="BB661" s="1">
        <v>2.86</v>
      </c>
      <c r="BC661" s="1" t="s">
        <v>1152</v>
      </c>
      <c r="BD661" s="1">
        <v>8.1</v>
      </c>
      <c r="BE661" s="1">
        <v>39.6</v>
      </c>
      <c r="BF661" s="1">
        <v>35.0</v>
      </c>
      <c r="BG661" s="1">
        <v>17.4</v>
      </c>
      <c r="BH661" s="1" t="s">
        <v>1253</v>
      </c>
    </row>
    <row r="662">
      <c r="A662" s="1">
        <v>17133.0</v>
      </c>
      <c r="B662" s="2" t="str">
        <f>IFERROR(__xludf.DUMMYFUNCTION("TO_TEXT(A662)"),"17133")</f>
        <v>17133</v>
      </c>
      <c r="C662" s="1">
        <v>33703.0</v>
      </c>
      <c r="D662" s="1">
        <v>385.016641409166</v>
      </c>
      <c r="E662" s="1" t="s">
        <v>158</v>
      </c>
      <c r="F662" s="1" t="s">
        <v>1254</v>
      </c>
      <c r="G662" s="1">
        <v>87.5364760251572</v>
      </c>
      <c r="H662" s="1">
        <v>11.5151696859999</v>
      </c>
      <c r="I662" s="1">
        <v>3.5826112893</v>
      </c>
      <c r="J662" s="1">
        <v>7.5268817204</v>
      </c>
      <c r="K662" s="1">
        <v>12.96732071</v>
      </c>
      <c r="L662" s="1">
        <v>36.3</v>
      </c>
      <c r="M662" s="1">
        <v>9.0</v>
      </c>
      <c r="N662" s="1">
        <v>20.7</v>
      </c>
      <c r="O662" s="1">
        <v>78.013775526</v>
      </c>
      <c r="P662" s="1">
        <v>3.6590524535</v>
      </c>
      <c r="Q662" s="1">
        <v>35.19371</v>
      </c>
      <c r="R662" s="1">
        <v>92.859009547</v>
      </c>
      <c r="S662" s="1">
        <v>4.3</v>
      </c>
      <c r="T662" s="1">
        <v>7657.0</v>
      </c>
      <c r="U662" s="1">
        <v>14.3659396629999</v>
      </c>
      <c r="V662" s="1">
        <v>31.124483111</v>
      </c>
      <c r="W662" s="1">
        <v>9.63161934</v>
      </c>
      <c r="X662" s="1">
        <v>8.5098190219</v>
      </c>
      <c r="Y662" s="1">
        <v>82.256754425</v>
      </c>
      <c r="Z662" s="1">
        <v>8.9</v>
      </c>
      <c r="AA662" s="1">
        <v>5.1660079326</v>
      </c>
      <c r="AB662" s="1">
        <v>88481.0</v>
      </c>
      <c r="AC662" s="1">
        <v>17.362722351</v>
      </c>
      <c r="AD662" s="1">
        <v>84.47823807</v>
      </c>
      <c r="AE662" s="1">
        <v>9.1757741348</v>
      </c>
      <c r="AF662" s="1">
        <v>0.3669724771</v>
      </c>
      <c r="AG662" s="1">
        <v>0.2359108781</v>
      </c>
      <c r="AH662" s="1">
        <v>0.6611329547</v>
      </c>
      <c r="AI662" s="1">
        <v>0.0262123198</v>
      </c>
      <c r="AJ662" s="1">
        <v>1.5407019077</v>
      </c>
      <c r="AK662" s="1">
        <v>96.3215377889999</v>
      </c>
      <c r="AL662" s="1">
        <v>0.4824452191</v>
      </c>
      <c r="AM662" s="1">
        <v>50.318916557</v>
      </c>
      <c r="AN662" s="1">
        <v>41.359953879</v>
      </c>
      <c r="AO662" s="1">
        <v>35699.0</v>
      </c>
      <c r="AP662" s="1">
        <v>4.4</v>
      </c>
      <c r="AQ662" s="1">
        <v>4.6</v>
      </c>
      <c r="AR662" s="1">
        <v>4.6</v>
      </c>
      <c r="AS662" s="1">
        <v>16.0</v>
      </c>
      <c r="AT662" s="1">
        <v>23.0</v>
      </c>
      <c r="AU662" s="1">
        <v>10.1</v>
      </c>
      <c r="AV662" s="1">
        <v>3.3</v>
      </c>
      <c r="AW662" s="1">
        <v>0.1</v>
      </c>
      <c r="AX662" s="1">
        <v>3.0E-4</v>
      </c>
      <c r="AY662" s="1">
        <v>4.2</v>
      </c>
      <c r="AZ662" s="1">
        <v>5.9</v>
      </c>
      <c r="BA662" s="1">
        <v>7.8</v>
      </c>
      <c r="BB662" s="1">
        <v>3.29</v>
      </c>
      <c r="BC662" s="1" t="s">
        <v>1152</v>
      </c>
      <c r="BD662" s="1">
        <v>4.0</v>
      </c>
      <c r="BE662" s="1">
        <v>27.6</v>
      </c>
      <c r="BF662" s="1">
        <v>33.3</v>
      </c>
      <c r="BG662" s="1">
        <v>35.0</v>
      </c>
      <c r="BH662" s="1" t="s">
        <v>1254</v>
      </c>
    </row>
    <row r="663">
      <c r="A663" s="1">
        <v>17135.0</v>
      </c>
      <c r="B663" s="2" t="str">
        <f>IFERROR(__xludf.DUMMYFUNCTION("TO_TEXT(A663)"),"17135")</f>
        <v>17135</v>
      </c>
      <c r="C663" s="1">
        <v>29301.0</v>
      </c>
      <c r="D663" s="1">
        <v>703.686189658526</v>
      </c>
      <c r="E663" s="1" t="s">
        <v>160</v>
      </c>
      <c r="F663" s="1" t="s">
        <v>1255</v>
      </c>
      <c r="G663" s="1">
        <v>41.639299492603</v>
      </c>
      <c r="H663" s="1">
        <v>15.439206509</v>
      </c>
      <c r="I663" s="1">
        <v>4.0171236771</v>
      </c>
      <c r="J663" s="1">
        <v>8.4205518554</v>
      </c>
      <c r="K663" s="1">
        <v>16.110020389</v>
      </c>
      <c r="L663" s="1">
        <v>31.0</v>
      </c>
      <c r="M663" s="1">
        <v>7.8</v>
      </c>
      <c r="N663" s="1">
        <v>27.3</v>
      </c>
      <c r="O663" s="1">
        <v>44.8511825669999</v>
      </c>
      <c r="P663" s="1">
        <v>5.9814418273</v>
      </c>
      <c r="Q663" s="1">
        <v>62.52171</v>
      </c>
      <c r="R663" s="1">
        <v>86.096663954</v>
      </c>
      <c r="S663" s="1">
        <v>20.1</v>
      </c>
      <c r="T663" s="1">
        <v>5680.0</v>
      </c>
      <c r="U663" s="1">
        <v>39.102112676</v>
      </c>
      <c r="V663" s="1">
        <v>132.05324958</v>
      </c>
      <c r="W663" s="1">
        <v>9.7474523704</v>
      </c>
      <c r="X663" s="1">
        <v>7.9730941704</v>
      </c>
      <c r="Y663" s="1">
        <v>77.256963561</v>
      </c>
      <c r="Z663" s="1">
        <v>12.4</v>
      </c>
      <c r="AA663" s="1">
        <v>7.5729944403</v>
      </c>
      <c r="AB663" s="1">
        <v>53138.0</v>
      </c>
      <c r="AC663" s="1">
        <v>51.0693302</v>
      </c>
      <c r="AD663" s="1">
        <v>77.096745745</v>
      </c>
      <c r="AE663" s="1">
        <v>8.4513647875</v>
      </c>
      <c r="AF663" s="1">
        <v>3.5033740079</v>
      </c>
      <c r="AG663" s="1">
        <v>0.2202720185</v>
      </c>
      <c r="AH663" s="1">
        <v>0.5034788993</v>
      </c>
      <c r="AI663" s="1">
        <v>0.0384601937</v>
      </c>
      <c r="AJ663" s="1">
        <v>1.751687004</v>
      </c>
      <c r="AK663" s="1">
        <v>93.168071046</v>
      </c>
      <c r="AL663" s="1">
        <v>0.2611723738</v>
      </c>
      <c r="AM663" s="1">
        <v>47.6137198</v>
      </c>
      <c r="AN663" s="1">
        <v>41.622375764</v>
      </c>
      <c r="AO663" s="1">
        <v>21072.0</v>
      </c>
      <c r="AP663" s="1">
        <v>15.4</v>
      </c>
      <c r="AQ663" s="1">
        <v>5.7</v>
      </c>
      <c r="AR663" s="1">
        <v>14.0</v>
      </c>
      <c r="AS663" s="1">
        <v>18.5</v>
      </c>
      <c r="AT663" s="1">
        <v>20.1</v>
      </c>
      <c r="AU663" s="1">
        <v>14.5</v>
      </c>
      <c r="AV663" s="1">
        <v>11.2</v>
      </c>
      <c r="AW663" s="1">
        <v>0.1</v>
      </c>
      <c r="AX663" s="1">
        <v>0.439</v>
      </c>
      <c r="AY663" s="1">
        <v>16.0</v>
      </c>
      <c r="AZ663" s="1">
        <v>12.1</v>
      </c>
      <c r="BA663" s="1">
        <v>20.2</v>
      </c>
      <c r="BB663" s="1">
        <v>2.64</v>
      </c>
      <c r="BC663" s="1" t="s">
        <v>1152</v>
      </c>
      <c r="BD663" s="1">
        <v>12.3</v>
      </c>
      <c r="BE663" s="1">
        <v>39.3</v>
      </c>
      <c r="BF663" s="1">
        <v>31.7</v>
      </c>
      <c r="BG663" s="1">
        <v>16.7</v>
      </c>
      <c r="BH663" s="1" t="s">
        <v>1255</v>
      </c>
    </row>
    <row r="664">
      <c r="A664" s="1">
        <v>17137.0</v>
      </c>
      <c r="B664" s="2" t="str">
        <f>IFERROR(__xludf.DUMMYFUNCTION("TO_TEXT(A664)"),"17137")</f>
        <v>17137</v>
      </c>
      <c r="C664" s="1">
        <v>34801.0</v>
      </c>
      <c r="D664" s="1">
        <v>568.80348376623</v>
      </c>
      <c r="E664" s="1" t="s">
        <v>162</v>
      </c>
      <c r="F664" s="1" t="s">
        <v>1256</v>
      </c>
      <c r="G664" s="1">
        <v>61.1828179559862</v>
      </c>
      <c r="H664" s="1">
        <v>15.911182542</v>
      </c>
      <c r="I664" s="1">
        <v>4.1267116943</v>
      </c>
      <c r="J664" s="1">
        <v>9.7314130012</v>
      </c>
      <c r="K664" s="1">
        <v>16.13652531</v>
      </c>
      <c r="L664" s="1">
        <v>32.1</v>
      </c>
      <c r="M664" s="1">
        <v>7.3</v>
      </c>
      <c r="N664" s="1">
        <v>25.9</v>
      </c>
      <c r="O664" s="1">
        <v>62.688834501</v>
      </c>
      <c r="P664" s="1">
        <v>5.221817016</v>
      </c>
      <c r="Q664" s="1">
        <v>41.42257</v>
      </c>
      <c r="R664" s="1">
        <v>77.6871641789999</v>
      </c>
      <c r="S664" s="1">
        <v>23.1</v>
      </c>
      <c r="T664" s="1">
        <v>6413.0</v>
      </c>
      <c r="U664" s="1">
        <v>36.847029471</v>
      </c>
      <c r="V664" s="1">
        <v>169.02598775</v>
      </c>
      <c r="W664" s="1">
        <v>11.453425154</v>
      </c>
      <c r="X664" s="1">
        <v>10.022042616</v>
      </c>
      <c r="Y664" s="1">
        <v>77.632389015</v>
      </c>
      <c r="Z664" s="1">
        <v>14.6</v>
      </c>
      <c r="AA664" s="1">
        <v>13.1892970509999</v>
      </c>
      <c r="AB664" s="1">
        <v>48976.0</v>
      </c>
      <c r="AC664" s="1">
        <v>51.101591187</v>
      </c>
      <c r="AD664" s="1">
        <v>67.837564916</v>
      </c>
      <c r="AE664" s="1">
        <v>11.2932195779999</v>
      </c>
      <c r="AF664" s="1">
        <v>6.872498234</v>
      </c>
      <c r="AG664" s="1">
        <v>0.4267718389</v>
      </c>
      <c r="AH664" s="1">
        <v>0.765246056</v>
      </c>
      <c r="AI664" s="1">
        <v>0.0559218272</v>
      </c>
      <c r="AJ664" s="1">
        <v>2.481163174</v>
      </c>
      <c r="AK664" s="1">
        <v>87.923828585</v>
      </c>
      <c r="AL664" s="1">
        <v>0.4226516799</v>
      </c>
      <c r="AM664" s="1">
        <v>49.237697198</v>
      </c>
      <c r="AN664" s="1">
        <v>36.228092385</v>
      </c>
      <c r="AO664" s="1">
        <v>25201.0</v>
      </c>
      <c r="AP664" s="1">
        <v>15.0</v>
      </c>
      <c r="AQ664" s="1">
        <v>7.2</v>
      </c>
      <c r="AR664" s="1">
        <v>9.2</v>
      </c>
      <c r="AS664" s="1">
        <v>18.5</v>
      </c>
      <c r="AT664" s="1">
        <v>19.8</v>
      </c>
      <c r="AU664" s="1">
        <v>14.5</v>
      </c>
      <c r="AV664" s="1">
        <v>10.8</v>
      </c>
      <c r="AW664" s="1">
        <v>0.5</v>
      </c>
      <c r="AX664" s="1">
        <v>0.4623</v>
      </c>
      <c r="AY664" s="1">
        <v>13.8</v>
      </c>
      <c r="AZ664" s="1">
        <v>11.8</v>
      </c>
      <c r="BA664" s="1">
        <v>17.7</v>
      </c>
      <c r="BB664" s="1">
        <v>2.62</v>
      </c>
      <c r="BC664" s="1" t="s">
        <v>1152</v>
      </c>
      <c r="BD664" s="1">
        <v>9.1</v>
      </c>
      <c r="BE664" s="1">
        <v>40.2</v>
      </c>
      <c r="BF664" s="1">
        <v>31.4</v>
      </c>
      <c r="BG664" s="1">
        <v>19.3</v>
      </c>
      <c r="BH664" s="1" t="s">
        <v>1256</v>
      </c>
    </row>
    <row r="665">
      <c r="A665" s="1">
        <v>17139.0</v>
      </c>
      <c r="B665" s="2" t="str">
        <f>IFERROR(__xludf.DUMMYFUNCTION("TO_TEXT(A665)"),"17139")</f>
        <v>17139</v>
      </c>
      <c r="C665" s="1">
        <v>14915.0</v>
      </c>
      <c r="D665" s="1">
        <v>335.943069487126</v>
      </c>
      <c r="E665" s="1" t="s">
        <v>1257</v>
      </c>
      <c r="F665" s="1" t="s">
        <v>1258</v>
      </c>
      <c r="G665" s="1">
        <v>44.3974034730655</v>
      </c>
      <c r="H665" s="1">
        <v>14.60219678</v>
      </c>
      <c r="I665" s="1">
        <v>4.0344378774</v>
      </c>
      <c r="J665" s="1">
        <v>7.04879938029999</v>
      </c>
      <c r="K665" s="1">
        <v>15.696260362</v>
      </c>
      <c r="L665" s="1">
        <v>24.8</v>
      </c>
      <c r="M665" s="1">
        <v>8.8</v>
      </c>
      <c r="N665" s="1">
        <v>24.2</v>
      </c>
      <c r="O665" s="1">
        <v>68.974808029</v>
      </c>
      <c r="P665" s="1">
        <v>8.0309790386</v>
      </c>
      <c r="Q665" s="1">
        <v>27.23312</v>
      </c>
      <c r="R665" s="1">
        <v>96.064449064</v>
      </c>
      <c r="S665" s="1">
        <v>13.4</v>
      </c>
      <c r="T665" s="1">
        <v>3684.0</v>
      </c>
      <c r="U665" s="1">
        <v>17.100977199</v>
      </c>
      <c r="V665" s="1">
        <v>204.509002055</v>
      </c>
      <c r="W665" s="1">
        <v>10.508182601</v>
      </c>
      <c r="X665" s="1">
        <v>7.2493929934</v>
      </c>
      <c r="Y665" s="1">
        <v>78.399137312</v>
      </c>
      <c r="Z665" s="1">
        <v>4.9</v>
      </c>
      <c r="AA665" s="1">
        <v>0.7895288936</v>
      </c>
      <c r="AB665" s="1">
        <v>59901.0</v>
      </c>
      <c r="AC665" s="1">
        <v>46.685714286</v>
      </c>
      <c r="AD665" s="1">
        <v>77.597292724</v>
      </c>
      <c r="AE665" s="1">
        <v>7.2579248224</v>
      </c>
      <c r="AF665" s="1">
        <v>0.5435890467</v>
      </c>
      <c r="AG665" s="1">
        <v>0.2582047972</v>
      </c>
      <c r="AH665" s="1">
        <v>0.3125637018</v>
      </c>
      <c r="AI665" s="1">
        <v>0.0339743154</v>
      </c>
      <c r="AJ665" s="1">
        <v>1.5288441938</v>
      </c>
      <c r="AK665" s="1">
        <v>96.439491744</v>
      </c>
      <c r="AL665" s="1">
        <v>0.3866637484</v>
      </c>
      <c r="AM665" s="1">
        <v>51.049806346</v>
      </c>
      <c r="AN665" s="1">
        <v>69.237505052</v>
      </c>
      <c r="AO665" s="1">
        <v>25351.0</v>
      </c>
      <c r="AP665" s="1">
        <v>12.1</v>
      </c>
      <c r="AQ665" s="1">
        <v>4.0</v>
      </c>
      <c r="AR665" s="1">
        <v>15.9</v>
      </c>
      <c r="AS665" s="1">
        <v>18.9</v>
      </c>
      <c r="AT665" s="1">
        <v>24.6</v>
      </c>
      <c r="AU665" s="1">
        <v>11.1</v>
      </c>
      <c r="AV665" s="1">
        <v>2.7</v>
      </c>
      <c r="AW665" s="1">
        <v>0.4</v>
      </c>
      <c r="AX665" s="1">
        <v>0.3515</v>
      </c>
      <c r="AY665" s="1">
        <v>8.6</v>
      </c>
      <c r="AZ665" s="1">
        <v>8.3</v>
      </c>
      <c r="BA665" s="1">
        <v>12.5</v>
      </c>
      <c r="BB665" s="1">
        <v>2.76</v>
      </c>
      <c r="BC665" s="1" t="s">
        <v>1152</v>
      </c>
      <c r="BD665" s="1">
        <v>15.3</v>
      </c>
      <c r="BE665" s="1">
        <v>33.4</v>
      </c>
      <c r="BF665" s="1">
        <v>32.7</v>
      </c>
      <c r="BG665" s="1">
        <v>18.6</v>
      </c>
      <c r="BH665" s="1" t="s">
        <v>1258</v>
      </c>
    </row>
    <row r="666">
      <c r="A666" s="1">
        <v>17141.0</v>
      </c>
      <c r="B666" s="2" t="str">
        <f>IFERROR(__xludf.DUMMYFUNCTION("TO_TEXT(A666)"),"17141")</f>
        <v>17141</v>
      </c>
      <c r="C666" s="1">
        <v>52034.0</v>
      </c>
      <c r="D666" s="1">
        <v>758.577278947879</v>
      </c>
      <c r="E666" s="1" t="s">
        <v>1259</v>
      </c>
      <c r="F666" s="1" t="s">
        <v>1260</v>
      </c>
      <c r="G666" s="1">
        <v>68.594197907126</v>
      </c>
      <c r="H666" s="1">
        <v>15.001773139</v>
      </c>
      <c r="I666" s="1">
        <v>3.8723729364</v>
      </c>
      <c r="J666" s="1">
        <v>6.3651137595</v>
      </c>
      <c r="K666" s="1">
        <v>15.028075484</v>
      </c>
      <c r="L666" s="1">
        <v>37.1</v>
      </c>
      <c r="M666" s="1">
        <v>8.5</v>
      </c>
      <c r="N666" s="1">
        <v>28.2</v>
      </c>
      <c r="O666" s="1">
        <v>61.964222293</v>
      </c>
      <c r="P666" s="1">
        <v>6.64981341039999</v>
      </c>
      <c r="Q666" s="1">
        <v>64.62605</v>
      </c>
      <c r="R666" s="1">
        <v>94.192792162</v>
      </c>
      <c r="S666" s="1">
        <v>11.2</v>
      </c>
      <c r="T666" s="1">
        <v>11575.0</v>
      </c>
      <c r="U666" s="1">
        <v>31.326133909</v>
      </c>
      <c r="V666" s="1">
        <v>71.13422292</v>
      </c>
      <c r="W666" s="1">
        <v>12.584215592</v>
      </c>
      <c r="X666" s="1">
        <v>10.7793153679999</v>
      </c>
      <c r="Y666" s="1">
        <v>78.80497729</v>
      </c>
      <c r="Z666" s="1">
        <v>7.3</v>
      </c>
      <c r="AA666" s="1">
        <v>5.4737545485</v>
      </c>
      <c r="AB666" s="1">
        <v>61794.0</v>
      </c>
      <c r="AC666" s="1">
        <v>34.632133853</v>
      </c>
      <c r="AD666" s="1">
        <v>73.915123678</v>
      </c>
      <c r="AE666" s="1">
        <v>10.1550157979999</v>
      </c>
      <c r="AF666" s="1">
        <v>1.0898808004</v>
      </c>
      <c r="AG666" s="1">
        <v>0.3711485969</v>
      </c>
      <c r="AH666" s="1">
        <v>0.6932034641</v>
      </c>
      <c r="AI666" s="1">
        <v>0.0785499675999999</v>
      </c>
      <c r="AJ666" s="1">
        <v>10.284154508</v>
      </c>
      <c r="AK666" s="1">
        <v>86.577774287</v>
      </c>
      <c r="AL666" s="1">
        <v>2.4026870531</v>
      </c>
      <c r="AM666" s="1">
        <v>50.332855488</v>
      </c>
      <c r="AN666" s="1">
        <v>47.0998373739999</v>
      </c>
      <c r="AO666" s="1">
        <v>28026.0</v>
      </c>
      <c r="AP666" s="1">
        <v>10.9</v>
      </c>
      <c r="AQ666" s="1">
        <v>6.5</v>
      </c>
      <c r="AR666" s="1">
        <v>11.7</v>
      </c>
      <c r="AS666" s="1">
        <v>17.1</v>
      </c>
      <c r="AT666" s="1">
        <v>23.1</v>
      </c>
      <c r="AU666" s="1">
        <v>12.3</v>
      </c>
      <c r="AV666" s="1">
        <v>12.3</v>
      </c>
      <c r="AW666" s="1">
        <v>2.2</v>
      </c>
      <c r="AX666" s="1">
        <v>0.2617</v>
      </c>
      <c r="AY666" s="1">
        <v>9.4</v>
      </c>
      <c r="AZ666" s="1">
        <v>9.1</v>
      </c>
      <c r="BA666" s="1">
        <v>13.2</v>
      </c>
      <c r="BB666" s="1">
        <v>2.79</v>
      </c>
      <c r="BC666" s="1" t="s">
        <v>1152</v>
      </c>
      <c r="BD666" s="1">
        <v>9.8</v>
      </c>
      <c r="BE666" s="1">
        <v>33.4</v>
      </c>
      <c r="BF666" s="1">
        <v>35.4</v>
      </c>
      <c r="BG666" s="1">
        <v>21.4</v>
      </c>
      <c r="BH666" s="1" t="s">
        <v>1260</v>
      </c>
    </row>
    <row r="667">
      <c r="A667" s="1">
        <v>17143.0</v>
      </c>
      <c r="B667" s="2" t="str">
        <f>IFERROR(__xludf.DUMMYFUNCTION("TO_TEXT(A667)"),"17143")</f>
        <v>17143</v>
      </c>
      <c r="C667" s="1">
        <v>186818.0</v>
      </c>
      <c r="D667" s="1">
        <v>619.189280478366</v>
      </c>
      <c r="E667" s="1" t="s">
        <v>1261</v>
      </c>
      <c r="F667" s="1" t="s">
        <v>1262</v>
      </c>
      <c r="G667" s="1">
        <v>301.713879567925</v>
      </c>
      <c r="H667" s="1">
        <v>15.623082311</v>
      </c>
      <c r="I667" s="1">
        <v>3.9394728942</v>
      </c>
      <c r="J667" s="1">
        <v>9.6760141574</v>
      </c>
      <c r="K667" s="1">
        <v>16.59556525</v>
      </c>
      <c r="L667" s="1">
        <v>35.9</v>
      </c>
      <c r="M667" s="1">
        <v>7.4</v>
      </c>
      <c r="N667" s="1">
        <v>22.0</v>
      </c>
      <c r="O667" s="1">
        <v>82.098083584</v>
      </c>
      <c r="P667" s="1">
        <v>6.3206356876</v>
      </c>
      <c r="Q667" s="1">
        <v>122.39701</v>
      </c>
      <c r="R667" s="1">
        <v>82.227084947</v>
      </c>
      <c r="S667" s="1">
        <v>22.8</v>
      </c>
      <c r="T667" s="1">
        <v>43451.0</v>
      </c>
      <c r="U667" s="1">
        <v>42.473130653</v>
      </c>
      <c r="V667" s="1">
        <v>523.7788085</v>
      </c>
      <c r="W667" s="1">
        <v>13.858497447</v>
      </c>
      <c r="X667" s="1">
        <v>12.1737371009999</v>
      </c>
      <c r="Y667" s="1">
        <v>77.3847206339999</v>
      </c>
      <c r="Z667" s="1">
        <v>10.7</v>
      </c>
      <c r="AA667" s="1">
        <v>6.8418035991</v>
      </c>
      <c r="AB667" s="1">
        <v>56478.0</v>
      </c>
      <c r="AC667" s="1">
        <v>49.790393634</v>
      </c>
      <c r="AD667" s="1">
        <v>65.074902552</v>
      </c>
      <c r="AE667" s="1">
        <v>12.835783071</v>
      </c>
      <c r="AF667" s="1">
        <v>18.317914307</v>
      </c>
      <c r="AG667" s="1">
        <v>0.3975174537</v>
      </c>
      <c r="AH667" s="1">
        <v>4.1307489162</v>
      </c>
      <c r="AI667" s="1">
        <v>0.0686520394</v>
      </c>
      <c r="AJ667" s="1">
        <v>4.9152645595</v>
      </c>
      <c r="AK667" s="1">
        <v>69.6917855619999</v>
      </c>
      <c r="AL667" s="1">
        <v>1.3584914453</v>
      </c>
      <c r="AM667" s="1">
        <v>51.546608645</v>
      </c>
      <c r="AN667" s="1">
        <v>14.645511384</v>
      </c>
      <c r="AO667" s="1">
        <v>29055.0</v>
      </c>
      <c r="AP667" s="1">
        <v>16.5</v>
      </c>
      <c r="AQ667" s="1">
        <v>8.2</v>
      </c>
      <c r="AR667" s="1">
        <v>9.7</v>
      </c>
      <c r="AS667" s="1">
        <v>15.0</v>
      </c>
      <c r="AT667" s="1">
        <v>23.9</v>
      </c>
      <c r="AU667" s="1">
        <v>11.3</v>
      </c>
      <c r="AV667" s="1">
        <v>29.2</v>
      </c>
      <c r="AW667" s="1">
        <v>1.1</v>
      </c>
      <c r="AX667" s="1">
        <v>0.5511</v>
      </c>
      <c r="AY667" s="1">
        <v>14.8</v>
      </c>
      <c r="AZ667" s="1">
        <v>12.0</v>
      </c>
      <c r="BA667" s="1">
        <v>16.3</v>
      </c>
      <c r="BB667" s="1">
        <v>2.95</v>
      </c>
      <c r="BC667" s="1" t="s">
        <v>1152</v>
      </c>
      <c r="BD667" s="1">
        <v>9.1</v>
      </c>
      <c r="BE667" s="1">
        <v>27.6</v>
      </c>
      <c r="BF667" s="1">
        <v>32.7</v>
      </c>
      <c r="BG667" s="1">
        <v>30.6</v>
      </c>
      <c r="BH667" s="1" t="s">
        <v>1262</v>
      </c>
    </row>
    <row r="668">
      <c r="A668" s="1">
        <v>17145.0</v>
      </c>
      <c r="B668" s="2" t="str">
        <f>IFERROR(__xludf.DUMMYFUNCTION("TO_TEXT(A668)"),"17145")</f>
        <v>17145</v>
      </c>
      <c r="C668" s="1">
        <v>21595.0</v>
      </c>
      <c r="D668" s="1">
        <v>441.772550462546</v>
      </c>
      <c r="E668" s="1" t="s">
        <v>164</v>
      </c>
      <c r="F668" s="1" t="s">
        <v>1263</v>
      </c>
      <c r="G668" s="1">
        <v>48.8826206548812</v>
      </c>
      <c r="H668" s="1">
        <v>15.280889094</v>
      </c>
      <c r="I668" s="1">
        <v>3.8921454132</v>
      </c>
      <c r="J668" s="1">
        <v>7.5085324232</v>
      </c>
      <c r="K668" s="1">
        <v>16.145867168</v>
      </c>
      <c r="L668" s="1">
        <v>32.1</v>
      </c>
      <c r="M668" s="1">
        <v>7.5</v>
      </c>
      <c r="N668" s="1">
        <v>26.4</v>
      </c>
      <c r="O668" s="1">
        <v>79.382550336</v>
      </c>
      <c r="P668" s="1">
        <v>5.6608776349</v>
      </c>
      <c r="Q668" s="1">
        <v>51.67959</v>
      </c>
      <c r="R668" s="1">
        <v>91.449701314</v>
      </c>
      <c r="S668" s="1">
        <v>23.4</v>
      </c>
      <c r="T668" s="1">
        <v>4059.0</v>
      </c>
      <c r="U668" s="1">
        <v>36.067997044</v>
      </c>
      <c r="V668" s="1">
        <v>131.49401105</v>
      </c>
      <c r="W668" s="1">
        <v>12.917181706</v>
      </c>
      <c r="X668" s="1">
        <v>11.6</v>
      </c>
      <c r="Y668" s="1">
        <v>78.066013259</v>
      </c>
      <c r="Z668" s="1">
        <v>11.5</v>
      </c>
      <c r="AA668" s="1">
        <v>9.7005859709</v>
      </c>
      <c r="AB668" s="1">
        <v>49965.0</v>
      </c>
      <c r="AC668" s="1">
        <v>48.899929028</v>
      </c>
      <c r="AD668" s="1">
        <v>74.948936681</v>
      </c>
      <c r="AE668" s="1">
        <v>10.581603894</v>
      </c>
      <c r="AF668" s="1">
        <v>8.7796354019</v>
      </c>
      <c r="AG668" s="1">
        <v>0.4203268159</v>
      </c>
      <c r="AH668" s="1">
        <v>0.5383961462</v>
      </c>
      <c r="AI668" s="1">
        <v>0.0613960518</v>
      </c>
      <c r="AJ668" s="1">
        <v>3.2209313309</v>
      </c>
      <c r="AK668" s="1">
        <v>85.600264475</v>
      </c>
      <c r="AL668" s="1">
        <v>0.0937484581</v>
      </c>
      <c r="AM668" s="1">
        <v>44.937187116</v>
      </c>
      <c r="AN668" s="1">
        <v>43.642058166</v>
      </c>
      <c r="AO668" s="1">
        <v>22650.0</v>
      </c>
      <c r="AP668" s="1">
        <v>16.1</v>
      </c>
      <c r="AQ668" s="1">
        <v>6.6</v>
      </c>
      <c r="AR668" s="1">
        <v>15.1</v>
      </c>
      <c r="AS668" s="1">
        <v>17.2</v>
      </c>
      <c r="AT668" s="1">
        <v>19.5</v>
      </c>
      <c r="AU668" s="1">
        <v>16.0</v>
      </c>
      <c r="AV668" s="1">
        <v>13.5</v>
      </c>
      <c r="AW668" s="1">
        <v>0.1</v>
      </c>
      <c r="AX668" s="1">
        <v>0.4846</v>
      </c>
      <c r="AY668" s="1">
        <v>14.4</v>
      </c>
      <c r="AZ668" s="1">
        <v>13.3</v>
      </c>
      <c r="BA668" s="1">
        <v>20.1</v>
      </c>
      <c r="BB668" s="1">
        <v>2.93</v>
      </c>
      <c r="BC668" s="1" t="s">
        <v>1152</v>
      </c>
      <c r="BD668" s="1">
        <v>16.7</v>
      </c>
      <c r="BE668" s="1">
        <v>36.6</v>
      </c>
      <c r="BF668" s="1">
        <v>34.2</v>
      </c>
      <c r="BG668" s="1">
        <v>12.5</v>
      </c>
      <c r="BH668" s="1" t="s">
        <v>1263</v>
      </c>
    </row>
    <row r="669">
      <c r="A669" s="1">
        <v>17147.0</v>
      </c>
      <c r="B669" s="2" t="str">
        <f>IFERROR(__xludf.DUMMYFUNCTION("TO_TEXT(A669)"),"17147")</f>
        <v>17147</v>
      </c>
      <c r="C669" s="1">
        <v>16469.0</v>
      </c>
      <c r="D669" s="1">
        <v>439.16982606969</v>
      </c>
      <c r="E669" s="1" t="s">
        <v>1264</v>
      </c>
      <c r="F669" s="1" t="s">
        <v>1265</v>
      </c>
      <c r="G669" s="1">
        <v>37.5002994795607</v>
      </c>
      <c r="H669" s="1">
        <v>11.976344245</v>
      </c>
      <c r="I669" s="1">
        <v>3.6501787602</v>
      </c>
      <c r="J669" s="1">
        <v>6.2550120289</v>
      </c>
      <c r="K669" s="1">
        <v>13.429547099</v>
      </c>
      <c r="L669" s="1">
        <v>25.2</v>
      </c>
      <c r="M669" s="1">
        <v>9.2</v>
      </c>
      <c r="N669" s="1">
        <v>22.2</v>
      </c>
      <c r="O669" s="1">
        <v>60.123139458</v>
      </c>
      <c r="P669" s="1">
        <v>4.7361705322</v>
      </c>
      <c r="Q669" s="1">
        <v>48.64701</v>
      </c>
      <c r="R669" s="1">
        <v>92.5476190479999</v>
      </c>
      <c r="S669" s="1">
        <v>8.2</v>
      </c>
      <c r="T669" s="1">
        <v>3693.0</v>
      </c>
      <c r="U669" s="1">
        <v>21.906309234</v>
      </c>
      <c r="V669" s="1">
        <v>167.18414139</v>
      </c>
      <c r="W669" s="1">
        <v>7.6576576577</v>
      </c>
      <c r="X669" s="1">
        <v>6.7669172932</v>
      </c>
      <c r="Y669" s="1">
        <v>79.342913405</v>
      </c>
      <c r="Z669" s="1">
        <v>19.0</v>
      </c>
      <c r="AA669" s="1">
        <v>0.6893532478</v>
      </c>
      <c r="AB669" s="1">
        <v>67460.0</v>
      </c>
      <c r="AC669" s="1">
        <v>33.94379539</v>
      </c>
      <c r="AD669" s="1">
        <v>81.76119403</v>
      </c>
      <c r="AE669" s="1">
        <v>6.53098420409999</v>
      </c>
      <c r="AF669" s="1">
        <v>0.6708953403</v>
      </c>
      <c r="AG669" s="1">
        <v>0.2073676506</v>
      </c>
      <c r="AH669" s="1">
        <v>0.4269333984</v>
      </c>
      <c r="AI669" s="1">
        <v>0.0426933398</v>
      </c>
      <c r="AJ669" s="1">
        <v>1.3661868748</v>
      </c>
      <c r="AK669" s="1">
        <v>96.230787997</v>
      </c>
      <c r="AL669" s="1">
        <v>0.0840336134</v>
      </c>
      <c r="AM669" s="1">
        <v>50.445230544</v>
      </c>
      <c r="AN669" s="1">
        <v>67.660948054</v>
      </c>
      <c r="AO669" s="1">
        <v>33197.0</v>
      </c>
      <c r="AP669" s="1">
        <v>5.7</v>
      </c>
      <c r="AQ669" s="1">
        <v>6.3</v>
      </c>
      <c r="AR669" s="1">
        <v>4.8</v>
      </c>
      <c r="AS669" s="1">
        <v>18.2</v>
      </c>
      <c r="AT669" s="1">
        <v>22.6</v>
      </c>
      <c r="AU669" s="1">
        <v>11.2</v>
      </c>
      <c r="AV669" s="1">
        <v>3.3</v>
      </c>
      <c r="AW669" s="1">
        <v>0.1</v>
      </c>
      <c r="AX669" s="1">
        <v>0.0029</v>
      </c>
      <c r="AY669" s="1">
        <v>6.5</v>
      </c>
      <c r="AZ669" s="1">
        <v>7.6</v>
      </c>
      <c r="BA669" s="1">
        <v>11.1</v>
      </c>
      <c r="BB669" s="1">
        <v>2.95</v>
      </c>
      <c r="BC669" s="1" t="s">
        <v>1152</v>
      </c>
      <c r="BD669" s="1">
        <v>6.1</v>
      </c>
      <c r="BE669" s="1">
        <v>33.9</v>
      </c>
      <c r="BF669" s="1">
        <v>31.4</v>
      </c>
      <c r="BG669" s="1">
        <v>28.6</v>
      </c>
      <c r="BH669" s="1" t="s">
        <v>1265</v>
      </c>
    </row>
    <row r="670">
      <c r="A670" s="1">
        <v>17149.0</v>
      </c>
      <c r="B670" s="2" t="str">
        <f>IFERROR(__xludf.DUMMYFUNCTION("TO_TEXT(A670)"),"17149")</f>
        <v>17149</v>
      </c>
      <c r="C670" s="1">
        <v>16054.0</v>
      </c>
      <c r="D670" s="1">
        <v>831.400259794544</v>
      </c>
      <c r="E670" s="1" t="s">
        <v>168</v>
      </c>
      <c r="F670" s="1" t="s">
        <v>1266</v>
      </c>
      <c r="G670" s="1">
        <v>19.3095922341512</v>
      </c>
      <c r="H670" s="1">
        <v>16.551702903</v>
      </c>
      <c r="I670" s="1">
        <v>4.1974046925</v>
      </c>
      <c r="J670" s="1">
        <v>6.8147013783</v>
      </c>
      <c r="K670" s="1">
        <v>16.71050823</v>
      </c>
      <c r="L670" s="1">
        <v>29.8</v>
      </c>
      <c r="M670" s="1">
        <v>7.8</v>
      </c>
      <c r="N670" s="1">
        <v>32.1</v>
      </c>
      <c r="O670" s="1">
        <v>57.924528302</v>
      </c>
      <c r="P670" s="1">
        <v>7.14876033059999</v>
      </c>
      <c r="Q670" s="1">
        <v>50.5657</v>
      </c>
      <c r="R670" s="1">
        <v>83.0092024539999</v>
      </c>
      <c r="S670" s="1">
        <v>19.6</v>
      </c>
      <c r="T670" s="1">
        <v>3510.0</v>
      </c>
      <c r="U670" s="1">
        <v>28.11965812</v>
      </c>
      <c r="V670" s="1">
        <v>94.029149036</v>
      </c>
      <c r="W670" s="1">
        <v>9.8261526833</v>
      </c>
      <c r="X670" s="1">
        <v>7.9023646072</v>
      </c>
      <c r="Y670" s="1">
        <v>76.812505568</v>
      </c>
      <c r="Z670" s="1">
        <v>8.7</v>
      </c>
      <c r="AA670" s="1">
        <v>8.8277190254</v>
      </c>
      <c r="AB670" s="1">
        <v>47815.0</v>
      </c>
      <c r="AC670" s="1">
        <v>52.660841938</v>
      </c>
      <c r="AD670" s="1">
        <v>78.228895358</v>
      </c>
      <c r="AE670" s="1">
        <v>7.9456434852</v>
      </c>
      <c r="AF670" s="1">
        <v>1.3964512203</v>
      </c>
      <c r="AG670" s="1">
        <v>0.224200884</v>
      </c>
      <c r="AH670" s="1">
        <v>0.3138812376</v>
      </c>
      <c r="AI670" s="1">
        <v>0.0384344373</v>
      </c>
      <c r="AJ670" s="1">
        <v>1.2299019922</v>
      </c>
      <c r="AK670" s="1">
        <v>96.022035744</v>
      </c>
      <c r="AL670" s="1">
        <v>0.1825187589</v>
      </c>
      <c r="AM670" s="1">
        <v>49.849465121</v>
      </c>
      <c r="AN670" s="1">
        <v>72.306755934</v>
      </c>
      <c r="AO670" s="1">
        <v>22048.0</v>
      </c>
      <c r="AP670" s="1">
        <v>14.4</v>
      </c>
      <c r="AQ670" s="1">
        <v>6.6</v>
      </c>
      <c r="AR670" s="1">
        <v>12.1</v>
      </c>
      <c r="AS670" s="1">
        <v>19.8</v>
      </c>
      <c r="AT670" s="1">
        <v>22.2</v>
      </c>
      <c r="AU670" s="1">
        <v>16.3</v>
      </c>
      <c r="AV670" s="1">
        <v>4.4</v>
      </c>
      <c r="AW670" s="1">
        <v>0.1</v>
      </c>
      <c r="AX670" s="1">
        <v>0.2849</v>
      </c>
      <c r="AY670" s="1">
        <v>14.4</v>
      </c>
      <c r="AZ670" s="1">
        <v>11.3</v>
      </c>
      <c r="BA670" s="1">
        <v>16.0</v>
      </c>
      <c r="BB670" s="1">
        <v>2.77</v>
      </c>
      <c r="BC670" s="1" t="s">
        <v>1152</v>
      </c>
      <c r="BD670" s="1">
        <v>11.3</v>
      </c>
      <c r="BE670" s="1">
        <v>38.7</v>
      </c>
      <c r="BF670" s="1">
        <v>32.2</v>
      </c>
      <c r="BG670" s="1">
        <v>17.8</v>
      </c>
      <c r="BH670" s="1" t="s">
        <v>1266</v>
      </c>
    </row>
    <row r="671">
      <c r="A671" s="1">
        <v>17151.0</v>
      </c>
      <c r="B671" s="2" t="str">
        <f>IFERROR(__xludf.DUMMYFUNCTION("TO_TEXT(A671)"),"17151")</f>
        <v>17151</v>
      </c>
      <c r="C671" s="1">
        <v>4255.0</v>
      </c>
      <c r="D671" s="1">
        <v>368.76975380634</v>
      </c>
      <c r="E671" s="1" t="s">
        <v>383</v>
      </c>
      <c r="F671" s="1" t="s">
        <v>1267</v>
      </c>
      <c r="G671" s="1">
        <v>11.5383649447414</v>
      </c>
      <c r="H671" s="1">
        <v>14.553162723</v>
      </c>
      <c r="I671" s="1">
        <v>3.908616292</v>
      </c>
      <c r="J671" s="1">
        <v>11.822660099</v>
      </c>
      <c r="K671" s="1">
        <v>14.5758756109999</v>
      </c>
      <c r="L671" s="1">
        <v>26.6</v>
      </c>
      <c r="M671" s="1">
        <v>7.9</v>
      </c>
      <c r="N671" s="1">
        <v>22.5</v>
      </c>
      <c r="O671" s="1">
        <v>97.785234899</v>
      </c>
      <c r="P671" s="1">
        <v>7.5484301937</v>
      </c>
      <c r="Q671" s="1">
        <v>48.31939</v>
      </c>
      <c r="R671" s="1">
        <v>85.7</v>
      </c>
      <c r="S671" s="1">
        <v>27.1</v>
      </c>
      <c r="T671" s="1">
        <v>602.0</v>
      </c>
      <c r="U671" s="1">
        <v>13.953488372</v>
      </c>
      <c r="V671" s="1">
        <v>204.509002055</v>
      </c>
      <c r="W671" s="1">
        <v>9.4339622642</v>
      </c>
      <c r="X671" s="1">
        <v>7.3076923077</v>
      </c>
      <c r="Y671" s="1">
        <v>79.218577933</v>
      </c>
      <c r="Z671" s="1">
        <v>9.5</v>
      </c>
      <c r="AA671" s="1">
        <v>7.6395312479</v>
      </c>
      <c r="AB671" s="1">
        <v>43053.0</v>
      </c>
      <c r="AC671" s="1">
        <v>56.3909774439999</v>
      </c>
      <c r="AD671" s="1">
        <v>85.097323601</v>
      </c>
      <c r="AE671" s="1">
        <v>8.871493803</v>
      </c>
      <c r="AF671" s="1">
        <v>5.3181386515</v>
      </c>
      <c r="AG671" s="1">
        <v>0.7597340931</v>
      </c>
      <c r="AH671" s="1">
        <v>0.4036087369</v>
      </c>
      <c r="AI671" s="1">
        <v>0.0712250712</v>
      </c>
      <c r="AJ671" s="1">
        <v>1.5906932574</v>
      </c>
      <c r="AK671" s="1">
        <v>90.550807217</v>
      </c>
      <c r="AL671" s="1">
        <v>0.0</v>
      </c>
      <c r="AM671" s="1">
        <v>48.290598291</v>
      </c>
      <c r="AN671" s="1">
        <v>100.0</v>
      </c>
      <c r="AO671" s="1">
        <v>21427.0</v>
      </c>
      <c r="AP671" s="1">
        <v>14.9</v>
      </c>
      <c r="AQ671" s="1">
        <v>8.5</v>
      </c>
      <c r="AR671" s="1">
        <v>12.8</v>
      </c>
      <c r="AS671" s="1">
        <v>26.2</v>
      </c>
      <c r="AT671" s="1">
        <v>17.4</v>
      </c>
      <c r="AU671" s="1">
        <v>27.3</v>
      </c>
      <c r="AV671" s="1">
        <v>9.0</v>
      </c>
      <c r="AW671" s="1">
        <v>0.0</v>
      </c>
      <c r="AX671" s="1">
        <v>0.4776</v>
      </c>
      <c r="AY671" s="1">
        <v>16.9</v>
      </c>
      <c r="AZ671" s="1">
        <v>13.5</v>
      </c>
      <c r="BA671" s="1">
        <v>21.5</v>
      </c>
      <c r="BB671" s="1">
        <v>2.71</v>
      </c>
      <c r="BC671" s="1" t="s">
        <v>1152</v>
      </c>
      <c r="BD671" s="1">
        <v>14.0</v>
      </c>
      <c r="BE671" s="1">
        <v>36.0</v>
      </c>
      <c r="BF671" s="1">
        <v>36.9</v>
      </c>
      <c r="BG671" s="1">
        <v>13.1</v>
      </c>
      <c r="BH671" s="1" t="s">
        <v>1267</v>
      </c>
    </row>
    <row r="672">
      <c r="A672" s="1">
        <v>17153.0</v>
      </c>
      <c r="B672" s="2" t="str">
        <f>IFERROR(__xludf.DUMMYFUNCTION("TO_TEXT(A672)"),"17153")</f>
        <v>17153</v>
      </c>
      <c r="C672" s="1">
        <v>5792.0</v>
      </c>
      <c r="D672" s="1">
        <v>199.185181625328</v>
      </c>
      <c r="E672" s="1" t="s">
        <v>387</v>
      </c>
      <c r="F672" s="1" t="s">
        <v>1268</v>
      </c>
      <c r="G672" s="1">
        <v>29.078468351601</v>
      </c>
      <c r="H672" s="1">
        <v>21.174406401</v>
      </c>
      <c r="I672" s="1">
        <v>4.5222577392</v>
      </c>
      <c r="J672" s="1">
        <v>10.2739726029999</v>
      </c>
      <c r="K672" s="1">
        <v>19.371424094</v>
      </c>
      <c r="L672" s="1">
        <v>34.6</v>
      </c>
      <c r="M672" s="1">
        <v>6.6</v>
      </c>
      <c r="N672" s="1">
        <v>22.9</v>
      </c>
      <c r="O672" s="1">
        <v>66.482713845</v>
      </c>
      <c r="P672" s="1">
        <v>7.4518100611</v>
      </c>
      <c r="Q672" s="1">
        <v>48.31939</v>
      </c>
      <c r="R672" s="1">
        <v>95.174380165</v>
      </c>
      <c r="S672" s="1">
        <v>33.4</v>
      </c>
      <c r="T672" s="1">
        <v>1151.0</v>
      </c>
      <c r="U672" s="1">
        <v>40.573414422</v>
      </c>
      <c r="V672" s="1">
        <v>351.09458901</v>
      </c>
      <c r="W672" s="1">
        <v>12.910284464</v>
      </c>
      <c r="X672" s="1">
        <v>10.622222222</v>
      </c>
      <c r="Y672" s="1">
        <v>76.266068805</v>
      </c>
      <c r="Z672" s="1">
        <v>19.6</v>
      </c>
      <c r="AA672" s="1">
        <v>9.593116512</v>
      </c>
      <c r="AB672" s="1">
        <v>38400.0</v>
      </c>
      <c r="AC672" s="1">
        <v>83.272283272</v>
      </c>
      <c r="AD672" s="1">
        <v>74.82742752</v>
      </c>
      <c r="AE672" s="1">
        <v>11.86440678</v>
      </c>
      <c r="AF672" s="1">
        <v>30.2947098659999</v>
      </c>
      <c r="AG672" s="1">
        <v>0.7505033864</v>
      </c>
      <c r="AH672" s="1">
        <v>0.4027091342</v>
      </c>
      <c r="AI672" s="1">
        <v>0.0549148819</v>
      </c>
      <c r="AJ672" s="1">
        <v>2.2881200805</v>
      </c>
      <c r="AK672" s="1">
        <v>63.664653121</v>
      </c>
      <c r="AL672" s="1">
        <v>0.1510003775</v>
      </c>
      <c r="AM672" s="1">
        <v>51.4003294889999</v>
      </c>
      <c r="AN672" s="1">
        <v>100.0</v>
      </c>
      <c r="AO672" s="1">
        <v>18924.0</v>
      </c>
      <c r="AP672" s="1">
        <v>18.3</v>
      </c>
      <c r="AQ672" s="1">
        <v>11.9</v>
      </c>
      <c r="AR672" s="1">
        <v>17.3</v>
      </c>
      <c r="AS672" s="1">
        <v>20.2</v>
      </c>
      <c r="AT672" s="1">
        <v>22.5</v>
      </c>
      <c r="AU672" s="1">
        <v>24.3</v>
      </c>
      <c r="AV672" s="1">
        <v>36.5</v>
      </c>
      <c r="AW672" s="1">
        <v>0.3</v>
      </c>
      <c r="AX672" s="1">
        <v>0.738</v>
      </c>
      <c r="AY672" s="1">
        <v>22.0</v>
      </c>
      <c r="AZ672" s="1">
        <v>16.7</v>
      </c>
      <c r="BA672" s="1">
        <v>25.9</v>
      </c>
      <c r="BB672" s="1">
        <v>2.78</v>
      </c>
      <c r="BC672" s="1" t="s">
        <v>1152</v>
      </c>
      <c r="BD672" s="1">
        <v>11.2</v>
      </c>
      <c r="BE672" s="1">
        <v>36.3</v>
      </c>
      <c r="BF672" s="1">
        <v>40.0</v>
      </c>
      <c r="BG672" s="1">
        <v>12.5</v>
      </c>
      <c r="BH672" s="1" t="s">
        <v>1268</v>
      </c>
    </row>
    <row r="673">
      <c r="A673" s="1">
        <v>17155.0</v>
      </c>
      <c r="B673" s="2" t="str">
        <f>IFERROR(__xludf.DUMMYFUNCTION("TO_TEXT(A673)"),"17155")</f>
        <v>17155</v>
      </c>
      <c r="C673" s="1">
        <v>5746.0</v>
      </c>
      <c r="D673" s="1">
        <v>160.160460587618</v>
      </c>
      <c r="E673" s="1" t="s">
        <v>771</v>
      </c>
      <c r="F673" s="1" t="s">
        <v>1269</v>
      </c>
      <c r="G673" s="1">
        <v>35.8765202030408</v>
      </c>
      <c r="H673" s="1">
        <v>12.902229477</v>
      </c>
      <c r="I673" s="1">
        <v>3.6755336684</v>
      </c>
      <c r="J673" s="1">
        <v>8.1460674157</v>
      </c>
      <c r="K673" s="1">
        <v>13.631298881</v>
      </c>
      <c r="L673" s="1">
        <v>26.0</v>
      </c>
      <c r="M673" s="1">
        <v>9.0</v>
      </c>
      <c r="N673" s="1">
        <v>19.6</v>
      </c>
      <c r="O673" s="1">
        <v>49.85014985</v>
      </c>
      <c r="P673" s="1">
        <v>5.8465011287</v>
      </c>
      <c r="Q673" s="1">
        <v>17.46115</v>
      </c>
      <c r="R673" s="1">
        <v>84.7</v>
      </c>
      <c r="S673" s="1">
        <v>12.5</v>
      </c>
      <c r="T673" s="1">
        <v>1071.0</v>
      </c>
      <c r="U673" s="1">
        <v>39.869281046</v>
      </c>
      <c r="V673" s="1">
        <v>11.564704522</v>
      </c>
      <c r="W673" s="1">
        <v>9.0163934426</v>
      </c>
      <c r="X673" s="1">
        <v>7.468879668</v>
      </c>
      <c r="Y673" s="1">
        <v>78.737793587</v>
      </c>
      <c r="Z673" s="1">
        <v>5.7</v>
      </c>
      <c r="AA673" s="1">
        <v>2.192126622</v>
      </c>
      <c r="AB673" s="1">
        <v>66319.0</v>
      </c>
      <c r="AC673" s="1">
        <v>34.948096886</v>
      </c>
      <c r="AD673" s="1">
        <v>80.542797495</v>
      </c>
      <c r="AE673" s="1">
        <v>7.2119613017</v>
      </c>
      <c r="AF673" s="1">
        <v>0.6794425087</v>
      </c>
      <c r="AG673" s="1">
        <v>0.3135888502</v>
      </c>
      <c r="AH673" s="1">
        <v>0.574912892</v>
      </c>
      <c r="AI673" s="1">
        <v>0.0174216028</v>
      </c>
      <c r="AJ673" s="1">
        <v>5.9059233449</v>
      </c>
      <c r="AK673" s="1">
        <v>91.463414634</v>
      </c>
      <c r="AL673" s="1">
        <v>1.144622093</v>
      </c>
      <c r="AM673" s="1">
        <v>49.076655052</v>
      </c>
      <c r="AN673" s="1">
        <v>100.0</v>
      </c>
      <c r="AO673" s="1">
        <v>32584.0</v>
      </c>
      <c r="AP673" s="1">
        <v>10.4</v>
      </c>
      <c r="AQ673" s="1">
        <v>5.8</v>
      </c>
      <c r="AR673" s="1">
        <v>8.4</v>
      </c>
      <c r="AS673" s="1">
        <v>20.1</v>
      </c>
      <c r="AT673" s="1">
        <v>20.2</v>
      </c>
      <c r="AU673" s="1">
        <v>11.8</v>
      </c>
      <c r="AV673" s="1">
        <v>7.1</v>
      </c>
      <c r="AW673" s="1">
        <v>1.1</v>
      </c>
      <c r="AX673" s="1">
        <v>0.0213</v>
      </c>
      <c r="AY673" s="1">
        <v>7.6</v>
      </c>
      <c r="AZ673" s="1">
        <v>8.5</v>
      </c>
      <c r="BA673" s="1">
        <v>14.8</v>
      </c>
      <c r="BB673" s="1">
        <v>2.87</v>
      </c>
      <c r="BC673" s="1" t="s">
        <v>1152</v>
      </c>
      <c r="BD673" s="1">
        <v>7.3</v>
      </c>
      <c r="BE673" s="1">
        <v>38.1</v>
      </c>
      <c r="BF673" s="1">
        <v>38.0</v>
      </c>
      <c r="BG673" s="1">
        <v>16.6</v>
      </c>
      <c r="BH673" s="1" t="s">
        <v>1269</v>
      </c>
    </row>
    <row r="674">
      <c r="A674" s="1">
        <v>17157.0</v>
      </c>
      <c r="B674" s="2" t="str">
        <f>IFERROR(__xludf.DUMMYFUNCTION("TO_TEXT(A674)"),"17157")</f>
        <v>17157</v>
      </c>
      <c r="C674" s="1">
        <v>32934.0</v>
      </c>
      <c r="D674" s="1">
        <v>575.50281871914</v>
      </c>
      <c r="E674" s="1" t="s">
        <v>170</v>
      </c>
      <c r="F674" s="1" t="s">
        <v>1270</v>
      </c>
      <c r="G674" s="1">
        <v>57.2264790523512</v>
      </c>
      <c r="H674" s="1">
        <v>16.019171044</v>
      </c>
      <c r="I674" s="1">
        <v>3.9037384819</v>
      </c>
      <c r="J674" s="1">
        <v>7.1519795658</v>
      </c>
      <c r="K674" s="1">
        <v>17.198193684</v>
      </c>
      <c r="L674" s="1">
        <v>27.2</v>
      </c>
      <c r="M674" s="1">
        <v>8.3</v>
      </c>
      <c r="N674" s="1">
        <v>26.8</v>
      </c>
      <c r="O674" s="1">
        <v>68.688015295</v>
      </c>
      <c r="P674" s="1">
        <v>5.4939673211</v>
      </c>
      <c r="Q674" s="1">
        <v>43.17922</v>
      </c>
      <c r="R674" s="1">
        <v>87.711350919</v>
      </c>
      <c r="S674" s="1">
        <v>17.8</v>
      </c>
      <c r="T674" s="1">
        <v>6236.0</v>
      </c>
      <c r="U674" s="1">
        <v>34.797947402</v>
      </c>
      <c r="V674" s="1">
        <v>97.4691072489999</v>
      </c>
      <c r="W674" s="1">
        <v>8.7778244435</v>
      </c>
      <c r="X674" s="1">
        <v>7.60683760679999</v>
      </c>
      <c r="Y674" s="1">
        <v>77.165850753</v>
      </c>
      <c r="Z674" s="1">
        <v>13.6</v>
      </c>
      <c r="AA674" s="1">
        <v>3.3585346151</v>
      </c>
      <c r="AB674" s="1">
        <v>53607.0</v>
      </c>
      <c r="AC674" s="1">
        <v>48.72110182</v>
      </c>
      <c r="AD674" s="1">
        <v>75.692748252</v>
      </c>
      <c r="AE674" s="1">
        <v>6.1705508475</v>
      </c>
      <c r="AF674" s="1">
        <v>10.278452626</v>
      </c>
      <c r="AG674" s="1">
        <v>0.314582944</v>
      </c>
      <c r="AH674" s="1">
        <v>0.5076932661</v>
      </c>
      <c r="AI674" s="1">
        <v>0.0716377000999999</v>
      </c>
      <c r="AJ674" s="1">
        <v>3.1209119791</v>
      </c>
      <c r="AK674" s="1">
        <v>84.797234162</v>
      </c>
      <c r="AL674" s="1">
        <v>0.3978007762</v>
      </c>
      <c r="AM674" s="1">
        <v>45.00716377</v>
      </c>
      <c r="AN674" s="1">
        <v>42.642490142</v>
      </c>
      <c r="AO674" s="1">
        <v>23424.0</v>
      </c>
      <c r="AP674" s="1">
        <v>11.1</v>
      </c>
      <c r="AQ674" s="1">
        <v>5.2</v>
      </c>
      <c r="AR674" s="1">
        <v>15.5</v>
      </c>
      <c r="AS674" s="1">
        <v>17.2</v>
      </c>
      <c r="AT674" s="1">
        <v>19.3</v>
      </c>
      <c r="AU674" s="1">
        <v>15.2</v>
      </c>
      <c r="AV674" s="1">
        <v>14.8</v>
      </c>
      <c r="AW674" s="1">
        <v>0.2</v>
      </c>
      <c r="AX674" s="1">
        <v>0.2843</v>
      </c>
      <c r="AY674" s="1">
        <v>12.7</v>
      </c>
      <c r="AZ674" s="1">
        <v>10.7</v>
      </c>
      <c r="BA674" s="1">
        <v>16.0</v>
      </c>
      <c r="BB674" s="1">
        <v>2.62</v>
      </c>
      <c r="BC674" s="1" t="s">
        <v>1152</v>
      </c>
      <c r="BD674" s="1">
        <v>15.7</v>
      </c>
      <c r="BE674" s="1">
        <v>37.3</v>
      </c>
      <c r="BF674" s="1">
        <v>33.7</v>
      </c>
      <c r="BG674" s="1">
        <v>13.3</v>
      </c>
      <c r="BH674" s="1" t="s">
        <v>1270</v>
      </c>
    </row>
    <row r="675">
      <c r="A675" s="1">
        <v>17159.0</v>
      </c>
      <c r="B675" s="2" t="str">
        <f>IFERROR(__xludf.DUMMYFUNCTION("TO_TEXT(A675)"),"17159")</f>
        <v>17159</v>
      </c>
      <c r="C675" s="1">
        <v>16072.0</v>
      </c>
      <c r="D675" s="1">
        <v>360.018728038016</v>
      </c>
      <c r="E675" s="1" t="s">
        <v>1271</v>
      </c>
      <c r="F675" s="1" t="s">
        <v>1272</v>
      </c>
      <c r="G675" s="1">
        <v>44.6421220573361</v>
      </c>
      <c r="H675" s="1">
        <v>16.571638331</v>
      </c>
      <c r="I675" s="1">
        <v>4.2838179883</v>
      </c>
      <c r="J675" s="1">
        <v>6.8369646882</v>
      </c>
      <c r="K675" s="1">
        <v>16.866835982</v>
      </c>
      <c r="L675" s="1">
        <v>28.1</v>
      </c>
      <c r="M675" s="1">
        <v>8.3</v>
      </c>
      <c r="N675" s="1">
        <v>21.8</v>
      </c>
      <c r="O675" s="1">
        <v>66.284728639</v>
      </c>
      <c r="P675" s="1">
        <v>6.3428980208</v>
      </c>
      <c r="Q675" s="1">
        <v>50.3113</v>
      </c>
      <c r="R675" s="1">
        <v>91.7</v>
      </c>
      <c r="S675" s="1">
        <v>20.9</v>
      </c>
      <c r="T675" s="1">
        <v>3541.0</v>
      </c>
      <c r="U675" s="1">
        <v>34.171138097</v>
      </c>
      <c r="V675" s="1">
        <v>333.60354181</v>
      </c>
      <c r="W675" s="1">
        <v>9.6899224806</v>
      </c>
      <c r="X675" s="1">
        <v>7.2769953052</v>
      </c>
      <c r="Y675" s="1">
        <v>77.137146774</v>
      </c>
      <c r="Z675" s="1">
        <v>13.3</v>
      </c>
      <c r="AA675" s="1">
        <v>2.3326896632</v>
      </c>
      <c r="AB675" s="1">
        <v>48152.0</v>
      </c>
      <c r="AC675" s="1">
        <v>53.5039865719999</v>
      </c>
      <c r="AD675" s="1">
        <v>71.721690836</v>
      </c>
      <c r="AE675" s="1">
        <v>8.2083534914</v>
      </c>
      <c r="AF675" s="1">
        <v>0.773964346899999</v>
      </c>
      <c r="AG675" s="1">
        <v>0.3489183531</v>
      </c>
      <c r="AH675" s="1">
        <v>0.894499778</v>
      </c>
      <c r="AI675" s="1">
        <v>0.0190319102</v>
      </c>
      <c r="AJ675" s="1">
        <v>1.8334073463</v>
      </c>
      <c r="AK675" s="1">
        <v>94.988263655</v>
      </c>
      <c r="AL675" s="1">
        <v>0.4789530491</v>
      </c>
      <c r="AM675" s="1">
        <v>50.52337753</v>
      </c>
      <c r="AN675" s="1">
        <v>43.467011643</v>
      </c>
      <c r="AO675" s="1">
        <v>23972.0</v>
      </c>
      <c r="AP675" s="1">
        <v>14.7</v>
      </c>
      <c r="AQ675" s="1">
        <v>5.6</v>
      </c>
      <c r="AR675" s="1">
        <v>12.7</v>
      </c>
      <c r="AS675" s="1">
        <v>19.8</v>
      </c>
      <c r="AT675" s="1">
        <v>22.7</v>
      </c>
      <c r="AU675" s="1">
        <v>17.8</v>
      </c>
      <c r="AV675" s="1">
        <v>4.2</v>
      </c>
      <c r="AW675" s="1">
        <v>0.1</v>
      </c>
      <c r="AX675" s="1">
        <v>0.398</v>
      </c>
      <c r="AY675" s="1">
        <v>13.1</v>
      </c>
      <c r="AZ675" s="1">
        <v>12.2</v>
      </c>
      <c r="BA675" s="1">
        <v>16.3</v>
      </c>
      <c r="BB675" s="1">
        <v>2.85</v>
      </c>
      <c r="BC675" s="1" t="s">
        <v>1152</v>
      </c>
      <c r="BD675" s="1">
        <v>10.9</v>
      </c>
      <c r="BE675" s="1">
        <v>29.9</v>
      </c>
      <c r="BF675" s="1">
        <v>38.2</v>
      </c>
      <c r="BG675" s="1">
        <v>21.0</v>
      </c>
      <c r="BH675" s="1" t="s">
        <v>1272</v>
      </c>
    </row>
    <row r="676">
      <c r="A676" s="1">
        <v>17161.0</v>
      </c>
      <c r="B676" s="2" t="str">
        <f>IFERROR(__xludf.DUMMYFUNCTION("TO_TEXT(A676)"),"17161")</f>
        <v>17161</v>
      </c>
      <c r="C676" s="1">
        <v>146536.0</v>
      </c>
      <c r="D676" s="1">
        <v>427.459499514552</v>
      </c>
      <c r="E676" s="1" t="s">
        <v>1273</v>
      </c>
      <c r="F676" s="1" t="s">
        <v>1274</v>
      </c>
      <c r="G676" s="1">
        <v>342.806745823674</v>
      </c>
      <c r="H676" s="1">
        <v>17.009410403</v>
      </c>
      <c r="I676" s="1">
        <v>4.011815928</v>
      </c>
      <c r="J676" s="1">
        <v>7.1592256025</v>
      </c>
      <c r="K676" s="1">
        <v>16.597852904</v>
      </c>
      <c r="L676" s="1">
        <v>33.7</v>
      </c>
      <c r="M676" s="1">
        <v>8.0</v>
      </c>
      <c r="N676" s="1">
        <v>22.3</v>
      </c>
      <c r="O676" s="1">
        <v>90.693071991</v>
      </c>
      <c r="P676" s="1">
        <v>6.7429185267</v>
      </c>
      <c r="Q676" s="1">
        <v>51.79272</v>
      </c>
      <c r="R676" s="1">
        <v>92.5425772879999</v>
      </c>
      <c r="S676" s="1">
        <v>21.9</v>
      </c>
      <c r="T676" s="1">
        <v>32288.0</v>
      </c>
      <c r="U676" s="1">
        <v>41.8607532209999</v>
      </c>
      <c r="V676" s="1">
        <v>346.51461194</v>
      </c>
      <c r="W676" s="1">
        <v>13.660565724</v>
      </c>
      <c r="X676" s="1">
        <v>11.3778002359999</v>
      </c>
      <c r="Y676" s="1">
        <v>78.180758402</v>
      </c>
      <c r="Z676" s="1">
        <v>14.1</v>
      </c>
      <c r="AA676" s="1">
        <v>6.3375765953</v>
      </c>
      <c r="AB676" s="1">
        <v>52642.0</v>
      </c>
      <c r="AC676" s="1">
        <v>56.190090455</v>
      </c>
      <c r="AD676" s="1">
        <v>68.650280293</v>
      </c>
      <c r="AE676" s="1">
        <v>11.607066946</v>
      </c>
      <c r="AF676" s="1">
        <v>10.449061522</v>
      </c>
      <c r="AG676" s="1">
        <v>0.6140356991</v>
      </c>
      <c r="AH676" s="1">
        <v>2.7495696174</v>
      </c>
      <c r="AI676" s="1">
        <v>0.0487883075</v>
      </c>
      <c r="AJ676" s="1">
        <v>13.103842428</v>
      </c>
      <c r="AK676" s="1">
        <v>71.136837263</v>
      </c>
      <c r="AL676" s="1">
        <v>2.5085602598</v>
      </c>
      <c r="AM676" s="1">
        <v>50.737748907</v>
      </c>
      <c r="AN676" s="1">
        <v>10.919984276</v>
      </c>
      <c r="AO676" s="1">
        <v>26893.0</v>
      </c>
      <c r="AP676" s="1">
        <v>15.1</v>
      </c>
      <c r="AQ676" s="1">
        <v>7.7</v>
      </c>
      <c r="AR676" s="1">
        <v>11.4</v>
      </c>
      <c r="AS676" s="1">
        <v>17.5</v>
      </c>
      <c r="AT676" s="1">
        <v>22.4</v>
      </c>
      <c r="AU676" s="1">
        <v>13.0</v>
      </c>
      <c r="AV676" s="1">
        <v>26.7</v>
      </c>
      <c r="AW676" s="1">
        <v>2.9</v>
      </c>
      <c r="AX676" s="1">
        <v>0.6676</v>
      </c>
      <c r="AY676" s="1">
        <v>13.6</v>
      </c>
      <c r="AZ676" s="1">
        <v>11.2</v>
      </c>
      <c r="BA676" s="1">
        <v>16.4</v>
      </c>
      <c r="BB676" s="1">
        <v>2.8</v>
      </c>
      <c r="BC676" s="1" t="s">
        <v>1152</v>
      </c>
      <c r="BD676" s="1">
        <v>11.4</v>
      </c>
      <c r="BE676" s="1">
        <v>29.5</v>
      </c>
      <c r="BF676" s="1">
        <v>35.6</v>
      </c>
      <c r="BG676" s="1">
        <v>23.5</v>
      </c>
      <c r="BH676" s="1" t="s">
        <v>1274</v>
      </c>
    </row>
    <row r="677">
      <c r="A677" s="1">
        <v>17163.0</v>
      </c>
      <c r="B677" s="2" t="str">
        <f>IFERROR(__xludf.DUMMYFUNCTION("TO_TEXT(A677)"),"17163")</f>
        <v>17163</v>
      </c>
      <c r="C677" s="1">
        <v>265569.0</v>
      </c>
      <c r="D677" s="1">
        <v>657.778691202278</v>
      </c>
      <c r="E677" s="1" t="s">
        <v>174</v>
      </c>
      <c r="F677" s="1" t="s">
        <v>1275</v>
      </c>
      <c r="G677" s="1">
        <v>403.736094756425</v>
      </c>
      <c r="H677" s="1">
        <v>17.55936737</v>
      </c>
      <c r="I677" s="1">
        <v>4.1229251095</v>
      </c>
      <c r="J677" s="1">
        <v>9.8364910459</v>
      </c>
      <c r="K677" s="1">
        <v>17.634094955</v>
      </c>
      <c r="L677" s="1">
        <v>37.1</v>
      </c>
      <c r="M677" s="1">
        <v>6.7</v>
      </c>
      <c r="N677" s="1">
        <v>31.4</v>
      </c>
      <c r="O677" s="1">
        <v>85.807388097</v>
      </c>
      <c r="P677" s="1">
        <v>6.1790247161</v>
      </c>
      <c r="Q677" s="1">
        <v>59.43333</v>
      </c>
      <c r="R677" s="1">
        <v>88.178642007</v>
      </c>
      <c r="S677" s="1">
        <v>22.0</v>
      </c>
      <c r="T677" s="1">
        <v>62038.0</v>
      </c>
      <c r="U677" s="1">
        <v>42.812469777</v>
      </c>
      <c r="V677" s="1">
        <v>615.22031852</v>
      </c>
      <c r="W677" s="1">
        <v>15.028732833</v>
      </c>
      <c r="X677" s="1">
        <v>13.590972638</v>
      </c>
      <c r="Y677" s="1">
        <v>76.474465906</v>
      </c>
      <c r="Z677" s="1">
        <v>9.8</v>
      </c>
      <c r="AA677" s="1">
        <v>11.976766834</v>
      </c>
      <c r="AB677" s="1">
        <v>58222.0</v>
      </c>
      <c r="AC677" s="1">
        <v>49.894119563</v>
      </c>
      <c r="AD677" s="1">
        <v>64.92630721</v>
      </c>
      <c r="AE677" s="1">
        <v>13.966446672</v>
      </c>
      <c r="AF677" s="1">
        <v>30.285107964</v>
      </c>
      <c r="AG677" s="1">
        <v>0.3784585094</v>
      </c>
      <c r="AH677" s="1">
        <v>1.5253256927</v>
      </c>
      <c r="AI677" s="1">
        <v>0.0976790687</v>
      </c>
      <c r="AJ677" s="1">
        <v>4.1753013687</v>
      </c>
      <c r="AK677" s="1">
        <v>61.480738071</v>
      </c>
      <c r="AL677" s="1">
        <v>0.7023530651</v>
      </c>
      <c r="AM677" s="1">
        <v>51.7584147639999</v>
      </c>
      <c r="AN677" s="1">
        <v>9.7546434814</v>
      </c>
      <c r="AO677" s="1">
        <v>27683.0</v>
      </c>
      <c r="AP677" s="1">
        <v>17.6</v>
      </c>
      <c r="AQ677" s="1">
        <v>8.3</v>
      </c>
      <c r="AR677" s="1">
        <v>9.5</v>
      </c>
      <c r="AS677" s="1">
        <v>13.8</v>
      </c>
      <c r="AT677" s="1">
        <v>24.1</v>
      </c>
      <c r="AU677" s="1">
        <v>12.9</v>
      </c>
      <c r="AV677" s="1">
        <v>37.6</v>
      </c>
      <c r="AW677" s="1">
        <v>0.6</v>
      </c>
      <c r="AX677" s="1">
        <v>0.5435</v>
      </c>
      <c r="AY677" s="1">
        <v>13.3</v>
      </c>
      <c r="AZ677" s="1">
        <v>12.2</v>
      </c>
      <c r="BA677" s="1">
        <v>17.1</v>
      </c>
      <c r="BB677" s="1">
        <v>2.99</v>
      </c>
      <c r="BC677" s="1" t="s">
        <v>1152</v>
      </c>
      <c r="BD677" s="1">
        <v>8.9</v>
      </c>
      <c r="BE677" s="1">
        <v>28.1</v>
      </c>
      <c r="BF677" s="1">
        <v>34.9</v>
      </c>
      <c r="BG677" s="1">
        <v>28.0</v>
      </c>
      <c r="BH677" s="1" t="s">
        <v>1275</v>
      </c>
    </row>
    <row r="678">
      <c r="A678" s="1">
        <v>17165.0</v>
      </c>
      <c r="B678" s="2" t="str">
        <f>IFERROR(__xludf.DUMMYFUNCTION("TO_TEXT(A678)"),"17165")</f>
        <v>17165</v>
      </c>
      <c r="C678" s="1">
        <v>24659.0</v>
      </c>
      <c r="D678" s="1">
        <v>379.826542108463</v>
      </c>
      <c r="E678" s="1" t="s">
        <v>392</v>
      </c>
      <c r="F678" s="1" t="s">
        <v>1276</v>
      </c>
      <c r="G678" s="1">
        <v>64.9217399687627</v>
      </c>
      <c r="H678" s="1">
        <v>17.858517367</v>
      </c>
      <c r="I678" s="1">
        <v>4.4411149304</v>
      </c>
      <c r="J678" s="1">
        <v>8.9667728721</v>
      </c>
      <c r="K678" s="1">
        <v>18.731811959</v>
      </c>
      <c r="L678" s="1">
        <v>27.1</v>
      </c>
      <c r="M678" s="1">
        <v>6.3</v>
      </c>
      <c r="N678" s="1">
        <v>35.6</v>
      </c>
      <c r="O678" s="1">
        <v>65.949504275</v>
      </c>
      <c r="P678" s="1">
        <v>7.0537428023</v>
      </c>
      <c r="Q678" s="1">
        <v>62.2355</v>
      </c>
      <c r="R678" s="1">
        <v>87.892461005</v>
      </c>
      <c r="S678" s="1">
        <v>29.7</v>
      </c>
      <c r="T678" s="1">
        <v>5198.0</v>
      </c>
      <c r="U678" s="1">
        <v>40.457868411</v>
      </c>
      <c r="V678" s="1">
        <v>345.6446599</v>
      </c>
      <c r="W678" s="1">
        <v>13.336663337</v>
      </c>
      <c r="X678" s="1">
        <v>11.428571429</v>
      </c>
      <c r="Y678" s="1">
        <v>73.774888494</v>
      </c>
      <c r="Z678" s="1">
        <v>11.2</v>
      </c>
      <c r="AA678" s="1">
        <v>19.749568172</v>
      </c>
      <c r="AB678" s="1">
        <v>40761.0</v>
      </c>
      <c r="AC678" s="1">
        <v>58.192090395</v>
      </c>
      <c r="AD678" s="1">
        <v>72.385522895</v>
      </c>
      <c r="AE678" s="1">
        <v>12.6828249059999</v>
      </c>
      <c r="AF678" s="1">
        <v>3.7856605036</v>
      </c>
      <c r="AG678" s="1">
        <v>0.476867732</v>
      </c>
      <c r="AH678" s="1">
        <v>0.6525558437</v>
      </c>
      <c r="AI678" s="1">
        <v>0.0878440559</v>
      </c>
      <c r="AJ678" s="1">
        <v>1.8907387267</v>
      </c>
      <c r="AK678" s="1">
        <v>91.324353719</v>
      </c>
      <c r="AL678" s="1">
        <v>0.746957247699999</v>
      </c>
      <c r="AM678" s="1">
        <v>50.644189743</v>
      </c>
      <c r="AN678" s="1">
        <v>43.663950548</v>
      </c>
      <c r="AO678" s="1">
        <v>21917.0</v>
      </c>
      <c r="AP678" s="1">
        <v>22.3</v>
      </c>
      <c r="AQ678" s="1">
        <v>12.4</v>
      </c>
      <c r="AR678" s="1">
        <v>13.9</v>
      </c>
      <c r="AS678" s="1">
        <v>19.1</v>
      </c>
      <c r="AT678" s="1">
        <v>21.8</v>
      </c>
      <c r="AU678" s="1">
        <v>20.9</v>
      </c>
      <c r="AV678" s="1">
        <v>8.2</v>
      </c>
      <c r="AW678" s="1">
        <v>0.8</v>
      </c>
      <c r="AX678" s="1">
        <v>0.8309</v>
      </c>
      <c r="AY678" s="1">
        <v>15.7</v>
      </c>
      <c r="AZ678" s="1">
        <v>16.3</v>
      </c>
      <c r="BA678" s="1">
        <v>24.3</v>
      </c>
      <c r="BB678" s="1">
        <v>2.6</v>
      </c>
      <c r="BC678" s="1" t="s">
        <v>1152</v>
      </c>
      <c r="BD678" s="1">
        <v>13.3</v>
      </c>
      <c r="BE678" s="1">
        <v>27.5</v>
      </c>
      <c r="BF678" s="1">
        <v>40.0</v>
      </c>
      <c r="BG678" s="1">
        <v>19.2</v>
      </c>
      <c r="BH678" s="1" t="s">
        <v>1276</v>
      </c>
    </row>
    <row r="679">
      <c r="A679" s="1">
        <v>17167.0</v>
      </c>
      <c r="B679" s="2" t="str">
        <f>IFERROR(__xludf.DUMMYFUNCTION("TO_TEXT(A679)"),"17167")</f>
        <v>17167</v>
      </c>
      <c r="C679" s="1">
        <v>198639.0</v>
      </c>
      <c r="D679" s="1">
        <v>868.301502844183</v>
      </c>
      <c r="E679" s="1" t="s">
        <v>1277</v>
      </c>
      <c r="F679" s="1" t="s">
        <v>1278</v>
      </c>
      <c r="G679" s="1">
        <v>228.767311065734</v>
      </c>
      <c r="H679" s="1">
        <v>15.749531105</v>
      </c>
      <c r="I679" s="1">
        <v>4.26211105649999</v>
      </c>
      <c r="J679" s="1">
        <v>10.305917753</v>
      </c>
      <c r="K679" s="1">
        <v>16.901595992</v>
      </c>
      <c r="L679" s="1">
        <v>30.6</v>
      </c>
      <c r="M679" s="1">
        <v>7.9</v>
      </c>
      <c r="N679" s="1">
        <v>23.6</v>
      </c>
      <c r="O679" s="1">
        <v>83.3980705439999</v>
      </c>
      <c r="P679" s="1">
        <v>5.45739988539999</v>
      </c>
      <c r="Q679" s="1">
        <v>120.13113</v>
      </c>
      <c r="R679" s="1">
        <v>85.277775167</v>
      </c>
      <c r="S679" s="1">
        <v>20.0</v>
      </c>
      <c r="T679" s="1">
        <v>44033.0</v>
      </c>
      <c r="U679" s="1">
        <v>42.377307928</v>
      </c>
      <c r="V679" s="1">
        <v>814.52151736</v>
      </c>
      <c r="W679" s="1">
        <v>13.230861965</v>
      </c>
      <c r="X679" s="1">
        <v>11.872981045</v>
      </c>
      <c r="Y679" s="1">
        <v>78.0218125419999</v>
      </c>
      <c r="Z679" s="1">
        <v>11.2</v>
      </c>
      <c r="AA679" s="1">
        <v>5.1690156462</v>
      </c>
      <c r="AB679" s="1">
        <v>62242.0</v>
      </c>
      <c r="AC679" s="1">
        <v>45.271265908</v>
      </c>
      <c r="AD679" s="1">
        <v>68.910244917</v>
      </c>
      <c r="AE679" s="1">
        <v>12.907882985</v>
      </c>
      <c r="AF679" s="1">
        <v>12.7797571509999</v>
      </c>
      <c r="AG679" s="1">
        <v>0.2692630587</v>
      </c>
      <c r="AH679" s="1">
        <v>2.1100804718</v>
      </c>
      <c r="AI679" s="1">
        <v>0.0378811147</v>
      </c>
      <c r="AJ679" s="1">
        <v>2.350676741</v>
      </c>
      <c r="AK679" s="1">
        <v>80.230665274</v>
      </c>
      <c r="AL679" s="1">
        <v>0.3737153535</v>
      </c>
      <c r="AM679" s="1">
        <v>52.013330057</v>
      </c>
      <c r="AN679" s="1">
        <v>14.126554073</v>
      </c>
      <c r="AO679" s="1">
        <v>31904.0</v>
      </c>
      <c r="AP679" s="1">
        <v>15.2</v>
      </c>
      <c r="AQ679" s="1">
        <v>7.5</v>
      </c>
      <c r="AR679" s="1">
        <v>7.8</v>
      </c>
      <c r="AS679" s="1">
        <v>15.6</v>
      </c>
      <c r="AT679" s="1">
        <v>22.9</v>
      </c>
      <c r="AU679" s="1">
        <v>13.8</v>
      </c>
      <c r="AV679" s="1">
        <v>18.9</v>
      </c>
      <c r="AW679" s="1">
        <v>0.4</v>
      </c>
      <c r="AX679" s="1">
        <v>0.3855</v>
      </c>
      <c r="AY679" s="1">
        <v>12.2</v>
      </c>
      <c r="AZ679" s="1">
        <v>11.4</v>
      </c>
      <c r="BA679" s="1">
        <v>16.7</v>
      </c>
      <c r="BB679" s="1">
        <v>3.0</v>
      </c>
      <c r="BC679" s="1" t="s">
        <v>1152</v>
      </c>
      <c r="BD679" s="1">
        <v>7.5</v>
      </c>
      <c r="BE679" s="1">
        <v>27.2</v>
      </c>
      <c r="BF679" s="1">
        <v>30.8</v>
      </c>
      <c r="BG679" s="1">
        <v>34.5</v>
      </c>
      <c r="BH679" s="1" t="s">
        <v>1278</v>
      </c>
    </row>
    <row r="680">
      <c r="A680" s="1">
        <v>17169.0</v>
      </c>
      <c r="B680" s="2" t="str">
        <f>IFERROR(__xludf.DUMMYFUNCTION("TO_TEXT(A680)"),"17169")</f>
        <v>17169</v>
      </c>
      <c r="C680" s="1">
        <v>7205.0</v>
      </c>
      <c r="D680" s="1">
        <v>437.272752888992</v>
      </c>
      <c r="E680" s="1" t="s">
        <v>1279</v>
      </c>
      <c r="F680" s="1" t="s">
        <v>1280</v>
      </c>
      <c r="G680" s="1">
        <v>16.4771300118694</v>
      </c>
      <c r="H680" s="1">
        <v>15.735633512</v>
      </c>
      <c r="I680" s="1">
        <v>4.0954715817</v>
      </c>
      <c r="J680" s="1">
        <v>7.5294117647</v>
      </c>
      <c r="K680" s="1">
        <v>16.459891129</v>
      </c>
      <c r="L680" s="1">
        <v>25.9</v>
      </c>
      <c r="M680" s="1">
        <v>8.0</v>
      </c>
      <c r="N680" s="1">
        <v>21.9</v>
      </c>
      <c r="O680" s="1">
        <v>35.299575822</v>
      </c>
      <c r="P680" s="1">
        <v>6.8372943327</v>
      </c>
      <c r="Q680" s="1">
        <v>28.42928</v>
      </c>
      <c r="R680" s="1">
        <v>88.0</v>
      </c>
      <c r="S680" s="1">
        <v>14.9</v>
      </c>
      <c r="T680" s="1">
        <v>1329.0</v>
      </c>
      <c r="U680" s="1">
        <v>46.124905944</v>
      </c>
      <c r="V680" s="1">
        <v>139.74287311</v>
      </c>
      <c r="W680" s="1">
        <v>4.222972973</v>
      </c>
      <c r="X680" s="1">
        <v>3.3898305085</v>
      </c>
      <c r="Y680" s="1">
        <v>75.6352053339999</v>
      </c>
      <c r="Z680" s="1">
        <v>14.7</v>
      </c>
      <c r="AA680" s="1">
        <v>3.5722130233</v>
      </c>
      <c r="AB680" s="1">
        <v>52018.0</v>
      </c>
      <c r="AC680" s="1">
        <v>39.6795475969999</v>
      </c>
      <c r="AD680" s="1">
        <v>76.480959097</v>
      </c>
      <c r="AE680" s="1">
        <v>4.6292947559</v>
      </c>
      <c r="AF680" s="1">
        <v>3.5760822354</v>
      </c>
      <c r="AG680" s="1">
        <v>0.1882148545</v>
      </c>
      <c r="AH680" s="1">
        <v>0.4198639062</v>
      </c>
      <c r="AI680" s="1">
        <v>0.0</v>
      </c>
      <c r="AJ680" s="1">
        <v>1.8676704792</v>
      </c>
      <c r="AK680" s="1">
        <v>93.4269581579999</v>
      </c>
      <c r="AL680" s="1">
        <v>1.2566528681</v>
      </c>
      <c r="AM680" s="1">
        <v>47.531489793</v>
      </c>
      <c r="AN680" s="1">
        <v>57.635206787</v>
      </c>
      <c r="AO680" s="1">
        <v>24323.0</v>
      </c>
      <c r="AP680" s="1">
        <v>20.1</v>
      </c>
      <c r="AQ680" s="1">
        <v>6.2</v>
      </c>
      <c r="AR680" s="1">
        <v>11.2</v>
      </c>
      <c r="AS680" s="1">
        <v>19.6</v>
      </c>
      <c r="AT680" s="1">
        <v>18.7</v>
      </c>
      <c r="AU680" s="1">
        <v>17.4</v>
      </c>
      <c r="AV680" s="1">
        <v>6.1</v>
      </c>
      <c r="AW680" s="1">
        <v>0.4</v>
      </c>
      <c r="AX680" s="1">
        <v>0.3604</v>
      </c>
      <c r="AY680" s="1">
        <v>11.3</v>
      </c>
      <c r="AZ680" s="1">
        <v>14.6</v>
      </c>
      <c r="BA680" s="1">
        <v>16.3</v>
      </c>
      <c r="BB680" s="1">
        <v>2.79</v>
      </c>
      <c r="BC680" s="1" t="s">
        <v>1152</v>
      </c>
      <c r="BD680" s="1">
        <v>10.6</v>
      </c>
      <c r="BE680" s="1">
        <v>35.6</v>
      </c>
      <c r="BF680" s="1">
        <v>33.4</v>
      </c>
      <c r="BG680" s="1">
        <v>20.4</v>
      </c>
      <c r="BH680" s="1" t="s">
        <v>1280</v>
      </c>
    </row>
    <row r="681">
      <c r="A681" s="1">
        <v>17171.0</v>
      </c>
      <c r="B681" s="2" t="str">
        <f>IFERROR(__xludf.DUMMYFUNCTION("TO_TEXT(A681)"),"17171")</f>
        <v>17171</v>
      </c>
      <c r="C681" s="1">
        <v>5169.0</v>
      </c>
      <c r="D681" s="1">
        <v>250.912722942071</v>
      </c>
      <c r="E681" s="1" t="s">
        <v>394</v>
      </c>
      <c r="F681" s="1" t="s">
        <v>1281</v>
      </c>
      <c r="G681" s="1">
        <v>20.6007887499326</v>
      </c>
      <c r="H681" s="1">
        <v>15.151326306</v>
      </c>
      <c r="I681" s="1">
        <v>4.0800354331</v>
      </c>
      <c r="J681" s="1">
        <v>6.2130177515</v>
      </c>
      <c r="K681" s="1">
        <v>16.011124784</v>
      </c>
      <c r="L681" s="1">
        <v>28.2</v>
      </c>
      <c r="M681" s="1">
        <v>8.5</v>
      </c>
      <c r="N681" s="1">
        <v>25.6</v>
      </c>
      <c r="O681" s="1">
        <v>48.571428571</v>
      </c>
      <c r="P681" s="1">
        <v>5.0149700599</v>
      </c>
      <c r="Q681" s="1">
        <v>48.31939</v>
      </c>
      <c r="R681" s="1">
        <v>95.432098765</v>
      </c>
      <c r="S681" s="1">
        <v>15.0</v>
      </c>
      <c r="T681" s="1">
        <v>1110.0</v>
      </c>
      <c r="U681" s="1">
        <v>36.756756757</v>
      </c>
      <c r="V681" s="1">
        <v>27.921262041</v>
      </c>
      <c r="W681" s="1">
        <v>9.3301435407</v>
      </c>
      <c r="X681" s="1">
        <v>7.9217603912</v>
      </c>
      <c r="Y681" s="1">
        <v>76.852993605</v>
      </c>
      <c r="Z681" s="1">
        <v>13.7</v>
      </c>
      <c r="AA681" s="1">
        <v>1.2632137178</v>
      </c>
      <c r="AB681" s="1">
        <v>55198.0</v>
      </c>
      <c r="AC681" s="1">
        <v>48.1525625739999</v>
      </c>
      <c r="AD681" s="1">
        <v>78.20316488</v>
      </c>
      <c r="AE681" s="1">
        <v>7.13145290049999</v>
      </c>
      <c r="AF681" s="1">
        <v>0.527811611899999</v>
      </c>
      <c r="AG681" s="1">
        <v>0.2233049127</v>
      </c>
      <c r="AH681" s="1">
        <v>0.2233049127</v>
      </c>
      <c r="AI681" s="1">
        <v>0.0</v>
      </c>
      <c r="AJ681" s="1">
        <v>1.299228583</v>
      </c>
      <c r="AK681" s="1">
        <v>96.894031669</v>
      </c>
      <c r="AL681" s="1">
        <v>0.166597251099999</v>
      </c>
      <c r="AM681" s="1">
        <v>50.588712952</v>
      </c>
      <c r="AN681" s="1">
        <v>100.0</v>
      </c>
      <c r="AO681" s="1">
        <v>25568.0</v>
      </c>
      <c r="AP681" s="1">
        <v>14.9</v>
      </c>
      <c r="AQ681" s="1">
        <v>9.7</v>
      </c>
      <c r="AR681" s="1">
        <v>7.7</v>
      </c>
      <c r="AS681" s="1">
        <v>19.0</v>
      </c>
      <c r="AT681" s="1">
        <v>22.6</v>
      </c>
      <c r="AU681" s="1">
        <v>11.1</v>
      </c>
      <c r="AV681" s="1">
        <v>2.8</v>
      </c>
      <c r="AW681" s="1">
        <v>0.3</v>
      </c>
      <c r="AX681" s="1">
        <v>0.1684</v>
      </c>
      <c r="AY681" s="1">
        <v>11.2</v>
      </c>
      <c r="AZ681" s="1">
        <v>10.3</v>
      </c>
      <c r="BA681" s="1">
        <v>16.0</v>
      </c>
      <c r="BB681" s="1">
        <v>2.71</v>
      </c>
      <c r="BC681" s="1" t="s">
        <v>1152</v>
      </c>
      <c r="BD681" s="1">
        <v>6.5</v>
      </c>
      <c r="BE681" s="1">
        <v>47.7</v>
      </c>
      <c r="BF681" s="1">
        <v>29.9</v>
      </c>
      <c r="BG681" s="1">
        <v>15.8</v>
      </c>
      <c r="BH681" s="1" t="s">
        <v>1281</v>
      </c>
    </row>
    <row r="682">
      <c r="A682" s="1">
        <v>17173.0</v>
      </c>
      <c r="B682" s="2" t="str">
        <f>IFERROR(__xludf.DUMMYFUNCTION("TO_TEXT(A682)"),"17173")</f>
        <v>17173</v>
      </c>
      <c r="C682" s="1">
        <v>22011.0</v>
      </c>
      <c r="D682" s="1">
        <v>758.535278386218</v>
      </c>
      <c r="E682" s="1" t="s">
        <v>176</v>
      </c>
      <c r="F682" s="1" t="s">
        <v>1282</v>
      </c>
      <c r="G682" s="1">
        <v>29.0177670402204</v>
      </c>
      <c r="H682" s="1">
        <v>14.994887962</v>
      </c>
      <c r="I682" s="1">
        <v>4.0327396934</v>
      </c>
      <c r="J682" s="1">
        <v>7.7370564282</v>
      </c>
      <c r="K682" s="1">
        <v>15.6082807329999</v>
      </c>
      <c r="L682" s="1">
        <v>32.3</v>
      </c>
      <c r="M682" s="1">
        <v>8.1</v>
      </c>
      <c r="N682" s="1">
        <v>25.5</v>
      </c>
      <c r="O682" s="1">
        <v>51.124625497</v>
      </c>
      <c r="P682" s="1">
        <v>5.0835407039</v>
      </c>
      <c r="Q682" s="1">
        <v>27.62558</v>
      </c>
      <c r="R682" s="1">
        <v>93.461187215</v>
      </c>
      <c r="S682" s="1">
        <v>13.3</v>
      </c>
      <c r="T682" s="1">
        <v>4656.0</v>
      </c>
      <c r="U682" s="1">
        <v>23.840206186</v>
      </c>
      <c r="V682" s="1">
        <v>51.85227862</v>
      </c>
      <c r="W682" s="1">
        <v>8.6272381986</v>
      </c>
      <c r="X682" s="1">
        <v>6.5498357065</v>
      </c>
      <c r="Y682" s="1">
        <v>80.434708281</v>
      </c>
      <c r="Z682" s="1">
        <v>11.3</v>
      </c>
      <c r="AA682" s="1">
        <v>9.0972529463</v>
      </c>
      <c r="AB682" s="1">
        <v>56509.0</v>
      </c>
      <c r="AC682" s="1">
        <v>45.184389545</v>
      </c>
      <c r="AD682" s="1">
        <v>80.234706074</v>
      </c>
      <c r="AE682" s="1">
        <v>8.2269182959</v>
      </c>
      <c r="AF682" s="1">
        <v>0.3403707281</v>
      </c>
      <c r="AG682" s="1">
        <v>0.2207810128</v>
      </c>
      <c r="AH682" s="1">
        <v>0.335771123699999</v>
      </c>
      <c r="AI682" s="1">
        <v>0.0413964399</v>
      </c>
      <c r="AJ682" s="1">
        <v>1.0579090198</v>
      </c>
      <c r="AK682" s="1">
        <v>97.1712432729999</v>
      </c>
      <c r="AL682" s="1">
        <v>0.1113639665</v>
      </c>
      <c r="AM682" s="1">
        <v>50.255278046</v>
      </c>
      <c r="AN682" s="1">
        <v>77.731073648</v>
      </c>
      <c r="AO682" s="1">
        <v>23974.0</v>
      </c>
      <c r="AP682" s="1">
        <v>12.9</v>
      </c>
      <c r="AQ682" s="1">
        <v>5.4</v>
      </c>
      <c r="AR682" s="1">
        <v>7.7</v>
      </c>
      <c r="AS682" s="1">
        <v>20.4</v>
      </c>
      <c r="AT682" s="1">
        <v>21.7</v>
      </c>
      <c r="AU682" s="1">
        <v>12.3</v>
      </c>
      <c r="AV682" s="1">
        <v>2.5</v>
      </c>
      <c r="AW682" s="1">
        <v>0.1</v>
      </c>
      <c r="AX682" s="1">
        <v>0.0952</v>
      </c>
      <c r="AY682" s="1">
        <v>9.4</v>
      </c>
      <c r="AZ682" s="1">
        <v>9.5</v>
      </c>
      <c r="BA682" s="1">
        <v>13.2</v>
      </c>
      <c r="BB682" s="1">
        <v>2.97</v>
      </c>
      <c r="BC682" s="1" t="s">
        <v>1152</v>
      </c>
      <c r="BD682" s="1">
        <v>7.7</v>
      </c>
      <c r="BE682" s="1">
        <v>44.4</v>
      </c>
      <c r="BF682" s="1">
        <v>31.0</v>
      </c>
      <c r="BG682" s="1">
        <v>16.8</v>
      </c>
      <c r="BH682" s="1" t="s">
        <v>1282</v>
      </c>
    </row>
    <row r="683">
      <c r="A683" s="1">
        <v>17175.0</v>
      </c>
      <c r="B683" s="2" t="str">
        <f>IFERROR(__xludf.DUMMYFUNCTION("TO_TEXT(A683)"),"17175")</f>
        <v>17175</v>
      </c>
      <c r="C683" s="1">
        <v>5840.0</v>
      </c>
      <c r="D683" s="1">
        <v>288.07899953198</v>
      </c>
      <c r="E683" s="1" t="s">
        <v>1283</v>
      </c>
      <c r="F683" s="1" t="s">
        <v>1284</v>
      </c>
      <c r="G683" s="1">
        <v>20.2722170289671</v>
      </c>
      <c r="H683" s="1">
        <v>14.7950568159999</v>
      </c>
      <c r="I683" s="1">
        <v>4.0244610978</v>
      </c>
      <c r="J683" s="1">
        <v>5.6470588235</v>
      </c>
      <c r="K683" s="1">
        <v>15.859073109</v>
      </c>
      <c r="L683" s="1">
        <v>25.5</v>
      </c>
      <c r="M683" s="1">
        <v>7.8</v>
      </c>
      <c r="N683" s="1">
        <v>24.0</v>
      </c>
      <c r="O683" s="1">
        <v>56.806806807</v>
      </c>
      <c r="P683" s="1">
        <v>6.2806444081</v>
      </c>
      <c r="Q683" s="1">
        <v>18.40265</v>
      </c>
      <c r="R683" s="1">
        <v>90.9</v>
      </c>
      <c r="S683" s="1">
        <v>17.2</v>
      </c>
      <c r="T683" s="1">
        <v>1196.0</v>
      </c>
      <c r="U683" s="1">
        <v>36.789297659</v>
      </c>
      <c r="V683" s="1">
        <v>40.733197556</v>
      </c>
      <c r="W683" s="1">
        <v>9.243697479</v>
      </c>
      <c r="X683" s="1">
        <v>7.59762309</v>
      </c>
      <c r="Y683" s="1">
        <v>76.682870448</v>
      </c>
      <c r="Z683" s="1">
        <v>6.3</v>
      </c>
      <c r="AA683" s="1">
        <v>9.3791635289</v>
      </c>
      <c r="AB683" s="1">
        <v>52651.0</v>
      </c>
      <c r="AC683" s="1">
        <v>42.95532646</v>
      </c>
      <c r="AD683" s="1">
        <v>80.252833479</v>
      </c>
      <c r="AE683" s="1">
        <v>8.9277496549</v>
      </c>
      <c r="AF683" s="1">
        <v>0.8291873964</v>
      </c>
      <c r="AG683" s="1">
        <v>0.2395430256</v>
      </c>
      <c r="AH683" s="1">
        <v>0.5527915976</v>
      </c>
      <c r="AI683" s="1">
        <v>0.0737055463</v>
      </c>
      <c r="AJ683" s="1">
        <v>2.0084761378</v>
      </c>
      <c r="AK683" s="1">
        <v>95.080154782</v>
      </c>
      <c r="AL683" s="1">
        <v>0.0770712908999999</v>
      </c>
      <c r="AM683" s="1">
        <v>50.488299245</v>
      </c>
      <c r="AN683" s="1">
        <v>100.0</v>
      </c>
      <c r="AO683" s="1">
        <v>28545.0</v>
      </c>
      <c r="AP683" s="1">
        <v>13.4</v>
      </c>
      <c r="AQ683" s="1">
        <v>6.9</v>
      </c>
      <c r="AR683" s="1">
        <v>12.3</v>
      </c>
      <c r="AS683" s="1">
        <v>24.2</v>
      </c>
      <c r="AT683" s="1">
        <v>21.1</v>
      </c>
      <c r="AU683" s="1">
        <v>16.2</v>
      </c>
      <c r="AV683" s="1">
        <v>3.5</v>
      </c>
      <c r="AW683" s="1">
        <v>0.1</v>
      </c>
      <c r="AX683" s="1">
        <v>0.0968</v>
      </c>
      <c r="AY683" s="1">
        <v>11.2</v>
      </c>
      <c r="AZ683" s="1">
        <v>11.7</v>
      </c>
      <c r="BA683" s="1">
        <v>20.3</v>
      </c>
      <c r="BB683" s="1">
        <v>2.83</v>
      </c>
      <c r="BC683" s="1" t="s">
        <v>1152</v>
      </c>
      <c r="BD683" s="1">
        <v>8.7</v>
      </c>
      <c r="BE683" s="1">
        <v>41.6</v>
      </c>
      <c r="BF683" s="1">
        <v>32.6</v>
      </c>
      <c r="BG683" s="1">
        <v>17.0</v>
      </c>
      <c r="BH683" s="1" t="s">
        <v>1284</v>
      </c>
    </row>
    <row r="684">
      <c r="A684" s="1">
        <v>17177.0</v>
      </c>
      <c r="B684" s="2" t="str">
        <f>IFERROR(__xludf.DUMMYFUNCTION("TO_TEXT(A684)"),"17177")</f>
        <v>17177</v>
      </c>
      <c r="C684" s="1">
        <v>46283.0</v>
      </c>
      <c r="D684" s="1">
        <v>564.548928144423</v>
      </c>
      <c r="E684" s="1" t="s">
        <v>1285</v>
      </c>
      <c r="F684" s="1" t="s">
        <v>1286</v>
      </c>
      <c r="G684" s="1">
        <v>81.982265296516</v>
      </c>
      <c r="H684" s="1">
        <v>16.527653259</v>
      </c>
      <c r="I684" s="1">
        <v>4.267460904</v>
      </c>
      <c r="J684" s="1">
        <v>9.1380801384</v>
      </c>
      <c r="K684" s="1">
        <v>16.163153541</v>
      </c>
      <c r="L684" s="1">
        <v>34.0</v>
      </c>
      <c r="M684" s="1">
        <v>8.1</v>
      </c>
      <c r="N684" s="1">
        <v>25.0</v>
      </c>
      <c r="O684" s="1">
        <v>65.674582381</v>
      </c>
      <c r="P684" s="1">
        <v>6.287029048</v>
      </c>
      <c r="Q684" s="1">
        <v>42.17162</v>
      </c>
      <c r="R684" s="1">
        <v>81.769498681</v>
      </c>
      <c r="S684" s="1">
        <v>20.9</v>
      </c>
      <c r="T684" s="1">
        <v>9731.0</v>
      </c>
      <c r="U684" s="1">
        <v>46.06926318</v>
      </c>
      <c r="V684" s="1">
        <v>127.64782999</v>
      </c>
      <c r="W684" s="1">
        <v>12.51596424</v>
      </c>
      <c r="X684" s="1">
        <v>11.093831001</v>
      </c>
      <c r="Y684" s="1">
        <v>79.060873277</v>
      </c>
      <c r="Z684" s="1">
        <v>10.7</v>
      </c>
      <c r="AA684" s="1">
        <v>2.1565792755</v>
      </c>
      <c r="AB684" s="1">
        <v>47357.0</v>
      </c>
      <c r="AC684" s="1">
        <v>52.181958365</v>
      </c>
      <c r="AD684" s="1">
        <v>68.682747718</v>
      </c>
      <c r="AE684" s="1">
        <v>10.671101959</v>
      </c>
      <c r="AF684" s="1">
        <v>9.9457019641</v>
      </c>
      <c r="AG684" s="1">
        <v>0.2882488325</v>
      </c>
      <c r="AH684" s="1">
        <v>0.6658771479</v>
      </c>
      <c r="AI684" s="1">
        <v>0.0424552544</v>
      </c>
      <c r="AJ684" s="1">
        <v>4.1807253145</v>
      </c>
      <c r="AK684" s="1">
        <v>82.195606998</v>
      </c>
      <c r="AL684" s="1">
        <v>0.3378378378</v>
      </c>
      <c r="AM684" s="1">
        <v>51.3864992289999</v>
      </c>
      <c r="AN684" s="1">
        <v>40.093479491</v>
      </c>
      <c r="AO684" s="1">
        <v>24529.0</v>
      </c>
      <c r="AP684" s="1">
        <v>15.9</v>
      </c>
      <c r="AQ684" s="1">
        <v>8.5</v>
      </c>
      <c r="AR684" s="1">
        <v>9.3</v>
      </c>
      <c r="AS684" s="1">
        <v>20.6</v>
      </c>
      <c r="AT684" s="1">
        <v>21.7</v>
      </c>
      <c r="AU684" s="1">
        <v>14.2</v>
      </c>
      <c r="AV684" s="1">
        <v>16.2</v>
      </c>
      <c r="AW684" s="1">
        <v>0.3</v>
      </c>
      <c r="AX684" s="1">
        <v>0.5059</v>
      </c>
      <c r="AY684" s="1">
        <v>11.5</v>
      </c>
      <c r="AZ684" s="1">
        <v>11.6</v>
      </c>
      <c r="BA684" s="1">
        <v>16.8</v>
      </c>
      <c r="BB684" s="1">
        <v>2.89</v>
      </c>
      <c r="BC684" s="1" t="s">
        <v>1152</v>
      </c>
      <c r="BD684" s="1">
        <v>7.5</v>
      </c>
      <c r="BE684" s="1">
        <v>35.0</v>
      </c>
      <c r="BF684" s="1">
        <v>38.0</v>
      </c>
      <c r="BG684" s="1">
        <v>19.6</v>
      </c>
      <c r="BH684" s="1" t="s">
        <v>1286</v>
      </c>
    </row>
    <row r="685">
      <c r="A685" s="1">
        <v>17179.0</v>
      </c>
      <c r="B685" s="2" t="str">
        <f>IFERROR(__xludf.DUMMYFUNCTION("TO_TEXT(A685)"),"17179")</f>
        <v>17179</v>
      </c>
      <c r="C685" s="1">
        <v>135400.0</v>
      </c>
      <c r="D685" s="1">
        <v>646.885353390324</v>
      </c>
      <c r="E685" s="1" t="s">
        <v>1287</v>
      </c>
      <c r="F685" s="1" t="s">
        <v>1288</v>
      </c>
      <c r="G685" s="1">
        <v>209.310659594268</v>
      </c>
      <c r="H685" s="1">
        <v>12.977281957</v>
      </c>
      <c r="I685" s="1">
        <v>3.8239783084</v>
      </c>
      <c r="J685" s="1">
        <v>6.3595673256</v>
      </c>
      <c r="K685" s="1">
        <v>15.30132726</v>
      </c>
      <c r="L685" s="1">
        <v>32.5</v>
      </c>
      <c r="M685" s="1">
        <v>8.1</v>
      </c>
      <c r="N685" s="1">
        <v>25.4</v>
      </c>
      <c r="O685" s="1">
        <v>84.20535622</v>
      </c>
      <c r="P685" s="1">
        <v>4.6238426463</v>
      </c>
      <c r="Q685" s="1">
        <v>46.4329</v>
      </c>
      <c r="R685" s="1">
        <v>88.9993794029999</v>
      </c>
      <c r="S685" s="1">
        <v>12.2</v>
      </c>
      <c r="T685" s="1">
        <v>30214.0</v>
      </c>
      <c r="U685" s="1">
        <v>25.206857748</v>
      </c>
      <c r="V685" s="1">
        <v>241.30028393</v>
      </c>
      <c r="W685" s="1">
        <v>8.5332356711</v>
      </c>
      <c r="X685" s="1">
        <v>6.7959372114</v>
      </c>
      <c r="Y685" s="1">
        <v>78.7113921489999</v>
      </c>
      <c r="Z685" s="1">
        <v>12.4</v>
      </c>
      <c r="AA685" s="1">
        <v>10.175342835</v>
      </c>
      <c r="AB685" s="1">
        <v>61508.0</v>
      </c>
      <c r="AC685" s="1">
        <v>36.372996029</v>
      </c>
      <c r="AD685" s="1">
        <v>76.457986194</v>
      </c>
      <c r="AE685" s="1">
        <v>7.3239542582</v>
      </c>
      <c r="AF685" s="1">
        <v>1.2574814098</v>
      </c>
      <c r="AG685" s="1">
        <v>0.3264615199</v>
      </c>
      <c r="AH685" s="1">
        <v>0.9219515144</v>
      </c>
      <c r="AI685" s="1">
        <v>0.0317393144</v>
      </c>
      <c r="AJ685" s="1">
        <v>2.3199927453</v>
      </c>
      <c r="AK685" s="1">
        <v>93.915875703</v>
      </c>
      <c r="AL685" s="1">
        <v>0.3178462736</v>
      </c>
      <c r="AM685" s="1">
        <v>50.84940451</v>
      </c>
      <c r="AN685" s="1">
        <v>20.418186921</v>
      </c>
      <c r="AO685" s="1">
        <v>30700.0</v>
      </c>
      <c r="AP685" s="1">
        <v>7.9</v>
      </c>
      <c r="AQ685" s="1">
        <v>5.1</v>
      </c>
      <c r="AR685" s="1">
        <v>7.2</v>
      </c>
      <c r="AS685" s="1">
        <v>17.0</v>
      </c>
      <c r="AT685" s="1">
        <v>23.1</v>
      </c>
      <c r="AU685" s="1">
        <v>11.3</v>
      </c>
      <c r="AV685" s="1">
        <v>5.7</v>
      </c>
      <c r="AW685" s="1">
        <v>0.2</v>
      </c>
      <c r="AX685" s="1">
        <v>0.0716</v>
      </c>
      <c r="AY685" s="1">
        <v>8.2</v>
      </c>
      <c r="AZ685" s="1">
        <v>8.7</v>
      </c>
      <c r="BA685" s="1">
        <v>12.7</v>
      </c>
      <c r="BB685" s="1">
        <v>2.84</v>
      </c>
      <c r="BC685" s="1" t="s">
        <v>1152</v>
      </c>
      <c r="BD685" s="1">
        <v>7.3</v>
      </c>
      <c r="BE685" s="1">
        <v>31.7</v>
      </c>
      <c r="BF685" s="1">
        <v>34.7</v>
      </c>
      <c r="BG685" s="1">
        <v>26.3</v>
      </c>
      <c r="BH685" s="1" t="s">
        <v>1288</v>
      </c>
    </row>
    <row r="686">
      <c r="A686" s="1">
        <v>17181.0</v>
      </c>
      <c r="B686" s="2" t="str">
        <f>IFERROR(__xludf.DUMMYFUNCTION("TO_TEXT(A686)"),"17181")</f>
        <v>17181</v>
      </c>
      <c r="C686" s="1">
        <v>17458.0</v>
      </c>
      <c r="D686" s="1">
        <v>413.459619373676</v>
      </c>
      <c r="E686" s="1" t="s">
        <v>406</v>
      </c>
      <c r="F686" s="1" t="s">
        <v>1289</v>
      </c>
      <c r="G686" s="1">
        <v>42.2241959842319</v>
      </c>
      <c r="H686" s="1">
        <v>16.722820266</v>
      </c>
      <c r="I686" s="1">
        <v>4.2175546852</v>
      </c>
      <c r="J686" s="1">
        <v>5.6024558711</v>
      </c>
      <c r="K686" s="1">
        <v>16.923430909</v>
      </c>
      <c r="L686" s="1">
        <v>37.2</v>
      </c>
      <c r="M686" s="1">
        <v>8.0</v>
      </c>
      <c r="N686" s="1">
        <v>28.9</v>
      </c>
      <c r="O686" s="1">
        <v>54.30705301</v>
      </c>
      <c r="P686" s="1">
        <v>7.252763669</v>
      </c>
      <c r="Q686" s="1">
        <v>70.58824</v>
      </c>
      <c r="R686" s="1">
        <v>91.452810304</v>
      </c>
      <c r="S686" s="1">
        <v>24.5</v>
      </c>
      <c r="T686" s="1">
        <v>3526.0</v>
      </c>
      <c r="U686" s="1">
        <v>34.826999433</v>
      </c>
      <c r="V686" s="1">
        <v>211.999152</v>
      </c>
      <c r="W686" s="1">
        <v>11.669128508</v>
      </c>
      <c r="X686" s="1">
        <v>8.7387387387</v>
      </c>
      <c r="Y686" s="1">
        <v>76.093474838</v>
      </c>
      <c r="Z686" s="1">
        <v>10.2</v>
      </c>
      <c r="AA686" s="1">
        <v>5.4209245571</v>
      </c>
      <c r="AB686" s="1">
        <v>49716.0</v>
      </c>
      <c r="AC686" s="1">
        <v>61.413043478</v>
      </c>
      <c r="AD686" s="1">
        <v>77.612835508</v>
      </c>
      <c r="AE686" s="1">
        <v>9.4755189352</v>
      </c>
      <c r="AF686" s="1">
        <v>1.2350810522</v>
      </c>
      <c r="AG686" s="1">
        <v>0.7125467609</v>
      </c>
      <c r="AH686" s="1">
        <v>0.4631553946</v>
      </c>
      <c r="AI686" s="1">
        <v>0.035627338</v>
      </c>
      <c r="AJ686" s="1">
        <v>5.3441007066</v>
      </c>
      <c r="AK686" s="1">
        <v>91.051600261</v>
      </c>
      <c r="AL686" s="1">
        <v>0.4747225647</v>
      </c>
      <c r="AM686" s="1">
        <v>49.890149041</v>
      </c>
      <c r="AN686" s="1">
        <v>65.869272237</v>
      </c>
      <c r="AO686" s="1">
        <v>24296.0</v>
      </c>
      <c r="AP686" s="1">
        <v>15.5</v>
      </c>
      <c r="AQ686" s="1">
        <v>6.3</v>
      </c>
      <c r="AR686" s="1">
        <v>14.4</v>
      </c>
      <c r="AS686" s="1">
        <v>19.5</v>
      </c>
      <c r="AT686" s="1">
        <v>20.8</v>
      </c>
      <c r="AU686" s="1">
        <v>17.7</v>
      </c>
      <c r="AV686" s="1">
        <v>8.6</v>
      </c>
      <c r="AW686" s="1">
        <v>0.5</v>
      </c>
      <c r="AX686" s="1">
        <v>0.5279</v>
      </c>
      <c r="AY686" s="1">
        <v>17.2</v>
      </c>
      <c r="AZ686" s="1">
        <v>13.7</v>
      </c>
      <c r="BA686" s="1">
        <v>20.1</v>
      </c>
      <c r="BB686" s="1">
        <v>2.83</v>
      </c>
      <c r="BC686" s="1" t="s">
        <v>1152</v>
      </c>
      <c r="BD686" s="1">
        <v>11.6</v>
      </c>
      <c r="BE686" s="1">
        <v>35.4</v>
      </c>
      <c r="BF686" s="1">
        <v>31.2</v>
      </c>
      <c r="BG686" s="1">
        <v>21.7</v>
      </c>
      <c r="BH686" s="1" t="s">
        <v>1289</v>
      </c>
    </row>
    <row r="687">
      <c r="A687" s="1">
        <v>17183.0</v>
      </c>
      <c r="B687" s="2" t="str">
        <f>IFERROR(__xludf.DUMMYFUNCTION("TO_TEXT(A687)"),"17183")</f>
        <v>17183</v>
      </c>
      <c r="C687" s="1">
        <v>79613.0</v>
      </c>
      <c r="D687" s="1">
        <v>898.368050143448</v>
      </c>
      <c r="E687" s="1" t="s">
        <v>1290</v>
      </c>
      <c r="F687" s="1" t="s">
        <v>1291</v>
      </c>
      <c r="G687" s="1">
        <v>88.6195807912889</v>
      </c>
      <c r="H687" s="1">
        <v>17.946635114</v>
      </c>
      <c r="I687" s="1">
        <v>4.2575801095</v>
      </c>
      <c r="J687" s="1">
        <v>10.70323488</v>
      </c>
      <c r="K687" s="1">
        <v>17.673739551</v>
      </c>
      <c r="L687" s="1">
        <v>40.9</v>
      </c>
      <c r="M687" s="1">
        <v>7.4</v>
      </c>
      <c r="N687" s="1">
        <v>31.5</v>
      </c>
      <c r="O687" s="1">
        <v>75.1411944869999</v>
      </c>
      <c r="P687" s="1">
        <v>6.4625682114</v>
      </c>
      <c r="Q687" s="1">
        <v>43.64066</v>
      </c>
      <c r="R687" s="1">
        <v>83.1561160839999</v>
      </c>
      <c r="S687" s="1">
        <v>29.5</v>
      </c>
      <c r="T687" s="1">
        <v>18411.0</v>
      </c>
      <c r="U687" s="1">
        <v>43.620661561</v>
      </c>
      <c r="V687" s="1">
        <v>704.73158584</v>
      </c>
      <c r="W687" s="1">
        <v>12.175015853</v>
      </c>
      <c r="X687" s="1">
        <v>10.605522364</v>
      </c>
      <c r="Y687" s="1">
        <v>74.924241634</v>
      </c>
      <c r="Z687" s="1">
        <v>16.5</v>
      </c>
      <c r="AA687" s="1">
        <v>5.7204855006</v>
      </c>
      <c r="AB687" s="1">
        <v>44638.0</v>
      </c>
      <c r="AC687" s="1">
        <v>59.2393452989999</v>
      </c>
      <c r="AD687" s="1">
        <v>69.156510584</v>
      </c>
      <c r="AE687" s="1">
        <v>11.130365236</v>
      </c>
      <c r="AF687" s="1">
        <v>13.532796917</v>
      </c>
      <c r="AG687" s="1">
        <v>0.3905944848</v>
      </c>
      <c r="AH687" s="1">
        <v>0.9074811864</v>
      </c>
      <c r="AI687" s="1">
        <v>0.0351535036</v>
      </c>
      <c r="AJ687" s="1">
        <v>5.2066244825</v>
      </c>
      <c r="AK687" s="1">
        <v>77.930109627</v>
      </c>
      <c r="AL687" s="1">
        <v>0.715211902</v>
      </c>
      <c r="AM687" s="1">
        <v>50.2369606539999</v>
      </c>
      <c r="AN687" s="1">
        <v>31.256355283</v>
      </c>
      <c r="AO687" s="1">
        <v>22733.0</v>
      </c>
      <c r="AP687" s="1">
        <v>19.7</v>
      </c>
      <c r="AQ687" s="1">
        <v>9.7</v>
      </c>
      <c r="AR687" s="1">
        <v>12.8</v>
      </c>
      <c r="AS687" s="1">
        <v>17.4</v>
      </c>
      <c r="AT687" s="1">
        <v>24.0</v>
      </c>
      <c r="AU687" s="1">
        <v>15.4</v>
      </c>
      <c r="AV687" s="1">
        <v>20.8</v>
      </c>
      <c r="AW687" s="1">
        <v>0.7</v>
      </c>
      <c r="AX687" s="1">
        <v>0.7953</v>
      </c>
      <c r="AY687" s="1">
        <v>16.8</v>
      </c>
      <c r="AZ687" s="1">
        <v>13.8</v>
      </c>
      <c r="BA687" s="1">
        <v>21.0</v>
      </c>
      <c r="BB687" s="1">
        <v>2.78</v>
      </c>
      <c r="BC687" s="1" t="s">
        <v>1152</v>
      </c>
      <c r="BD687" s="1">
        <v>11.5</v>
      </c>
      <c r="BE687" s="1">
        <v>41.2</v>
      </c>
      <c r="BF687" s="1">
        <v>32.5</v>
      </c>
      <c r="BG687" s="1">
        <v>14.7</v>
      </c>
      <c r="BH687" s="1" t="s">
        <v>1291</v>
      </c>
    </row>
    <row r="688">
      <c r="A688" s="1">
        <v>17185.0</v>
      </c>
      <c r="B688" s="2" t="str">
        <f>IFERROR(__xludf.DUMMYFUNCTION("TO_TEXT(A688)"),"17185")</f>
        <v>17185</v>
      </c>
      <c r="C688" s="1">
        <v>11587.0</v>
      </c>
      <c r="D688" s="1">
        <v>223.253684933954</v>
      </c>
      <c r="E688" s="1" t="s">
        <v>1292</v>
      </c>
      <c r="F688" s="1" t="s">
        <v>1293</v>
      </c>
      <c r="G688" s="1">
        <v>51.9005991028897</v>
      </c>
      <c r="H688" s="1">
        <v>15.011810245</v>
      </c>
      <c r="I688" s="1">
        <v>4.0289765012</v>
      </c>
      <c r="J688" s="1">
        <v>7.1285140562</v>
      </c>
      <c r="K688" s="1">
        <v>15.8928839</v>
      </c>
      <c r="L688" s="1">
        <v>35.4</v>
      </c>
      <c r="M688" s="1">
        <v>8.5</v>
      </c>
      <c r="N688" s="1">
        <v>22.1</v>
      </c>
      <c r="O688" s="1">
        <v>71.50749142</v>
      </c>
      <c r="P688" s="1">
        <v>5.981595092</v>
      </c>
      <c r="Q688" s="1">
        <v>43.51989</v>
      </c>
      <c r="R688" s="1">
        <v>76.9</v>
      </c>
      <c r="S688" s="1">
        <v>18.8</v>
      </c>
      <c r="T688" s="1">
        <v>2552.0</v>
      </c>
      <c r="U688" s="1">
        <v>19.788401254</v>
      </c>
      <c r="V688" s="1">
        <v>156.50812973</v>
      </c>
      <c r="W688" s="1">
        <v>9.49432404539999</v>
      </c>
      <c r="X688" s="1">
        <v>7.3761854584</v>
      </c>
      <c r="Y688" s="1">
        <v>80.075013153</v>
      </c>
      <c r="Z688" s="1">
        <v>12.4</v>
      </c>
      <c r="AA688" s="1">
        <v>1.8230639889</v>
      </c>
      <c r="AB688" s="1">
        <v>53414.0</v>
      </c>
      <c r="AC688" s="1">
        <v>50.709438618</v>
      </c>
      <c r="AD688" s="1">
        <v>76.327614379</v>
      </c>
      <c r="AE688" s="1">
        <v>7.5080213904</v>
      </c>
      <c r="AF688" s="1">
        <v>0.8398995584</v>
      </c>
      <c r="AG688" s="1">
        <v>0.285739025</v>
      </c>
      <c r="AH688" s="1">
        <v>1.2382024418</v>
      </c>
      <c r="AI688" s="1">
        <v>0.0432937917</v>
      </c>
      <c r="AJ688" s="1">
        <v>2.8573902502</v>
      </c>
      <c r="AK688" s="1">
        <v>93.497272491</v>
      </c>
      <c r="AL688" s="1">
        <v>0.6456373363</v>
      </c>
      <c r="AM688" s="1">
        <v>49.571391462</v>
      </c>
      <c r="AN688" s="1">
        <v>38.896794174</v>
      </c>
      <c r="AO688" s="1">
        <v>24697.0</v>
      </c>
      <c r="AP688" s="1">
        <v>12.0</v>
      </c>
      <c r="AQ688" s="1">
        <v>8.6</v>
      </c>
      <c r="AR688" s="1">
        <v>10.6</v>
      </c>
      <c r="AS688" s="1">
        <v>18.9</v>
      </c>
      <c r="AT688" s="1">
        <v>21.9</v>
      </c>
      <c r="AU688" s="1">
        <v>18.1</v>
      </c>
      <c r="AV688" s="1">
        <v>4.7</v>
      </c>
      <c r="AW688" s="1">
        <v>0.6</v>
      </c>
      <c r="AX688" s="1">
        <v>0.3617</v>
      </c>
      <c r="AY688" s="1">
        <v>13.5</v>
      </c>
      <c r="AZ688" s="1">
        <v>10.9</v>
      </c>
      <c r="BA688" s="1">
        <v>15.5</v>
      </c>
      <c r="BB688" s="1">
        <v>2.83</v>
      </c>
      <c r="BC688" s="1" t="s">
        <v>1152</v>
      </c>
      <c r="BD688" s="1">
        <v>9.4</v>
      </c>
      <c r="BE688" s="1">
        <v>30.7</v>
      </c>
      <c r="BF688" s="1">
        <v>41.7</v>
      </c>
      <c r="BG688" s="1">
        <v>18.2</v>
      </c>
      <c r="BH688" s="1" t="s">
        <v>1293</v>
      </c>
    </row>
    <row r="689">
      <c r="A689" s="1">
        <v>17187.0</v>
      </c>
      <c r="B689" s="2" t="str">
        <f>IFERROR(__xludf.DUMMYFUNCTION("TO_TEXT(A689)"),"17187")</f>
        <v>17187</v>
      </c>
      <c r="C689" s="1">
        <v>17611.0</v>
      </c>
      <c r="D689" s="1">
        <v>542.405158749878</v>
      </c>
      <c r="E689" s="1" t="s">
        <v>1045</v>
      </c>
      <c r="F689" s="1" t="s">
        <v>1294</v>
      </c>
      <c r="G689" s="1">
        <v>32.4683490116307</v>
      </c>
      <c r="H689" s="1">
        <v>15.990092717</v>
      </c>
      <c r="I689" s="1">
        <v>3.9878555728</v>
      </c>
      <c r="J689" s="1">
        <v>6.4323607427</v>
      </c>
      <c r="K689" s="1">
        <v>15.1265668379999</v>
      </c>
      <c r="L689" s="1">
        <v>26.1</v>
      </c>
      <c r="M689" s="1">
        <v>8.6</v>
      </c>
      <c r="N689" s="1">
        <v>26.6</v>
      </c>
      <c r="O689" s="1">
        <v>65.2623256339999</v>
      </c>
      <c r="P689" s="1">
        <v>7.7315208156</v>
      </c>
      <c r="Q689" s="1">
        <v>40.77591</v>
      </c>
      <c r="R689" s="1">
        <v>93.926361386</v>
      </c>
      <c r="S689" s="1">
        <v>17.2</v>
      </c>
      <c r="T689" s="1">
        <v>3850.0</v>
      </c>
      <c r="U689" s="1">
        <v>37.87012987</v>
      </c>
      <c r="V689" s="1">
        <v>230.66408475</v>
      </c>
      <c r="W689" s="1">
        <v>10.058737151</v>
      </c>
      <c r="X689" s="1">
        <v>6.576980568</v>
      </c>
      <c r="Y689" s="1">
        <v>78.821595164</v>
      </c>
      <c r="Z689" s="1">
        <v>17.5</v>
      </c>
      <c r="AA689" s="1">
        <v>3.5016399576</v>
      </c>
      <c r="AB689" s="1">
        <v>53532.0</v>
      </c>
      <c r="AC689" s="1">
        <v>67.304804805</v>
      </c>
      <c r="AD689" s="1">
        <v>75.53064275</v>
      </c>
      <c r="AE689" s="1">
        <v>7.60106133919999</v>
      </c>
      <c r="AF689" s="1">
        <v>2.4542038516</v>
      </c>
      <c r="AG689" s="1">
        <v>0.4344762799</v>
      </c>
      <c r="AH689" s="1">
        <v>2.5716298732</v>
      </c>
      <c r="AI689" s="1">
        <v>0.1937529357</v>
      </c>
      <c r="AJ689" s="1">
        <v>9.6582902771</v>
      </c>
      <c r="AK689" s="1">
        <v>83.384217943</v>
      </c>
      <c r="AL689" s="1">
        <v>1.7283798745</v>
      </c>
      <c r="AM689" s="1">
        <v>50.6986848289999</v>
      </c>
      <c r="AN689" s="1">
        <v>45.479189021</v>
      </c>
      <c r="AO689" s="1">
        <v>23350.0</v>
      </c>
      <c r="AP689" s="1">
        <v>15.5</v>
      </c>
      <c r="AQ689" s="1">
        <v>8.1</v>
      </c>
      <c r="AR689" s="1">
        <v>12.8</v>
      </c>
      <c r="AS689" s="1">
        <v>18.3</v>
      </c>
      <c r="AT689" s="1">
        <v>22.2</v>
      </c>
      <c r="AU689" s="1">
        <v>12.4</v>
      </c>
      <c r="AV689" s="1">
        <v>15.1</v>
      </c>
      <c r="AW689" s="1">
        <v>2.7</v>
      </c>
      <c r="AX689" s="1">
        <v>0.6017</v>
      </c>
      <c r="AY689" s="1">
        <v>11.4</v>
      </c>
      <c r="AZ689" s="1">
        <v>9.7</v>
      </c>
      <c r="BA689" s="1">
        <v>13.5</v>
      </c>
      <c r="BB689" s="1">
        <v>2.75</v>
      </c>
      <c r="BC689" s="1" t="s">
        <v>1152</v>
      </c>
      <c r="BD689" s="1">
        <v>13.3</v>
      </c>
      <c r="BE689" s="1">
        <v>32.0</v>
      </c>
      <c r="BF689" s="1">
        <v>31.9</v>
      </c>
      <c r="BG689" s="1">
        <v>22.8</v>
      </c>
      <c r="BH689" s="1" t="s">
        <v>1294</v>
      </c>
    </row>
    <row r="690">
      <c r="A690" s="1">
        <v>17189.0</v>
      </c>
      <c r="B690" s="2" t="str">
        <f>IFERROR(__xludf.DUMMYFUNCTION("TO_TEXT(A690)"),"17189")</f>
        <v>17189</v>
      </c>
      <c r="C690" s="1">
        <v>14369.0</v>
      </c>
      <c r="D690" s="1">
        <v>562.573050001118</v>
      </c>
      <c r="E690" s="1" t="s">
        <v>188</v>
      </c>
      <c r="F690" s="1" t="s">
        <v>1295</v>
      </c>
      <c r="G690" s="1">
        <v>25.5415718900353</v>
      </c>
      <c r="H690" s="1">
        <v>13.618869517</v>
      </c>
      <c r="I690" s="1">
        <v>3.7994128475</v>
      </c>
      <c r="J690" s="1">
        <v>7.0191431176</v>
      </c>
      <c r="K690" s="1">
        <v>14.8982267459999</v>
      </c>
      <c r="L690" s="1">
        <v>28.4</v>
      </c>
      <c r="M690" s="1">
        <v>8.8</v>
      </c>
      <c r="N690" s="1">
        <v>29.5</v>
      </c>
      <c r="O690" s="1">
        <v>54.179124762</v>
      </c>
      <c r="P690" s="1">
        <v>5.3360743654</v>
      </c>
      <c r="Q690" s="1">
        <v>21.38275</v>
      </c>
      <c r="R690" s="1">
        <v>92.077627119</v>
      </c>
      <c r="S690" s="1">
        <v>10.5</v>
      </c>
      <c r="T690" s="1">
        <v>3009.0</v>
      </c>
      <c r="U690" s="1">
        <v>26.1548687269999</v>
      </c>
      <c r="V690" s="1">
        <v>331.59127771</v>
      </c>
      <c r="W690" s="1">
        <v>9.2082616179</v>
      </c>
      <c r="X690" s="1">
        <v>7.5501307759</v>
      </c>
      <c r="Y690" s="1">
        <v>78.995390923</v>
      </c>
      <c r="Z690" s="1">
        <v>10.7</v>
      </c>
      <c r="AA690" s="1">
        <v>4.0000951555</v>
      </c>
      <c r="AB690" s="1">
        <v>66937.0</v>
      </c>
      <c r="AC690" s="1">
        <v>37.904967603</v>
      </c>
      <c r="AD690" s="1">
        <v>78.661087866</v>
      </c>
      <c r="AE690" s="1">
        <v>7.8179901616</v>
      </c>
      <c r="AF690" s="1">
        <v>0.864594498</v>
      </c>
      <c r="AG690" s="1">
        <v>0.192926045</v>
      </c>
      <c r="AH690" s="1">
        <v>0.4644515899</v>
      </c>
      <c r="AI690" s="1">
        <v>0.0214362272</v>
      </c>
      <c r="AJ690" s="1">
        <v>1.4433726331</v>
      </c>
      <c r="AK690" s="1">
        <v>96.21293319</v>
      </c>
      <c r="AL690" s="1">
        <v>0.3585568088</v>
      </c>
      <c r="AM690" s="1">
        <v>50.067881386</v>
      </c>
      <c r="AN690" s="1">
        <v>73.647730362</v>
      </c>
      <c r="AO690" s="1">
        <v>29548.0</v>
      </c>
      <c r="AP690" s="1">
        <v>11.2</v>
      </c>
      <c r="AQ690" s="1">
        <v>5.4</v>
      </c>
      <c r="AR690" s="1">
        <v>9.3</v>
      </c>
      <c r="AS690" s="1">
        <v>18.5</v>
      </c>
      <c r="AT690" s="1">
        <v>21.2</v>
      </c>
      <c r="AU690" s="1">
        <v>12.3</v>
      </c>
      <c r="AV690" s="1">
        <v>3.7</v>
      </c>
      <c r="AW690" s="1">
        <v>0.4</v>
      </c>
      <c r="AX690" s="1">
        <v>0.0713</v>
      </c>
      <c r="AY690" s="1">
        <v>8.1</v>
      </c>
      <c r="AZ690" s="1">
        <v>7.7</v>
      </c>
      <c r="BA690" s="1">
        <v>10.5</v>
      </c>
      <c r="BB690" s="1">
        <v>2.88</v>
      </c>
      <c r="BC690" s="1" t="s">
        <v>1152</v>
      </c>
      <c r="BD690" s="1">
        <v>7.8</v>
      </c>
      <c r="BE690" s="1">
        <v>33.4</v>
      </c>
      <c r="BF690" s="1">
        <v>37.9</v>
      </c>
      <c r="BG690" s="1">
        <v>20.9</v>
      </c>
      <c r="BH690" s="1" t="s">
        <v>1295</v>
      </c>
    </row>
    <row r="691">
      <c r="A691" s="1">
        <v>17191.0</v>
      </c>
      <c r="B691" s="2" t="str">
        <f>IFERROR(__xludf.DUMMYFUNCTION("TO_TEXT(A691)"),"17191")</f>
        <v>17191</v>
      </c>
      <c r="C691" s="1">
        <v>16517.0</v>
      </c>
      <c r="D691" s="1">
        <v>713.813695311786</v>
      </c>
      <c r="E691" s="1" t="s">
        <v>1048</v>
      </c>
      <c r="F691" s="1" t="s">
        <v>1296</v>
      </c>
      <c r="G691" s="1">
        <v>23.1390909259391</v>
      </c>
      <c r="H691" s="1">
        <v>15.30847271</v>
      </c>
      <c r="I691" s="1">
        <v>4.1334043955</v>
      </c>
      <c r="J691" s="1">
        <v>8.2402234637</v>
      </c>
      <c r="K691" s="1">
        <v>16.056915834</v>
      </c>
      <c r="L691" s="1">
        <v>31.1</v>
      </c>
      <c r="M691" s="1">
        <v>7.8</v>
      </c>
      <c r="N691" s="1">
        <v>26.3</v>
      </c>
      <c r="O691" s="1">
        <v>41.676610979</v>
      </c>
      <c r="P691" s="1">
        <v>6.6836853098</v>
      </c>
      <c r="Q691" s="1">
        <v>42.4371</v>
      </c>
      <c r="R691" s="1">
        <v>80.071164773</v>
      </c>
      <c r="S691" s="1">
        <v>21.0</v>
      </c>
      <c r="T691" s="1">
        <v>3728.0</v>
      </c>
      <c r="U691" s="1">
        <v>27.870171674</v>
      </c>
      <c r="V691" s="1">
        <v>283.06742151</v>
      </c>
      <c r="W691" s="1">
        <v>8.7420042644</v>
      </c>
      <c r="X691" s="1">
        <v>6.2572254335</v>
      </c>
      <c r="Y691" s="1">
        <v>77.971871525</v>
      </c>
      <c r="Z691" s="1">
        <v>14.0</v>
      </c>
      <c r="AA691" s="1">
        <v>7.1178012884</v>
      </c>
      <c r="AB691" s="1">
        <v>50471.0</v>
      </c>
      <c r="AC691" s="1">
        <v>43.6011304</v>
      </c>
      <c r="AD691" s="1">
        <v>76.3250883389999</v>
      </c>
      <c r="AE691" s="1">
        <v>6.4823074636</v>
      </c>
      <c r="AF691" s="1">
        <v>0.5755571883</v>
      </c>
      <c r="AG691" s="1">
        <v>0.324516287</v>
      </c>
      <c r="AH691" s="1">
        <v>0.7225079598</v>
      </c>
      <c r="AI691" s="1">
        <v>0.0122458976</v>
      </c>
      <c r="AJ691" s="1">
        <v>1.5429831007</v>
      </c>
      <c r="AK691" s="1">
        <v>96.0078373739999</v>
      </c>
      <c r="AL691" s="1">
        <v>0.782968810699999</v>
      </c>
      <c r="AM691" s="1">
        <v>50.795983346</v>
      </c>
      <c r="AN691" s="1">
        <v>69.934367542</v>
      </c>
      <c r="AO691" s="1">
        <v>24342.0</v>
      </c>
      <c r="AP691" s="1">
        <v>15.6</v>
      </c>
      <c r="AQ691" s="1">
        <v>5.2</v>
      </c>
      <c r="AR691" s="1">
        <v>12.8</v>
      </c>
      <c r="AS691" s="1">
        <v>19.9</v>
      </c>
      <c r="AT691" s="1">
        <v>22.6</v>
      </c>
      <c r="AU691" s="1">
        <v>17.2</v>
      </c>
      <c r="AV691" s="1">
        <v>3.5</v>
      </c>
      <c r="AW691" s="1">
        <v>0.6</v>
      </c>
      <c r="AX691" s="1">
        <v>0.3419</v>
      </c>
      <c r="AY691" s="1">
        <v>13.1</v>
      </c>
      <c r="AZ691" s="1">
        <v>12.4</v>
      </c>
      <c r="BA691" s="1">
        <v>19.4</v>
      </c>
      <c r="BB691" s="1">
        <v>2.83</v>
      </c>
      <c r="BC691" s="1" t="s">
        <v>1152</v>
      </c>
      <c r="BD691" s="1">
        <v>12.1</v>
      </c>
      <c r="BE691" s="1">
        <v>34.9</v>
      </c>
      <c r="BF691" s="1">
        <v>37.7</v>
      </c>
      <c r="BG691" s="1">
        <v>15.4</v>
      </c>
      <c r="BH691" s="1" t="s">
        <v>1296</v>
      </c>
    </row>
    <row r="692">
      <c r="A692" s="1">
        <v>17193.0</v>
      </c>
      <c r="B692" s="2" t="str">
        <f>IFERROR(__xludf.DUMMYFUNCTION("TO_TEXT(A692)"),"17193")</f>
        <v>17193</v>
      </c>
      <c r="C692" s="1">
        <v>14410.0</v>
      </c>
      <c r="D692" s="1">
        <v>494.76637699512</v>
      </c>
      <c r="E692" s="1" t="s">
        <v>411</v>
      </c>
      <c r="F692" s="1" t="s">
        <v>1297</v>
      </c>
      <c r="G692" s="1">
        <v>29.1248570436752</v>
      </c>
      <c r="H692" s="1">
        <v>15.079477092</v>
      </c>
      <c r="I692" s="1">
        <v>4.1119807739</v>
      </c>
      <c r="J692" s="1">
        <v>8.4714548803</v>
      </c>
      <c r="K692" s="1">
        <v>15.9895556809999</v>
      </c>
      <c r="L692" s="1">
        <v>29.4</v>
      </c>
      <c r="M692" s="1">
        <v>7.4</v>
      </c>
      <c r="N692" s="1">
        <v>21.3</v>
      </c>
      <c r="O692" s="1">
        <v>35.942720764</v>
      </c>
      <c r="P692" s="1">
        <v>6.0810187321</v>
      </c>
      <c r="Q692" s="1">
        <v>28.69852</v>
      </c>
      <c r="R692" s="1">
        <v>92.193990755</v>
      </c>
      <c r="S692" s="1">
        <v>19.3</v>
      </c>
      <c r="T692" s="1">
        <v>3031.0</v>
      </c>
      <c r="U692" s="1">
        <v>31.474760805</v>
      </c>
      <c r="V692" s="1">
        <v>278.35768963</v>
      </c>
      <c r="W692" s="1">
        <v>9.8625707357</v>
      </c>
      <c r="X692" s="1">
        <v>7.6948318294</v>
      </c>
      <c r="Y692" s="1">
        <v>75.4130456039999</v>
      </c>
      <c r="Z692" s="1">
        <v>4.8</v>
      </c>
      <c r="AA692" s="1">
        <v>14.149328971</v>
      </c>
      <c r="AB692" s="1">
        <v>49507.0</v>
      </c>
      <c r="AC692" s="1">
        <v>56.067769898</v>
      </c>
      <c r="AD692" s="1">
        <v>77.9020059189999</v>
      </c>
      <c r="AE692" s="1">
        <v>9.0481171548</v>
      </c>
      <c r="AF692" s="1">
        <v>0.556165386</v>
      </c>
      <c r="AG692" s="1">
        <v>0.3878521771</v>
      </c>
      <c r="AH692" s="1">
        <v>0.4317599707</v>
      </c>
      <c r="AI692" s="1">
        <v>0.0512257592</v>
      </c>
      <c r="AJ692" s="1">
        <v>1.4855470179</v>
      </c>
      <c r="AK692" s="1">
        <v>96.2385656789999</v>
      </c>
      <c r="AL692" s="1">
        <v>0.4388951949</v>
      </c>
      <c r="AM692" s="1">
        <v>50.735455543</v>
      </c>
      <c r="AN692" s="1">
        <v>62.032049096</v>
      </c>
      <c r="AO692" s="1">
        <v>25065.0</v>
      </c>
      <c r="AP692" s="1">
        <v>14.0</v>
      </c>
      <c r="AQ692" s="1">
        <v>8.5</v>
      </c>
      <c r="AR692" s="1">
        <v>12.3</v>
      </c>
      <c r="AS692" s="1">
        <v>21.8</v>
      </c>
      <c r="AT692" s="1">
        <v>21.8</v>
      </c>
      <c r="AU692" s="1">
        <v>19.8</v>
      </c>
      <c r="AV692" s="1">
        <v>3.2</v>
      </c>
      <c r="AW692" s="1">
        <v>0.6</v>
      </c>
      <c r="AX692" s="1">
        <v>0.5119</v>
      </c>
      <c r="AY692" s="1">
        <v>14.5</v>
      </c>
      <c r="AZ692" s="1">
        <v>11.6</v>
      </c>
      <c r="BA692" s="1">
        <v>17.3</v>
      </c>
      <c r="BB692" s="1">
        <v>2.81</v>
      </c>
      <c r="BC692" s="1" t="s">
        <v>1152</v>
      </c>
      <c r="BD692" s="1">
        <v>10.1</v>
      </c>
      <c r="BE692" s="1">
        <v>37.4</v>
      </c>
      <c r="BF692" s="1">
        <v>37.1</v>
      </c>
      <c r="BG692" s="1">
        <v>15.5</v>
      </c>
      <c r="BH692" s="1" t="s">
        <v>1297</v>
      </c>
    </row>
    <row r="693">
      <c r="A693" s="1">
        <v>17195.0</v>
      </c>
      <c r="B693" s="2" t="str">
        <f>IFERROR(__xludf.DUMMYFUNCTION("TO_TEXT(A693)"),"17195")</f>
        <v>17195</v>
      </c>
      <c r="C693" s="1">
        <v>57155.0</v>
      </c>
      <c r="D693" s="1">
        <v>684.249532737964</v>
      </c>
      <c r="E693" s="1" t="s">
        <v>1298</v>
      </c>
      <c r="F693" s="1" t="s">
        <v>1299</v>
      </c>
      <c r="G693" s="1">
        <v>83.52946880548</v>
      </c>
      <c r="H693" s="1">
        <v>14.541292095</v>
      </c>
      <c r="I693" s="1">
        <v>3.9249451932</v>
      </c>
      <c r="J693" s="1">
        <v>5.9821223928</v>
      </c>
      <c r="K693" s="1">
        <v>15.235005268</v>
      </c>
      <c r="L693" s="1">
        <v>33.5</v>
      </c>
      <c r="M693" s="1">
        <v>8.4</v>
      </c>
      <c r="N693" s="1">
        <v>26.0</v>
      </c>
      <c r="O693" s="1">
        <v>71.886218332</v>
      </c>
      <c r="P693" s="1">
        <v>5.9784332382</v>
      </c>
      <c r="Q693" s="1">
        <v>58.80466</v>
      </c>
      <c r="R693" s="1">
        <v>87.545332338</v>
      </c>
      <c r="S693" s="1">
        <v>17.1</v>
      </c>
      <c r="T693" s="1">
        <v>12533.0</v>
      </c>
      <c r="U693" s="1">
        <v>32.1950051859999</v>
      </c>
      <c r="V693" s="1">
        <v>190.9600245</v>
      </c>
      <c r="W693" s="1">
        <v>10.187154402</v>
      </c>
      <c r="X693" s="1">
        <v>8.7059329321</v>
      </c>
      <c r="Y693" s="1">
        <v>78.028106719</v>
      </c>
      <c r="Z693" s="1">
        <v>10.3</v>
      </c>
      <c r="AA693" s="1">
        <v>7.1629785359</v>
      </c>
      <c r="AB693" s="1">
        <v>57197.0</v>
      </c>
      <c r="AC693" s="1">
        <v>50.1602387</v>
      </c>
      <c r="AD693" s="1">
        <v>75.186327422</v>
      </c>
      <c r="AE693" s="1">
        <v>8.6438152012</v>
      </c>
      <c r="AF693" s="1">
        <v>1.4633444792</v>
      </c>
      <c r="AG693" s="1">
        <v>0.4710027685</v>
      </c>
      <c r="AH693" s="1">
        <v>0.5447093086</v>
      </c>
      <c r="AI693" s="1">
        <v>0.0251680869</v>
      </c>
      <c r="AJ693" s="1">
        <v>12.1184338259999</v>
      </c>
      <c r="AK693" s="1">
        <v>84.399381584</v>
      </c>
      <c r="AL693" s="1">
        <v>1.0021999511</v>
      </c>
      <c r="AM693" s="1">
        <v>50.44044152</v>
      </c>
      <c r="AN693" s="1">
        <v>37.343157031</v>
      </c>
      <c r="AO693" s="1">
        <v>26155.0</v>
      </c>
      <c r="AP693" s="1">
        <v>11.4</v>
      </c>
      <c r="AQ693" s="1">
        <v>6.8</v>
      </c>
      <c r="AR693" s="1">
        <v>11.3</v>
      </c>
      <c r="AS693" s="1">
        <v>18.9</v>
      </c>
      <c r="AT693" s="1">
        <v>22.7</v>
      </c>
      <c r="AU693" s="1">
        <v>15.4</v>
      </c>
      <c r="AV693" s="1">
        <v>15.0</v>
      </c>
      <c r="AW693" s="1">
        <v>0.8</v>
      </c>
      <c r="AX693" s="1">
        <v>0.4024</v>
      </c>
      <c r="AY693" s="1">
        <v>11.4</v>
      </c>
      <c r="AZ693" s="1">
        <v>9.4</v>
      </c>
      <c r="BA693" s="1">
        <v>13.6</v>
      </c>
      <c r="BB693" s="1">
        <v>2.72</v>
      </c>
      <c r="BC693" s="1" t="s">
        <v>1152</v>
      </c>
      <c r="BD693" s="1">
        <v>9.4</v>
      </c>
      <c r="BE693" s="1">
        <v>37.7</v>
      </c>
      <c r="BF693" s="1">
        <v>34.6</v>
      </c>
      <c r="BG693" s="1">
        <v>18.2</v>
      </c>
      <c r="BH693" s="1" t="s">
        <v>1299</v>
      </c>
    </row>
    <row r="694">
      <c r="A694" s="1">
        <v>17197.0</v>
      </c>
      <c r="B694" s="2" t="str">
        <f>IFERROR(__xludf.DUMMYFUNCTION("TO_TEXT(A694)"),"17197")</f>
        <v>17197</v>
      </c>
      <c r="C694" s="1">
        <v>685378.0</v>
      </c>
      <c r="D694" s="1">
        <v>836.934499529886</v>
      </c>
      <c r="E694" s="1" t="s">
        <v>1300</v>
      </c>
      <c r="F694" s="1" t="s">
        <v>1301</v>
      </c>
      <c r="G694" s="1">
        <v>818.914742294628</v>
      </c>
      <c r="H694" s="1">
        <v>14.617554804</v>
      </c>
      <c r="I694" s="1">
        <v>3.6989162752</v>
      </c>
      <c r="J694" s="1">
        <v>7.456262407</v>
      </c>
      <c r="K694" s="1">
        <v>13.070465481</v>
      </c>
      <c r="L694" s="1">
        <v>31.8</v>
      </c>
      <c r="M694" s="1">
        <v>8.8</v>
      </c>
      <c r="N694" s="1">
        <v>22.8</v>
      </c>
      <c r="O694" s="1">
        <v>96.989196529</v>
      </c>
      <c r="P694" s="1">
        <v>6.2626181662</v>
      </c>
      <c r="Q694" s="1">
        <v>54.71652</v>
      </c>
      <c r="R694" s="1">
        <v>91.345370502</v>
      </c>
      <c r="S694" s="1">
        <v>8.6</v>
      </c>
      <c r="T694" s="1">
        <v>176156.0</v>
      </c>
      <c r="U694" s="1">
        <v>23.420718</v>
      </c>
      <c r="V694" s="1">
        <v>162.86176232</v>
      </c>
      <c r="W694" s="1">
        <v>14.718172119</v>
      </c>
      <c r="X694" s="1">
        <v>12.792914004</v>
      </c>
      <c r="Y694" s="1">
        <v>79.739789343</v>
      </c>
      <c r="Z694" s="1">
        <v>9.7</v>
      </c>
      <c r="AA694" s="1">
        <v>5.7353838052</v>
      </c>
      <c r="AB694" s="1">
        <v>86108.0</v>
      </c>
      <c r="AC694" s="1">
        <v>37.276760323</v>
      </c>
      <c r="AD694" s="1">
        <v>81.042186019</v>
      </c>
      <c r="AE694" s="1">
        <v>12.3485914709999</v>
      </c>
      <c r="AF694" s="1">
        <v>11.640883419</v>
      </c>
      <c r="AG694" s="1">
        <v>0.4682873279</v>
      </c>
      <c r="AH694" s="1">
        <v>5.9512357181</v>
      </c>
      <c r="AI694" s="1">
        <v>0.0521442706</v>
      </c>
      <c r="AJ694" s="1">
        <v>17.839407202</v>
      </c>
      <c r="AK694" s="1">
        <v>62.969623435</v>
      </c>
      <c r="AL694" s="1">
        <v>3.2330195439</v>
      </c>
      <c r="AM694" s="1">
        <v>50.37613208</v>
      </c>
      <c r="AN694" s="1">
        <v>3.9293937068</v>
      </c>
      <c r="AO694" s="1">
        <v>32311.0</v>
      </c>
      <c r="AP694" s="1">
        <v>7.7</v>
      </c>
      <c r="AQ694" s="1">
        <v>6.8</v>
      </c>
      <c r="AR694" s="1">
        <v>9.2</v>
      </c>
      <c r="AS694" s="1">
        <v>11.2</v>
      </c>
      <c r="AT694" s="1">
        <v>26.7</v>
      </c>
      <c r="AU694" s="1">
        <v>8.8</v>
      </c>
      <c r="AV694" s="1">
        <v>34.8</v>
      </c>
      <c r="AW694" s="1">
        <v>3.3</v>
      </c>
      <c r="AX694" s="1">
        <v>0.2209</v>
      </c>
      <c r="AY694" s="1">
        <v>6.5</v>
      </c>
      <c r="AZ694" s="1">
        <v>6.1</v>
      </c>
      <c r="BA694" s="1">
        <v>8.1</v>
      </c>
      <c r="BB694" s="1">
        <v>3.1</v>
      </c>
      <c r="BC694" s="1" t="s">
        <v>1152</v>
      </c>
      <c r="BD694" s="1">
        <v>9.0</v>
      </c>
      <c r="BE694" s="1">
        <v>26.9</v>
      </c>
      <c r="BF694" s="1">
        <v>29.8</v>
      </c>
      <c r="BG694" s="1">
        <v>34.3</v>
      </c>
      <c r="BH694" s="1" t="s">
        <v>1301</v>
      </c>
    </row>
    <row r="695">
      <c r="A695" s="1">
        <v>17199.0</v>
      </c>
      <c r="B695" s="2" t="str">
        <f>IFERROR(__xludf.DUMMYFUNCTION("TO_TEXT(A695)"),"17199")</f>
        <v>17199</v>
      </c>
      <c r="C695" s="1">
        <v>67336.0</v>
      </c>
      <c r="D695" s="1">
        <v>420.17473122651</v>
      </c>
      <c r="E695" s="1" t="s">
        <v>1302</v>
      </c>
      <c r="F695" s="1" t="s">
        <v>1303</v>
      </c>
      <c r="G695" s="1">
        <v>160.25713827065</v>
      </c>
      <c r="H695" s="1">
        <v>15.4616389229999</v>
      </c>
      <c r="I695" s="1">
        <v>3.9958198199</v>
      </c>
      <c r="J695" s="1">
        <v>8.4368151936</v>
      </c>
      <c r="K695" s="1">
        <v>16.098025787</v>
      </c>
      <c r="L695" s="1">
        <v>26.9</v>
      </c>
      <c r="M695" s="1">
        <v>8.1</v>
      </c>
      <c r="N695" s="1">
        <v>28.8</v>
      </c>
      <c r="O695" s="1">
        <v>76.498334765</v>
      </c>
      <c r="P695" s="1">
        <v>5.3857021758</v>
      </c>
      <c r="Q695" s="1">
        <v>84.66017</v>
      </c>
      <c r="R695" s="1">
        <v>83.932640333</v>
      </c>
      <c r="S695" s="1">
        <v>20.0</v>
      </c>
      <c r="T695" s="1">
        <v>14493.0</v>
      </c>
      <c r="U695" s="1">
        <v>38.929138205</v>
      </c>
      <c r="V695" s="1">
        <v>63.022893066</v>
      </c>
      <c r="W695" s="1">
        <v>10.557843504</v>
      </c>
      <c r="X695" s="1">
        <v>9.5003785011</v>
      </c>
      <c r="Y695" s="1">
        <v>76.937732344</v>
      </c>
      <c r="Z695" s="1">
        <v>12.6</v>
      </c>
      <c r="AA695" s="1">
        <v>4.4653206518</v>
      </c>
      <c r="AB695" s="1">
        <v>46187.0</v>
      </c>
      <c r="AC695" s="1">
        <v>49.9274029619999</v>
      </c>
      <c r="AD695" s="1">
        <v>69.877071874</v>
      </c>
      <c r="AE695" s="1">
        <v>11.634137007</v>
      </c>
      <c r="AF695" s="1">
        <v>4.4843116201</v>
      </c>
      <c r="AG695" s="1">
        <v>0.4906346934</v>
      </c>
      <c r="AH695" s="1">
        <v>1.3526008113</v>
      </c>
      <c r="AI695" s="1">
        <v>0.0253519446</v>
      </c>
      <c r="AJ695" s="1">
        <v>2.7559055118</v>
      </c>
      <c r="AK695" s="1">
        <v>89.332796469</v>
      </c>
      <c r="AL695" s="1">
        <v>0.676006507399999</v>
      </c>
      <c r="AM695" s="1">
        <v>50.31167979</v>
      </c>
      <c r="AN695" s="1">
        <v>34.798137348</v>
      </c>
      <c r="AO695" s="1">
        <v>25238.0</v>
      </c>
      <c r="AP695" s="1">
        <v>14.9</v>
      </c>
      <c r="AQ695" s="1">
        <v>7.6</v>
      </c>
      <c r="AR695" s="1">
        <v>9.8</v>
      </c>
      <c r="AS695" s="1">
        <v>17.5</v>
      </c>
      <c r="AT695" s="1">
        <v>21.9</v>
      </c>
      <c r="AU695" s="1">
        <v>16.8</v>
      </c>
      <c r="AV695" s="1">
        <v>9.6</v>
      </c>
      <c r="AW695" s="1">
        <v>0.4</v>
      </c>
      <c r="AX695" s="1">
        <v>0.4091</v>
      </c>
      <c r="AY695" s="1">
        <v>13.4</v>
      </c>
      <c r="AZ695" s="1">
        <v>12.5</v>
      </c>
      <c r="BA695" s="1">
        <v>18.1</v>
      </c>
      <c r="BB695" s="1">
        <v>2.73</v>
      </c>
      <c r="BC695" s="1" t="s">
        <v>1152</v>
      </c>
      <c r="BD695" s="1">
        <v>7.7</v>
      </c>
      <c r="BE695" s="1">
        <v>31.1</v>
      </c>
      <c r="BF695" s="1">
        <v>36.9</v>
      </c>
      <c r="BG695" s="1">
        <v>24.3</v>
      </c>
      <c r="BH695" s="1" t="s">
        <v>1303</v>
      </c>
    </row>
    <row r="696">
      <c r="A696" s="1">
        <v>17201.0</v>
      </c>
      <c r="B696" s="2" t="str">
        <f>IFERROR(__xludf.DUMMYFUNCTION("TO_TEXT(A696)"),"17201")</f>
        <v>17201</v>
      </c>
      <c r="C696" s="1">
        <v>288896.0</v>
      </c>
      <c r="D696" s="1">
        <v>513.398298891672</v>
      </c>
      <c r="E696" s="1" t="s">
        <v>1304</v>
      </c>
      <c r="F696" s="1" t="s">
        <v>1305</v>
      </c>
      <c r="G696" s="1">
        <v>562.713200693635</v>
      </c>
      <c r="H696" s="1">
        <v>18.42355788</v>
      </c>
      <c r="I696" s="1">
        <v>4.1609990058</v>
      </c>
      <c r="J696" s="1">
        <v>8.8039536089</v>
      </c>
      <c r="K696" s="1">
        <v>17.029516572</v>
      </c>
      <c r="L696" s="1">
        <v>33.3</v>
      </c>
      <c r="M696" s="1">
        <v>7.7</v>
      </c>
      <c r="N696" s="1">
        <v>24.7</v>
      </c>
      <c r="O696" s="1">
        <v>90.842833242</v>
      </c>
      <c r="P696" s="1">
        <v>7.3973144439</v>
      </c>
      <c r="Q696" s="1">
        <v>70.93245</v>
      </c>
      <c r="R696" s="1">
        <v>79.382023011</v>
      </c>
      <c r="S696" s="1">
        <v>27.2</v>
      </c>
      <c r="T696" s="1">
        <v>66919.0</v>
      </c>
      <c r="U696" s="1">
        <v>44.111537829</v>
      </c>
      <c r="V696" s="1">
        <v>887.49641571</v>
      </c>
      <c r="W696" s="1">
        <v>15.489938758</v>
      </c>
      <c r="X696" s="1">
        <v>13.315000444</v>
      </c>
      <c r="Y696" s="1">
        <v>76.744258662</v>
      </c>
      <c r="Z696" s="1">
        <v>10.5</v>
      </c>
      <c r="AA696" s="1">
        <v>7.3424930972</v>
      </c>
      <c r="AB696" s="1">
        <v>53795.0</v>
      </c>
      <c r="AC696" s="1">
        <v>48.387456508</v>
      </c>
      <c r="AD696" s="1">
        <v>65.744101633</v>
      </c>
      <c r="AE696" s="1">
        <v>13.340205262</v>
      </c>
      <c r="AF696" s="1">
        <v>13.021638195</v>
      </c>
      <c r="AG696" s="1">
        <v>0.546675068</v>
      </c>
      <c r="AH696" s="1">
        <v>2.8689000672</v>
      </c>
      <c r="AI696" s="1">
        <v>0.0552659277</v>
      </c>
      <c r="AJ696" s="1">
        <v>13.11984962</v>
      </c>
      <c r="AK696" s="1">
        <v>68.512853728</v>
      </c>
      <c r="AL696" s="1">
        <v>2.2296959709</v>
      </c>
      <c r="AM696" s="1">
        <v>51.198777813</v>
      </c>
      <c r="AN696" s="1">
        <v>7.91421972049999</v>
      </c>
      <c r="AO696" s="1">
        <v>26187.0</v>
      </c>
      <c r="AP696" s="1">
        <v>15.5</v>
      </c>
      <c r="AQ696" s="1">
        <v>10.5</v>
      </c>
      <c r="AR696" s="1">
        <v>12.6</v>
      </c>
      <c r="AS696" s="1">
        <v>15.6</v>
      </c>
      <c r="AT696" s="1">
        <v>23.9</v>
      </c>
      <c r="AU696" s="1">
        <v>13.8</v>
      </c>
      <c r="AV696" s="1">
        <v>29.3</v>
      </c>
      <c r="AW696" s="1">
        <v>2.4</v>
      </c>
      <c r="AX696" s="1">
        <v>0.6743</v>
      </c>
      <c r="AY696" s="1">
        <v>16.1</v>
      </c>
      <c r="AZ696" s="1">
        <v>12.0</v>
      </c>
      <c r="BA696" s="1">
        <v>17.4</v>
      </c>
      <c r="BB696" s="1">
        <v>2.87</v>
      </c>
      <c r="BC696" s="1" t="s">
        <v>1152</v>
      </c>
      <c r="BD696" s="1">
        <v>12.3</v>
      </c>
      <c r="BE696" s="1">
        <v>31.7</v>
      </c>
      <c r="BF696" s="1">
        <v>33.1</v>
      </c>
      <c r="BG696" s="1">
        <v>22.9</v>
      </c>
      <c r="BH696" s="1" t="s">
        <v>1305</v>
      </c>
    </row>
    <row r="697">
      <c r="A697" s="1">
        <v>17203.0</v>
      </c>
      <c r="B697" s="2" t="str">
        <f>IFERROR(__xludf.DUMMYFUNCTION("TO_TEXT(A697)"),"17203")</f>
        <v>17203</v>
      </c>
      <c r="C697" s="1">
        <v>39123.0</v>
      </c>
      <c r="D697" s="1">
        <v>527.811087708306</v>
      </c>
      <c r="E697" s="1" t="s">
        <v>1306</v>
      </c>
      <c r="F697" s="1" t="s">
        <v>1307</v>
      </c>
      <c r="G697" s="1">
        <v>74.1231113008018</v>
      </c>
      <c r="H697" s="1">
        <v>12.5084576759999</v>
      </c>
      <c r="I697" s="1">
        <v>3.7107533171</v>
      </c>
      <c r="J697" s="1">
        <v>6.0886829914</v>
      </c>
      <c r="K697" s="1">
        <v>13.563108335</v>
      </c>
      <c r="L697" s="1">
        <v>27.1</v>
      </c>
      <c r="M697" s="1">
        <v>9.1</v>
      </c>
      <c r="N697" s="1">
        <v>23.2</v>
      </c>
      <c r="O697" s="1">
        <v>74.878439892</v>
      </c>
      <c r="P697" s="1">
        <v>4.4944532488</v>
      </c>
      <c r="Q697" s="1">
        <v>51.64489</v>
      </c>
      <c r="R697" s="1">
        <v>94.052874494</v>
      </c>
      <c r="S697" s="1">
        <v>7.7</v>
      </c>
      <c r="T697" s="1">
        <v>9537.0</v>
      </c>
      <c r="U697" s="1">
        <v>19.985320331</v>
      </c>
      <c r="V697" s="1">
        <v>73.28965868</v>
      </c>
      <c r="W697" s="1">
        <v>9.0752242926</v>
      </c>
      <c r="X697" s="1">
        <v>7.915218902</v>
      </c>
      <c r="Y697" s="1">
        <v>79.988244126</v>
      </c>
      <c r="Z697" s="1">
        <v>11.8</v>
      </c>
      <c r="AA697" s="1">
        <v>1.7915775222</v>
      </c>
      <c r="AB697" s="1">
        <v>72247.0</v>
      </c>
      <c r="AC697" s="1">
        <v>25.558425771</v>
      </c>
      <c r="AD697" s="1">
        <v>81.944253742</v>
      </c>
      <c r="AE697" s="1">
        <v>8.2960268607</v>
      </c>
      <c r="AF697" s="1">
        <v>0.6499753009</v>
      </c>
      <c r="AG697" s="1">
        <v>0.2781894288</v>
      </c>
      <c r="AH697" s="1">
        <v>0.7799703611</v>
      </c>
      <c r="AI697" s="1">
        <v>0.025999012</v>
      </c>
      <c r="AJ697" s="1">
        <v>1.8875282739</v>
      </c>
      <c r="AK697" s="1">
        <v>95.398174869</v>
      </c>
      <c r="AL697" s="1">
        <v>0.0878324596</v>
      </c>
      <c r="AM697" s="1">
        <v>50.110495801</v>
      </c>
      <c r="AN697" s="1">
        <v>54.885681771</v>
      </c>
      <c r="AO697" s="1">
        <v>32360.0</v>
      </c>
      <c r="AP697" s="1">
        <v>7.7</v>
      </c>
      <c r="AQ697" s="1">
        <v>5.3</v>
      </c>
      <c r="AR697" s="1">
        <v>6.0</v>
      </c>
      <c r="AS697" s="1">
        <v>16.3</v>
      </c>
      <c r="AT697" s="1">
        <v>25.0</v>
      </c>
      <c r="AU697" s="1">
        <v>9.5</v>
      </c>
      <c r="AV697" s="1">
        <v>4.2</v>
      </c>
      <c r="AW697" s="1">
        <v>0.1</v>
      </c>
      <c r="AX697" s="1">
        <v>0.0245</v>
      </c>
      <c r="AY697" s="1">
        <v>6.1</v>
      </c>
      <c r="AZ697" s="1">
        <v>7.3</v>
      </c>
      <c r="BA697" s="1">
        <v>10.6</v>
      </c>
      <c r="BB697" s="1">
        <v>3.62</v>
      </c>
      <c r="BC697" s="1" t="s">
        <v>1152</v>
      </c>
      <c r="BD697" s="1">
        <v>5.2</v>
      </c>
      <c r="BE697" s="1">
        <v>31.3</v>
      </c>
      <c r="BF697" s="1">
        <v>30.3</v>
      </c>
      <c r="BG697" s="1">
        <v>33.2</v>
      </c>
      <c r="BH697" s="1" t="s">
        <v>1307</v>
      </c>
    </row>
    <row r="698">
      <c r="A698" s="1">
        <v>18001.0</v>
      </c>
      <c r="B698" s="2" t="str">
        <f>IFERROR(__xludf.DUMMYFUNCTION("TO_TEXT(A698)"),"18001")</f>
        <v>18001</v>
      </c>
      <c r="C698" s="1">
        <v>34813.0</v>
      </c>
      <c r="D698" s="1">
        <v>339.028244159164</v>
      </c>
      <c r="E698" s="1" t="s">
        <v>532</v>
      </c>
      <c r="F698" s="1" t="s">
        <v>1308</v>
      </c>
      <c r="G698" s="1">
        <v>102.684660053445</v>
      </c>
      <c r="H698" s="1">
        <v>18.936986038</v>
      </c>
      <c r="I698" s="1">
        <v>4.5456228153</v>
      </c>
      <c r="J698" s="1">
        <v>7.4183976261</v>
      </c>
      <c r="K698" s="1">
        <v>20.454444894</v>
      </c>
      <c r="L698" s="1">
        <v>34.8</v>
      </c>
      <c r="M698" s="1">
        <v>8.1</v>
      </c>
      <c r="N698" s="1">
        <v>30.4</v>
      </c>
      <c r="O698" s="1">
        <v>59.999418385</v>
      </c>
      <c r="P698" s="1">
        <v>11.623896947</v>
      </c>
      <c r="Q698" s="1">
        <v>36.629</v>
      </c>
      <c r="R698" s="1">
        <v>93.076923077</v>
      </c>
      <c r="S698" s="1">
        <v>21.7</v>
      </c>
      <c r="T698" s="1">
        <v>10708.0</v>
      </c>
      <c r="U698" s="1">
        <v>17.818453493</v>
      </c>
      <c r="V698" s="1">
        <v>204.509002055</v>
      </c>
      <c r="W698" s="1">
        <v>16.027732463</v>
      </c>
      <c r="X698" s="1">
        <v>8.596345515</v>
      </c>
      <c r="Y698" s="1">
        <v>78.970915276</v>
      </c>
      <c r="Z698" s="1">
        <v>9.7</v>
      </c>
      <c r="AA698" s="1">
        <v>3.315535556</v>
      </c>
      <c r="AB698" s="1">
        <v>56693.0</v>
      </c>
      <c r="AC698" s="1">
        <v>41.1139357519999</v>
      </c>
      <c r="AD698" s="1">
        <v>77.220262905</v>
      </c>
      <c r="AE698" s="1">
        <v>9.4127377998</v>
      </c>
      <c r="AF698" s="1">
        <v>0.5247502526</v>
      </c>
      <c r="AG698" s="1">
        <v>0.3227073746</v>
      </c>
      <c r="AH698" s="1">
        <v>0.3676057919</v>
      </c>
      <c r="AI698" s="1">
        <v>0.0477045684</v>
      </c>
      <c r="AJ698" s="1">
        <v>4.6245369851</v>
      </c>
      <c r="AK698" s="1">
        <v>93.458861825</v>
      </c>
      <c r="AL698" s="1">
        <v>0.9693205345</v>
      </c>
      <c r="AM698" s="1">
        <v>50.039286115</v>
      </c>
      <c r="AN698" s="1">
        <v>53.67435368</v>
      </c>
      <c r="AO698" s="1">
        <v>21173.0</v>
      </c>
      <c r="AP698" s="1">
        <v>18.0</v>
      </c>
      <c r="AQ698" s="1">
        <v>5.5</v>
      </c>
      <c r="AR698" s="1">
        <v>15.8</v>
      </c>
      <c r="AS698" s="1">
        <v>14.5</v>
      </c>
      <c r="AT698" s="1">
        <v>31.5</v>
      </c>
      <c r="AU698" s="1">
        <v>12.6</v>
      </c>
      <c r="AV698" s="1">
        <v>6.3</v>
      </c>
      <c r="AW698" s="1">
        <v>1.5</v>
      </c>
      <c r="AX698" s="1">
        <v>0.6237</v>
      </c>
      <c r="AY698" s="1">
        <v>12.6</v>
      </c>
      <c r="AZ698" s="1">
        <v>12.2</v>
      </c>
      <c r="BA698" s="1">
        <v>17.9</v>
      </c>
      <c r="BB698" s="1">
        <v>2.79</v>
      </c>
      <c r="BC698" s="1" t="s">
        <v>1309</v>
      </c>
      <c r="BD698" s="1">
        <v>15.3</v>
      </c>
      <c r="BE698" s="1">
        <v>40.6</v>
      </c>
      <c r="BF698" s="1">
        <v>28.7</v>
      </c>
      <c r="BG698" s="1">
        <v>15.5</v>
      </c>
      <c r="BH698" s="1" t="s">
        <v>1308</v>
      </c>
    </row>
    <row r="699">
      <c r="A699" s="1">
        <v>18003.0</v>
      </c>
      <c r="B699" s="2" t="str">
        <f>IFERROR(__xludf.DUMMYFUNCTION("TO_TEXT(A699)"),"18003")</f>
        <v>18003</v>
      </c>
      <c r="C699" s="1">
        <v>365565.0</v>
      </c>
      <c r="D699" s="1">
        <v>657.321029829802</v>
      </c>
      <c r="E699" s="1" t="s">
        <v>1310</v>
      </c>
      <c r="F699" s="1" t="s">
        <v>1311</v>
      </c>
      <c r="G699" s="1">
        <v>556.143776648458</v>
      </c>
      <c r="H699" s="1">
        <v>17.705718867</v>
      </c>
      <c r="I699" s="1">
        <v>4.4567810784</v>
      </c>
      <c r="J699" s="1">
        <v>8.7415180902</v>
      </c>
      <c r="K699" s="1">
        <v>19.774598017</v>
      </c>
      <c r="L699" s="1">
        <v>32.3</v>
      </c>
      <c r="M699" s="1">
        <v>7.3</v>
      </c>
      <c r="N699" s="1">
        <v>22.6</v>
      </c>
      <c r="O699" s="1">
        <v>78.1911974539999</v>
      </c>
      <c r="P699" s="1">
        <v>9.7108854332</v>
      </c>
      <c r="Q699" s="1">
        <v>67.31442</v>
      </c>
      <c r="R699" s="1">
        <v>91.815041191</v>
      </c>
      <c r="S699" s="1">
        <v>21.0</v>
      </c>
      <c r="T699" s="1">
        <v>95016.0</v>
      </c>
      <c r="U699" s="1">
        <v>35.785551907</v>
      </c>
      <c r="V699" s="1">
        <v>295.91109612</v>
      </c>
      <c r="W699" s="1">
        <v>11.785701664</v>
      </c>
      <c r="X699" s="1">
        <v>9.8918415586</v>
      </c>
      <c r="Y699" s="1">
        <v>77.071299986</v>
      </c>
      <c r="Z699" s="1">
        <v>10.4</v>
      </c>
      <c r="AA699" s="1">
        <v>9.841942486</v>
      </c>
      <c r="AB699" s="1">
        <v>54473.0</v>
      </c>
      <c r="AC699" s="1">
        <v>50.871226665</v>
      </c>
      <c r="AD699" s="1">
        <v>68.257142857</v>
      </c>
      <c r="AE699" s="1">
        <v>10.38280208</v>
      </c>
      <c r="AF699" s="1">
        <v>11.574766019</v>
      </c>
      <c r="AG699" s="1">
        <v>0.4712922038</v>
      </c>
      <c r="AH699" s="1">
        <v>4.3764369883</v>
      </c>
      <c r="AI699" s="1">
        <v>0.10656692</v>
      </c>
      <c r="AJ699" s="1">
        <v>7.6080788382</v>
      </c>
      <c r="AK699" s="1">
        <v>73.467501086</v>
      </c>
      <c r="AL699" s="1">
        <v>2.1168621931</v>
      </c>
      <c r="AM699" s="1">
        <v>51.1222828769999</v>
      </c>
      <c r="AN699" s="1">
        <v>11.879694593</v>
      </c>
      <c r="AO699" s="1">
        <v>26058.0</v>
      </c>
      <c r="AP699" s="1">
        <v>15.2</v>
      </c>
      <c r="AQ699" s="1">
        <v>7.0</v>
      </c>
      <c r="AR699" s="1">
        <v>10.8</v>
      </c>
      <c r="AS699" s="1">
        <v>13.1</v>
      </c>
      <c r="AT699" s="1">
        <v>26.3</v>
      </c>
      <c r="AU699" s="1">
        <v>12.2</v>
      </c>
      <c r="AV699" s="1">
        <v>25.1</v>
      </c>
      <c r="AW699" s="1">
        <v>2.3</v>
      </c>
      <c r="AX699" s="1">
        <v>0.5441</v>
      </c>
      <c r="AY699" s="1">
        <v>10.5</v>
      </c>
      <c r="AZ699" s="1">
        <v>12.6</v>
      </c>
      <c r="BA699" s="1">
        <v>17.2</v>
      </c>
      <c r="BB699" s="1">
        <v>2.92</v>
      </c>
      <c r="BC699" s="1" t="s">
        <v>1309</v>
      </c>
      <c r="BD699" s="1">
        <v>10.6</v>
      </c>
      <c r="BE699" s="1">
        <v>28.2</v>
      </c>
      <c r="BF699" s="1">
        <v>32.6</v>
      </c>
      <c r="BG699" s="1">
        <v>28.5</v>
      </c>
      <c r="BH699" s="1" t="s">
        <v>1311</v>
      </c>
    </row>
    <row r="700">
      <c r="A700" s="1">
        <v>18005.0</v>
      </c>
      <c r="B700" s="2" t="str">
        <f>IFERROR(__xludf.DUMMYFUNCTION("TO_TEXT(A700)"),"18005")</f>
        <v>18005</v>
      </c>
      <c r="C700" s="1">
        <v>80203.0</v>
      </c>
      <c r="D700" s="1">
        <v>406.893826291709</v>
      </c>
      <c r="E700" s="1" t="s">
        <v>1312</v>
      </c>
      <c r="F700" s="1" t="s">
        <v>1313</v>
      </c>
      <c r="G700" s="1">
        <v>197.110388061039</v>
      </c>
      <c r="H700" s="1">
        <v>16.108504549</v>
      </c>
      <c r="I700" s="1">
        <v>4.1368829566</v>
      </c>
      <c r="J700" s="1">
        <v>7.6439089692</v>
      </c>
      <c r="K700" s="1">
        <v>18.588754061</v>
      </c>
      <c r="L700" s="1">
        <v>32.3</v>
      </c>
      <c r="M700" s="1">
        <v>7.8</v>
      </c>
      <c r="N700" s="1">
        <v>25.3</v>
      </c>
      <c r="O700" s="1">
        <v>64.251113368</v>
      </c>
      <c r="P700" s="1">
        <v>9.8855313363</v>
      </c>
      <c r="Q700" s="1">
        <v>70.69722</v>
      </c>
      <c r="R700" s="1">
        <v>89.24259056</v>
      </c>
      <c r="S700" s="1">
        <v>12.6</v>
      </c>
      <c r="T700" s="1">
        <v>19491.0</v>
      </c>
      <c r="U700" s="1">
        <v>31.7428556769999</v>
      </c>
      <c r="V700" s="1">
        <v>95.543953301</v>
      </c>
      <c r="W700" s="1">
        <v>11.729686243</v>
      </c>
      <c r="X700" s="1">
        <v>8.6209690488</v>
      </c>
      <c r="Y700" s="1">
        <v>78.164564605</v>
      </c>
      <c r="Z700" s="1">
        <v>11.7</v>
      </c>
      <c r="AA700" s="1">
        <v>9.1826520709</v>
      </c>
      <c r="AB700" s="1">
        <v>63067.0</v>
      </c>
      <c r="AC700" s="1">
        <v>45.350339038</v>
      </c>
      <c r="AD700" s="1">
        <v>71.3221131069999</v>
      </c>
      <c r="AE700" s="1">
        <v>10.341371953</v>
      </c>
      <c r="AF700" s="1">
        <v>2.1147269585</v>
      </c>
      <c r="AG700" s="1">
        <v>0.4531557768</v>
      </c>
      <c r="AH700" s="1">
        <v>7.8788684398</v>
      </c>
      <c r="AI700" s="1">
        <v>0.0725049243</v>
      </c>
      <c r="AJ700" s="1">
        <v>6.9266371008</v>
      </c>
      <c r="AK700" s="1">
        <v>81.407320581</v>
      </c>
      <c r="AL700" s="1">
        <v>1.8039349066</v>
      </c>
      <c r="AM700" s="1">
        <v>49.697291941</v>
      </c>
      <c r="AN700" s="1">
        <v>33.7031538919999</v>
      </c>
      <c r="AO700" s="1">
        <v>28631.0</v>
      </c>
      <c r="AP700" s="1">
        <v>12.6</v>
      </c>
      <c r="AQ700" s="1">
        <v>5.2</v>
      </c>
      <c r="AR700" s="1">
        <v>9.7</v>
      </c>
      <c r="AS700" s="1">
        <v>15.0</v>
      </c>
      <c r="AT700" s="1">
        <v>24.2</v>
      </c>
      <c r="AU700" s="1">
        <v>12.6</v>
      </c>
      <c r="AV700" s="1">
        <v>16.1</v>
      </c>
      <c r="AW700" s="1">
        <v>2.0</v>
      </c>
      <c r="AX700" s="1">
        <v>0.3196</v>
      </c>
      <c r="AY700" s="1">
        <v>11.2</v>
      </c>
      <c r="AZ700" s="1">
        <v>11.6</v>
      </c>
      <c r="BA700" s="1">
        <v>15.8</v>
      </c>
      <c r="BB700" s="1">
        <v>2.84</v>
      </c>
      <c r="BC700" s="1" t="s">
        <v>1309</v>
      </c>
      <c r="BD700" s="1">
        <v>9.4</v>
      </c>
      <c r="BE700" s="1">
        <v>30.8</v>
      </c>
      <c r="BF700" s="1">
        <v>26.3</v>
      </c>
      <c r="BG700" s="1">
        <v>33.5</v>
      </c>
      <c r="BH700" s="1" t="s">
        <v>1313</v>
      </c>
    </row>
    <row r="701">
      <c r="A701" s="1">
        <v>18007.0</v>
      </c>
      <c r="B701" s="2" t="str">
        <f>IFERROR(__xludf.DUMMYFUNCTION("TO_TEXT(A701)"),"18007")</f>
        <v>18007</v>
      </c>
      <c r="C701" s="1">
        <v>8709.0</v>
      </c>
      <c r="D701" s="1">
        <v>406.417317350104</v>
      </c>
      <c r="E701" s="1" t="s">
        <v>291</v>
      </c>
      <c r="F701" s="1" t="s">
        <v>1314</v>
      </c>
      <c r="G701" s="1">
        <v>21.4287128727286</v>
      </c>
      <c r="H701" s="1">
        <v>19.180962782</v>
      </c>
      <c r="I701" s="1">
        <v>4.7164198623</v>
      </c>
      <c r="J701" s="1">
        <v>5.4901960784</v>
      </c>
      <c r="K701" s="1">
        <v>20.870573</v>
      </c>
      <c r="L701" s="1">
        <v>33.2</v>
      </c>
      <c r="M701" s="1">
        <v>8.4</v>
      </c>
      <c r="N701" s="1">
        <v>31.2</v>
      </c>
      <c r="O701" s="1">
        <v>57.894736842</v>
      </c>
      <c r="P701" s="1">
        <v>11.310285958</v>
      </c>
      <c r="Q701" s="1">
        <v>48.31939</v>
      </c>
      <c r="R701" s="1">
        <v>94.244604317</v>
      </c>
      <c r="S701" s="1">
        <v>17.8</v>
      </c>
      <c r="T701" s="1">
        <v>2141.0</v>
      </c>
      <c r="U701" s="1">
        <v>29.191966371</v>
      </c>
      <c r="V701" s="1">
        <v>204.509002055</v>
      </c>
      <c r="W701" s="1">
        <v>9.4395280236</v>
      </c>
      <c r="X701" s="1">
        <v>7.6854599407</v>
      </c>
      <c r="Y701" s="1">
        <v>79.3435731439999</v>
      </c>
      <c r="Z701" s="1">
        <v>15.4</v>
      </c>
      <c r="AA701" s="1">
        <v>0.8238202711</v>
      </c>
      <c r="AB701" s="1">
        <v>51649.0</v>
      </c>
      <c r="AC701" s="1">
        <v>49.1821155939999</v>
      </c>
      <c r="AD701" s="1">
        <v>72.083455774</v>
      </c>
      <c r="AE701" s="1">
        <v>10.778625954</v>
      </c>
      <c r="AF701" s="1">
        <v>0.7165145036</v>
      </c>
      <c r="AG701" s="1">
        <v>0.3004738241</v>
      </c>
      <c r="AH701" s="1">
        <v>0.3235871952</v>
      </c>
      <c r="AI701" s="1">
        <v>0.0577834277</v>
      </c>
      <c r="AJ701" s="1">
        <v>5.1889518086</v>
      </c>
      <c r="AK701" s="1">
        <v>92.314804114</v>
      </c>
      <c r="AL701" s="1">
        <v>0.419028839</v>
      </c>
      <c r="AM701" s="1">
        <v>50.352478909</v>
      </c>
      <c r="AN701" s="1">
        <v>100.0</v>
      </c>
      <c r="AO701" s="1">
        <v>23181.0</v>
      </c>
      <c r="AP701" s="1">
        <v>12.8</v>
      </c>
      <c r="AQ701" s="1">
        <v>4.6</v>
      </c>
      <c r="AR701" s="1">
        <v>10.3</v>
      </c>
      <c r="AS701" s="1">
        <v>16.3</v>
      </c>
      <c r="AT701" s="1">
        <v>25.3</v>
      </c>
      <c r="AU701" s="1">
        <v>17.5</v>
      </c>
      <c r="AV701" s="1">
        <v>7.1</v>
      </c>
      <c r="AW701" s="1">
        <v>0.7</v>
      </c>
      <c r="AX701" s="1">
        <v>0.2413</v>
      </c>
      <c r="AY701" s="1">
        <v>8.7</v>
      </c>
      <c r="AZ701" s="1">
        <v>14.0</v>
      </c>
      <c r="BA701" s="1">
        <v>19.8</v>
      </c>
      <c r="BB701" s="1">
        <v>2.9</v>
      </c>
      <c r="BC701" s="1" t="s">
        <v>1309</v>
      </c>
      <c r="BD701" s="1">
        <v>10.1</v>
      </c>
      <c r="BE701" s="1">
        <v>42.8</v>
      </c>
      <c r="BF701" s="1">
        <v>30.9</v>
      </c>
      <c r="BG701" s="1">
        <v>16.1</v>
      </c>
      <c r="BH701" s="1" t="s">
        <v>1314</v>
      </c>
    </row>
    <row r="702">
      <c r="A702" s="1">
        <v>18009.0</v>
      </c>
      <c r="B702" s="2" t="str">
        <f>IFERROR(__xludf.DUMMYFUNCTION("TO_TEXT(A702)"),"18009")</f>
        <v>18009</v>
      </c>
      <c r="C702" s="1">
        <v>12364.0</v>
      </c>
      <c r="D702" s="1">
        <v>165.079699296668</v>
      </c>
      <c r="E702" s="1" t="s">
        <v>1315</v>
      </c>
      <c r="F702" s="1" t="s">
        <v>1316</v>
      </c>
      <c r="G702" s="1">
        <v>74.8971560566052</v>
      </c>
      <c r="H702" s="1">
        <v>18.65619489</v>
      </c>
      <c r="I702" s="1">
        <v>4.6634176627</v>
      </c>
      <c r="J702" s="1">
        <v>8.253968254</v>
      </c>
      <c r="K702" s="1">
        <v>19.708925344</v>
      </c>
      <c r="L702" s="1">
        <v>34.2</v>
      </c>
      <c r="M702" s="1">
        <v>8.3</v>
      </c>
      <c r="N702" s="1">
        <v>29.1</v>
      </c>
      <c r="O702" s="1">
        <v>57.942973523</v>
      </c>
      <c r="P702" s="1">
        <v>8.597626753</v>
      </c>
      <c r="Q702" s="1">
        <v>58.45023</v>
      </c>
      <c r="R702" s="1">
        <v>96.7741935479999</v>
      </c>
      <c r="S702" s="1">
        <v>22.3</v>
      </c>
      <c r="T702" s="1">
        <v>2554.0</v>
      </c>
      <c r="U702" s="1">
        <v>36.139389193</v>
      </c>
      <c r="V702" s="1">
        <v>49.336019406</v>
      </c>
      <c r="W702" s="1">
        <v>11.047070125</v>
      </c>
      <c r="X702" s="1">
        <v>9.1610414658</v>
      </c>
      <c r="Y702" s="1">
        <v>75.133880766</v>
      </c>
      <c r="Z702" s="1">
        <v>23.3</v>
      </c>
      <c r="AA702" s="1">
        <v>0.7789825505</v>
      </c>
      <c r="AB702" s="1">
        <v>45161.0</v>
      </c>
      <c r="AC702" s="1">
        <v>58.483754513</v>
      </c>
      <c r="AD702" s="1">
        <v>75.827751196</v>
      </c>
      <c r="AE702" s="1">
        <v>9.1794158554</v>
      </c>
      <c r="AF702" s="1">
        <v>0.6621961442</v>
      </c>
      <c r="AG702" s="1">
        <v>0.2849958089</v>
      </c>
      <c r="AH702" s="1">
        <v>0.3688181056</v>
      </c>
      <c r="AI702" s="1">
        <v>0.0335289187</v>
      </c>
      <c r="AJ702" s="1">
        <v>1.7518860017</v>
      </c>
      <c r="AK702" s="1">
        <v>95.4233025979999</v>
      </c>
      <c r="AL702" s="1">
        <v>0.130480166999999</v>
      </c>
      <c r="AM702" s="1">
        <v>50.637049455</v>
      </c>
      <c r="AN702" s="1">
        <v>50.610997963</v>
      </c>
      <c r="AO702" s="1">
        <v>21980.0</v>
      </c>
      <c r="AP702" s="1">
        <v>12.0</v>
      </c>
      <c r="AQ702" s="1">
        <v>8.3</v>
      </c>
      <c r="AR702" s="1">
        <v>13.0</v>
      </c>
      <c r="AS702" s="1">
        <v>19.8</v>
      </c>
      <c r="AT702" s="1">
        <v>21.8</v>
      </c>
      <c r="AU702" s="1">
        <v>20.5</v>
      </c>
      <c r="AV702" s="1">
        <v>4.1</v>
      </c>
      <c r="AW702" s="1">
        <v>0.5</v>
      </c>
      <c r="AX702" s="1">
        <v>0.5161</v>
      </c>
      <c r="AY702" s="1">
        <v>12.8</v>
      </c>
      <c r="AZ702" s="1">
        <v>13.8</v>
      </c>
      <c r="BA702" s="1">
        <v>20.6</v>
      </c>
      <c r="BB702" s="1">
        <v>2.65</v>
      </c>
      <c r="BC702" s="1" t="s">
        <v>1309</v>
      </c>
      <c r="BD702" s="1">
        <v>10.6</v>
      </c>
      <c r="BE702" s="1">
        <v>49.6</v>
      </c>
      <c r="BF702" s="1">
        <v>26.4</v>
      </c>
      <c r="BG702" s="1">
        <v>13.5</v>
      </c>
      <c r="BH702" s="1" t="s">
        <v>1316</v>
      </c>
    </row>
    <row r="703">
      <c r="A703" s="1">
        <v>18011.0</v>
      </c>
      <c r="B703" s="2" t="str">
        <f>IFERROR(__xludf.DUMMYFUNCTION("TO_TEXT(A703)"),"18011")</f>
        <v>18011</v>
      </c>
      <c r="C703" s="1">
        <v>61884.0</v>
      </c>
      <c r="D703" s="1">
        <v>422.911474712381</v>
      </c>
      <c r="E703" s="1" t="s">
        <v>293</v>
      </c>
      <c r="F703" s="1" t="s">
        <v>1317</v>
      </c>
      <c r="G703" s="1">
        <v>146.328495915337</v>
      </c>
      <c r="H703" s="1">
        <v>14.111307883</v>
      </c>
      <c r="I703" s="1">
        <v>3.879291811</v>
      </c>
      <c r="J703" s="1">
        <v>6.9784706756</v>
      </c>
      <c r="K703" s="1">
        <v>16.086571872</v>
      </c>
      <c r="L703" s="1">
        <v>27.6</v>
      </c>
      <c r="M703" s="1">
        <v>8.9</v>
      </c>
      <c r="N703" s="1">
        <v>20.7</v>
      </c>
      <c r="O703" s="1">
        <v>77.055084746</v>
      </c>
      <c r="P703" s="1">
        <v>6.72895252289999</v>
      </c>
      <c r="Q703" s="1">
        <v>206.45161</v>
      </c>
      <c r="R703" s="1">
        <v>95.063291139</v>
      </c>
      <c r="S703" s="1">
        <v>5.2</v>
      </c>
      <c r="T703" s="1">
        <v>17090.0</v>
      </c>
      <c r="U703" s="1">
        <v>19.865418373</v>
      </c>
      <c r="V703" s="1">
        <v>186.79396329</v>
      </c>
      <c r="W703" s="1">
        <v>10.288153682</v>
      </c>
      <c r="X703" s="1">
        <v>8.7963956233</v>
      </c>
      <c r="Y703" s="1">
        <v>78.561709928</v>
      </c>
      <c r="Z703" s="1">
        <v>9.8</v>
      </c>
      <c r="AA703" s="1">
        <v>1.2802990579</v>
      </c>
      <c r="AB703" s="1">
        <v>85876.0</v>
      </c>
      <c r="AC703" s="1">
        <v>19.525621307</v>
      </c>
      <c r="AD703" s="1">
        <v>76.709271658</v>
      </c>
      <c r="AE703" s="1">
        <v>8.7565385724</v>
      </c>
      <c r="AF703" s="1">
        <v>1.93137211</v>
      </c>
      <c r="AG703" s="1">
        <v>0.280601203</v>
      </c>
      <c r="AH703" s="1">
        <v>3.0582546008</v>
      </c>
      <c r="AI703" s="1">
        <v>0.0447767877</v>
      </c>
      <c r="AJ703" s="1">
        <v>3.1731816893</v>
      </c>
      <c r="AK703" s="1">
        <v>90.126718309</v>
      </c>
      <c r="AL703" s="1">
        <v>0.7848953473</v>
      </c>
      <c r="AM703" s="1">
        <v>50.251496291</v>
      </c>
      <c r="AN703" s="1">
        <v>34.405014124</v>
      </c>
      <c r="AO703" s="1">
        <v>40487.0</v>
      </c>
      <c r="AP703" s="1">
        <v>6.1</v>
      </c>
      <c r="AQ703" s="1">
        <v>3.3</v>
      </c>
      <c r="AR703" s="1">
        <v>6.8</v>
      </c>
      <c r="AS703" s="1">
        <v>12.7</v>
      </c>
      <c r="AT703" s="1">
        <v>27.0</v>
      </c>
      <c r="AU703" s="1">
        <v>10.3</v>
      </c>
      <c r="AV703" s="1">
        <v>7.9</v>
      </c>
      <c r="AW703" s="1">
        <v>0.7</v>
      </c>
      <c r="AX703" s="1">
        <v>0.0433</v>
      </c>
      <c r="AY703" s="1">
        <v>6.9</v>
      </c>
      <c r="AZ703" s="1">
        <v>8.5</v>
      </c>
      <c r="BA703" s="1">
        <v>10.5</v>
      </c>
      <c r="BB703" s="1">
        <v>2.97</v>
      </c>
      <c r="BC703" s="1" t="s">
        <v>1309</v>
      </c>
      <c r="BD703" s="1">
        <v>6.3</v>
      </c>
      <c r="BE703" s="1">
        <v>19.5</v>
      </c>
      <c r="BF703" s="1">
        <v>24.9</v>
      </c>
      <c r="BG703" s="1">
        <v>49.3</v>
      </c>
      <c r="BH703" s="1" t="s">
        <v>1317</v>
      </c>
    </row>
    <row r="704">
      <c r="A704" s="1">
        <v>18013.0</v>
      </c>
      <c r="B704" s="2" t="str">
        <f>IFERROR(__xludf.DUMMYFUNCTION("TO_TEXT(A704)"),"18013")</f>
        <v>18013</v>
      </c>
      <c r="C704" s="1">
        <v>14965.0</v>
      </c>
      <c r="D704" s="1">
        <v>311.987350819822</v>
      </c>
      <c r="E704" s="1" t="s">
        <v>1158</v>
      </c>
      <c r="F704" s="1" t="s">
        <v>1318</v>
      </c>
      <c r="G704" s="1">
        <v>47.9666882669308</v>
      </c>
      <c r="H704" s="1">
        <v>16.60424907</v>
      </c>
      <c r="I704" s="1">
        <v>4.4940348367</v>
      </c>
      <c r="J704" s="1">
        <v>6.5138721351</v>
      </c>
      <c r="K704" s="1">
        <v>18.720410581</v>
      </c>
      <c r="L704" s="1">
        <v>31.2</v>
      </c>
      <c r="M704" s="1">
        <v>8.7</v>
      </c>
      <c r="N704" s="1">
        <v>22.8</v>
      </c>
      <c r="O704" s="1">
        <v>63.06915103</v>
      </c>
      <c r="P704" s="1">
        <v>10.48944926</v>
      </c>
      <c r="Q704" s="1">
        <v>33.25574</v>
      </c>
      <c r="R704" s="1">
        <v>98.0132450329999</v>
      </c>
      <c r="S704" s="1">
        <v>16.3</v>
      </c>
      <c r="T704" s="1">
        <v>2681.0</v>
      </c>
      <c r="U704" s="1">
        <v>29.429317419</v>
      </c>
      <c r="V704" s="1">
        <v>187.35362998</v>
      </c>
      <c r="W704" s="1">
        <v>14.189756507</v>
      </c>
      <c r="X704" s="1">
        <v>11.722972973</v>
      </c>
      <c r="Y704" s="1">
        <v>78.437446968</v>
      </c>
      <c r="Z704" s="1">
        <v>7.8</v>
      </c>
      <c r="AA704" s="1">
        <v>1.258273022</v>
      </c>
      <c r="AB704" s="1">
        <v>60944.0</v>
      </c>
      <c r="AC704" s="1">
        <v>49.573507275</v>
      </c>
      <c r="AD704" s="1">
        <v>83.554899065</v>
      </c>
      <c r="AE704" s="1">
        <v>11.096144132</v>
      </c>
      <c r="AF704" s="1">
        <v>0.5776552448</v>
      </c>
      <c r="AG704" s="1">
        <v>0.6564264146</v>
      </c>
      <c r="AH704" s="1">
        <v>0.4529342261</v>
      </c>
      <c r="AI704" s="1">
        <v>0.0196927924</v>
      </c>
      <c r="AJ704" s="1">
        <v>1.6935801497</v>
      </c>
      <c r="AK704" s="1">
        <v>95.490350532</v>
      </c>
      <c r="AL704" s="1">
        <v>0.3594635697</v>
      </c>
      <c r="AM704" s="1">
        <v>50.722069056</v>
      </c>
      <c r="AN704" s="1">
        <v>100.0</v>
      </c>
      <c r="AO704" s="1">
        <v>30279.0</v>
      </c>
      <c r="AP704" s="1">
        <v>12.7</v>
      </c>
      <c r="AQ704" s="1">
        <v>5.6</v>
      </c>
      <c r="AR704" s="1">
        <v>10.4</v>
      </c>
      <c r="AS704" s="1">
        <v>21.0</v>
      </c>
      <c r="AT704" s="1">
        <v>19.7</v>
      </c>
      <c r="AU704" s="1">
        <v>12.2</v>
      </c>
      <c r="AV704" s="1">
        <v>4.0</v>
      </c>
      <c r="AW704" s="1">
        <v>0.3</v>
      </c>
      <c r="AX704" s="1">
        <v>0.0589</v>
      </c>
      <c r="AY704" s="1">
        <v>10.5</v>
      </c>
      <c r="AZ704" s="1">
        <v>10.6</v>
      </c>
      <c r="BA704" s="1">
        <v>13.5</v>
      </c>
      <c r="BB704" s="1">
        <v>2.83</v>
      </c>
      <c r="BC704" s="1" t="s">
        <v>1309</v>
      </c>
      <c r="BD704" s="1">
        <v>7.9</v>
      </c>
      <c r="BE704" s="1">
        <v>32.9</v>
      </c>
      <c r="BF704" s="1">
        <v>30.3</v>
      </c>
      <c r="BG704" s="1">
        <v>28.9</v>
      </c>
      <c r="BH704" s="1" t="s">
        <v>1318</v>
      </c>
    </row>
    <row r="705">
      <c r="A705" s="1">
        <v>18015.0</v>
      </c>
      <c r="B705" s="2" t="str">
        <f>IFERROR(__xludf.DUMMYFUNCTION("TO_TEXT(A705)"),"18015")</f>
        <v>18015</v>
      </c>
      <c r="C705" s="1">
        <v>20007.0</v>
      </c>
      <c r="D705" s="1">
        <v>372.22790339648</v>
      </c>
      <c r="E705" s="1" t="s">
        <v>298</v>
      </c>
      <c r="F705" s="1" t="s">
        <v>1319</v>
      </c>
      <c r="G705" s="1">
        <v>53.7493288854529</v>
      </c>
      <c r="H705" s="1">
        <v>18.487845991</v>
      </c>
      <c r="I705" s="1">
        <v>4.4127750404</v>
      </c>
      <c r="J705" s="1">
        <v>6.9241011984</v>
      </c>
      <c r="K705" s="1">
        <v>18.341353424</v>
      </c>
      <c r="L705" s="1">
        <v>37.2</v>
      </c>
      <c r="M705" s="1">
        <v>8.7</v>
      </c>
      <c r="N705" s="1">
        <v>30.9</v>
      </c>
      <c r="O705" s="1">
        <v>52.314562143</v>
      </c>
      <c r="P705" s="1">
        <v>10.203067751</v>
      </c>
      <c r="Q705" s="1">
        <v>14.97081</v>
      </c>
      <c r="R705" s="1">
        <v>92.857142857</v>
      </c>
      <c r="S705" s="1">
        <v>11.9</v>
      </c>
      <c r="T705" s="1">
        <v>4441.0</v>
      </c>
      <c r="U705" s="1">
        <v>22.382346318</v>
      </c>
      <c r="V705" s="1">
        <v>204.509002055</v>
      </c>
      <c r="W705" s="1">
        <v>7.5933075933</v>
      </c>
      <c r="X705" s="1">
        <v>5.0518134715</v>
      </c>
      <c r="Y705" s="1">
        <v>79.267576663</v>
      </c>
      <c r="Z705" s="1">
        <v>10.9</v>
      </c>
      <c r="AA705" s="1">
        <v>1.4471396168</v>
      </c>
      <c r="AB705" s="1">
        <v>57092.0</v>
      </c>
      <c r="AC705" s="1">
        <v>47.505938242</v>
      </c>
      <c r="AD705" s="1">
        <v>80.850253807</v>
      </c>
      <c r="AE705" s="1">
        <v>6.6152438227</v>
      </c>
      <c r="AF705" s="1">
        <v>0.6359616436</v>
      </c>
      <c r="AG705" s="1">
        <v>0.3726337755</v>
      </c>
      <c r="AH705" s="1">
        <v>0.1738957619</v>
      </c>
      <c r="AI705" s="1">
        <v>0.0248422517</v>
      </c>
      <c r="AJ705" s="1">
        <v>4.0940030804</v>
      </c>
      <c r="AK705" s="1">
        <v>94.032891141</v>
      </c>
      <c r="AL705" s="1">
        <v>0.5541189509</v>
      </c>
      <c r="AM705" s="1">
        <v>49.734187907</v>
      </c>
      <c r="AN705" s="1">
        <v>81.404118085</v>
      </c>
      <c r="AO705" s="1">
        <v>25647.0</v>
      </c>
      <c r="AP705" s="1">
        <v>10.8</v>
      </c>
      <c r="AQ705" s="1">
        <v>6.9</v>
      </c>
      <c r="AR705" s="1">
        <v>12.0</v>
      </c>
      <c r="AS705" s="1">
        <v>17.8</v>
      </c>
      <c r="AT705" s="1">
        <v>23.3</v>
      </c>
      <c r="AU705" s="1">
        <v>15.5</v>
      </c>
      <c r="AV705" s="1">
        <v>5.8</v>
      </c>
      <c r="AW705" s="1">
        <v>0.9</v>
      </c>
      <c r="AX705" s="1">
        <v>0.2003</v>
      </c>
      <c r="AY705" s="1">
        <v>8.7</v>
      </c>
      <c r="AZ705" s="1">
        <v>11.6</v>
      </c>
      <c r="BA705" s="1">
        <v>16.2</v>
      </c>
      <c r="BB705" s="1">
        <v>2.76</v>
      </c>
      <c r="BC705" s="1" t="s">
        <v>1309</v>
      </c>
      <c r="BD705" s="1">
        <v>11.6</v>
      </c>
      <c r="BE705" s="1">
        <v>40.8</v>
      </c>
      <c r="BF705" s="1">
        <v>31.0</v>
      </c>
      <c r="BG705" s="1">
        <v>16.7</v>
      </c>
      <c r="BH705" s="1" t="s">
        <v>1319</v>
      </c>
    </row>
    <row r="706">
      <c r="A706" s="1">
        <v>18017.0</v>
      </c>
      <c r="B706" s="2" t="str">
        <f>IFERROR(__xludf.DUMMYFUNCTION("TO_TEXT(A706)"),"18017")</f>
        <v>18017</v>
      </c>
      <c r="C706" s="1">
        <v>38324.0</v>
      </c>
      <c r="D706" s="1">
        <v>412.154609671654</v>
      </c>
      <c r="E706" s="1" t="s">
        <v>1164</v>
      </c>
      <c r="F706" s="1" t="s">
        <v>1320</v>
      </c>
      <c r="G706" s="1">
        <v>92.9845235275449</v>
      </c>
      <c r="H706" s="1">
        <v>20.359896844</v>
      </c>
      <c r="I706" s="1">
        <v>4.566505893</v>
      </c>
      <c r="J706" s="1">
        <v>8.5500747384</v>
      </c>
      <c r="K706" s="1">
        <v>20.63817315</v>
      </c>
      <c r="L706" s="1">
        <v>32.1</v>
      </c>
      <c r="M706" s="1">
        <v>8.6</v>
      </c>
      <c r="N706" s="1">
        <v>27.0</v>
      </c>
      <c r="O706" s="1">
        <v>73.369091002</v>
      </c>
      <c r="P706" s="1">
        <v>13.198565373</v>
      </c>
      <c r="Q706" s="1">
        <v>42.11191</v>
      </c>
      <c r="R706" s="1">
        <v>90.574712644</v>
      </c>
      <c r="S706" s="1">
        <v>17.3</v>
      </c>
      <c r="T706" s="1">
        <v>8701.0</v>
      </c>
      <c r="U706" s="1">
        <v>36.77738191</v>
      </c>
      <c r="V706" s="1">
        <v>70.385818561</v>
      </c>
      <c r="W706" s="1">
        <v>11.38630891</v>
      </c>
      <c r="X706" s="1">
        <v>8.3304528171</v>
      </c>
      <c r="Y706" s="1">
        <v>76.012475908</v>
      </c>
      <c r="Z706" s="1">
        <v>18.3</v>
      </c>
      <c r="AA706" s="1">
        <v>1.2508861917</v>
      </c>
      <c r="AB706" s="1">
        <v>48598.0</v>
      </c>
      <c r="AC706" s="1">
        <v>53.512862946</v>
      </c>
      <c r="AD706" s="1">
        <v>74.3351970539999</v>
      </c>
      <c r="AE706" s="1">
        <v>8.9264258958</v>
      </c>
      <c r="AF706" s="1">
        <v>1.5544724015</v>
      </c>
      <c r="AG706" s="1">
        <v>1.109208273</v>
      </c>
      <c r="AH706" s="1">
        <v>2.1788960611</v>
      </c>
      <c r="AI706" s="1">
        <v>0.192333026</v>
      </c>
      <c r="AJ706" s="1">
        <v>15.929390067</v>
      </c>
      <c r="AK706" s="1">
        <v>79.009353181</v>
      </c>
      <c r="AL706" s="1">
        <v>4.8862937923</v>
      </c>
      <c r="AM706" s="1">
        <v>50.05137663</v>
      </c>
      <c r="AN706" s="1">
        <v>44.667145717</v>
      </c>
      <c r="AO706" s="1">
        <v>22625.0</v>
      </c>
      <c r="AP706" s="1">
        <v>15.1</v>
      </c>
      <c r="AQ706" s="1">
        <v>7.6</v>
      </c>
      <c r="AR706" s="1">
        <v>17.2</v>
      </c>
      <c r="AS706" s="1">
        <v>16.2</v>
      </c>
      <c r="AT706" s="1">
        <v>24.0</v>
      </c>
      <c r="AU706" s="1">
        <v>14.9</v>
      </c>
      <c r="AV706" s="1">
        <v>18.9</v>
      </c>
      <c r="AW706" s="1">
        <v>5.0</v>
      </c>
      <c r="AX706" s="1">
        <v>0.71</v>
      </c>
      <c r="AY706" s="1">
        <v>12.6</v>
      </c>
      <c r="AZ706" s="1">
        <v>12.9</v>
      </c>
      <c r="BA706" s="1">
        <v>17.9</v>
      </c>
      <c r="BB706" s="1">
        <v>2.42</v>
      </c>
      <c r="BC706" s="1" t="s">
        <v>1309</v>
      </c>
      <c r="BD706" s="1">
        <v>14.6</v>
      </c>
      <c r="BE706" s="1">
        <v>39.9</v>
      </c>
      <c r="BF706" s="1">
        <v>32.1</v>
      </c>
      <c r="BG706" s="1">
        <v>13.3</v>
      </c>
      <c r="BH706" s="1" t="s">
        <v>1320</v>
      </c>
    </row>
    <row r="707">
      <c r="A707" s="1">
        <v>18019.0</v>
      </c>
      <c r="B707" s="2" t="str">
        <f>IFERROR(__xludf.DUMMYFUNCTION("TO_TEXT(A707)"),"18019")</f>
        <v>18019</v>
      </c>
      <c r="C707" s="1">
        <v>113993.0</v>
      </c>
      <c r="D707" s="1">
        <v>372.830275798556</v>
      </c>
      <c r="E707" s="1" t="s">
        <v>302</v>
      </c>
      <c r="F707" s="1" t="s">
        <v>1321</v>
      </c>
      <c r="G707" s="1">
        <v>305.750384020829</v>
      </c>
      <c r="H707" s="1">
        <v>20.379589922</v>
      </c>
      <c r="I707" s="1">
        <v>4.8400987292</v>
      </c>
      <c r="J707" s="1">
        <v>8.320358116</v>
      </c>
      <c r="K707" s="1">
        <v>22.22607816</v>
      </c>
      <c r="L707" s="1">
        <v>36.8</v>
      </c>
      <c r="M707" s="1">
        <v>7.9</v>
      </c>
      <c r="N707" s="1">
        <v>27.9</v>
      </c>
      <c r="O707" s="1">
        <v>89.104797155</v>
      </c>
      <c r="P707" s="1">
        <v>8.5838265103</v>
      </c>
      <c r="Q707" s="1">
        <v>42.74491</v>
      </c>
      <c r="R707" s="1">
        <v>91.454396056</v>
      </c>
      <c r="S707" s="1">
        <v>15.9</v>
      </c>
      <c r="T707" s="1">
        <v>26058.0</v>
      </c>
      <c r="U707" s="1">
        <v>30.7813339469999</v>
      </c>
      <c r="V707" s="1">
        <v>356.05002111</v>
      </c>
      <c r="W707" s="1">
        <v>11.294254208</v>
      </c>
      <c r="X707" s="1">
        <v>10.0210723479999</v>
      </c>
      <c r="Y707" s="1">
        <v>74.8825016569999</v>
      </c>
      <c r="Z707" s="1">
        <v>11.5</v>
      </c>
      <c r="AA707" s="1">
        <v>6.8981968698</v>
      </c>
      <c r="AB707" s="1">
        <v>56774.0</v>
      </c>
      <c r="AC707" s="1">
        <v>49.997082677</v>
      </c>
      <c r="AD707" s="1">
        <v>70.452851496</v>
      </c>
      <c r="AE707" s="1">
        <v>9.5413226008</v>
      </c>
      <c r="AF707" s="1">
        <v>7.8646898432</v>
      </c>
      <c r="AG707" s="1">
        <v>0.4141104294</v>
      </c>
      <c r="AH707" s="1">
        <v>1.1375255624</v>
      </c>
      <c r="AI707" s="1">
        <v>0.0792433538</v>
      </c>
      <c r="AJ707" s="1">
        <v>5.54533060669999</v>
      </c>
      <c r="AK707" s="1">
        <v>82.891956374</v>
      </c>
      <c r="AL707" s="1">
        <v>0.7804932053</v>
      </c>
      <c r="AM707" s="1">
        <v>51.1980231769999</v>
      </c>
      <c r="AN707" s="1">
        <v>20.514914</v>
      </c>
      <c r="AO707" s="1">
        <v>25693.0</v>
      </c>
      <c r="AP707" s="1">
        <v>9.9</v>
      </c>
      <c r="AQ707" s="1">
        <v>6.2</v>
      </c>
      <c r="AR707" s="1">
        <v>12.1</v>
      </c>
      <c r="AS707" s="1">
        <v>14.2</v>
      </c>
      <c r="AT707" s="1">
        <v>23.1</v>
      </c>
      <c r="AU707" s="1">
        <v>15.4</v>
      </c>
      <c r="AV707" s="1">
        <v>15.7</v>
      </c>
      <c r="AW707" s="1">
        <v>0.8</v>
      </c>
      <c r="AX707" s="1">
        <v>0.2967</v>
      </c>
      <c r="AY707" s="1">
        <v>9.7</v>
      </c>
      <c r="AZ707" s="1">
        <v>11.7</v>
      </c>
      <c r="BA707" s="1">
        <v>15.8</v>
      </c>
      <c r="BB707" s="1">
        <v>2.78</v>
      </c>
      <c r="BC707" s="1" t="s">
        <v>1309</v>
      </c>
      <c r="BD707" s="1">
        <v>10.6</v>
      </c>
      <c r="BE707" s="1">
        <v>34.6</v>
      </c>
      <c r="BF707" s="1">
        <v>33.7</v>
      </c>
      <c r="BG707" s="1">
        <v>21.2</v>
      </c>
      <c r="BH707" s="1" t="s">
        <v>1321</v>
      </c>
    </row>
    <row r="708">
      <c r="A708" s="1">
        <v>18021.0</v>
      </c>
      <c r="B708" s="2" t="str">
        <f>IFERROR(__xludf.DUMMYFUNCTION("TO_TEXT(A708)"),"18021")</f>
        <v>18021</v>
      </c>
      <c r="C708" s="1">
        <v>26568.0</v>
      </c>
      <c r="D708" s="1">
        <v>357.57290777592</v>
      </c>
      <c r="E708" s="1" t="s">
        <v>86</v>
      </c>
      <c r="F708" s="1" t="s">
        <v>1322</v>
      </c>
      <c r="G708" s="1">
        <v>74.3009311450669</v>
      </c>
      <c r="H708" s="1">
        <v>18.791263247</v>
      </c>
      <c r="I708" s="1">
        <v>4.6218449684</v>
      </c>
      <c r="J708" s="1">
        <v>8.1431767338</v>
      </c>
      <c r="K708" s="1">
        <v>19.98800344</v>
      </c>
      <c r="L708" s="1">
        <v>35.7</v>
      </c>
      <c r="M708" s="1">
        <v>8.3</v>
      </c>
      <c r="N708" s="1">
        <v>32.3</v>
      </c>
      <c r="O708" s="1">
        <v>71.164001488</v>
      </c>
      <c r="P708" s="1">
        <v>8.4085066604</v>
      </c>
      <c r="Q708" s="1">
        <v>41.98794</v>
      </c>
      <c r="R708" s="1">
        <v>89.530685921</v>
      </c>
      <c r="S708" s="1">
        <v>22.4</v>
      </c>
      <c r="T708" s="1">
        <v>5993.0</v>
      </c>
      <c r="U708" s="1">
        <v>33.188720174</v>
      </c>
      <c r="V708" s="1">
        <v>204.509002055</v>
      </c>
      <c r="W708" s="1">
        <v>12.333965844</v>
      </c>
      <c r="X708" s="1">
        <v>9.7019230769</v>
      </c>
      <c r="Y708" s="1">
        <v>75.419624366</v>
      </c>
      <c r="Z708" s="1">
        <v>16.6</v>
      </c>
      <c r="AA708" s="1">
        <v>1.2431609641</v>
      </c>
      <c r="AB708" s="1">
        <v>52699.0</v>
      </c>
      <c r="AC708" s="1">
        <v>56.3245823389999</v>
      </c>
      <c r="AD708" s="1">
        <v>76.907706946</v>
      </c>
      <c r="AE708" s="1">
        <v>6.5137886725</v>
      </c>
      <c r="AF708" s="1">
        <v>0.6801681314</v>
      </c>
      <c r="AG708" s="1">
        <v>0.2865876958</v>
      </c>
      <c r="AH708" s="1">
        <v>0.3668322507</v>
      </c>
      <c r="AI708" s="1">
        <v>0.0458540313</v>
      </c>
      <c r="AJ708" s="1">
        <v>1.4252961406</v>
      </c>
      <c r="AK708" s="1">
        <v>96.0374474589999</v>
      </c>
      <c r="AL708" s="1">
        <v>0.4935075442</v>
      </c>
      <c r="AM708" s="1">
        <v>50.592281238</v>
      </c>
      <c r="AN708" s="1">
        <v>60.888806248</v>
      </c>
      <c r="AO708" s="1">
        <v>22913.0</v>
      </c>
      <c r="AP708" s="1">
        <v>16.7</v>
      </c>
      <c r="AQ708" s="1">
        <v>6.4</v>
      </c>
      <c r="AR708" s="1">
        <v>10.3</v>
      </c>
      <c r="AS708" s="1">
        <v>16.4</v>
      </c>
      <c r="AT708" s="1">
        <v>23.4</v>
      </c>
      <c r="AU708" s="1">
        <v>18.1</v>
      </c>
      <c r="AV708" s="1">
        <v>3.4</v>
      </c>
      <c r="AW708" s="1">
        <v>0.3</v>
      </c>
      <c r="AX708" s="1">
        <v>0.3875</v>
      </c>
      <c r="AY708" s="1">
        <v>11.3</v>
      </c>
      <c r="AZ708" s="1">
        <v>13.7</v>
      </c>
      <c r="BA708" s="1">
        <v>20.2</v>
      </c>
      <c r="BB708" s="1">
        <v>2.51</v>
      </c>
      <c r="BC708" s="1" t="s">
        <v>1309</v>
      </c>
      <c r="BD708" s="1">
        <v>8.6</v>
      </c>
      <c r="BE708" s="1">
        <v>43.8</v>
      </c>
      <c r="BF708" s="1">
        <v>30.6</v>
      </c>
      <c r="BG708" s="1">
        <v>17.0</v>
      </c>
      <c r="BH708" s="1" t="s">
        <v>1322</v>
      </c>
    </row>
    <row r="709">
      <c r="A709" s="1">
        <v>18023.0</v>
      </c>
      <c r="B709" s="2" t="str">
        <f>IFERROR(__xludf.DUMMYFUNCTION("TO_TEXT(A709)"),"18023")</f>
        <v>18023</v>
      </c>
      <c r="C709" s="1">
        <v>32692.0</v>
      </c>
      <c r="D709" s="1">
        <v>405.06702521942</v>
      </c>
      <c r="E709" s="1" t="s">
        <v>1172</v>
      </c>
      <c r="F709" s="1" t="s">
        <v>1323</v>
      </c>
      <c r="G709" s="1">
        <v>80.7076309958608</v>
      </c>
      <c r="H709" s="1">
        <v>19.5101513979999</v>
      </c>
      <c r="I709" s="1">
        <v>4.4051221203</v>
      </c>
      <c r="J709" s="1">
        <v>6.926268752</v>
      </c>
      <c r="K709" s="1">
        <v>19.767518696</v>
      </c>
      <c r="L709" s="1">
        <v>38.4</v>
      </c>
      <c r="M709" s="1">
        <v>8.8</v>
      </c>
      <c r="N709" s="1">
        <v>33.6</v>
      </c>
      <c r="O709" s="1">
        <v>63.375872863</v>
      </c>
      <c r="P709" s="1">
        <v>11.664033702</v>
      </c>
      <c r="Q709" s="1">
        <v>18.56608</v>
      </c>
      <c r="R709" s="1">
        <v>90.19138756</v>
      </c>
      <c r="S709" s="1">
        <v>16.3</v>
      </c>
      <c r="T709" s="1">
        <v>8209.0</v>
      </c>
      <c r="U709" s="1">
        <v>30.259471312</v>
      </c>
      <c r="V709" s="1">
        <v>107.20740037</v>
      </c>
      <c r="W709" s="1">
        <v>10.2378929479999</v>
      </c>
      <c r="X709" s="1">
        <v>7.7200515243</v>
      </c>
      <c r="Y709" s="1">
        <v>76.094223763</v>
      </c>
      <c r="Z709" s="1">
        <v>16.6</v>
      </c>
      <c r="AA709" s="1">
        <v>0.629768270399999</v>
      </c>
      <c r="AB709" s="1">
        <v>51730.0</v>
      </c>
      <c r="AC709" s="1">
        <v>59.201277955</v>
      </c>
      <c r="AD709" s="1">
        <v>71.633213959</v>
      </c>
      <c r="AE709" s="1">
        <v>7.6530612245</v>
      </c>
      <c r="AF709" s="1">
        <v>0.6449612403</v>
      </c>
      <c r="AG709" s="1">
        <v>0.520930232599999</v>
      </c>
      <c r="AH709" s="1">
        <v>0.4279069767</v>
      </c>
      <c r="AI709" s="1">
        <v>0.0372093023</v>
      </c>
      <c r="AJ709" s="1">
        <v>16.446511628</v>
      </c>
      <c r="AK709" s="1">
        <v>81.652713178</v>
      </c>
      <c r="AL709" s="1">
        <v>3.7229091876</v>
      </c>
      <c r="AM709" s="1">
        <v>50.2790697669999</v>
      </c>
      <c r="AN709" s="1">
        <v>49.7832891889999</v>
      </c>
      <c r="AO709" s="1">
        <v>23260.0</v>
      </c>
      <c r="AP709" s="1">
        <v>12.7</v>
      </c>
      <c r="AQ709" s="1">
        <v>6.0</v>
      </c>
      <c r="AR709" s="1">
        <v>13.9</v>
      </c>
      <c r="AS709" s="1">
        <v>15.7</v>
      </c>
      <c r="AT709" s="1">
        <v>26.2</v>
      </c>
      <c r="AU709" s="1">
        <v>13.2</v>
      </c>
      <c r="AV709" s="1">
        <v>16.4</v>
      </c>
      <c r="AW709" s="1">
        <v>3.6</v>
      </c>
      <c r="AX709" s="1">
        <v>0.5078</v>
      </c>
      <c r="AY709" s="1">
        <v>11.3</v>
      </c>
      <c r="AZ709" s="1">
        <v>11.6</v>
      </c>
      <c r="BA709" s="1">
        <v>15.6</v>
      </c>
      <c r="BB709" s="1">
        <v>2.4</v>
      </c>
      <c r="BC709" s="1" t="s">
        <v>1309</v>
      </c>
      <c r="BD709" s="1">
        <v>14.3</v>
      </c>
      <c r="BE709" s="1">
        <v>43.2</v>
      </c>
      <c r="BF709" s="1">
        <v>26.1</v>
      </c>
      <c r="BG709" s="1">
        <v>16.3</v>
      </c>
      <c r="BH709" s="1" t="s">
        <v>1323</v>
      </c>
    </row>
    <row r="710">
      <c r="A710" s="1">
        <v>18025.0</v>
      </c>
      <c r="B710" s="2" t="str">
        <f>IFERROR(__xludf.DUMMYFUNCTION("TO_TEXT(A710)"),"18025")</f>
        <v>18025</v>
      </c>
      <c r="C710" s="1">
        <v>10582.0</v>
      </c>
      <c r="D710" s="1">
        <v>305.639002662216</v>
      </c>
      <c r="E710" s="1" t="s">
        <v>314</v>
      </c>
      <c r="F710" s="1" t="s">
        <v>1324</v>
      </c>
      <c r="G710" s="1">
        <v>34.6225445961651</v>
      </c>
      <c r="H710" s="1">
        <v>21.80931857</v>
      </c>
      <c r="I710" s="1">
        <v>4.8765403076</v>
      </c>
      <c r="J710" s="1">
        <v>8.7167070218</v>
      </c>
      <c r="K710" s="1">
        <v>22.763945817</v>
      </c>
      <c r="L710" s="1">
        <v>29.5</v>
      </c>
      <c r="M710" s="1">
        <v>7.9</v>
      </c>
      <c r="N710" s="1">
        <v>37.7</v>
      </c>
      <c r="O710" s="1">
        <v>75.086343695</v>
      </c>
      <c r="P710" s="1">
        <v>11.469576563</v>
      </c>
      <c r="Q710" s="1">
        <v>48.31939</v>
      </c>
      <c r="R710" s="1">
        <v>88.181818182</v>
      </c>
      <c r="S710" s="1">
        <v>25.3</v>
      </c>
      <c r="T710" s="1">
        <v>2293.0</v>
      </c>
      <c r="U710" s="1">
        <v>36.807675534</v>
      </c>
      <c r="V710" s="1">
        <v>237.85738071</v>
      </c>
      <c r="W710" s="1">
        <v>10.429447853</v>
      </c>
      <c r="X710" s="1">
        <v>8.225</v>
      </c>
      <c r="Y710" s="1">
        <v>74.537341925</v>
      </c>
      <c r="Z710" s="1">
        <v>14.1</v>
      </c>
      <c r="AA710" s="1">
        <v>4.661388084</v>
      </c>
      <c r="AB710" s="1">
        <v>44152.0</v>
      </c>
      <c r="AC710" s="1">
        <v>63.057742782</v>
      </c>
      <c r="AD710" s="1">
        <v>82.784163474</v>
      </c>
      <c r="AE710" s="1">
        <v>7.3335130763</v>
      </c>
      <c r="AF710" s="1">
        <v>0.5019890131</v>
      </c>
      <c r="AG710" s="1">
        <v>0.5493464671</v>
      </c>
      <c r="AH710" s="1">
        <v>0.2083727979</v>
      </c>
      <c r="AI710" s="1">
        <v>0.0852434173</v>
      </c>
      <c r="AJ710" s="1">
        <v>1.4396666035</v>
      </c>
      <c r="AK710" s="1">
        <v>95.946201932</v>
      </c>
      <c r="AL710" s="1">
        <v>0.1896586145</v>
      </c>
      <c r="AM710" s="1">
        <v>49.128622845</v>
      </c>
      <c r="AN710" s="1">
        <v>100.0</v>
      </c>
      <c r="AO710" s="1">
        <v>19756.0</v>
      </c>
      <c r="AP710" s="1">
        <v>19.5</v>
      </c>
      <c r="AQ710" s="1">
        <v>6.3</v>
      </c>
      <c r="AR710" s="1">
        <v>17.3</v>
      </c>
      <c r="AS710" s="1">
        <v>17.3</v>
      </c>
      <c r="AT710" s="1">
        <v>22.5</v>
      </c>
      <c r="AU710" s="1">
        <v>20.1</v>
      </c>
      <c r="AV710" s="1">
        <v>3.5</v>
      </c>
      <c r="AW710" s="1">
        <v>0.1</v>
      </c>
      <c r="AX710" s="1">
        <v>0.4661</v>
      </c>
      <c r="AY710" s="1">
        <v>16.5</v>
      </c>
      <c r="AZ710" s="1">
        <v>14.9</v>
      </c>
      <c r="BA710" s="1">
        <v>21.5</v>
      </c>
      <c r="BB710" s="1">
        <v>2.68</v>
      </c>
      <c r="BC710" s="1" t="s">
        <v>1309</v>
      </c>
      <c r="BD710" s="1">
        <v>19.6</v>
      </c>
      <c r="BE710" s="1">
        <v>45.9</v>
      </c>
      <c r="BF710" s="1">
        <v>24.2</v>
      </c>
      <c r="BG710" s="1">
        <v>10.3</v>
      </c>
      <c r="BH710" s="1" t="s">
        <v>1324</v>
      </c>
    </row>
    <row r="711">
      <c r="A711" s="1">
        <v>18027.0</v>
      </c>
      <c r="B711" s="2" t="str">
        <f>IFERROR(__xludf.DUMMYFUNCTION("TO_TEXT(A711)"),"18027")</f>
        <v>18027</v>
      </c>
      <c r="C711" s="1">
        <v>32583.0</v>
      </c>
      <c r="D711" s="1">
        <v>429.488651625716</v>
      </c>
      <c r="E711" s="1" t="s">
        <v>1325</v>
      </c>
      <c r="F711" s="1" t="s">
        <v>1326</v>
      </c>
      <c r="G711" s="1">
        <v>75.8646354837681</v>
      </c>
      <c r="H711" s="1">
        <v>19.403002515</v>
      </c>
      <c r="I711" s="1">
        <v>4.628340606</v>
      </c>
      <c r="J711" s="1">
        <v>6.3378414214</v>
      </c>
      <c r="K711" s="1">
        <v>20.042380836</v>
      </c>
      <c r="L711" s="1">
        <v>36.6</v>
      </c>
      <c r="M711" s="1">
        <v>8.2</v>
      </c>
      <c r="N711" s="1">
        <v>27.7</v>
      </c>
      <c r="O711" s="1">
        <v>54.938700708</v>
      </c>
      <c r="P711" s="1">
        <v>17.933448823</v>
      </c>
      <c r="Q711" s="1">
        <v>48.31939</v>
      </c>
      <c r="R711" s="1">
        <v>94.754098361</v>
      </c>
      <c r="S711" s="1">
        <v>17.4</v>
      </c>
      <c r="T711" s="1">
        <v>9601.0</v>
      </c>
      <c r="U711" s="1">
        <v>20.185397354</v>
      </c>
      <c r="V711" s="1">
        <v>161.3811793</v>
      </c>
      <c r="W711" s="1">
        <v>12.973443622</v>
      </c>
      <c r="X711" s="1">
        <v>9.2992507713</v>
      </c>
      <c r="Y711" s="1">
        <v>76.517365787</v>
      </c>
      <c r="Z711" s="1">
        <v>9.6</v>
      </c>
      <c r="AA711" s="1">
        <v>4.5598822037</v>
      </c>
      <c r="AB711" s="1">
        <v>55434.0</v>
      </c>
      <c r="AC711" s="1">
        <v>55.357908273</v>
      </c>
      <c r="AD711" s="1">
        <v>73.408075677</v>
      </c>
      <c r="AE711" s="1">
        <v>8.926119198</v>
      </c>
      <c r="AF711" s="1">
        <v>2.0394002474</v>
      </c>
      <c r="AG711" s="1">
        <v>0.3771080339</v>
      </c>
      <c r="AH711" s="1">
        <v>0.5098500618</v>
      </c>
      <c r="AI711" s="1">
        <v>0.1236914351</v>
      </c>
      <c r="AJ711" s="1">
        <v>4.9446405406</v>
      </c>
      <c r="AK711" s="1">
        <v>91.3566838629999</v>
      </c>
      <c r="AL711" s="1">
        <v>1.44029531</v>
      </c>
      <c r="AM711" s="1">
        <v>49.615349805</v>
      </c>
      <c r="AN711" s="1">
        <v>60.281850354</v>
      </c>
      <c r="AO711" s="1">
        <v>21472.0</v>
      </c>
      <c r="AP711" s="1">
        <v>13.5</v>
      </c>
      <c r="AQ711" s="1">
        <v>5.5</v>
      </c>
      <c r="AR711" s="1">
        <v>25.3</v>
      </c>
      <c r="AS711" s="1">
        <v>14.5</v>
      </c>
      <c r="AT711" s="1">
        <v>29.2</v>
      </c>
      <c r="AU711" s="1">
        <v>13.7</v>
      </c>
      <c r="AV711" s="1">
        <v>7.3</v>
      </c>
      <c r="AW711" s="1">
        <v>0.8</v>
      </c>
      <c r="AX711" s="1">
        <v>0.6116</v>
      </c>
      <c r="AY711" s="1">
        <v>11.3</v>
      </c>
      <c r="AZ711" s="1">
        <v>12.0</v>
      </c>
      <c r="BA711" s="1">
        <v>15.6</v>
      </c>
      <c r="BB711" s="1">
        <v>2.81</v>
      </c>
      <c r="BC711" s="1" t="s">
        <v>1309</v>
      </c>
      <c r="BD711" s="1">
        <v>26.2</v>
      </c>
      <c r="BE711" s="1">
        <v>34.0</v>
      </c>
      <c r="BF711" s="1">
        <v>26.6</v>
      </c>
      <c r="BG711" s="1">
        <v>13.2</v>
      </c>
      <c r="BH711" s="1" t="s">
        <v>1326</v>
      </c>
    </row>
    <row r="712">
      <c r="A712" s="1">
        <v>18029.0</v>
      </c>
      <c r="B712" s="2" t="str">
        <f>IFERROR(__xludf.DUMMYFUNCTION("TO_TEXT(A712)"),"18029")</f>
        <v>18029</v>
      </c>
      <c r="C712" s="1">
        <v>49552.0</v>
      </c>
      <c r="D712" s="1">
        <v>305.033894341368</v>
      </c>
      <c r="E712" s="1" t="s">
        <v>1327</v>
      </c>
      <c r="F712" s="1" t="s">
        <v>1328</v>
      </c>
      <c r="G712" s="1">
        <v>162.447521141849</v>
      </c>
      <c r="H712" s="1">
        <v>15.719527117</v>
      </c>
      <c r="I712" s="1">
        <v>4.2547117857</v>
      </c>
      <c r="J712" s="1">
        <v>7.1488411058</v>
      </c>
      <c r="K712" s="1">
        <v>20.087382123</v>
      </c>
      <c r="L712" s="1">
        <v>33.7</v>
      </c>
      <c r="M712" s="1">
        <v>8.1</v>
      </c>
      <c r="N712" s="1">
        <v>25.6</v>
      </c>
      <c r="O712" s="1">
        <v>68.693428178</v>
      </c>
      <c r="P712" s="1">
        <v>7.3012465543</v>
      </c>
      <c r="Q712" s="1">
        <v>44.22911</v>
      </c>
      <c r="R712" s="1">
        <v>94.281524927</v>
      </c>
      <c r="S712" s="1">
        <v>12.0</v>
      </c>
      <c r="T712" s="1">
        <v>11211.0</v>
      </c>
      <c r="U712" s="1">
        <v>29.8367674609999</v>
      </c>
      <c r="V712" s="1">
        <v>204.509002055</v>
      </c>
      <c r="W712" s="1">
        <v>9.7907725322</v>
      </c>
      <c r="X712" s="1">
        <v>8.25663237679999</v>
      </c>
      <c r="Y712" s="1">
        <v>76.898019461</v>
      </c>
      <c r="Z712" s="1">
        <v>8.4</v>
      </c>
      <c r="AA712" s="1">
        <v>6.81998284559999</v>
      </c>
      <c r="AB712" s="1">
        <v>66502.0</v>
      </c>
      <c r="AC712" s="1">
        <v>34.758481524</v>
      </c>
      <c r="AD712" s="1">
        <v>78.861003861</v>
      </c>
      <c r="AE712" s="1">
        <v>10.511908021</v>
      </c>
      <c r="AF712" s="1">
        <v>0.6415429309</v>
      </c>
      <c r="AG712" s="1">
        <v>0.2340219496</v>
      </c>
      <c r="AH712" s="1">
        <v>0.4559393157</v>
      </c>
      <c r="AI712" s="1">
        <v>0.0645577792</v>
      </c>
      <c r="AJ712" s="1">
        <v>1.3315041963</v>
      </c>
      <c r="AK712" s="1">
        <v>96.207230471</v>
      </c>
      <c r="AL712" s="1">
        <v>0.1278690621</v>
      </c>
      <c r="AM712" s="1">
        <v>50.272353131</v>
      </c>
      <c r="AN712" s="1">
        <v>53.058125362</v>
      </c>
      <c r="AO712" s="1">
        <v>28471.0</v>
      </c>
      <c r="AP712" s="1">
        <v>9.3</v>
      </c>
      <c r="AQ712" s="1">
        <v>7.1</v>
      </c>
      <c r="AR712" s="1">
        <v>9.4</v>
      </c>
      <c r="AS712" s="1">
        <v>15.1</v>
      </c>
      <c r="AT712" s="1">
        <v>23.2</v>
      </c>
      <c r="AU712" s="1">
        <v>11.7</v>
      </c>
      <c r="AV712" s="1">
        <v>3.6</v>
      </c>
      <c r="AW712" s="1">
        <v>0.1</v>
      </c>
      <c r="AX712" s="1">
        <v>0.0783</v>
      </c>
      <c r="AY712" s="1">
        <v>9.3</v>
      </c>
      <c r="AZ712" s="1">
        <v>11.0</v>
      </c>
      <c r="BA712" s="1">
        <v>15.8</v>
      </c>
      <c r="BB712" s="1">
        <v>2.65</v>
      </c>
      <c r="BC712" s="1" t="s">
        <v>1309</v>
      </c>
      <c r="BD712" s="1">
        <v>10.4</v>
      </c>
      <c r="BE712" s="1">
        <v>38.9</v>
      </c>
      <c r="BF712" s="1">
        <v>27.9</v>
      </c>
      <c r="BG712" s="1">
        <v>22.9</v>
      </c>
      <c r="BH712" s="1" t="s">
        <v>1328</v>
      </c>
    </row>
    <row r="713">
      <c r="A713" s="1">
        <v>18031.0</v>
      </c>
      <c r="B713" s="2" t="str">
        <f>IFERROR(__xludf.DUMMYFUNCTION("TO_TEXT(A713)"),"18031")</f>
        <v>18031</v>
      </c>
      <c r="C713" s="1">
        <v>26340.0</v>
      </c>
      <c r="D713" s="1">
        <v>372.567660029012</v>
      </c>
      <c r="E713" s="1" t="s">
        <v>870</v>
      </c>
      <c r="F713" s="1" t="s">
        <v>1329</v>
      </c>
      <c r="G713" s="1">
        <v>70.6985678734136</v>
      </c>
      <c r="H713" s="1">
        <v>16.792071784</v>
      </c>
      <c r="I713" s="1">
        <v>4.3570199203</v>
      </c>
      <c r="J713" s="1">
        <v>7.14876033059999</v>
      </c>
      <c r="K713" s="1">
        <v>18.441405072</v>
      </c>
      <c r="L713" s="1">
        <v>33.5</v>
      </c>
      <c r="M713" s="1">
        <v>8.1</v>
      </c>
      <c r="N713" s="1">
        <v>31.8</v>
      </c>
      <c r="O713" s="1">
        <v>66.142191142</v>
      </c>
      <c r="P713" s="1">
        <v>8.1271129141</v>
      </c>
      <c r="Q713" s="1">
        <v>56.10203</v>
      </c>
      <c r="R713" s="1">
        <v>95.637583893</v>
      </c>
      <c r="S713" s="1">
        <v>15.4</v>
      </c>
      <c r="T713" s="1">
        <v>6382.0</v>
      </c>
      <c r="U713" s="1">
        <v>32.419304293</v>
      </c>
      <c r="V713" s="1">
        <v>204.509002055</v>
      </c>
      <c r="W713" s="1">
        <v>8.6956521739</v>
      </c>
      <c r="X713" s="1">
        <v>6.607054148</v>
      </c>
      <c r="Y713" s="1">
        <v>76.893983951</v>
      </c>
      <c r="Z713" s="1">
        <v>12.0</v>
      </c>
      <c r="AA713" s="1">
        <v>5.2975917462</v>
      </c>
      <c r="AB713" s="1">
        <v>57441.0</v>
      </c>
      <c r="AC713" s="1">
        <v>49.687349687</v>
      </c>
      <c r="AD713" s="1">
        <v>69.055155875</v>
      </c>
      <c r="AE713" s="1">
        <v>8.4329021428</v>
      </c>
      <c r="AF713" s="1">
        <v>0.5598268269</v>
      </c>
      <c r="AG713" s="1">
        <v>0.2537881615</v>
      </c>
      <c r="AH713" s="1">
        <v>1.3286556692</v>
      </c>
      <c r="AI713" s="1">
        <v>0.0410539673</v>
      </c>
      <c r="AJ713" s="1">
        <v>2.0900201538</v>
      </c>
      <c r="AK713" s="1">
        <v>94.961558558</v>
      </c>
      <c r="AL713" s="1">
        <v>0.290076951</v>
      </c>
      <c r="AM713" s="1">
        <v>50.339628275</v>
      </c>
      <c r="AN713" s="1">
        <v>53.795648796</v>
      </c>
      <c r="AO713" s="1">
        <v>24175.0</v>
      </c>
      <c r="AP713" s="1">
        <v>13.0</v>
      </c>
      <c r="AQ713" s="1">
        <v>5.3</v>
      </c>
      <c r="AR713" s="1">
        <v>10.9</v>
      </c>
      <c r="AS713" s="1">
        <v>15.7</v>
      </c>
      <c r="AT713" s="1">
        <v>24.9</v>
      </c>
      <c r="AU713" s="1">
        <v>14.0</v>
      </c>
      <c r="AV713" s="1">
        <v>4.7</v>
      </c>
      <c r="AW713" s="1">
        <v>0.4</v>
      </c>
      <c r="AX713" s="1">
        <v>0.2837</v>
      </c>
      <c r="AY713" s="1">
        <v>9.6</v>
      </c>
      <c r="AZ713" s="1">
        <v>12.5</v>
      </c>
      <c r="BA713" s="1">
        <v>17.3</v>
      </c>
      <c r="BB713" s="1">
        <v>2.58</v>
      </c>
      <c r="BC713" s="1" t="s">
        <v>1309</v>
      </c>
      <c r="BD713" s="1">
        <v>9.1</v>
      </c>
      <c r="BE713" s="1">
        <v>44.0</v>
      </c>
      <c r="BF713" s="1">
        <v>26.3</v>
      </c>
      <c r="BG713" s="1">
        <v>20.6</v>
      </c>
      <c r="BH713" s="1" t="s">
        <v>1329</v>
      </c>
    </row>
    <row r="714">
      <c r="A714" s="1">
        <v>18033.0</v>
      </c>
      <c r="B714" s="2" t="str">
        <f>IFERROR(__xludf.DUMMYFUNCTION("TO_TEXT(A714)"),"18033")</f>
        <v>18033</v>
      </c>
      <c r="C714" s="1">
        <v>42489.0</v>
      </c>
      <c r="D714" s="1">
        <v>362.832428216222</v>
      </c>
      <c r="E714" s="1" t="s">
        <v>108</v>
      </c>
      <c r="F714" s="1" t="s">
        <v>1330</v>
      </c>
      <c r="G714" s="1">
        <v>117.103645362921</v>
      </c>
      <c r="H714" s="1">
        <v>17.257377122</v>
      </c>
      <c r="I714" s="1">
        <v>4.570124494</v>
      </c>
      <c r="J714" s="1">
        <v>6.7607928319</v>
      </c>
      <c r="K714" s="1">
        <v>19.794324297</v>
      </c>
      <c r="L714" s="1">
        <v>30.3</v>
      </c>
      <c r="M714" s="1">
        <v>7.9</v>
      </c>
      <c r="N714" s="1">
        <v>21.8</v>
      </c>
      <c r="O714" s="1">
        <v>59.15022618</v>
      </c>
      <c r="P714" s="1">
        <v>8.2776550837</v>
      </c>
      <c r="Q714" s="1">
        <v>49.02419</v>
      </c>
      <c r="R714" s="1">
        <v>91.326530612</v>
      </c>
      <c r="S714" s="1">
        <v>12.8</v>
      </c>
      <c r="T714" s="1">
        <v>10426.0</v>
      </c>
      <c r="U714" s="1">
        <v>35.392288509</v>
      </c>
      <c r="V714" s="1">
        <v>117.40396356</v>
      </c>
      <c r="W714" s="1">
        <v>8.8779284834</v>
      </c>
      <c r="X714" s="1">
        <v>7.2738576313</v>
      </c>
      <c r="Y714" s="1">
        <v>77.345720364</v>
      </c>
      <c r="Z714" s="1">
        <v>7.1</v>
      </c>
      <c r="AA714" s="1">
        <v>8.52564985049999</v>
      </c>
      <c r="AB714" s="1">
        <v>58987.0</v>
      </c>
      <c r="AC714" s="1">
        <v>45.211930926</v>
      </c>
      <c r="AD714" s="1">
        <v>76.597772351</v>
      </c>
      <c r="AE714" s="1">
        <v>6.996639169</v>
      </c>
      <c r="AF714" s="1">
        <v>0.4256697358</v>
      </c>
      <c r="AG714" s="1">
        <v>0.305371767</v>
      </c>
      <c r="AH714" s="1">
        <v>0.5228334799</v>
      </c>
      <c r="AI714" s="1">
        <v>0.0740295193</v>
      </c>
      <c r="AJ714" s="1">
        <v>2.7946143525</v>
      </c>
      <c r="AK714" s="1">
        <v>95.014574562</v>
      </c>
      <c r="AL714" s="1">
        <v>0.3368347514</v>
      </c>
      <c r="AM714" s="1">
        <v>50.370147596</v>
      </c>
      <c r="AN714" s="1">
        <v>42.299220804</v>
      </c>
      <c r="AO714" s="1">
        <v>25132.0</v>
      </c>
      <c r="AP714" s="1">
        <v>12.8</v>
      </c>
      <c r="AQ714" s="1">
        <v>6.2</v>
      </c>
      <c r="AR714" s="1">
        <v>10.3</v>
      </c>
      <c r="AS714" s="1">
        <v>14.7</v>
      </c>
      <c r="AT714" s="1">
        <v>25.1</v>
      </c>
      <c r="AU714" s="1">
        <v>15.4</v>
      </c>
      <c r="AV714" s="1">
        <v>4.7</v>
      </c>
      <c r="AW714" s="1">
        <v>0.3</v>
      </c>
      <c r="AX714" s="1">
        <v>0.2445</v>
      </c>
      <c r="AY714" s="1">
        <v>9.5</v>
      </c>
      <c r="AZ714" s="1">
        <v>11.3</v>
      </c>
      <c r="BA714" s="1">
        <v>15.6</v>
      </c>
      <c r="BB714" s="1">
        <v>2.67</v>
      </c>
      <c r="BC714" s="1" t="s">
        <v>1309</v>
      </c>
      <c r="BD714" s="1">
        <v>9.8</v>
      </c>
      <c r="BE714" s="1">
        <v>42.2</v>
      </c>
      <c r="BF714" s="1">
        <v>30.0</v>
      </c>
      <c r="BG714" s="1">
        <v>18.0</v>
      </c>
      <c r="BH714" s="1" t="s">
        <v>1330</v>
      </c>
    </row>
    <row r="715">
      <c r="A715" s="1">
        <v>18035.0</v>
      </c>
      <c r="B715" s="2" t="str">
        <f>IFERROR(__xludf.DUMMYFUNCTION("TO_TEXT(A715)"),"18035")</f>
        <v>18035</v>
      </c>
      <c r="C715" s="1">
        <v>116463.0</v>
      </c>
      <c r="D715" s="1">
        <v>392.12797885644</v>
      </c>
      <c r="E715" s="1" t="s">
        <v>1331</v>
      </c>
      <c r="F715" s="1" t="s">
        <v>1332</v>
      </c>
      <c r="G715" s="1">
        <v>297.002525399081</v>
      </c>
      <c r="H715" s="1">
        <v>20.844891166</v>
      </c>
      <c r="I715" s="1">
        <v>4.8613626091</v>
      </c>
      <c r="J715" s="1">
        <v>9.2290988056</v>
      </c>
      <c r="K715" s="1">
        <v>20.964426575</v>
      </c>
      <c r="L715" s="1">
        <v>34.1</v>
      </c>
      <c r="M715" s="1">
        <v>7.0</v>
      </c>
      <c r="N715" s="1">
        <v>27.9</v>
      </c>
      <c r="O715" s="1">
        <v>77.043621623</v>
      </c>
      <c r="P715" s="1">
        <v>9.0132266715</v>
      </c>
      <c r="Q715" s="1">
        <v>99.84026</v>
      </c>
      <c r="R715" s="1">
        <v>90.724165989</v>
      </c>
      <c r="S715" s="1">
        <v>27.0</v>
      </c>
      <c r="T715" s="1">
        <v>21276.0</v>
      </c>
      <c r="U715" s="1">
        <v>37.619853356</v>
      </c>
      <c r="V715" s="1">
        <v>270.97838584</v>
      </c>
      <c r="W715" s="1">
        <v>16.191302462</v>
      </c>
      <c r="X715" s="1">
        <v>15.140455651</v>
      </c>
      <c r="Y715" s="1">
        <v>74.7721724239999</v>
      </c>
      <c r="Z715" s="1">
        <v>10.8</v>
      </c>
      <c r="AA715" s="1">
        <v>8.1822680592</v>
      </c>
      <c r="AB715" s="1">
        <v>43096.0</v>
      </c>
      <c r="AC715" s="1">
        <v>54.385739108</v>
      </c>
      <c r="AD715" s="1">
        <v>64.499869645</v>
      </c>
      <c r="AE715" s="1">
        <v>15.23958973</v>
      </c>
      <c r="AF715" s="1">
        <v>6.9520440526</v>
      </c>
      <c r="AG715" s="1">
        <v>0.2918830377</v>
      </c>
      <c r="AH715" s="1">
        <v>1.3705433381</v>
      </c>
      <c r="AI715" s="1">
        <v>0.0636043634</v>
      </c>
      <c r="AJ715" s="1">
        <v>2.5633429756</v>
      </c>
      <c r="AK715" s="1">
        <v>86.745896212</v>
      </c>
      <c r="AL715" s="1">
        <v>0.4063559168</v>
      </c>
      <c r="AM715" s="1">
        <v>51.7451991769999</v>
      </c>
      <c r="AN715" s="1">
        <v>22.811907777</v>
      </c>
      <c r="AO715" s="1">
        <v>21566.0</v>
      </c>
      <c r="AP715" s="1">
        <v>22.0</v>
      </c>
      <c r="AQ715" s="1">
        <v>9.4</v>
      </c>
      <c r="AR715" s="1">
        <v>10.5</v>
      </c>
      <c r="AS715" s="1">
        <v>16.0</v>
      </c>
      <c r="AT715" s="1">
        <v>19.1</v>
      </c>
      <c r="AU715" s="1">
        <v>16.5</v>
      </c>
      <c r="AV715" s="1">
        <v>12.6</v>
      </c>
      <c r="AW715" s="1">
        <v>0.4</v>
      </c>
      <c r="AX715" s="1">
        <v>0.5629</v>
      </c>
      <c r="AY715" s="1">
        <v>21.5</v>
      </c>
      <c r="AZ715" s="1">
        <v>15.1</v>
      </c>
      <c r="BA715" s="1">
        <v>20.9</v>
      </c>
      <c r="BB715" s="1">
        <v>2.62</v>
      </c>
      <c r="BC715" s="1" t="s">
        <v>1309</v>
      </c>
      <c r="BD715" s="1">
        <v>10.3</v>
      </c>
      <c r="BE715" s="1">
        <v>35.1</v>
      </c>
      <c r="BF715" s="1">
        <v>30.9</v>
      </c>
      <c r="BG715" s="1">
        <v>23.7</v>
      </c>
      <c r="BH715" s="1" t="s">
        <v>1332</v>
      </c>
    </row>
    <row r="716">
      <c r="A716" s="1">
        <v>18037.0</v>
      </c>
      <c r="B716" s="2" t="str">
        <f>IFERROR(__xludf.DUMMYFUNCTION("TO_TEXT(A716)"),"18037")</f>
        <v>18037</v>
      </c>
      <c r="C716" s="1">
        <v>42345.0</v>
      </c>
      <c r="D716" s="1">
        <v>427.270039263152</v>
      </c>
      <c r="E716" s="1" t="s">
        <v>1333</v>
      </c>
      <c r="F716" s="1" t="s">
        <v>1334</v>
      </c>
      <c r="G716" s="1">
        <v>99.1059426329682</v>
      </c>
      <c r="H716" s="1">
        <v>15.6184758009999</v>
      </c>
      <c r="I716" s="1">
        <v>4.1780589763</v>
      </c>
      <c r="J716" s="1">
        <v>7.5403016121</v>
      </c>
      <c r="K716" s="1">
        <v>16.956285785</v>
      </c>
      <c r="L716" s="1">
        <v>29.5</v>
      </c>
      <c r="M716" s="1">
        <v>8.8</v>
      </c>
      <c r="N716" s="1">
        <v>20.9</v>
      </c>
      <c r="O716" s="1">
        <v>78.161331137</v>
      </c>
      <c r="P716" s="1">
        <v>8.9484313224</v>
      </c>
      <c r="Q716" s="1">
        <v>84.59044</v>
      </c>
      <c r="R716" s="1">
        <v>92.962962963</v>
      </c>
      <c r="S716" s="1">
        <v>9.1</v>
      </c>
      <c r="T716" s="1">
        <v>10443.0</v>
      </c>
      <c r="U716" s="1">
        <v>24.2746337259999</v>
      </c>
      <c r="V716" s="1">
        <v>395.26610709</v>
      </c>
      <c r="W716" s="1">
        <v>7.6640098099</v>
      </c>
      <c r="X716" s="1">
        <v>4.7516198704</v>
      </c>
      <c r="Y716" s="1">
        <v>79.450713786</v>
      </c>
      <c r="Z716" s="1">
        <v>12.1</v>
      </c>
      <c r="AA716" s="1">
        <v>1.7321963776</v>
      </c>
      <c r="AB716" s="1">
        <v>62126.0</v>
      </c>
      <c r="AC716" s="1">
        <v>34.893497758</v>
      </c>
      <c r="AD716" s="1">
        <v>78.066465257</v>
      </c>
      <c r="AE716" s="1">
        <v>7.9503875969</v>
      </c>
      <c r="AF716" s="1">
        <v>0.6366733232</v>
      </c>
      <c r="AG716" s="1">
        <v>0.2631269823</v>
      </c>
      <c r="AH716" s="1">
        <v>0.7259485493</v>
      </c>
      <c r="AI716" s="1">
        <v>0.2302361095</v>
      </c>
      <c r="AJ716" s="1">
        <v>7.8256783743</v>
      </c>
      <c r="AK716" s="1">
        <v>90.099847292</v>
      </c>
      <c r="AL716" s="1">
        <v>1.335521333</v>
      </c>
      <c r="AM716" s="1">
        <v>50.022318807</v>
      </c>
      <c r="AN716" s="1">
        <v>49.2468189739999</v>
      </c>
      <c r="AO716" s="1">
        <v>27331.0</v>
      </c>
      <c r="AP716" s="1">
        <v>8.5</v>
      </c>
      <c r="AQ716" s="1">
        <v>2.9</v>
      </c>
      <c r="AR716" s="1">
        <v>12.0</v>
      </c>
      <c r="AS716" s="1">
        <v>16.0</v>
      </c>
      <c r="AT716" s="1">
        <v>24.5</v>
      </c>
      <c r="AU716" s="1">
        <v>10.2</v>
      </c>
      <c r="AV716" s="1">
        <v>8.4</v>
      </c>
      <c r="AW716" s="1">
        <v>1.9</v>
      </c>
      <c r="AX716" s="1">
        <v>0.2136</v>
      </c>
      <c r="AY716" s="1">
        <v>5.9</v>
      </c>
      <c r="AZ716" s="1">
        <v>10.4</v>
      </c>
      <c r="BA716" s="1">
        <v>14.0</v>
      </c>
      <c r="BB716" s="1">
        <v>2.72</v>
      </c>
      <c r="BC716" s="1" t="s">
        <v>1309</v>
      </c>
      <c r="BD716" s="1">
        <v>10.7</v>
      </c>
      <c r="BE716" s="1">
        <v>38.3</v>
      </c>
      <c r="BF716" s="1">
        <v>27.2</v>
      </c>
      <c r="BG716" s="1">
        <v>23.7</v>
      </c>
      <c r="BH716" s="1" t="s">
        <v>1334</v>
      </c>
    </row>
    <row r="717">
      <c r="A717" s="1">
        <v>18039.0</v>
      </c>
      <c r="B717" s="2" t="str">
        <f>IFERROR(__xludf.DUMMYFUNCTION("TO_TEXT(A717)"),"18039")</f>
        <v>18039</v>
      </c>
      <c r="C717" s="1">
        <v>201640.0</v>
      </c>
      <c r="D717" s="1">
        <v>463.173635671604</v>
      </c>
      <c r="E717" s="1" t="s">
        <v>1335</v>
      </c>
      <c r="F717" s="1" t="s">
        <v>1336</v>
      </c>
      <c r="G717" s="1">
        <v>435.344295250357</v>
      </c>
      <c r="H717" s="1">
        <v>19.81106105</v>
      </c>
      <c r="I717" s="1">
        <v>4.1509937073</v>
      </c>
      <c r="J717" s="1">
        <v>7.41185712309999</v>
      </c>
      <c r="K717" s="1">
        <v>19.8859988279999</v>
      </c>
      <c r="L717" s="1">
        <v>33.6</v>
      </c>
      <c r="M717" s="1">
        <v>8.0</v>
      </c>
      <c r="N717" s="1">
        <v>28.1</v>
      </c>
      <c r="O717" s="1">
        <v>73.202941906</v>
      </c>
      <c r="P717" s="1">
        <v>14.192814177</v>
      </c>
      <c r="Q717" s="1">
        <v>52.18698</v>
      </c>
      <c r="R717" s="1">
        <v>90.77107471</v>
      </c>
      <c r="S717" s="1">
        <v>16.0</v>
      </c>
      <c r="T717" s="1">
        <v>56168.0</v>
      </c>
      <c r="U717" s="1">
        <v>31.176114514</v>
      </c>
      <c r="V717" s="1">
        <v>357.31477943</v>
      </c>
      <c r="W717" s="1">
        <v>13.541372494</v>
      </c>
      <c r="X717" s="1">
        <v>10.482659993</v>
      </c>
      <c r="Y717" s="1">
        <v>78.253546302</v>
      </c>
      <c r="Z717" s="1">
        <v>12.6</v>
      </c>
      <c r="AA717" s="1">
        <v>7.3689877011</v>
      </c>
      <c r="AB717" s="1">
        <v>59251.0</v>
      </c>
      <c r="AC717" s="1">
        <v>53.603294441</v>
      </c>
      <c r="AD717" s="1">
        <v>68.829929904</v>
      </c>
      <c r="AE717" s="1">
        <v>9.9609931097</v>
      </c>
      <c r="AF717" s="1">
        <v>5.67425569179999</v>
      </c>
      <c r="AG717" s="1">
        <v>0.6421482779</v>
      </c>
      <c r="AH717" s="1">
        <v>1.1855419342</v>
      </c>
      <c r="AI717" s="1">
        <v>0.0831873905</v>
      </c>
      <c r="AJ717" s="1">
        <v>16.297917883</v>
      </c>
      <c r="AK717" s="1">
        <v>74.57530648</v>
      </c>
      <c r="AL717" s="1">
        <v>3.5584106439</v>
      </c>
      <c r="AM717" s="1">
        <v>50.57550107</v>
      </c>
      <c r="AN717" s="1">
        <v>20.587267601</v>
      </c>
      <c r="AO717" s="1">
        <v>22387.0</v>
      </c>
      <c r="AP717" s="1">
        <v>14.9</v>
      </c>
      <c r="AQ717" s="1">
        <v>6.5</v>
      </c>
      <c r="AR717" s="1">
        <v>19.5</v>
      </c>
      <c r="AS717" s="1">
        <v>13.3</v>
      </c>
      <c r="AT717" s="1">
        <v>28.0</v>
      </c>
      <c r="AU717" s="1">
        <v>13.4</v>
      </c>
      <c r="AV717" s="1">
        <v>24.2</v>
      </c>
      <c r="AW717" s="1">
        <v>4.0</v>
      </c>
      <c r="AX717" s="1">
        <v>0.807999999999999</v>
      </c>
      <c r="AY717" s="1">
        <v>9.6</v>
      </c>
      <c r="AZ717" s="1">
        <v>11.6</v>
      </c>
      <c r="BA717" s="1">
        <v>15.1</v>
      </c>
      <c r="BB717" s="1">
        <v>2.77</v>
      </c>
      <c r="BC717" s="1" t="s">
        <v>1309</v>
      </c>
      <c r="BD717" s="1">
        <v>19.2</v>
      </c>
      <c r="BE717" s="1">
        <v>34.7</v>
      </c>
      <c r="BF717" s="1">
        <v>26.3</v>
      </c>
      <c r="BG717" s="1">
        <v>19.8</v>
      </c>
      <c r="BH717" s="1" t="s">
        <v>1336</v>
      </c>
    </row>
    <row r="718">
      <c r="A718" s="1">
        <v>18041.0</v>
      </c>
      <c r="B718" s="2" t="str">
        <f>IFERROR(__xludf.DUMMYFUNCTION("TO_TEXT(A718)"),"18041")</f>
        <v>18041</v>
      </c>
      <c r="C718" s="1">
        <v>23608.0</v>
      </c>
      <c r="D718" s="1">
        <v>215.02079839708</v>
      </c>
      <c r="E718" s="1" t="s">
        <v>116</v>
      </c>
      <c r="F718" s="1" t="s">
        <v>1337</v>
      </c>
      <c r="G718" s="1">
        <v>109.794030047284</v>
      </c>
      <c r="H718" s="1">
        <v>22.242741729</v>
      </c>
      <c r="I718" s="1">
        <v>4.8476757151</v>
      </c>
      <c r="J718" s="1">
        <v>8.1296191018</v>
      </c>
      <c r="K718" s="1">
        <v>22.895652478</v>
      </c>
      <c r="L718" s="1">
        <v>37.3</v>
      </c>
      <c r="M718" s="1">
        <v>7.2</v>
      </c>
      <c r="N718" s="1">
        <v>26.5</v>
      </c>
      <c r="O718" s="1">
        <v>69.621452404</v>
      </c>
      <c r="P718" s="1">
        <v>9.6049827897</v>
      </c>
      <c r="Q718" s="1">
        <v>56.01275</v>
      </c>
      <c r="R718" s="1">
        <v>91.791044776</v>
      </c>
      <c r="S718" s="1">
        <v>20.9</v>
      </c>
      <c r="T718" s="1">
        <v>5073.0</v>
      </c>
      <c r="U718" s="1">
        <v>43.327419673</v>
      </c>
      <c r="V718" s="1">
        <v>204.509002055</v>
      </c>
      <c r="W718" s="1">
        <v>12.898089172</v>
      </c>
      <c r="X718" s="1">
        <v>11.298207496</v>
      </c>
      <c r="Y718" s="1">
        <v>72.506514808</v>
      </c>
      <c r="Z718" s="1">
        <v>11.9</v>
      </c>
      <c r="AA718" s="1">
        <v>8.3201058501</v>
      </c>
      <c r="AB718" s="1">
        <v>47737.0</v>
      </c>
      <c r="AC718" s="1">
        <v>63.5324378389999</v>
      </c>
      <c r="AD718" s="1">
        <v>69.533862876</v>
      </c>
      <c r="AE718" s="1">
        <v>11.569091692</v>
      </c>
      <c r="AF718" s="1">
        <v>1.3797891266</v>
      </c>
      <c r="AG718" s="1">
        <v>0.377489478</v>
      </c>
      <c r="AH718" s="1">
        <v>0.3731505185</v>
      </c>
      <c r="AI718" s="1">
        <v>0.0043389595</v>
      </c>
      <c r="AJ718" s="1">
        <v>1.34507745039999</v>
      </c>
      <c r="AK718" s="1">
        <v>95.452770426</v>
      </c>
      <c r="AL718" s="1">
        <v>0.2533821999</v>
      </c>
      <c r="AM718" s="1">
        <v>50.618301731</v>
      </c>
      <c r="AN718" s="1">
        <v>36.783787124</v>
      </c>
      <c r="AO718" s="1">
        <v>21716.0</v>
      </c>
      <c r="AP718" s="1">
        <v>19.3</v>
      </c>
      <c r="AQ718" s="1">
        <v>9.2</v>
      </c>
      <c r="AR718" s="1">
        <v>18.8</v>
      </c>
      <c r="AS718" s="1">
        <v>18.5</v>
      </c>
      <c r="AT718" s="1">
        <v>22.5</v>
      </c>
      <c r="AU718" s="1">
        <v>18.9</v>
      </c>
      <c r="AV718" s="1">
        <v>4.1</v>
      </c>
      <c r="AW718" s="1">
        <v>0.2</v>
      </c>
      <c r="AX718" s="1">
        <v>0.6679</v>
      </c>
      <c r="AY718" s="1">
        <v>13.5</v>
      </c>
      <c r="AZ718" s="1">
        <v>15.9</v>
      </c>
      <c r="BA718" s="1">
        <v>22.4</v>
      </c>
      <c r="BB718" s="1">
        <v>2.7</v>
      </c>
      <c r="BC718" s="1" t="s">
        <v>1309</v>
      </c>
      <c r="BD718" s="1">
        <v>17.9</v>
      </c>
      <c r="BE718" s="1">
        <v>42.1</v>
      </c>
      <c r="BF718" s="1">
        <v>26.7</v>
      </c>
      <c r="BG718" s="1">
        <v>13.3</v>
      </c>
      <c r="BH718" s="1" t="s">
        <v>1337</v>
      </c>
    </row>
    <row r="719">
      <c r="A719" s="1">
        <v>18043.0</v>
      </c>
      <c r="B719" s="2" t="str">
        <f>IFERROR(__xludf.DUMMYFUNCTION("TO_TEXT(A719)"),"18043")</f>
        <v>18043</v>
      </c>
      <c r="C719" s="1">
        <v>76290.0</v>
      </c>
      <c r="D719" s="1">
        <v>147.98840237272</v>
      </c>
      <c r="E719" s="1" t="s">
        <v>894</v>
      </c>
      <c r="F719" s="1" t="s">
        <v>1338</v>
      </c>
      <c r="G719" s="1">
        <v>515.513369810276</v>
      </c>
      <c r="H719" s="1">
        <v>16.600542475</v>
      </c>
      <c r="I719" s="1">
        <v>4.4638770454</v>
      </c>
      <c r="J719" s="1">
        <v>8.6796085352</v>
      </c>
      <c r="K719" s="1">
        <v>21.657641054</v>
      </c>
      <c r="L719" s="1">
        <v>34.7</v>
      </c>
      <c r="M719" s="1">
        <v>7.9</v>
      </c>
      <c r="N719" s="1">
        <v>28.1</v>
      </c>
      <c r="O719" s="1">
        <v>82.025530317</v>
      </c>
      <c r="P719" s="1">
        <v>6.9237334161</v>
      </c>
      <c r="Q719" s="1">
        <v>68.76776</v>
      </c>
      <c r="R719" s="1">
        <v>94.052863436</v>
      </c>
      <c r="S719" s="1">
        <v>14.5</v>
      </c>
      <c r="T719" s="1">
        <v>17433.0</v>
      </c>
      <c r="U719" s="1">
        <v>34.555154018</v>
      </c>
      <c r="V719" s="1">
        <v>132.39098112</v>
      </c>
      <c r="W719" s="1">
        <v>11.36559325</v>
      </c>
      <c r="X719" s="1">
        <v>10.040160643</v>
      </c>
      <c r="Y719" s="1">
        <v>76.572159531</v>
      </c>
      <c r="Z719" s="1">
        <v>14.3</v>
      </c>
      <c r="AA719" s="1">
        <v>7.5017612557</v>
      </c>
      <c r="AB719" s="1">
        <v>64992.0</v>
      </c>
      <c r="AC719" s="1">
        <v>40.748458076</v>
      </c>
      <c r="AD719" s="1">
        <v>72.438343099</v>
      </c>
      <c r="AE719" s="1">
        <v>9.5932570909</v>
      </c>
      <c r="AF719" s="1">
        <v>5.3560638202</v>
      </c>
      <c r="AG719" s="1">
        <v>0.3638420694</v>
      </c>
      <c r="AH719" s="1">
        <v>1.193093429</v>
      </c>
      <c r="AI719" s="1">
        <v>0.0462837968</v>
      </c>
      <c r="AJ719" s="1">
        <v>3.3632892352</v>
      </c>
      <c r="AK719" s="1">
        <v>87.70393798</v>
      </c>
      <c r="AL719" s="1">
        <v>0.4095355369</v>
      </c>
      <c r="AM719" s="1">
        <v>51.4251552439999</v>
      </c>
      <c r="AN719" s="1">
        <v>20.327710585</v>
      </c>
      <c r="AO719" s="1">
        <v>29350.0</v>
      </c>
      <c r="AP719" s="1">
        <v>12.1</v>
      </c>
      <c r="AQ719" s="1">
        <v>6.4</v>
      </c>
      <c r="AR719" s="1">
        <v>10.6</v>
      </c>
      <c r="AS719" s="1">
        <v>14.5</v>
      </c>
      <c r="AT719" s="1">
        <v>23.2</v>
      </c>
      <c r="AU719" s="1">
        <v>13.6</v>
      </c>
      <c r="AV719" s="1">
        <v>11.5</v>
      </c>
      <c r="AW719" s="1">
        <v>0.9</v>
      </c>
      <c r="AX719" s="1">
        <v>0.2547</v>
      </c>
      <c r="AY719" s="1">
        <v>10.6</v>
      </c>
      <c r="AZ719" s="1">
        <v>11.2</v>
      </c>
      <c r="BA719" s="1">
        <v>15.3</v>
      </c>
      <c r="BB719" s="1">
        <v>2.91</v>
      </c>
      <c r="BC719" s="1" t="s">
        <v>1309</v>
      </c>
      <c r="BD719" s="1">
        <v>9.2</v>
      </c>
      <c r="BE719" s="1">
        <v>30.9</v>
      </c>
      <c r="BF719" s="1">
        <v>30.3</v>
      </c>
      <c r="BG719" s="1">
        <v>29.6</v>
      </c>
      <c r="BH719" s="1" t="s">
        <v>1338</v>
      </c>
    </row>
    <row r="720">
      <c r="A720" s="1">
        <v>18045.0</v>
      </c>
      <c r="B720" s="2" t="str">
        <f>IFERROR(__xludf.DUMMYFUNCTION("TO_TEXT(A720)"),"18045")</f>
        <v>18045</v>
      </c>
      <c r="C720" s="1">
        <v>16741.0</v>
      </c>
      <c r="D720" s="1">
        <v>395.6654569635</v>
      </c>
      <c r="E720" s="1" t="s">
        <v>1339</v>
      </c>
      <c r="F720" s="1" t="s">
        <v>1340</v>
      </c>
      <c r="G720" s="1">
        <v>42.310997094559</v>
      </c>
      <c r="H720" s="1">
        <v>18.457735129</v>
      </c>
      <c r="I720" s="1">
        <v>4.6208198006</v>
      </c>
      <c r="J720" s="1">
        <v>6.9172932331</v>
      </c>
      <c r="K720" s="1">
        <v>20.5689502629999</v>
      </c>
      <c r="L720" s="1">
        <v>32.3</v>
      </c>
      <c r="M720" s="1">
        <v>7.9</v>
      </c>
      <c r="N720" s="1">
        <v>33.8</v>
      </c>
      <c r="O720" s="1">
        <v>52.2157772619999</v>
      </c>
      <c r="P720" s="1">
        <v>8.6432926829</v>
      </c>
      <c r="Q720" s="1">
        <v>18.17631</v>
      </c>
      <c r="R720" s="1">
        <v>93.150684932</v>
      </c>
      <c r="S720" s="1">
        <v>16.8</v>
      </c>
      <c r="T720" s="1">
        <v>3588.0</v>
      </c>
      <c r="U720" s="1">
        <v>23.550724638</v>
      </c>
      <c r="V720" s="1">
        <v>204.509002055</v>
      </c>
      <c r="W720" s="1">
        <v>10.696338837</v>
      </c>
      <c r="X720" s="1">
        <v>7.81159420289999</v>
      </c>
      <c r="Y720" s="1">
        <v>76.6880163519999</v>
      </c>
      <c r="Z720" s="1">
        <v>14.4</v>
      </c>
      <c r="AA720" s="1">
        <v>6.4166467787</v>
      </c>
      <c r="AB720" s="1">
        <v>53493.0</v>
      </c>
      <c r="AC720" s="1">
        <v>47.3328324569999</v>
      </c>
      <c r="AD720" s="1">
        <v>76.094084105</v>
      </c>
      <c r="AE720" s="1">
        <v>8.5735402809</v>
      </c>
      <c r="AF720" s="1">
        <v>0.4953825454</v>
      </c>
      <c r="AG720" s="1">
        <v>0.3669500336</v>
      </c>
      <c r="AH720" s="1">
        <v>0.348602532</v>
      </c>
      <c r="AI720" s="1">
        <v>0.0795058406</v>
      </c>
      <c r="AJ720" s="1">
        <v>2.6236927405</v>
      </c>
      <c r="AK720" s="1">
        <v>95.0339428779999</v>
      </c>
      <c r="AL720" s="1">
        <v>0.5138746146</v>
      </c>
      <c r="AM720" s="1">
        <v>50.082563758</v>
      </c>
      <c r="AN720" s="1">
        <v>65.951276102</v>
      </c>
      <c r="AO720" s="1">
        <v>25086.0</v>
      </c>
      <c r="AP720" s="1">
        <v>12.7</v>
      </c>
      <c r="AQ720" s="1">
        <v>8.0</v>
      </c>
      <c r="AR720" s="1">
        <v>12.0</v>
      </c>
      <c r="AS720" s="1">
        <v>18.9</v>
      </c>
      <c r="AT720" s="1">
        <v>22.8</v>
      </c>
      <c r="AU720" s="1">
        <v>17.6</v>
      </c>
      <c r="AV720" s="1">
        <v>4.3</v>
      </c>
      <c r="AW720" s="1">
        <v>0.6</v>
      </c>
      <c r="AX720" s="1">
        <v>0.2264</v>
      </c>
      <c r="AY720" s="1">
        <v>12.5</v>
      </c>
      <c r="AZ720" s="1">
        <v>13.1</v>
      </c>
      <c r="BA720" s="1">
        <v>16.8</v>
      </c>
      <c r="BB720" s="1">
        <v>2.88</v>
      </c>
      <c r="BC720" s="1" t="s">
        <v>1309</v>
      </c>
      <c r="BD720" s="1">
        <v>11.0</v>
      </c>
      <c r="BE720" s="1">
        <v>43.7</v>
      </c>
      <c r="BF720" s="1">
        <v>30.4</v>
      </c>
      <c r="BG720" s="1">
        <v>14.9</v>
      </c>
      <c r="BH720" s="1" t="s">
        <v>1340</v>
      </c>
    </row>
    <row r="721">
      <c r="A721" s="1">
        <v>18047.0</v>
      </c>
      <c r="B721" s="2" t="str">
        <f>IFERROR(__xludf.DUMMYFUNCTION("TO_TEXT(A721)"),"18047")</f>
        <v>18047</v>
      </c>
      <c r="C721" s="1">
        <v>22887.0</v>
      </c>
      <c r="D721" s="1">
        <v>384.430369846592</v>
      </c>
      <c r="E721" s="1" t="s">
        <v>118</v>
      </c>
      <c r="F721" s="1" t="s">
        <v>1341</v>
      </c>
      <c r="G721" s="1">
        <v>59.5348385434093</v>
      </c>
      <c r="H721" s="1">
        <v>16.246691732</v>
      </c>
      <c r="I721" s="1">
        <v>4.3986057793</v>
      </c>
      <c r="J721" s="1">
        <v>6.7155756208</v>
      </c>
      <c r="K721" s="1">
        <v>19.421515051</v>
      </c>
      <c r="L721" s="1">
        <v>37.2</v>
      </c>
      <c r="M721" s="1">
        <v>8.3</v>
      </c>
      <c r="N721" s="1">
        <v>30.6</v>
      </c>
      <c r="O721" s="1">
        <v>52.960540564</v>
      </c>
      <c r="P721" s="1">
        <v>8.8823054134</v>
      </c>
      <c r="Q721" s="1">
        <v>84.00018</v>
      </c>
      <c r="R721" s="1">
        <v>95.6043956039999</v>
      </c>
      <c r="S721" s="1">
        <v>11.4</v>
      </c>
      <c r="T721" s="1">
        <v>5416.0</v>
      </c>
      <c r="U721" s="1">
        <v>24.59379616</v>
      </c>
      <c r="V721" s="1">
        <v>36.311644691</v>
      </c>
      <c r="W721" s="1">
        <v>8.6107921929</v>
      </c>
      <c r="X721" s="1">
        <v>6.8142108328</v>
      </c>
      <c r="Y721" s="1">
        <v>79.496330346</v>
      </c>
      <c r="Z721" s="1">
        <v>11.2</v>
      </c>
      <c r="AA721" s="1">
        <v>4.5098079494</v>
      </c>
      <c r="AB721" s="1">
        <v>62251.0</v>
      </c>
      <c r="AC721" s="1">
        <v>41.572724773</v>
      </c>
      <c r="AD721" s="1">
        <v>81.107044831</v>
      </c>
      <c r="AE721" s="1">
        <v>6.2823529412</v>
      </c>
      <c r="AF721" s="1">
        <v>0.3078817734</v>
      </c>
      <c r="AG721" s="1">
        <v>0.272695285</v>
      </c>
      <c r="AH721" s="1">
        <v>1.0731878958</v>
      </c>
      <c r="AI721" s="1">
        <v>0.0175932442</v>
      </c>
      <c r="AJ721" s="1">
        <v>1.17434905</v>
      </c>
      <c r="AK721" s="1">
        <v>96.39338494</v>
      </c>
      <c r="AL721" s="1">
        <v>0.4132231405</v>
      </c>
      <c r="AM721" s="1">
        <v>50.048381422</v>
      </c>
      <c r="AN721" s="1">
        <v>88.859531338</v>
      </c>
      <c r="AO721" s="1">
        <v>24748.0</v>
      </c>
      <c r="AP721" s="1">
        <v>11.4</v>
      </c>
      <c r="AQ721" s="1">
        <v>6.0</v>
      </c>
      <c r="AR721" s="1">
        <v>12.6</v>
      </c>
      <c r="AS721" s="1">
        <v>15.8</v>
      </c>
      <c r="AT721" s="1">
        <v>24.4</v>
      </c>
      <c r="AU721" s="1">
        <v>13.6</v>
      </c>
      <c r="AV721" s="1">
        <v>2.8</v>
      </c>
      <c r="AW721" s="1">
        <v>0.0</v>
      </c>
      <c r="AX721" s="1">
        <v>0.1299</v>
      </c>
      <c r="AY721" s="1">
        <v>9.2</v>
      </c>
      <c r="AZ721" s="1">
        <v>10.7</v>
      </c>
      <c r="BA721" s="1">
        <v>14.6</v>
      </c>
      <c r="BB721" s="1">
        <v>3.07</v>
      </c>
      <c r="BC721" s="1" t="s">
        <v>1309</v>
      </c>
      <c r="BD721" s="1">
        <v>12.7</v>
      </c>
      <c r="BE721" s="1">
        <v>42.5</v>
      </c>
      <c r="BF721" s="1">
        <v>23.7</v>
      </c>
      <c r="BG721" s="1">
        <v>21.1</v>
      </c>
      <c r="BH721" s="1" t="s">
        <v>1341</v>
      </c>
    </row>
    <row r="722">
      <c r="A722" s="1">
        <v>18049.0</v>
      </c>
      <c r="B722" s="2" t="str">
        <f>IFERROR(__xludf.DUMMYFUNCTION("TO_TEXT(A722)"),"18049")</f>
        <v>18049</v>
      </c>
      <c r="C722" s="1">
        <v>20412.0</v>
      </c>
      <c r="D722" s="1">
        <v>368.386948731318</v>
      </c>
      <c r="E722" s="1" t="s">
        <v>328</v>
      </c>
      <c r="F722" s="1" t="s">
        <v>1342</v>
      </c>
      <c r="G722" s="1">
        <v>55.4091290972618</v>
      </c>
      <c r="H722" s="1">
        <v>17.728577845</v>
      </c>
      <c r="I722" s="1">
        <v>4.5454074879</v>
      </c>
      <c r="J722" s="1">
        <v>8.5844229676</v>
      </c>
      <c r="K722" s="1">
        <v>19.5186556729999</v>
      </c>
      <c r="L722" s="1">
        <v>38.3</v>
      </c>
      <c r="M722" s="1">
        <v>8.1</v>
      </c>
      <c r="N722" s="1">
        <v>29.6</v>
      </c>
      <c r="O722" s="1">
        <v>45.205413707</v>
      </c>
      <c r="P722" s="1">
        <v>11.420177522</v>
      </c>
      <c r="Q722" s="1">
        <v>49.85293</v>
      </c>
      <c r="R722" s="1">
        <v>92.896174863</v>
      </c>
      <c r="S722" s="1">
        <v>22.0</v>
      </c>
      <c r="T722" s="1">
        <v>4749.0</v>
      </c>
      <c r="U722" s="1">
        <v>26.258159613</v>
      </c>
      <c r="V722" s="1">
        <v>48.975022738</v>
      </c>
      <c r="W722" s="1">
        <v>9.5477386935</v>
      </c>
      <c r="X722" s="1">
        <v>8.8197969543</v>
      </c>
      <c r="Y722" s="1">
        <v>75.767685946</v>
      </c>
      <c r="Z722" s="1">
        <v>8.5</v>
      </c>
      <c r="AA722" s="1">
        <v>5.8178697313</v>
      </c>
      <c r="AB722" s="1">
        <v>52798.0</v>
      </c>
      <c r="AC722" s="1">
        <v>49.613492621</v>
      </c>
      <c r="AD722" s="1">
        <v>76.674277017</v>
      </c>
      <c r="AE722" s="1">
        <v>8.2554312047</v>
      </c>
      <c r="AF722" s="1">
        <v>0.7764284292</v>
      </c>
      <c r="AG722" s="1">
        <v>0.9008560621</v>
      </c>
      <c r="AH722" s="1">
        <v>0.6022297432</v>
      </c>
      <c r="AI722" s="1">
        <v>0.0248855266</v>
      </c>
      <c r="AJ722" s="1">
        <v>5.2956400557</v>
      </c>
      <c r="AK722" s="1">
        <v>91.668325702</v>
      </c>
      <c r="AL722" s="1">
        <v>0.8561374022</v>
      </c>
      <c r="AM722" s="1">
        <v>49.9900457889999</v>
      </c>
      <c r="AN722" s="1">
        <v>64.921290075</v>
      </c>
      <c r="AO722" s="1">
        <v>23507.0</v>
      </c>
      <c r="AP722" s="1">
        <v>14.0</v>
      </c>
      <c r="AQ722" s="1">
        <v>6.0</v>
      </c>
      <c r="AR722" s="1">
        <v>15.1</v>
      </c>
      <c r="AS722" s="1">
        <v>17.7</v>
      </c>
      <c r="AT722" s="1">
        <v>24.1</v>
      </c>
      <c r="AU722" s="1">
        <v>16.3</v>
      </c>
      <c r="AV722" s="1">
        <v>7.6</v>
      </c>
      <c r="AW722" s="1">
        <v>1.0</v>
      </c>
      <c r="AX722" s="1">
        <v>0.3674</v>
      </c>
      <c r="AY722" s="1">
        <v>9.6</v>
      </c>
      <c r="AZ722" s="1">
        <v>13.1</v>
      </c>
      <c r="BA722" s="1">
        <v>18.3</v>
      </c>
      <c r="BB722" s="1">
        <v>2.86</v>
      </c>
      <c r="BC722" s="1" t="s">
        <v>1309</v>
      </c>
      <c r="BD722" s="1">
        <v>12.2</v>
      </c>
      <c r="BE722" s="1">
        <v>40.6</v>
      </c>
      <c r="BF722" s="1">
        <v>31.3</v>
      </c>
      <c r="BG722" s="1">
        <v>15.8</v>
      </c>
      <c r="BH722" s="1" t="s">
        <v>1342</v>
      </c>
    </row>
    <row r="723">
      <c r="A723" s="1">
        <v>18051.0</v>
      </c>
      <c r="B723" s="2" t="str">
        <f>IFERROR(__xludf.DUMMYFUNCTION("TO_TEXT(A723)"),"18051")</f>
        <v>18051</v>
      </c>
      <c r="C723" s="1">
        <v>33684.0</v>
      </c>
      <c r="D723" s="1">
        <v>487.494801040214</v>
      </c>
      <c r="E723" s="1" t="s">
        <v>1343</v>
      </c>
      <c r="F723" s="1" t="s">
        <v>1344</v>
      </c>
      <c r="G723" s="1">
        <v>69.0961214932451</v>
      </c>
      <c r="H723" s="1">
        <v>16.504077894</v>
      </c>
      <c r="I723" s="1">
        <v>4.3149553089</v>
      </c>
      <c r="J723" s="1">
        <v>8.23244552059999</v>
      </c>
      <c r="K723" s="1">
        <v>19.2230856009999</v>
      </c>
      <c r="L723" s="1">
        <v>29.1</v>
      </c>
      <c r="M723" s="1">
        <v>8.5</v>
      </c>
      <c r="N723" s="1">
        <v>27.0</v>
      </c>
      <c r="O723" s="1">
        <v>69.510193117</v>
      </c>
      <c r="P723" s="1">
        <v>6.7459301262</v>
      </c>
      <c r="Q723" s="1">
        <v>32.7615</v>
      </c>
      <c r="R723" s="1">
        <v>92.286501377</v>
      </c>
      <c r="S723" s="1">
        <v>11.7</v>
      </c>
      <c r="T723" s="1">
        <v>7834.0</v>
      </c>
      <c r="U723" s="1">
        <v>28.682665305</v>
      </c>
      <c r="V723" s="1">
        <v>114.70419553</v>
      </c>
      <c r="W723" s="1">
        <v>9.1011658518</v>
      </c>
      <c r="X723" s="1">
        <v>7.0</v>
      </c>
      <c r="Y723" s="1">
        <v>76.450420259</v>
      </c>
      <c r="Z723" s="1">
        <v>10.9</v>
      </c>
      <c r="AA723" s="1">
        <v>1.2784792343</v>
      </c>
      <c r="AB723" s="1">
        <v>56960.0</v>
      </c>
      <c r="AC723" s="1">
        <v>41.26469396</v>
      </c>
      <c r="AD723" s="1">
        <v>77.227423739</v>
      </c>
      <c r="AE723" s="1">
        <v>7.3223873629</v>
      </c>
      <c r="AF723" s="1">
        <v>2.0417314361</v>
      </c>
      <c r="AG723" s="1">
        <v>0.3288293675</v>
      </c>
      <c r="AH723" s="1">
        <v>0.5470524931</v>
      </c>
      <c r="AI723" s="1">
        <v>0.0298935789</v>
      </c>
      <c r="AJ723" s="1">
        <v>1.6650723425</v>
      </c>
      <c r="AK723" s="1">
        <v>93.680497429</v>
      </c>
      <c r="AL723" s="1">
        <v>0.1806942463</v>
      </c>
      <c r="AM723" s="1">
        <v>49.9611383469999</v>
      </c>
      <c r="AN723" s="1">
        <v>53.619078888</v>
      </c>
      <c r="AO723" s="1">
        <v>25990.0</v>
      </c>
      <c r="AP723" s="1">
        <v>11.0</v>
      </c>
      <c r="AQ723" s="1">
        <v>3.9</v>
      </c>
      <c r="AR723" s="1">
        <v>9.9</v>
      </c>
      <c r="AS723" s="1">
        <v>16.4</v>
      </c>
      <c r="AT723" s="1">
        <v>23.5</v>
      </c>
      <c r="AU723" s="1">
        <v>15.2</v>
      </c>
      <c r="AV723" s="1">
        <v>5.6</v>
      </c>
      <c r="AW723" s="1">
        <v>0.3</v>
      </c>
      <c r="AX723" s="1">
        <v>0.2585</v>
      </c>
      <c r="AY723" s="1">
        <v>9.3</v>
      </c>
      <c r="AZ723" s="1">
        <v>11.4</v>
      </c>
      <c r="BA723" s="1">
        <v>15.6</v>
      </c>
      <c r="BB723" s="1">
        <v>2.73</v>
      </c>
      <c r="BC723" s="1" t="s">
        <v>1309</v>
      </c>
      <c r="BD723" s="1">
        <v>8.1</v>
      </c>
      <c r="BE723" s="1">
        <v>40.9</v>
      </c>
      <c r="BF723" s="1">
        <v>33.0</v>
      </c>
      <c r="BG723" s="1">
        <v>18.0</v>
      </c>
      <c r="BH723" s="1" t="s">
        <v>1344</v>
      </c>
    </row>
    <row r="724">
      <c r="A724" s="1">
        <v>18053.0</v>
      </c>
      <c r="B724" s="2" t="str">
        <f>IFERROR(__xludf.DUMMYFUNCTION("TO_TEXT(A724)"),"18053")</f>
        <v>18053</v>
      </c>
      <c r="C724" s="1">
        <v>68269.0</v>
      </c>
      <c r="D724" s="1">
        <v>414.076158244234</v>
      </c>
      <c r="E724" s="1" t="s">
        <v>332</v>
      </c>
      <c r="F724" s="1" t="s">
        <v>1345</v>
      </c>
      <c r="G724" s="1">
        <v>164.870637057382</v>
      </c>
      <c r="H724" s="1">
        <v>23.272574794</v>
      </c>
      <c r="I724" s="1">
        <v>5.033128347</v>
      </c>
      <c r="J724" s="1">
        <v>10.229409552</v>
      </c>
      <c r="K724" s="1">
        <v>21.544696522</v>
      </c>
      <c r="L724" s="1">
        <v>37.3</v>
      </c>
      <c r="M724" s="1">
        <v>7.2</v>
      </c>
      <c r="N724" s="1">
        <v>33.4</v>
      </c>
      <c r="O724" s="1">
        <v>64.4966529169999</v>
      </c>
      <c r="P724" s="1">
        <v>8.5586410335</v>
      </c>
      <c r="Q724" s="1">
        <v>45.11889</v>
      </c>
      <c r="R724" s="1">
        <v>95.861148198</v>
      </c>
      <c r="S724" s="1">
        <v>31.0</v>
      </c>
      <c r="T724" s="1">
        <v>13745.0</v>
      </c>
      <c r="U724" s="1">
        <v>44.4525281919999</v>
      </c>
      <c r="V724" s="1">
        <v>233.84353741</v>
      </c>
      <c r="W724" s="1">
        <v>11.877979028</v>
      </c>
      <c r="X724" s="1">
        <v>10.68287037</v>
      </c>
      <c r="Y724" s="1">
        <v>74.677794758</v>
      </c>
      <c r="Z724" s="1">
        <v>16.3</v>
      </c>
      <c r="AA724" s="1">
        <v>7.9141228366</v>
      </c>
      <c r="AB724" s="1">
        <v>45138.0</v>
      </c>
      <c r="AC724" s="1">
        <v>55.941693214</v>
      </c>
      <c r="AD724" s="1">
        <v>69.212511006</v>
      </c>
      <c r="AE724" s="1">
        <v>12.083646877</v>
      </c>
      <c r="AF724" s="1">
        <v>7.0052778452</v>
      </c>
      <c r="AG724" s="1">
        <v>0.4261708323</v>
      </c>
      <c r="AH724" s="1">
        <v>0.9524387285</v>
      </c>
      <c r="AI724" s="1">
        <v>0.0454986654</v>
      </c>
      <c r="AJ724" s="1">
        <v>4.3997209415</v>
      </c>
      <c r="AK724" s="1">
        <v>84.908092696</v>
      </c>
      <c r="AL724" s="1">
        <v>0.0884494496</v>
      </c>
      <c r="AM724" s="1">
        <v>52.138437273</v>
      </c>
      <c r="AN724" s="1">
        <v>28.913375487</v>
      </c>
      <c r="AO724" s="1">
        <v>20348.0</v>
      </c>
      <c r="AP724" s="1">
        <v>19.4</v>
      </c>
      <c r="AQ724" s="1">
        <v>8.1</v>
      </c>
      <c r="AR724" s="1">
        <v>13.5</v>
      </c>
      <c r="AS724" s="1">
        <v>17.7</v>
      </c>
      <c r="AT724" s="1">
        <v>20.9</v>
      </c>
      <c r="AU724" s="1">
        <v>17.7</v>
      </c>
      <c r="AV724" s="1">
        <v>14.4</v>
      </c>
      <c r="AW724" s="1">
        <v>0.3</v>
      </c>
      <c r="AX724" s="1">
        <v>0.7205</v>
      </c>
      <c r="AY724" s="1">
        <v>16.0</v>
      </c>
      <c r="AZ724" s="1">
        <v>15.9</v>
      </c>
      <c r="BA724" s="1">
        <v>23.5</v>
      </c>
      <c r="BB724" s="1">
        <v>2.57</v>
      </c>
      <c r="BC724" s="1" t="s">
        <v>1309</v>
      </c>
      <c r="BD724" s="1">
        <v>12.8</v>
      </c>
      <c r="BE724" s="1">
        <v>40.5</v>
      </c>
      <c r="BF724" s="1">
        <v>28.9</v>
      </c>
      <c r="BG724" s="1">
        <v>17.9</v>
      </c>
      <c r="BH724" s="1" t="s">
        <v>1345</v>
      </c>
    </row>
    <row r="725">
      <c r="A725" s="1">
        <v>18055.0</v>
      </c>
      <c r="B725" s="2" t="str">
        <f>IFERROR(__xludf.DUMMYFUNCTION("TO_TEXT(A725)"),"18055")</f>
        <v>18055</v>
      </c>
      <c r="C725" s="1">
        <v>32633.0</v>
      </c>
      <c r="D725" s="1">
        <v>542.509228682958</v>
      </c>
      <c r="E725" s="1" t="s">
        <v>122</v>
      </c>
      <c r="F725" s="1" t="s">
        <v>1346</v>
      </c>
      <c r="G725" s="1">
        <v>60.1519721226175</v>
      </c>
      <c r="H725" s="1">
        <v>17.845383755</v>
      </c>
      <c r="I725" s="1">
        <v>4.6763901241</v>
      </c>
      <c r="J725" s="1">
        <v>7.91996665279999</v>
      </c>
      <c r="K725" s="1">
        <v>20.947738822</v>
      </c>
      <c r="L725" s="1">
        <v>38.3</v>
      </c>
      <c r="M725" s="1">
        <v>7.9</v>
      </c>
      <c r="N725" s="1">
        <v>37.6</v>
      </c>
      <c r="O725" s="1">
        <v>52.498115483</v>
      </c>
      <c r="P725" s="1">
        <v>8.89968895799999</v>
      </c>
      <c r="Q725" s="1">
        <v>24.86248</v>
      </c>
      <c r="R725" s="1">
        <v>94.1176470589999</v>
      </c>
      <c r="S725" s="1">
        <v>18.7</v>
      </c>
      <c r="T725" s="1">
        <v>7037.0</v>
      </c>
      <c r="U725" s="1">
        <v>26.0338212309999</v>
      </c>
      <c r="V725" s="1">
        <v>39.47345839</v>
      </c>
      <c r="W725" s="1">
        <v>12.371946414</v>
      </c>
      <c r="X725" s="1">
        <v>8.6589733386</v>
      </c>
      <c r="Y725" s="1">
        <v>76.313237526</v>
      </c>
      <c r="Z725" s="1">
        <v>12.4</v>
      </c>
      <c r="AA725" s="1">
        <v>5.9506852261</v>
      </c>
      <c r="AB725" s="1">
        <v>46835.0</v>
      </c>
      <c r="AC725" s="1">
        <v>48.431294678</v>
      </c>
      <c r="AD725" s="1">
        <v>79.9687255669999</v>
      </c>
      <c r="AE725" s="1">
        <v>9.1018928715</v>
      </c>
      <c r="AF725" s="1">
        <v>0.2624507905</v>
      </c>
      <c r="AG725" s="1">
        <v>0.3874273574</v>
      </c>
      <c r="AH725" s="1">
        <v>0.3749297007</v>
      </c>
      <c r="AI725" s="1">
        <v>0.0249953134</v>
      </c>
      <c r="AJ725" s="1">
        <v>1.487221146</v>
      </c>
      <c r="AK725" s="1">
        <v>96.553771168</v>
      </c>
      <c r="AL725" s="1">
        <v>0.5591524426</v>
      </c>
      <c r="AM725" s="1">
        <v>49.9468849589999</v>
      </c>
      <c r="AN725" s="1">
        <v>74.843962008</v>
      </c>
      <c r="AO725" s="1">
        <v>23189.0</v>
      </c>
      <c r="AP725" s="1">
        <v>14.9</v>
      </c>
      <c r="AQ725" s="1">
        <v>6.2</v>
      </c>
      <c r="AR725" s="1">
        <v>14.4</v>
      </c>
      <c r="AS725" s="1">
        <v>18.1</v>
      </c>
      <c r="AT725" s="1">
        <v>22.6</v>
      </c>
      <c r="AU725" s="1">
        <v>19.4</v>
      </c>
      <c r="AV725" s="1">
        <v>3.1</v>
      </c>
      <c r="AW725" s="1">
        <v>0.2</v>
      </c>
      <c r="AX725" s="1">
        <v>0.4276</v>
      </c>
      <c r="AY725" s="1">
        <v>13.5</v>
      </c>
      <c r="AZ725" s="1">
        <v>14.0</v>
      </c>
      <c r="BA725" s="1">
        <v>19.7</v>
      </c>
      <c r="BB725" s="1">
        <v>2.72</v>
      </c>
      <c r="BC725" s="1" t="s">
        <v>1309</v>
      </c>
      <c r="BD725" s="1">
        <v>12.1</v>
      </c>
      <c r="BE725" s="1">
        <v>41.1</v>
      </c>
      <c r="BF725" s="1">
        <v>31.9</v>
      </c>
      <c r="BG725" s="1">
        <v>14.9</v>
      </c>
      <c r="BH725" s="1" t="s">
        <v>1346</v>
      </c>
    </row>
    <row r="726">
      <c r="A726" s="1">
        <v>18057.0</v>
      </c>
      <c r="B726" s="2" t="str">
        <f>IFERROR(__xludf.DUMMYFUNCTION("TO_TEXT(A726)"),"18057")</f>
        <v>18057</v>
      </c>
      <c r="C726" s="1">
        <v>303042.0</v>
      </c>
      <c r="D726" s="1">
        <v>394.296822285102</v>
      </c>
      <c r="E726" s="1" t="s">
        <v>719</v>
      </c>
      <c r="F726" s="1" t="s">
        <v>1347</v>
      </c>
      <c r="G726" s="1">
        <v>768.563130292946</v>
      </c>
      <c r="H726" s="1">
        <v>10.561042053</v>
      </c>
      <c r="I726" s="1">
        <v>3.5015900588</v>
      </c>
      <c r="J726" s="1">
        <v>6.7072254769</v>
      </c>
      <c r="K726" s="1">
        <v>13.307633994</v>
      </c>
      <c r="L726" s="1">
        <v>26.0</v>
      </c>
      <c r="M726" s="1">
        <v>8.8</v>
      </c>
      <c r="N726" s="1">
        <v>16.6</v>
      </c>
      <c r="O726" s="1">
        <v>91.315844105</v>
      </c>
      <c r="P726" s="1">
        <v>6.1059261261</v>
      </c>
      <c r="Q726" s="1">
        <v>142.70403</v>
      </c>
      <c r="R726" s="1">
        <v>76.805935182</v>
      </c>
      <c r="S726" s="1">
        <v>4.5</v>
      </c>
      <c r="T726" s="1">
        <v>87500.0</v>
      </c>
      <c r="U726" s="1">
        <v>17.7337142859999</v>
      </c>
      <c r="V726" s="1">
        <v>33.000133405</v>
      </c>
      <c r="W726" s="1">
        <v>9.0986585311</v>
      </c>
      <c r="X726" s="1">
        <v>8.24979680299999</v>
      </c>
      <c r="Y726" s="1">
        <v>81.920760489</v>
      </c>
      <c r="Z726" s="1">
        <v>8.1</v>
      </c>
      <c r="AA726" s="1">
        <v>3.8794563561</v>
      </c>
      <c r="AB726" s="1">
        <v>101740.0</v>
      </c>
      <c r="AC726" s="1">
        <v>20.0924131759999</v>
      </c>
      <c r="AD726" s="1">
        <v>77.271717016</v>
      </c>
      <c r="AE726" s="1">
        <v>7.7952353303</v>
      </c>
      <c r="AF726" s="1">
        <v>4.2601019128</v>
      </c>
      <c r="AG726" s="1">
        <v>0.2229721951</v>
      </c>
      <c r="AH726" s="1">
        <v>6.2256502851</v>
      </c>
      <c r="AI726" s="1">
        <v>0.0487751677</v>
      </c>
      <c r="AJ726" s="1">
        <v>4.1074144314</v>
      </c>
      <c r="AK726" s="1">
        <v>83.386753755</v>
      </c>
      <c r="AL726" s="1">
        <v>0.9757405446</v>
      </c>
      <c r="AM726" s="1">
        <v>51.1203141</v>
      </c>
      <c r="AN726" s="1">
        <v>5.6353776282</v>
      </c>
      <c r="AO726" s="1">
        <v>42361.0</v>
      </c>
      <c r="AP726" s="1">
        <v>5.1</v>
      </c>
      <c r="AQ726" s="1">
        <v>3.5</v>
      </c>
      <c r="AR726" s="1">
        <v>4.0</v>
      </c>
      <c r="AS726" s="1">
        <v>10.5</v>
      </c>
      <c r="AT726" s="1">
        <v>28.6</v>
      </c>
      <c r="AU726" s="1">
        <v>7.3</v>
      </c>
      <c r="AV726" s="1">
        <v>15.2</v>
      </c>
      <c r="AW726" s="1">
        <v>1.1</v>
      </c>
      <c r="AX726" s="1">
        <v>0.0271</v>
      </c>
      <c r="AY726" s="1">
        <v>4.2</v>
      </c>
      <c r="AZ726" s="1">
        <v>7.7</v>
      </c>
      <c r="BA726" s="1">
        <v>9.3</v>
      </c>
      <c r="BB726" s="1">
        <v>3.37</v>
      </c>
      <c r="BC726" s="1" t="s">
        <v>1309</v>
      </c>
      <c r="BD726" s="1">
        <v>3.2</v>
      </c>
      <c r="BE726" s="1">
        <v>14.9</v>
      </c>
      <c r="BF726" s="1">
        <v>22.5</v>
      </c>
      <c r="BG726" s="1">
        <v>59.3</v>
      </c>
      <c r="BH726" s="1" t="s">
        <v>1347</v>
      </c>
    </row>
    <row r="727">
      <c r="A727" s="1">
        <v>18059.0</v>
      </c>
      <c r="B727" s="2" t="str">
        <f>IFERROR(__xludf.DUMMYFUNCTION("TO_TEXT(A727)"),"18059")</f>
        <v>18059</v>
      </c>
      <c r="C727" s="1">
        <v>71955.0</v>
      </c>
      <c r="D727" s="1">
        <v>306.017050960598</v>
      </c>
      <c r="E727" s="1" t="s">
        <v>917</v>
      </c>
      <c r="F727" s="1" t="s">
        <v>1348</v>
      </c>
      <c r="G727" s="1">
        <v>235.13395666722</v>
      </c>
      <c r="H727" s="1">
        <v>14.808724219</v>
      </c>
      <c r="I727" s="1">
        <v>4.1054157593</v>
      </c>
      <c r="J727" s="1">
        <v>6.870785493</v>
      </c>
      <c r="K727" s="1">
        <v>16.773729434</v>
      </c>
      <c r="L727" s="1">
        <v>37.6</v>
      </c>
      <c r="M727" s="1">
        <v>8.3</v>
      </c>
      <c r="N727" s="1">
        <v>25.3</v>
      </c>
      <c r="O727" s="1">
        <v>46.8886603239999</v>
      </c>
      <c r="P727" s="1">
        <v>6.03624277909999</v>
      </c>
      <c r="Q727" s="1">
        <v>84.0168</v>
      </c>
      <c r="R727" s="1">
        <v>91.649694501</v>
      </c>
      <c r="S727" s="1">
        <v>6.6</v>
      </c>
      <c r="T727" s="1">
        <v>17399.0</v>
      </c>
      <c r="U727" s="1">
        <v>23.524340479</v>
      </c>
      <c r="V727" s="1">
        <v>118.08087504</v>
      </c>
      <c r="W727" s="1">
        <v>9.0892053973</v>
      </c>
      <c r="X727" s="1">
        <v>8.1147386299</v>
      </c>
      <c r="Y727" s="1">
        <v>78.818359351</v>
      </c>
      <c r="Z727" s="1">
        <v>13.2</v>
      </c>
      <c r="AA727" s="1">
        <v>7.4376664689</v>
      </c>
      <c r="AB727" s="1">
        <v>73831.0</v>
      </c>
      <c r="AC727" s="1">
        <v>28.112568145</v>
      </c>
      <c r="AD727" s="1">
        <v>77.5828460039999</v>
      </c>
      <c r="AE727" s="1">
        <v>7.7189189189</v>
      </c>
      <c r="AF727" s="1">
        <v>2.8107031997</v>
      </c>
      <c r="AG727" s="1">
        <v>0.307789027</v>
      </c>
      <c r="AH727" s="1">
        <v>0.877526162099999</v>
      </c>
      <c r="AI727" s="1">
        <v>0.0432214378</v>
      </c>
      <c r="AJ727" s="1">
        <v>2.4387368862</v>
      </c>
      <c r="AK727" s="1">
        <v>92.17168079</v>
      </c>
      <c r="AL727" s="1">
        <v>0.449286596</v>
      </c>
      <c r="AM727" s="1">
        <v>50.802216081</v>
      </c>
      <c r="AN727" s="1">
        <v>30.446272964</v>
      </c>
      <c r="AO727" s="1">
        <v>30011.0</v>
      </c>
      <c r="AP727" s="1">
        <v>7.4</v>
      </c>
      <c r="AQ727" s="1">
        <v>4.9</v>
      </c>
      <c r="AR727" s="1">
        <v>5.8</v>
      </c>
      <c r="AS727" s="1">
        <v>14.8</v>
      </c>
      <c r="AT727" s="1">
        <v>24.4</v>
      </c>
      <c r="AU727" s="1">
        <v>12.9</v>
      </c>
      <c r="AV727" s="1">
        <v>6.6</v>
      </c>
      <c r="AW727" s="1">
        <v>0.3</v>
      </c>
      <c r="AX727" s="1">
        <v>0.0274</v>
      </c>
      <c r="AY727" s="1">
        <v>5.2</v>
      </c>
      <c r="AZ727" s="1">
        <v>9.9</v>
      </c>
      <c r="BA727" s="1">
        <v>13.5</v>
      </c>
      <c r="BB727" s="1">
        <v>2.84</v>
      </c>
      <c r="BC727" s="1" t="s">
        <v>1309</v>
      </c>
      <c r="BD727" s="1">
        <v>7.1</v>
      </c>
      <c r="BE727" s="1">
        <v>32.7</v>
      </c>
      <c r="BF727" s="1">
        <v>29.3</v>
      </c>
      <c r="BG727" s="1">
        <v>30.8</v>
      </c>
      <c r="BH727" s="1" t="s">
        <v>1348</v>
      </c>
    </row>
    <row r="728">
      <c r="A728" s="1">
        <v>18061.0</v>
      </c>
      <c r="B728" s="2" t="str">
        <f>IFERROR(__xludf.DUMMYFUNCTION("TO_TEXT(A728)"),"18061")</f>
        <v>18061</v>
      </c>
      <c r="C728" s="1">
        <v>39370.0</v>
      </c>
      <c r="D728" s="1">
        <v>484.515327582205</v>
      </c>
      <c r="E728" s="1" t="s">
        <v>1349</v>
      </c>
      <c r="F728" s="1" t="s">
        <v>1350</v>
      </c>
      <c r="G728" s="1">
        <v>81.2564593084421</v>
      </c>
      <c r="H728" s="1">
        <v>17.498078351</v>
      </c>
      <c r="I728" s="1">
        <v>4.4210241223</v>
      </c>
      <c r="J728" s="1">
        <v>7.3451910408</v>
      </c>
      <c r="K728" s="1">
        <v>20.097132568</v>
      </c>
      <c r="L728" s="1">
        <v>38.1</v>
      </c>
      <c r="M728" s="1">
        <v>8.5</v>
      </c>
      <c r="N728" s="1">
        <v>27.2</v>
      </c>
      <c r="O728" s="1">
        <v>41.080682857</v>
      </c>
      <c r="P728" s="1">
        <v>8.2314837448</v>
      </c>
      <c r="Q728" s="1">
        <v>45.11504</v>
      </c>
      <c r="R728" s="1">
        <v>97.052154195</v>
      </c>
      <c r="S728" s="1">
        <v>12.7</v>
      </c>
      <c r="T728" s="1">
        <v>8681.0</v>
      </c>
      <c r="U728" s="1">
        <v>25.411818915</v>
      </c>
      <c r="V728" s="1">
        <v>81.753615043</v>
      </c>
      <c r="W728" s="1">
        <v>10.051635112</v>
      </c>
      <c r="X728" s="1">
        <v>8.2148281099</v>
      </c>
      <c r="Y728" s="1">
        <v>77.182868894</v>
      </c>
      <c r="Z728" s="1">
        <v>11.8</v>
      </c>
      <c r="AA728" s="1">
        <v>1.6324800763</v>
      </c>
      <c r="AB728" s="1">
        <v>60379.0</v>
      </c>
      <c r="AC728" s="1">
        <v>44.419097279</v>
      </c>
      <c r="AD728" s="1">
        <v>82.535655513</v>
      </c>
      <c r="AE728" s="1">
        <v>7.09801683549999</v>
      </c>
      <c r="AF728" s="1">
        <v>0.6394052045</v>
      </c>
      <c r="AG728" s="1">
        <v>0.322180917</v>
      </c>
      <c r="AH728" s="1">
        <v>0.4535315985</v>
      </c>
      <c r="AI728" s="1">
        <v>0.0520446097</v>
      </c>
      <c r="AJ728" s="1">
        <v>1.9975216853</v>
      </c>
      <c r="AK728" s="1">
        <v>95.365551425</v>
      </c>
      <c r="AL728" s="1">
        <v>0.1575728441</v>
      </c>
      <c r="AM728" s="1">
        <v>50.0297397769999</v>
      </c>
      <c r="AN728" s="1">
        <v>85.84747485</v>
      </c>
      <c r="AO728" s="1">
        <v>25319.0</v>
      </c>
      <c r="AP728" s="1">
        <v>13.2</v>
      </c>
      <c r="AQ728" s="1">
        <v>6.7</v>
      </c>
      <c r="AR728" s="1">
        <v>11.3</v>
      </c>
      <c r="AS728" s="1">
        <v>16.1</v>
      </c>
      <c r="AT728" s="1">
        <v>22.8</v>
      </c>
      <c r="AU728" s="1">
        <v>17.9</v>
      </c>
      <c r="AV728" s="1">
        <v>4.0</v>
      </c>
      <c r="AW728" s="1">
        <v>0.2</v>
      </c>
      <c r="AX728" s="1">
        <v>0.1971</v>
      </c>
      <c r="AY728" s="1">
        <v>8.2</v>
      </c>
      <c r="AZ728" s="1">
        <v>12.2</v>
      </c>
      <c r="BA728" s="1">
        <v>15.9</v>
      </c>
      <c r="BB728" s="1">
        <v>2.67</v>
      </c>
      <c r="BC728" s="1" t="s">
        <v>1309</v>
      </c>
      <c r="BD728" s="1">
        <v>11.6</v>
      </c>
      <c r="BE728" s="1">
        <v>39.6</v>
      </c>
      <c r="BF728" s="1">
        <v>30.1</v>
      </c>
      <c r="BG728" s="1">
        <v>18.7</v>
      </c>
      <c r="BH728" s="1" t="s">
        <v>1350</v>
      </c>
    </row>
    <row r="729">
      <c r="A729" s="1">
        <v>18063.0</v>
      </c>
      <c r="B729" s="2" t="str">
        <f>IFERROR(__xludf.DUMMYFUNCTION("TO_TEXT(A729)"),"18063")</f>
        <v>18063</v>
      </c>
      <c r="C729" s="1">
        <v>155817.0</v>
      </c>
      <c r="D729" s="1">
        <v>406.893161810168</v>
      </c>
      <c r="E729" s="1" t="s">
        <v>1351</v>
      </c>
      <c r="F729" s="1" t="s">
        <v>1352</v>
      </c>
      <c r="G729" s="1">
        <v>382.943275101523</v>
      </c>
      <c r="H729" s="1">
        <v>14.953200945</v>
      </c>
      <c r="I729" s="1">
        <v>3.9550906436</v>
      </c>
      <c r="J729" s="1">
        <v>6.28899426</v>
      </c>
      <c r="K729" s="1">
        <v>16.052191977</v>
      </c>
      <c r="L729" s="1">
        <v>31.5</v>
      </c>
      <c r="M729" s="1">
        <v>8.7</v>
      </c>
      <c r="N729" s="1">
        <v>22.5</v>
      </c>
      <c r="O729" s="1">
        <v>69.722512513</v>
      </c>
      <c r="P729" s="1">
        <v>6.61766812799999</v>
      </c>
      <c r="Q729" s="1">
        <v>50.09622</v>
      </c>
      <c r="R729" s="1">
        <v>96.322489392</v>
      </c>
      <c r="S729" s="1">
        <v>6.6</v>
      </c>
      <c r="T729" s="1">
        <v>40834.0</v>
      </c>
      <c r="U729" s="1">
        <v>21.954743596</v>
      </c>
      <c r="V729" s="1">
        <v>176.29384836</v>
      </c>
      <c r="W729" s="1">
        <v>8.8617813257</v>
      </c>
      <c r="X729" s="1">
        <v>7.64785553049999</v>
      </c>
      <c r="Y729" s="1">
        <v>79.505253778</v>
      </c>
      <c r="Z729" s="1">
        <v>10.5</v>
      </c>
      <c r="AA729" s="1">
        <v>4.1009043148</v>
      </c>
      <c r="AB729" s="1">
        <v>80834.0</v>
      </c>
      <c r="AC729" s="1">
        <v>27.084512199</v>
      </c>
      <c r="AD729" s="1">
        <v>78.472054823</v>
      </c>
      <c r="AE729" s="1">
        <v>7.8520486645</v>
      </c>
      <c r="AF729" s="1">
        <v>7.22236526179999</v>
      </c>
      <c r="AG729" s="1">
        <v>0.308366615</v>
      </c>
      <c r="AH729" s="1">
        <v>2.9848690789</v>
      </c>
      <c r="AI729" s="1">
        <v>0.0646671736</v>
      </c>
      <c r="AJ729" s="1">
        <v>4.0267290984</v>
      </c>
      <c r="AK729" s="1">
        <v>83.761354179</v>
      </c>
      <c r="AL729" s="1">
        <v>1.0009255586</v>
      </c>
      <c r="AM729" s="1">
        <v>49.967965798</v>
      </c>
      <c r="AN729" s="1">
        <v>17.846928112</v>
      </c>
      <c r="AO729" s="1">
        <v>31335.0</v>
      </c>
      <c r="AP729" s="1">
        <v>5.1</v>
      </c>
      <c r="AQ729" s="1">
        <v>5.0</v>
      </c>
      <c r="AR729" s="1">
        <v>6.5</v>
      </c>
      <c r="AS729" s="1">
        <v>12.4</v>
      </c>
      <c r="AT729" s="1">
        <v>26.0</v>
      </c>
      <c r="AU729" s="1">
        <v>11.1</v>
      </c>
      <c r="AV729" s="1">
        <v>13.6</v>
      </c>
      <c r="AW729" s="1">
        <v>0.7</v>
      </c>
      <c r="AX729" s="1">
        <v>0.0704</v>
      </c>
      <c r="AY729" s="1">
        <v>4.9</v>
      </c>
      <c r="AZ729" s="1">
        <v>8.8</v>
      </c>
      <c r="BA729" s="1">
        <v>11.3</v>
      </c>
      <c r="BB729" s="1">
        <v>2.95</v>
      </c>
      <c r="BC729" s="1" t="s">
        <v>1309</v>
      </c>
      <c r="BD729" s="1">
        <v>6.0</v>
      </c>
      <c r="BE729" s="1">
        <v>27.5</v>
      </c>
      <c r="BF729" s="1">
        <v>29.5</v>
      </c>
      <c r="BG729" s="1">
        <v>37.0</v>
      </c>
      <c r="BH729" s="1" t="s">
        <v>1352</v>
      </c>
    </row>
    <row r="730">
      <c r="A730" s="1">
        <v>18065.0</v>
      </c>
      <c r="B730" s="2" t="str">
        <f>IFERROR(__xludf.DUMMYFUNCTION("TO_TEXT(A730)"),"18065")</f>
        <v>18065</v>
      </c>
      <c r="C730" s="1">
        <v>48953.0</v>
      </c>
      <c r="D730" s="1">
        <v>391.876070081457</v>
      </c>
      <c r="E730" s="1" t="s">
        <v>126</v>
      </c>
      <c r="F730" s="1" t="s">
        <v>1353</v>
      </c>
      <c r="G730" s="1">
        <v>124.919595089908</v>
      </c>
      <c r="H730" s="1">
        <v>21.1817453259999</v>
      </c>
      <c r="I730" s="1">
        <v>4.5541530245</v>
      </c>
      <c r="J730" s="1">
        <v>7.9701492537</v>
      </c>
      <c r="K730" s="1">
        <v>20.617763345</v>
      </c>
      <c r="L730" s="1">
        <v>29.5</v>
      </c>
      <c r="M730" s="1">
        <v>8.1</v>
      </c>
      <c r="N730" s="1">
        <v>25.5</v>
      </c>
      <c r="O730" s="1">
        <v>63.262706724</v>
      </c>
      <c r="P730" s="1">
        <v>7.973190945</v>
      </c>
      <c r="Q730" s="1">
        <v>39.19465</v>
      </c>
      <c r="R730" s="1">
        <v>93.58974359</v>
      </c>
      <c r="S730" s="1">
        <v>18.6</v>
      </c>
      <c r="T730" s="1">
        <v>9803.0</v>
      </c>
      <c r="U730" s="1">
        <v>33.469346119</v>
      </c>
      <c r="V730" s="1">
        <v>15.932700274</v>
      </c>
      <c r="W730" s="1">
        <v>11.576011158</v>
      </c>
      <c r="X730" s="1">
        <v>10.6368525329999</v>
      </c>
      <c r="Y730" s="1">
        <v>75.924517627</v>
      </c>
      <c r="Z730" s="1">
        <v>15.6</v>
      </c>
      <c r="AA730" s="1">
        <v>1.4032181093</v>
      </c>
      <c r="AB730" s="1">
        <v>50183.0</v>
      </c>
      <c r="AC730" s="1">
        <v>51.3284184169999</v>
      </c>
      <c r="AD730" s="1">
        <v>73.571273359</v>
      </c>
      <c r="AE730" s="1">
        <v>9.8241869348</v>
      </c>
      <c r="AF730" s="1">
        <v>2.6848418305</v>
      </c>
      <c r="AG730" s="1">
        <v>0.2071637215</v>
      </c>
      <c r="AH730" s="1">
        <v>0.3998259825</v>
      </c>
      <c r="AI730" s="1">
        <v>0.0269312838</v>
      </c>
      <c r="AJ730" s="1">
        <v>1.9390524331</v>
      </c>
      <c r="AK730" s="1">
        <v>93.47641441</v>
      </c>
      <c r="AL730" s="1">
        <v>0.1280020827</v>
      </c>
      <c r="AM730" s="1">
        <v>48.003977543</v>
      </c>
      <c r="AN730" s="1">
        <v>42.855121103</v>
      </c>
      <c r="AO730" s="1">
        <v>22182.0</v>
      </c>
      <c r="AP730" s="1">
        <v>16.2</v>
      </c>
      <c r="AQ730" s="1">
        <v>8.4</v>
      </c>
      <c r="AR730" s="1">
        <v>12.2</v>
      </c>
      <c r="AS730" s="1">
        <v>18.0</v>
      </c>
      <c r="AT730" s="1">
        <v>21.0</v>
      </c>
      <c r="AU730" s="1">
        <v>17.0</v>
      </c>
      <c r="AV730" s="1">
        <v>6.0</v>
      </c>
      <c r="AW730" s="1">
        <v>0.2</v>
      </c>
      <c r="AX730" s="1">
        <v>0.4311</v>
      </c>
      <c r="AY730" s="1">
        <v>12.9</v>
      </c>
      <c r="AZ730" s="1">
        <v>14.1</v>
      </c>
      <c r="BA730" s="1">
        <v>20.2</v>
      </c>
      <c r="BB730" s="1">
        <v>2.62</v>
      </c>
      <c r="BC730" s="1" t="s">
        <v>1309</v>
      </c>
      <c r="BD730" s="1">
        <v>10.7</v>
      </c>
      <c r="BE730" s="1">
        <v>43.7</v>
      </c>
      <c r="BF730" s="1">
        <v>29.1</v>
      </c>
      <c r="BG730" s="1">
        <v>16.4</v>
      </c>
      <c r="BH730" s="1" t="s">
        <v>1353</v>
      </c>
    </row>
    <row r="731">
      <c r="A731" s="1">
        <v>18067.0</v>
      </c>
      <c r="B731" s="2" t="str">
        <f>IFERROR(__xludf.DUMMYFUNCTION("TO_TEXT(A731)"),"18067")</f>
        <v>18067</v>
      </c>
      <c r="C731" s="1">
        <v>82728.0</v>
      </c>
      <c r="D731" s="1">
        <v>292.996966807144</v>
      </c>
      <c r="E731" s="1" t="s">
        <v>339</v>
      </c>
      <c r="F731" s="1" t="s">
        <v>1354</v>
      </c>
      <c r="G731" s="1">
        <v>282.35104581971</v>
      </c>
      <c r="H731" s="1">
        <v>18.347792906</v>
      </c>
      <c r="I731" s="1">
        <v>4.6113458879</v>
      </c>
      <c r="J731" s="1">
        <v>8.2435731725</v>
      </c>
      <c r="K731" s="1">
        <v>21.19177525</v>
      </c>
      <c r="L731" s="1">
        <v>35.1</v>
      </c>
      <c r="M731" s="1">
        <v>7.3</v>
      </c>
      <c r="N731" s="1">
        <v>30.9</v>
      </c>
      <c r="O731" s="1">
        <v>68.588070379</v>
      </c>
      <c r="P731" s="1">
        <v>8.2889490824</v>
      </c>
      <c r="Q731" s="1">
        <v>63.13515</v>
      </c>
      <c r="R731" s="1">
        <v>75.1033912319999</v>
      </c>
      <c r="S731" s="1">
        <v>19.3</v>
      </c>
      <c r="T731" s="1">
        <v>18271.0</v>
      </c>
      <c r="U731" s="1">
        <v>37.545837666</v>
      </c>
      <c r="V731" s="1">
        <v>431.32009719</v>
      </c>
      <c r="W731" s="1">
        <v>11.697181052</v>
      </c>
      <c r="X731" s="1">
        <v>10.71133412</v>
      </c>
      <c r="Y731" s="1">
        <v>74.7221794789999</v>
      </c>
      <c r="Z731" s="1">
        <v>15.9</v>
      </c>
      <c r="AA731" s="1">
        <v>8.4672613462</v>
      </c>
      <c r="AB731" s="1">
        <v>55365.0</v>
      </c>
      <c r="AC731" s="1">
        <v>52.18709398</v>
      </c>
      <c r="AD731" s="1">
        <v>68.356005789</v>
      </c>
      <c r="AE731" s="1">
        <v>11.5738397879999</v>
      </c>
      <c r="AF731" s="1">
        <v>7.47759998059999</v>
      </c>
      <c r="AG731" s="1">
        <v>0.4018648471</v>
      </c>
      <c r="AH731" s="1">
        <v>1.2541582692</v>
      </c>
      <c r="AI731" s="1">
        <v>0.0485637278</v>
      </c>
      <c r="AJ731" s="1">
        <v>3.4553092295</v>
      </c>
      <c r="AK731" s="1">
        <v>85.010805429</v>
      </c>
      <c r="AL731" s="1">
        <v>0.461401264</v>
      </c>
      <c r="AM731" s="1">
        <v>51.456911833</v>
      </c>
      <c r="AN731" s="1">
        <v>21.535431168</v>
      </c>
      <c r="AO731" s="1">
        <v>25507.0</v>
      </c>
      <c r="AP731" s="1">
        <v>16.8</v>
      </c>
      <c r="AQ731" s="1">
        <v>7.6</v>
      </c>
      <c r="AR731" s="1">
        <v>11.5</v>
      </c>
      <c r="AS731" s="1">
        <v>17.9</v>
      </c>
      <c r="AT731" s="1">
        <v>22.9</v>
      </c>
      <c r="AU731" s="1">
        <v>17.5</v>
      </c>
      <c r="AV731" s="1">
        <v>13.9</v>
      </c>
      <c r="AW731" s="1">
        <v>0.5</v>
      </c>
      <c r="AX731" s="1">
        <v>0.5021</v>
      </c>
      <c r="AY731" s="1">
        <v>12.2</v>
      </c>
      <c r="AZ731" s="1">
        <v>14.7</v>
      </c>
      <c r="BA731" s="1">
        <v>21.0</v>
      </c>
      <c r="BB731" s="1">
        <v>2.76</v>
      </c>
      <c r="BC731" s="1" t="s">
        <v>1309</v>
      </c>
      <c r="BD731" s="1">
        <v>10.5</v>
      </c>
      <c r="BE731" s="1">
        <v>35.9</v>
      </c>
      <c r="BF731" s="1">
        <v>32.0</v>
      </c>
      <c r="BG731" s="1">
        <v>21.6</v>
      </c>
      <c r="BH731" s="1" t="s">
        <v>1354</v>
      </c>
    </row>
    <row r="732">
      <c r="A732" s="1">
        <v>18069.0</v>
      </c>
      <c r="B732" s="2" t="str">
        <f>IFERROR(__xludf.DUMMYFUNCTION("TO_TEXT(A732)"),"18069")</f>
        <v>18069</v>
      </c>
      <c r="C732" s="1">
        <v>36696.0</v>
      </c>
      <c r="D732" s="1">
        <v>382.64811683696</v>
      </c>
      <c r="E732" s="1" t="s">
        <v>1355</v>
      </c>
      <c r="F732" s="1" t="s">
        <v>1356</v>
      </c>
      <c r="G732" s="1">
        <v>95.9001191573499</v>
      </c>
      <c r="H732" s="1">
        <v>16.574694345</v>
      </c>
      <c r="I732" s="1">
        <v>4.4221792568</v>
      </c>
      <c r="J732" s="1">
        <v>8.5819644653</v>
      </c>
      <c r="K732" s="1">
        <v>18.79551025</v>
      </c>
      <c r="L732" s="1">
        <v>37.4</v>
      </c>
      <c r="M732" s="1">
        <v>7.8</v>
      </c>
      <c r="N732" s="1">
        <v>28.5</v>
      </c>
      <c r="O732" s="1">
        <v>76.484215063</v>
      </c>
      <c r="P732" s="1">
        <v>7.904827114</v>
      </c>
      <c r="Q732" s="1">
        <v>57.79233</v>
      </c>
      <c r="R732" s="1">
        <v>91.75257732</v>
      </c>
      <c r="S732" s="1">
        <v>14.2</v>
      </c>
      <c r="T732" s="1">
        <v>7717.0</v>
      </c>
      <c r="U732" s="1">
        <v>24.906051574</v>
      </c>
      <c r="V732" s="1">
        <v>32.972467989</v>
      </c>
      <c r="W732" s="1">
        <v>10.495526497</v>
      </c>
      <c r="X732" s="1">
        <v>9.12802768169999</v>
      </c>
      <c r="Y732" s="1">
        <v>77.13436265</v>
      </c>
      <c r="Z732" s="1">
        <v>14.1</v>
      </c>
      <c r="AA732" s="1">
        <v>8.5263683757</v>
      </c>
      <c r="AB732" s="1">
        <v>53809.0</v>
      </c>
      <c r="AC732" s="1">
        <v>45.7341845619999</v>
      </c>
      <c r="AD732" s="1">
        <v>75.864172428</v>
      </c>
      <c r="AE732" s="1">
        <v>8.9031634204</v>
      </c>
      <c r="AF732" s="1">
        <v>0.689845474599999</v>
      </c>
      <c r="AG732" s="1">
        <v>0.5656732892</v>
      </c>
      <c r="AH732" s="1">
        <v>0.5932671082</v>
      </c>
      <c r="AI732" s="1">
        <v>0.0524282561</v>
      </c>
      <c r="AJ732" s="1">
        <v>2.6048565121</v>
      </c>
      <c r="AK732" s="1">
        <v>94.522626932</v>
      </c>
      <c r="AL732" s="1">
        <v>0.3380248856</v>
      </c>
      <c r="AM732" s="1">
        <v>50.6815673289999</v>
      </c>
      <c r="AN732" s="1">
        <v>50.9562547139999</v>
      </c>
      <c r="AO732" s="1">
        <v>23396.0</v>
      </c>
      <c r="AP732" s="1">
        <v>12.0</v>
      </c>
      <c r="AQ732" s="1">
        <v>5.2</v>
      </c>
      <c r="AR732" s="1">
        <v>9.9</v>
      </c>
      <c r="AS732" s="1">
        <v>15.9</v>
      </c>
      <c r="AT732" s="1">
        <v>22.2</v>
      </c>
      <c r="AU732" s="1">
        <v>14.4</v>
      </c>
      <c r="AV732" s="1">
        <v>4.6</v>
      </c>
      <c r="AW732" s="1">
        <v>0.2</v>
      </c>
      <c r="AX732" s="1">
        <v>0.1394</v>
      </c>
      <c r="AY732" s="1">
        <v>9.7</v>
      </c>
      <c r="AZ732" s="1">
        <v>11.7</v>
      </c>
      <c r="BA732" s="1">
        <v>16.2</v>
      </c>
      <c r="BB732" s="1">
        <v>2.6</v>
      </c>
      <c r="BC732" s="1" t="s">
        <v>1309</v>
      </c>
      <c r="BD732" s="1">
        <v>8.2</v>
      </c>
      <c r="BE732" s="1">
        <v>41.3</v>
      </c>
      <c r="BF732" s="1">
        <v>30.4</v>
      </c>
      <c r="BG732" s="1">
        <v>20.1</v>
      </c>
      <c r="BH732" s="1" t="s">
        <v>1356</v>
      </c>
    </row>
    <row r="733">
      <c r="A733" s="1">
        <v>18071.0</v>
      </c>
      <c r="B733" s="2" t="str">
        <f>IFERROR(__xludf.DUMMYFUNCTION("TO_TEXT(A733)"),"18071")</f>
        <v>18071</v>
      </c>
      <c r="C733" s="1">
        <v>43637.0</v>
      </c>
      <c r="D733" s="1">
        <v>509.3145999686</v>
      </c>
      <c r="E733" s="1" t="s">
        <v>130</v>
      </c>
      <c r="F733" s="1" t="s">
        <v>1357</v>
      </c>
      <c r="G733" s="1">
        <v>85.6778894669234</v>
      </c>
      <c r="H733" s="1">
        <v>20.885563071</v>
      </c>
      <c r="I733" s="1">
        <v>4.6962171863</v>
      </c>
      <c r="J733" s="1">
        <v>6.5639810427</v>
      </c>
      <c r="K733" s="1">
        <v>21.955356139</v>
      </c>
      <c r="L733" s="1">
        <v>30.5</v>
      </c>
      <c r="M733" s="1">
        <v>8.0</v>
      </c>
      <c r="N733" s="1">
        <v>28.5</v>
      </c>
      <c r="O733" s="1">
        <v>70.011327166</v>
      </c>
      <c r="P733" s="1">
        <v>10.010976948</v>
      </c>
      <c r="Q733" s="1">
        <v>56.9683699999999</v>
      </c>
      <c r="R733" s="1">
        <v>92.3076923079999</v>
      </c>
      <c r="S733" s="1">
        <v>15.2</v>
      </c>
      <c r="T733" s="1">
        <v>10560.0</v>
      </c>
      <c r="U733" s="1">
        <v>33.53219697</v>
      </c>
      <c r="V733" s="1">
        <v>222.71968001</v>
      </c>
      <c r="W733" s="1">
        <v>12.564335453</v>
      </c>
      <c r="X733" s="1">
        <v>9.5599022005</v>
      </c>
      <c r="Y733" s="1">
        <v>75.645224919</v>
      </c>
      <c r="Z733" s="1">
        <v>14.2</v>
      </c>
      <c r="AA733" s="1">
        <v>5.8455432533</v>
      </c>
      <c r="AB733" s="1">
        <v>55518.0</v>
      </c>
      <c r="AC733" s="1">
        <v>53.949458484</v>
      </c>
      <c r="AD733" s="1">
        <v>72.602412516</v>
      </c>
      <c r="AE733" s="1">
        <v>11.559090068</v>
      </c>
      <c r="AF733" s="1">
        <v>1.0541588266</v>
      </c>
      <c r="AG733" s="1">
        <v>0.3740563578</v>
      </c>
      <c r="AH733" s="1">
        <v>2.4461018793</v>
      </c>
      <c r="AI733" s="1">
        <v>0.160957584299999</v>
      </c>
      <c r="AJ733" s="1">
        <v>7.1728140373</v>
      </c>
      <c r="AK733" s="1">
        <v>87.887375031</v>
      </c>
      <c r="AL733" s="1">
        <v>1.5141909685</v>
      </c>
      <c r="AM733" s="1">
        <v>50.155290064</v>
      </c>
      <c r="AN733" s="1">
        <v>43.732301303</v>
      </c>
      <c r="AO733" s="1">
        <v>23098.0</v>
      </c>
      <c r="AP733" s="1">
        <v>14.8</v>
      </c>
      <c r="AQ733" s="1">
        <v>5.6</v>
      </c>
      <c r="AR733" s="1">
        <v>12.9</v>
      </c>
      <c r="AS733" s="1">
        <v>15.3</v>
      </c>
      <c r="AT733" s="1">
        <v>24.4</v>
      </c>
      <c r="AU733" s="1">
        <v>13.1</v>
      </c>
      <c r="AV733" s="1">
        <v>10.1</v>
      </c>
      <c r="AW733" s="1">
        <v>1.9</v>
      </c>
      <c r="AX733" s="1">
        <v>0.4712</v>
      </c>
      <c r="AY733" s="1">
        <v>10.1</v>
      </c>
      <c r="AZ733" s="1">
        <v>13.2</v>
      </c>
      <c r="BA733" s="1">
        <v>17.4</v>
      </c>
      <c r="BB733" s="1">
        <v>2.53</v>
      </c>
      <c r="BC733" s="1" t="s">
        <v>1309</v>
      </c>
      <c r="BD733" s="1">
        <v>12.7</v>
      </c>
      <c r="BE733" s="1">
        <v>41.9</v>
      </c>
      <c r="BF733" s="1">
        <v>28.7</v>
      </c>
      <c r="BG733" s="1">
        <v>16.7</v>
      </c>
      <c r="BH733" s="1" t="s">
        <v>1357</v>
      </c>
    </row>
    <row r="734">
      <c r="A734" s="1">
        <v>18073.0</v>
      </c>
      <c r="B734" s="2" t="str">
        <f>IFERROR(__xludf.DUMMYFUNCTION("TO_TEXT(A734)"),"18073")</f>
        <v>18073</v>
      </c>
      <c r="C734" s="1">
        <v>33461.0</v>
      </c>
      <c r="D734" s="1">
        <v>559.628573600594</v>
      </c>
      <c r="E734" s="1" t="s">
        <v>932</v>
      </c>
      <c r="F734" s="1" t="s">
        <v>1358</v>
      </c>
      <c r="G734" s="1">
        <v>59.7914430721707</v>
      </c>
      <c r="H734" s="1">
        <v>16.674121597</v>
      </c>
      <c r="I734" s="1">
        <v>4.5078185803</v>
      </c>
      <c r="J734" s="1">
        <v>7.1129707113</v>
      </c>
      <c r="K734" s="1">
        <v>19.4919731209999</v>
      </c>
      <c r="L734" s="1">
        <v>35.7</v>
      </c>
      <c r="M734" s="1">
        <v>8.5</v>
      </c>
      <c r="N734" s="1">
        <v>27.9</v>
      </c>
      <c r="O734" s="1">
        <v>57.5123962</v>
      </c>
      <c r="P734" s="1">
        <v>9.5918897842</v>
      </c>
      <c r="Q734" s="1">
        <v>23.91844</v>
      </c>
      <c r="R734" s="1">
        <v>92.964824121</v>
      </c>
      <c r="S734" s="1">
        <v>12.3</v>
      </c>
      <c r="T734" s="1">
        <v>7755.0</v>
      </c>
      <c r="U734" s="1">
        <v>27.9948420369999</v>
      </c>
      <c r="V734" s="1">
        <v>204.509002055</v>
      </c>
      <c r="W734" s="1">
        <v>9.1397849462</v>
      </c>
      <c r="X734" s="1">
        <v>7.1375155796</v>
      </c>
      <c r="Y734" s="1">
        <v>77.257773254</v>
      </c>
      <c r="Z734" s="1">
        <v>11.6</v>
      </c>
      <c r="AA734" s="1">
        <v>2.3226777823</v>
      </c>
      <c r="AB734" s="1">
        <v>66720.0</v>
      </c>
      <c r="AC734" s="1">
        <v>43.124758594</v>
      </c>
      <c r="AD734" s="1">
        <v>75.651965866</v>
      </c>
      <c r="AE734" s="1">
        <v>8.7536231884</v>
      </c>
      <c r="AF734" s="1">
        <v>0.7911297573</v>
      </c>
      <c r="AG734" s="1">
        <v>0.344620917</v>
      </c>
      <c r="AH734" s="1">
        <v>0.4764758765</v>
      </c>
      <c r="AI734" s="1">
        <v>0.047947258</v>
      </c>
      <c r="AJ734" s="1">
        <v>6.1072819898</v>
      </c>
      <c r="AK734" s="1">
        <v>91.462391369</v>
      </c>
      <c r="AL734" s="1">
        <v>0.6728877039</v>
      </c>
      <c r="AM734" s="1">
        <v>50.251723105</v>
      </c>
      <c r="AN734" s="1">
        <v>68.03871199</v>
      </c>
      <c r="AO734" s="1">
        <v>24839.0</v>
      </c>
      <c r="AP734" s="1">
        <v>7.7</v>
      </c>
      <c r="AQ734" s="1">
        <v>6.4</v>
      </c>
      <c r="AR734" s="1">
        <v>13.0</v>
      </c>
      <c r="AS734" s="1">
        <v>15.6</v>
      </c>
      <c r="AT734" s="1">
        <v>24.4</v>
      </c>
      <c r="AU734" s="1">
        <v>12.6</v>
      </c>
      <c r="AV734" s="1">
        <v>8.2</v>
      </c>
      <c r="AW734" s="1">
        <v>0.6</v>
      </c>
      <c r="AX734" s="1">
        <v>0.2302</v>
      </c>
      <c r="AY734" s="1">
        <v>8.8</v>
      </c>
      <c r="AZ734" s="1">
        <v>11.4</v>
      </c>
      <c r="BA734" s="1">
        <v>15.6</v>
      </c>
      <c r="BB734" s="1">
        <v>3.18</v>
      </c>
      <c r="BC734" s="1" t="s">
        <v>1309</v>
      </c>
      <c r="BD734" s="1">
        <v>11.8</v>
      </c>
      <c r="BE734" s="1">
        <v>43.2</v>
      </c>
      <c r="BF734" s="1">
        <v>30.8</v>
      </c>
      <c r="BG734" s="1">
        <v>14.3</v>
      </c>
      <c r="BH734" s="1" t="s">
        <v>1358</v>
      </c>
    </row>
    <row r="735">
      <c r="A735" s="1">
        <v>18075.0</v>
      </c>
      <c r="B735" s="2" t="str">
        <f>IFERROR(__xludf.DUMMYFUNCTION("TO_TEXT(A735)"),"18075")</f>
        <v>18075</v>
      </c>
      <c r="C735" s="1">
        <v>21196.0</v>
      </c>
      <c r="D735" s="1">
        <v>383.905118616302</v>
      </c>
      <c r="E735" s="1" t="s">
        <v>1359</v>
      </c>
      <c r="F735" s="1" t="s">
        <v>1360</v>
      </c>
      <c r="G735" s="1">
        <v>55.2115587215824</v>
      </c>
      <c r="H735" s="1">
        <v>19.914048583</v>
      </c>
      <c r="I735" s="1">
        <v>4.975293378</v>
      </c>
      <c r="J735" s="1">
        <v>8.8235294118</v>
      </c>
      <c r="K735" s="1">
        <v>21.976813843</v>
      </c>
      <c r="L735" s="1">
        <v>34.8</v>
      </c>
      <c r="M735" s="1">
        <v>7.5</v>
      </c>
      <c r="N735" s="1">
        <v>29.4</v>
      </c>
      <c r="O735" s="1">
        <v>39.354444078</v>
      </c>
      <c r="P735" s="1">
        <v>9.5495072736</v>
      </c>
      <c r="Q735" s="1">
        <v>42.96968</v>
      </c>
      <c r="R735" s="1">
        <v>95.93495935</v>
      </c>
      <c r="S735" s="1">
        <v>20.0</v>
      </c>
      <c r="T735" s="1">
        <v>5347.0</v>
      </c>
      <c r="U735" s="1">
        <v>36.936599963</v>
      </c>
      <c r="V735" s="1">
        <v>99.936881969</v>
      </c>
      <c r="W735" s="1">
        <v>11.724565757</v>
      </c>
      <c r="X735" s="1">
        <v>8.0373831776</v>
      </c>
      <c r="Y735" s="1">
        <v>74.785549561</v>
      </c>
      <c r="Z735" s="1">
        <v>18.7</v>
      </c>
      <c r="AA735" s="1">
        <v>8.61857904669999</v>
      </c>
      <c r="AB735" s="1">
        <v>48392.0</v>
      </c>
      <c r="AC735" s="1">
        <v>55.415384615</v>
      </c>
      <c r="AD735" s="1">
        <v>73.015093877</v>
      </c>
      <c r="AE735" s="1">
        <v>8.9430894309</v>
      </c>
      <c r="AF735" s="1">
        <v>0.4719707186</v>
      </c>
      <c r="AG735" s="1">
        <v>0.1974571374</v>
      </c>
      <c r="AH735" s="1">
        <v>0.4238104411</v>
      </c>
      <c r="AI735" s="1">
        <v>0.0288961664</v>
      </c>
      <c r="AJ735" s="1">
        <v>3.226738586</v>
      </c>
      <c r="AK735" s="1">
        <v>94.707185513</v>
      </c>
      <c r="AL735" s="1">
        <v>0.4975379565</v>
      </c>
      <c r="AM735" s="1">
        <v>50.163744943</v>
      </c>
      <c r="AN735" s="1">
        <v>55.653319531</v>
      </c>
      <c r="AO735" s="1">
        <v>20234.0</v>
      </c>
      <c r="AP735" s="1">
        <v>15.9</v>
      </c>
      <c r="AQ735" s="1">
        <v>7.6</v>
      </c>
      <c r="AR735" s="1">
        <v>15.9</v>
      </c>
      <c r="AS735" s="1">
        <v>16.6</v>
      </c>
      <c r="AT735" s="1">
        <v>26.0</v>
      </c>
      <c r="AU735" s="1">
        <v>16.1</v>
      </c>
      <c r="AV735" s="1">
        <v>4.8</v>
      </c>
      <c r="AW735" s="1">
        <v>0.4</v>
      </c>
      <c r="AX735" s="1">
        <v>0.5915</v>
      </c>
      <c r="AY735" s="1">
        <v>12.5</v>
      </c>
      <c r="AZ735" s="1">
        <v>14.2</v>
      </c>
      <c r="BA735" s="1">
        <v>19.6</v>
      </c>
      <c r="BB735" s="1">
        <v>2.78</v>
      </c>
      <c r="BC735" s="1" t="s">
        <v>1309</v>
      </c>
      <c r="BD735" s="1">
        <v>12.0</v>
      </c>
      <c r="BE735" s="1">
        <v>48.9</v>
      </c>
      <c r="BF735" s="1">
        <v>27.7</v>
      </c>
      <c r="BG735" s="1">
        <v>11.4</v>
      </c>
      <c r="BH735" s="1" t="s">
        <v>1360</v>
      </c>
    </row>
    <row r="736">
      <c r="A736" s="1">
        <v>18077.0</v>
      </c>
      <c r="B736" s="2" t="str">
        <f>IFERROR(__xludf.DUMMYFUNCTION("TO_TEXT(A736)"),"18077")</f>
        <v>18077</v>
      </c>
      <c r="C736" s="1">
        <v>32482.0</v>
      </c>
      <c r="D736" s="1">
        <v>360.632142185087</v>
      </c>
      <c r="E736" s="1" t="s">
        <v>132</v>
      </c>
      <c r="F736" s="1" t="s">
        <v>1361</v>
      </c>
      <c r="G736" s="1">
        <v>90.0696199822621</v>
      </c>
      <c r="H736" s="1">
        <v>17.642401019</v>
      </c>
      <c r="I736" s="1">
        <v>4.719659122</v>
      </c>
      <c r="J736" s="1">
        <v>8.3717357911</v>
      </c>
      <c r="K736" s="1">
        <v>23.057658766</v>
      </c>
      <c r="L736" s="1">
        <v>35.0</v>
      </c>
      <c r="M736" s="1">
        <v>7.7</v>
      </c>
      <c r="N736" s="1">
        <v>24.8</v>
      </c>
      <c r="O736" s="1">
        <v>66.060194893</v>
      </c>
      <c r="P736" s="1">
        <v>9.1005119038</v>
      </c>
      <c r="Q736" s="1">
        <v>56.09399</v>
      </c>
      <c r="R736" s="1">
        <v>81.524926686</v>
      </c>
      <c r="S736" s="1">
        <v>22.4</v>
      </c>
      <c r="T736" s="1">
        <v>6616.0</v>
      </c>
      <c r="U736" s="1">
        <v>36.109431681</v>
      </c>
      <c r="V736" s="1">
        <v>204.509002055</v>
      </c>
      <c r="W736" s="1">
        <v>14.082278481</v>
      </c>
      <c r="X736" s="1">
        <v>10.725677831</v>
      </c>
      <c r="Y736" s="1">
        <v>75.389176099</v>
      </c>
      <c r="Z736" s="1">
        <v>10.9</v>
      </c>
      <c r="AA736" s="1">
        <v>7.1700445844</v>
      </c>
      <c r="AB736" s="1">
        <v>51031.0</v>
      </c>
      <c r="AC736" s="1">
        <v>51.920341394</v>
      </c>
      <c r="AD736" s="1">
        <v>71.925699506</v>
      </c>
      <c r="AE736" s="1">
        <v>9.8716603439</v>
      </c>
      <c r="AF736" s="1">
        <v>1.8939393939</v>
      </c>
      <c r="AG736" s="1">
        <v>0.338425236</v>
      </c>
      <c r="AH736" s="1">
        <v>0.8072528564</v>
      </c>
      <c r="AI736" s="1">
        <v>0.0341530055</v>
      </c>
      <c r="AJ736" s="1">
        <v>2.8874813711</v>
      </c>
      <c r="AK736" s="1">
        <v>92.663313462</v>
      </c>
      <c r="AL736" s="1">
        <v>0.319857548</v>
      </c>
      <c r="AM736" s="1">
        <v>51.884624938</v>
      </c>
      <c r="AN736" s="1">
        <v>45.0968299</v>
      </c>
      <c r="AO736" s="1">
        <v>23006.0</v>
      </c>
      <c r="AP736" s="1">
        <v>14.5</v>
      </c>
      <c r="AQ736" s="1">
        <v>7.4</v>
      </c>
      <c r="AR736" s="1">
        <v>13.1</v>
      </c>
      <c r="AS736" s="1">
        <v>16.0</v>
      </c>
      <c r="AT736" s="1">
        <v>21.5</v>
      </c>
      <c r="AU736" s="1">
        <v>14.9</v>
      </c>
      <c r="AV736" s="1">
        <v>6.7</v>
      </c>
      <c r="AW736" s="1">
        <v>0.3</v>
      </c>
      <c r="AX736" s="1">
        <v>0.5581</v>
      </c>
      <c r="AY736" s="1">
        <v>11.6</v>
      </c>
      <c r="AZ736" s="1">
        <v>13.4</v>
      </c>
      <c r="BA736" s="1">
        <v>19.4</v>
      </c>
      <c r="BB736" s="1">
        <v>2.61</v>
      </c>
      <c r="BC736" s="1" t="s">
        <v>1309</v>
      </c>
      <c r="BD736" s="1">
        <v>10.3</v>
      </c>
      <c r="BE736" s="1">
        <v>42.3</v>
      </c>
      <c r="BF736" s="1">
        <v>29.5</v>
      </c>
      <c r="BG736" s="1">
        <v>17.9</v>
      </c>
      <c r="BH736" s="1" t="s">
        <v>1361</v>
      </c>
    </row>
    <row r="737">
      <c r="A737" s="1">
        <v>18079.0</v>
      </c>
      <c r="B737" s="2" t="str">
        <f>IFERROR(__xludf.DUMMYFUNCTION("TO_TEXT(A737)"),"18079")</f>
        <v>18079</v>
      </c>
      <c r="C737" s="1">
        <v>28023.0</v>
      </c>
      <c r="D737" s="1">
        <v>376.590071823318</v>
      </c>
      <c r="E737" s="1" t="s">
        <v>1362</v>
      </c>
      <c r="F737" s="1" t="s">
        <v>1363</v>
      </c>
      <c r="G737" s="1">
        <v>74.4124768460368</v>
      </c>
      <c r="H737" s="1">
        <v>21.321464176</v>
      </c>
      <c r="I737" s="1">
        <v>4.8337825694</v>
      </c>
      <c r="J737" s="1">
        <v>7.7777777778</v>
      </c>
      <c r="K737" s="1">
        <v>21.766238844</v>
      </c>
      <c r="L737" s="1">
        <v>39.5</v>
      </c>
      <c r="M737" s="1">
        <v>7.3</v>
      </c>
      <c r="N737" s="1">
        <v>33.7</v>
      </c>
      <c r="O737" s="1">
        <v>43.782646801</v>
      </c>
      <c r="P737" s="1">
        <v>8.781832502</v>
      </c>
      <c r="Q737" s="1">
        <v>39.81756</v>
      </c>
      <c r="R737" s="1">
        <v>90.522875817</v>
      </c>
      <c r="S737" s="1">
        <v>21.9</v>
      </c>
      <c r="T737" s="1">
        <v>6408.0</v>
      </c>
      <c r="U737" s="1">
        <v>31.679151061</v>
      </c>
      <c r="V737" s="1">
        <v>261.03125223</v>
      </c>
      <c r="W737" s="1">
        <v>12.0722433459999</v>
      </c>
      <c r="X737" s="1">
        <v>10.200190658</v>
      </c>
      <c r="Y737" s="1">
        <v>73.444765292</v>
      </c>
      <c r="Z737" s="1">
        <v>16.5</v>
      </c>
      <c r="AA737" s="1">
        <v>12.397436184</v>
      </c>
      <c r="AB737" s="1">
        <v>51560.0</v>
      </c>
      <c r="AC737" s="1">
        <v>59.758121888</v>
      </c>
      <c r="AD737" s="1">
        <v>75.288488601</v>
      </c>
      <c r="AE737" s="1">
        <v>11.480158347</v>
      </c>
      <c r="AF737" s="1">
        <v>0.8040273804</v>
      </c>
      <c r="AG737" s="1">
        <v>0.2426569121</v>
      </c>
      <c r="AH737" s="1">
        <v>0.3223353011</v>
      </c>
      <c r="AI737" s="1">
        <v>0.0507044294</v>
      </c>
      <c r="AJ737" s="1">
        <v>2.5786824092</v>
      </c>
      <c r="AK737" s="1">
        <v>94.835391692</v>
      </c>
      <c r="AL737" s="1">
        <v>0.2691169121</v>
      </c>
      <c r="AM737" s="1">
        <v>49.8859150339999</v>
      </c>
      <c r="AN737" s="1">
        <v>60.196319018</v>
      </c>
      <c r="AO737" s="1">
        <v>22374.0</v>
      </c>
      <c r="AP737" s="1">
        <v>15.3</v>
      </c>
      <c r="AQ737" s="1">
        <v>6.7</v>
      </c>
      <c r="AR737" s="1">
        <v>15.5</v>
      </c>
      <c r="AS737" s="1">
        <v>14.8</v>
      </c>
      <c r="AT737" s="1">
        <v>24.3</v>
      </c>
      <c r="AU737" s="1">
        <v>15.3</v>
      </c>
      <c r="AV737" s="1">
        <v>4.5</v>
      </c>
      <c r="AW737" s="1">
        <v>0.2</v>
      </c>
      <c r="AX737" s="1">
        <v>0.4193</v>
      </c>
      <c r="AY737" s="1">
        <v>11.6</v>
      </c>
      <c r="AZ737" s="1">
        <v>13.7</v>
      </c>
      <c r="BA737" s="1">
        <v>19.5</v>
      </c>
      <c r="BB737" s="1">
        <v>2.63</v>
      </c>
      <c r="BC737" s="1" t="s">
        <v>1309</v>
      </c>
      <c r="BD737" s="1">
        <v>12.2</v>
      </c>
      <c r="BE737" s="1">
        <v>45.8</v>
      </c>
      <c r="BF737" s="1">
        <v>30.0</v>
      </c>
      <c r="BG737" s="1">
        <v>12.0</v>
      </c>
      <c r="BH737" s="1" t="s">
        <v>1363</v>
      </c>
    </row>
    <row r="738">
      <c r="A738" s="1">
        <v>18081.0</v>
      </c>
      <c r="B738" s="2" t="str">
        <f>IFERROR(__xludf.DUMMYFUNCTION("TO_TEXT(A738)"),"18081")</f>
        <v>18081</v>
      </c>
      <c r="C738" s="1">
        <v>147567.0</v>
      </c>
      <c r="D738" s="1">
        <v>320.42968688084</v>
      </c>
      <c r="E738" s="1" t="s">
        <v>347</v>
      </c>
      <c r="F738" s="1" t="s">
        <v>1364</v>
      </c>
      <c r="G738" s="1">
        <v>460.528490466854</v>
      </c>
      <c r="H738" s="1">
        <v>16.108662393</v>
      </c>
      <c r="I738" s="1">
        <v>4.43236560639999</v>
      </c>
      <c r="J738" s="1">
        <v>7.1007294738</v>
      </c>
      <c r="K738" s="1">
        <v>18.25089554</v>
      </c>
      <c r="L738" s="1">
        <v>31.4</v>
      </c>
      <c r="M738" s="1">
        <v>8.0</v>
      </c>
      <c r="N738" s="1">
        <v>24.4</v>
      </c>
      <c r="O738" s="1">
        <v>80.332106492</v>
      </c>
      <c r="P738" s="1">
        <v>7.9430607159</v>
      </c>
      <c r="Q738" s="1">
        <v>78.62401</v>
      </c>
      <c r="R738" s="1">
        <v>93.37252806</v>
      </c>
      <c r="S738" s="1">
        <v>10.1</v>
      </c>
      <c r="T738" s="1">
        <v>37778.0</v>
      </c>
      <c r="U738" s="1">
        <v>28.884535973</v>
      </c>
      <c r="V738" s="1">
        <v>284.46470913</v>
      </c>
      <c r="W738" s="1">
        <v>11.989202271</v>
      </c>
      <c r="X738" s="1">
        <v>9.5514561289</v>
      </c>
      <c r="Y738" s="1">
        <v>78.1204505589999</v>
      </c>
      <c r="Z738" s="1">
        <v>10.0</v>
      </c>
      <c r="AA738" s="1">
        <v>8.1761071386</v>
      </c>
      <c r="AB738" s="1">
        <v>69880.0</v>
      </c>
      <c r="AC738" s="1">
        <v>37.549230884</v>
      </c>
      <c r="AD738" s="1">
        <v>71.803790093</v>
      </c>
      <c r="AE738" s="1">
        <v>8.594750906</v>
      </c>
      <c r="AF738" s="1">
        <v>2.2621219395</v>
      </c>
      <c r="AG738" s="1">
        <v>0.305968955</v>
      </c>
      <c r="AH738" s="1">
        <v>3.5039206273</v>
      </c>
      <c r="AI738" s="1">
        <v>0.0819331093</v>
      </c>
      <c r="AJ738" s="1">
        <v>3.6082573212</v>
      </c>
      <c r="AK738" s="1">
        <v>88.748279725</v>
      </c>
      <c r="AL738" s="1">
        <v>0.5567472974</v>
      </c>
      <c r="AM738" s="1">
        <v>50.644903185</v>
      </c>
      <c r="AN738" s="1">
        <v>13.896487032</v>
      </c>
      <c r="AO738" s="1">
        <v>29877.0</v>
      </c>
      <c r="AP738" s="1">
        <v>9.3</v>
      </c>
      <c r="AQ738" s="1">
        <v>5.5</v>
      </c>
      <c r="AR738" s="1">
        <v>8.5</v>
      </c>
      <c r="AS738" s="1">
        <v>13.7</v>
      </c>
      <c r="AT738" s="1">
        <v>25.4</v>
      </c>
      <c r="AU738" s="1">
        <v>10.3</v>
      </c>
      <c r="AV738" s="1">
        <v>9.2</v>
      </c>
      <c r="AW738" s="1">
        <v>0.6</v>
      </c>
      <c r="AX738" s="1">
        <v>0.1614</v>
      </c>
      <c r="AY738" s="1">
        <v>6.0</v>
      </c>
      <c r="AZ738" s="1">
        <v>10.1</v>
      </c>
      <c r="BA738" s="1">
        <v>13.3</v>
      </c>
      <c r="BB738" s="1">
        <v>2.84</v>
      </c>
      <c r="BC738" s="1" t="s">
        <v>1309</v>
      </c>
      <c r="BD738" s="1">
        <v>7.9</v>
      </c>
      <c r="BE738" s="1">
        <v>31.1</v>
      </c>
      <c r="BF738" s="1">
        <v>28.3</v>
      </c>
      <c r="BG738" s="1">
        <v>32.7</v>
      </c>
      <c r="BH738" s="1" t="s">
        <v>1364</v>
      </c>
    </row>
    <row r="739">
      <c r="A739" s="1">
        <v>18083.0</v>
      </c>
      <c r="B739" s="2" t="str">
        <f>IFERROR(__xludf.DUMMYFUNCTION("TO_TEXT(A739)"),"18083")</f>
        <v>18083</v>
      </c>
      <c r="C739" s="1">
        <v>37956.0</v>
      </c>
      <c r="D739" s="1">
        <v>516.028616063958</v>
      </c>
      <c r="E739" s="1" t="s">
        <v>1224</v>
      </c>
      <c r="F739" s="1" t="s">
        <v>1365</v>
      </c>
      <c r="G739" s="1">
        <v>73.5540604114397</v>
      </c>
      <c r="H739" s="1">
        <v>19.000960214</v>
      </c>
      <c r="I739" s="1">
        <v>4.6749448279</v>
      </c>
      <c r="J739" s="1">
        <v>8.0558198541</v>
      </c>
      <c r="K739" s="1">
        <v>20.396258249</v>
      </c>
      <c r="L739" s="1">
        <v>34.4</v>
      </c>
      <c r="M739" s="1">
        <v>7.5</v>
      </c>
      <c r="N739" s="1">
        <v>33.7</v>
      </c>
      <c r="O739" s="1">
        <v>67.317898023</v>
      </c>
      <c r="P739" s="1">
        <v>8.4568439407</v>
      </c>
      <c r="Q739" s="1">
        <v>82.64903</v>
      </c>
      <c r="R739" s="1">
        <v>96.894409938</v>
      </c>
      <c r="S739" s="1">
        <v>20.2</v>
      </c>
      <c r="T739" s="1">
        <v>7782.0</v>
      </c>
      <c r="U739" s="1">
        <v>35.851966076</v>
      </c>
      <c r="V739" s="1">
        <v>108.97932261</v>
      </c>
      <c r="W739" s="1">
        <v>10.9860116</v>
      </c>
      <c r="X739" s="1">
        <v>9.4133885438</v>
      </c>
      <c r="Y739" s="1">
        <v>75.821487126</v>
      </c>
      <c r="Z739" s="1">
        <v>17.8</v>
      </c>
      <c r="AA739" s="1">
        <v>7.2079656722</v>
      </c>
      <c r="AB739" s="1">
        <v>48606.0</v>
      </c>
      <c r="AC739" s="1">
        <v>53.364839319</v>
      </c>
      <c r="AD739" s="1">
        <v>65.008358409</v>
      </c>
      <c r="AE739" s="1">
        <v>10.970846701</v>
      </c>
      <c r="AF739" s="1">
        <v>2.8675972354</v>
      </c>
      <c r="AG739" s="1">
        <v>0.3387992953</v>
      </c>
      <c r="AH739" s="1">
        <v>0.8998509283</v>
      </c>
      <c r="AI739" s="1">
        <v>0.0542078872</v>
      </c>
      <c r="AJ739" s="1">
        <v>2.236075349</v>
      </c>
      <c r="AK739" s="1">
        <v>92.451551701</v>
      </c>
      <c r="AL739" s="1">
        <v>0.2186444047</v>
      </c>
      <c r="AM739" s="1">
        <v>49.3644125219999</v>
      </c>
      <c r="AN739" s="1">
        <v>36.214880333</v>
      </c>
      <c r="AO739" s="1">
        <v>22976.0</v>
      </c>
      <c r="AP739" s="1">
        <v>14.1</v>
      </c>
      <c r="AQ739" s="1">
        <v>5.3</v>
      </c>
      <c r="AR739" s="1">
        <v>11.5</v>
      </c>
      <c r="AS739" s="1">
        <v>16.6</v>
      </c>
      <c r="AT739" s="1">
        <v>21.2</v>
      </c>
      <c r="AU739" s="1">
        <v>16.4</v>
      </c>
      <c r="AV739" s="1">
        <v>6.9</v>
      </c>
      <c r="AW739" s="1">
        <v>0.2</v>
      </c>
      <c r="AX739" s="1">
        <v>0.4225</v>
      </c>
      <c r="AY739" s="1">
        <v>12.7</v>
      </c>
      <c r="AZ739" s="1">
        <v>15.0</v>
      </c>
      <c r="BA739" s="1">
        <v>20.8</v>
      </c>
      <c r="BB739" s="1">
        <v>2.86</v>
      </c>
      <c r="BC739" s="1" t="s">
        <v>1309</v>
      </c>
      <c r="BD739" s="1">
        <v>11.3</v>
      </c>
      <c r="BE739" s="1">
        <v>35.8</v>
      </c>
      <c r="BF739" s="1">
        <v>36.0</v>
      </c>
      <c r="BG739" s="1">
        <v>16.9</v>
      </c>
      <c r="BH739" s="1" t="s">
        <v>1365</v>
      </c>
    </row>
    <row r="740">
      <c r="A740" s="1">
        <v>18085.0</v>
      </c>
      <c r="B740" s="2" t="str">
        <f>IFERROR(__xludf.DUMMYFUNCTION("TO_TEXT(A740)"),"18085")</f>
        <v>18085</v>
      </c>
      <c r="C740" s="1">
        <v>78461.0</v>
      </c>
      <c r="D740" s="1">
        <v>531.420330980208</v>
      </c>
      <c r="E740" s="1" t="s">
        <v>1366</v>
      </c>
      <c r="F740" s="1" t="s">
        <v>1367</v>
      </c>
      <c r="G740" s="1">
        <v>147.643956066336</v>
      </c>
      <c r="H740" s="1">
        <v>17.482060762</v>
      </c>
      <c r="I740" s="1">
        <v>4.2481427594</v>
      </c>
      <c r="J740" s="1">
        <v>7.0828165909</v>
      </c>
      <c r="K740" s="1">
        <v>19.03508964</v>
      </c>
      <c r="L740" s="1">
        <v>34.4</v>
      </c>
      <c r="M740" s="1">
        <v>8.3</v>
      </c>
      <c r="N740" s="1">
        <v>25.8</v>
      </c>
      <c r="O740" s="1">
        <v>65.388195145</v>
      </c>
      <c r="P740" s="1">
        <v>11.794682309</v>
      </c>
      <c r="Q740" s="1">
        <v>36.61339</v>
      </c>
      <c r="R740" s="1">
        <v>92.642140468</v>
      </c>
      <c r="S740" s="1">
        <v>12.3</v>
      </c>
      <c r="T740" s="1">
        <v>18756.0</v>
      </c>
      <c r="U740" s="1">
        <v>29.217317125</v>
      </c>
      <c r="V740" s="1">
        <v>159.28178396</v>
      </c>
      <c r="W740" s="1">
        <v>10.521941489</v>
      </c>
      <c r="X740" s="1">
        <v>8.0972338642</v>
      </c>
      <c r="Y740" s="1">
        <v>78.738384076</v>
      </c>
      <c r="Z740" s="1">
        <v>13.3</v>
      </c>
      <c r="AA740" s="1">
        <v>5.5709198482</v>
      </c>
      <c r="AB740" s="1">
        <v>57367.0</v>
      </c>
      <c r="AC740" s="1">
        <v>49.087529571</v>
      </c>
      <c r="AD740" s="1">
        <v>73.552614422</v>
      </c>
      <c r="AE740" s="1">
        <v>8.1909885676</v>
      </c>
      <c r="AF740" s="1">
        <v>0.9969247832</v>
      </c>
      <c r="AG740" s="1">
        <v>0.4209518048</v>
      </c>
      <c r="AH740" s="1">
        <v>1.615749143</v>
      </c>
      <c r="AI740" s="1">
        <v>0.0604960678</v>
      </c>
      <c r="AJ740" s="1">
        <v>8.0547993547</v>
      </c>
      <c r="AK740" s="1">
        <v>87.908348457</v>
      </c>
      <c r="AL740" s="1">
        <v>1.8907335069</v>
      </c>
      <c r="AM740" s="1">
        <v>50.020165356</v>
      </c>
      <c r="AN740" s="1">
        <v>46.597636961</v>
      </c>
      <c r="AO740" s="1">
        <v>26854.0</v>
      </c>
      <c r="AP740" s="1">
        <v>11.0</v>
      </c>
      <c r="AQ740" s="1">
        <v>5.3</v>
      </c>
      <c r="AR740" s="1">
        <v>15.2</v>
      </c>
      <c r="AS740" s="1">
        <v>14.9</v>
      </c>
      <c r="AT740" s="1">
        <v>24.5</v>
      </c>
      <c r="AU740" s="1">
        <v>13.2</v>
      </c>
      <c r="AV740" s="1">
        <v>11.1</v>
      </c>
      <c r="AW740" s="1">
        <v>1.6</v>
      </c>
      <c r="AX740" s="1">
        <v>0.4139</v>
      </c>
      <c r="AY740" s="1">
        <v>9.0</v>
      </c>
      <c r="AZ740" s="1">
        <v>10.9</v>
      </c>
      <c r="BA740" s="1">
        <v>14.6</v>
      </c>
      <c r="BB740" s="1">
        <v>2.82</v>
      </c>
      <c r="BC740" s="1" t="s">
        <v>1309</v>
      </c>
      <c r="BD740" s="1">
        <v>14.3</v>
      </c>
      <c r="BE740" s="1">
        <v>34.8</v>
      </c>
      <c r="BF740" s="1">
        <v>27.5</v>
      </c>
      <c r="BG740" s="1">
        <v>23.3</v>
      </c>
      <c r="BH740" s="1" t="s">
        <v>1367</v>
      </c>
    </row>
    <row r="741">
      <c r="A741" s="1">
        <v>18087.0</v>
      </c>
      <c r="B741" s="2" t="str">
        <f>IFERROR(__xludf.DUMMYFUNCTION("TO_TEXT(A741)"),"18087")</f>
        <v>18087</v>
      </c>
      <c r="C741" s="1">
        <v>38395.0</v>
      </c>
      <c r="D741" s="1">
        <v>379.629870243908</v>
      </c>
      <c r="E741" s="1" t="s">
        <v>1368</v>
      </c>
      <c r="F741" s="1" t="s">
        <v>1369</v>
      </c>
      <c r="G741" s="1">
        <v>101.137984677896</v>
      </c>
      <c r="H741" s="1">
        <v>16.5028514079999</v>
      </c>
      <c r="I741" s="1">
        <v>4.5801753064</v>
      </c>
      <c r="J741" s="1">
        <v>5.6316590563</v>
      </c>
      <c r="K741" s="1">
        <v>18.865174478</v>
      </c>
      <c r="L741" s="1">
        <v>37.0</v>
      </c>
      <c r="M741" s="1">
        <v>9.0</v>
      </c>
      <c r="N741" s="1">
        <v>25.3</v>
      </c>
      <c r="O741" s="1">
        <v>24.41822883</v>
      </c>
      <c r="P741" s="1">
        <v>24.854621129</v>
      </c>
      <c r="Q741" s="1">
        <v>25.44335</v>
      </c>
      <c r="R741" s="1">
        <v>92.546583851</v>
      </c>
      <c r="S741" s="1">
        <v>11.2</v>
      </c>
      <c r="T741" s="1">
        <v>12800.0</v>
      </c>
      <c r="U741" s="1">
        <v>15.046875</v>
      </c>
      <c r="V741" s="1">
        <v>103.48752975</v>
      </c>
      <c r="W741" s="1">
        <v>13.58649789</v>
      </c>
      <c r="X741" s="1">
        <v>8.72881355929999</v>
      </c>
      <c r="Y741" s="1">
        <v>79.451099715</v>
      </c>
      <c r="Z741" s="1">
        <v>10.3</v>
      </c>
      <c r="AA741" s="1">
        <v>0.0754080482</v>
      </c>
      <c r="AB741" s="1">
        <v>67498.0</v>
      </c>
      <c r="AC741" s="1">
        <v>39.207373272</v>
      </c>
      <c r="AD741" s="1">
        <v>82.688964318</v>
      </c>
      <c r="AE741" s="1">
        <v>7.2535331177</v>
      </c>
      <c r="AF741" s="1">
        <v>0.4474955505</v>
      </c>
      <c r="AG741" s="1">
        <v>0.3000254259</v>
      </c>
      <c r="AH741" s="1">
        <v>0.4500381388</v>
      </c>
      <c r="AI741" s="1">
        <v>0.0228832952</v>
      </c>
      <c r="AJ741" s="1">
        <v>4.1469616069</v>
      </c>
      <c r="AK741" s="1">
        <v>94.032545131</v>
      </c>
      <c r="AL741" s="1">
        <v>3.2939380231</v>
      </c>
      <c r="AM741" s="1">
        <v>49.199084668</v>
      </c>
      <c r="AN741" s="1">
        <v>91.615492351</v>
      </c>
      <c r="AO741" s="1">
        <v>21774.0</v>
      </c>
      <c r="AP741" s="1">
        <v>12.5</v>
      </c>
      <c r="AQ741" s="1">
        <v>4.1</v>
      </c>
      <c r="AR741" s="1">
        <v>35.7</v>
      </c>
      <c r="AS741" s="1">
        <v>12.6</v>
      </c>
      <c r="AT741" s="1">
        <v>33.6</v>
      </c>
      <c r="AU741" s="1">
        <v>10.4</v>
      </c>
      <c r="AV741" s="1">
        <v>5.5</v>
      </c>
      <c r="AW741" s="1">
        <v>2.9</v>
      </c>
      <c r="AX741" s="1">
        <v>0.4222</v>
      </c>
      <c r="AY741" s="1">
        <v>7.5</v>
      </c>
      <c r="AZ741" s="1">
        <v>9.0</v>
      </c>
      <c r="BA741" s="1">
        <v>12.2</v>
      </c>
      <c r="BB741" s="1">
        <v>3.03</v>
      </c>
      <c r="BC741" s="1" t="s">
        <v>1309</v>
      </c>
      <c r="BD741" s="1">
        <v>38.2</v>
      </c>
      <c r="BE741" s="1">
        <v>30.5</v>
      </c>
      <c r="BF741" s="1">
        <v>20.8</v>
      </c>
      <c r="BG741" s="1">
        <v>10.5</v>
      </c>
      <c r="BH741" s="1" t="s">
        <v>1369</v>
      </c>
    </row>
    <row r="742">
      <c r="A742" s="1">
        <v>18089.0</v>
      </c>
      <c r="B742" s="2" t="str">
        <f>IFERROR(__xludf.DUMMYFUNCTION("TO_TEXT(A742)"),"18089")</f>
        <v>18089</v>
      </c>
      <c r="C742" s="1">
        <v>489698.0</v>
      </c>
      <c r="D742" s="1">
        <v>498.889947513425</v>
      </c>
      <c r="E742" s="1" t="s">
        <v>450</v>
      </c>
      <c r="F742" s="1" t="s">
        <v>1370</v>
      </c>
      <c r="G742" s="1">
        <v>981.575199983001</v>
      </c>
      <c r="H742" s="1">
        <v>21.062614435</v>
      </c>
      <c r="I742" s="1">
        <v>4.4944986148</v>
      </c>
      <c r="J742" s="1">
        <v>8.5657224969</v>
      </c>
      <c r="K742" s="1">
        <v>18.647869199</v>
      </c>
      <c r="L742" s="1">
        <v>35.5</v>
      </c>
      <c r="M742" s="1">
        <v>7.1</v>
      </c>
      <c r="N742" s="1">
        <v>27.3</v>
      </c>
      <c r="O742" s="1">
        <v>91.6410116829999</v>
      </c>
      <c r="P742" s="1">
        <v>9.6790602457</v>
      </c>
      <c r="Q742" s="1">
        <v>53.74351</v>
      </c>
      <c r="R742" s="1">
        <v>87.473286207</v>
      </c>
      <c r="S742" s="1">
        <v>24.6</v>
      </c>
      <c r="T742" s="1">
        <v>115076.0</v>
      </c>
      <c r="U742" s="1">
        <v>42.279884598</v>
      </c>
      <c r="V742" s="1">
        <v>395.30747291</v>
      </c>
      <c r="W742" s="1">
        <v>15.382317802</v>
      </c>
      <c r="X742" s="1">
        <v>13.464627998</v>
      </c>
      <c r="Y742" s="1">
        <v>76.459893919</v>
      </c>
      <c r="Z742" s="1">
        <v>13.1</v>
      </c>
      <c r="AA742" s="1">
        <v>10.211115361</v>
      </c>
      <c r="AB742" s="1">
        <v>55280.0</v>
      </c>
      <c r="AC742" s="1">
        <v>55.619035816</v>
      </c>
      <c r="AD742" s="1">
        <v>69.620410166</v>
      </c>
      <c r="AE742" s="1">
        <v>13.318804273</v>
      </c>
      <c r="AF742" s="1">
        <v>23.374778855</v>
      </c>
      <c r="AG742" s="1">
        <v>0.5513912772</v>
      </c>
      <c r="AH742" s="1">
        <v>1.693396723</v>
      </c>
      <c r="AI742" s="1">
        <v>0.059660082</v>
      </c>
      <c r="AJ742" s="1">
        <v>19.3851915009999</v>
      </c>
      <c r="AK742" s="1">
        <v>53.971111308</v>
      </c>
      <c r="AL742" s="1">
        <v>2.1846268941</v>
      </c>
      <c r="AM742" s="1">
        <v>51.595855585</v>
      </c>
      <c r="AN742" s="1">
        <v>3.9681051602</v>
      </c>
      <c r="AO742" s="1">
        <v>25483.0</v>
      </c>
      <c r="AP742" s="1">
        <v>17.6</v>
      </c>
      <c r="AQ742" s="1">
        <v>9.6</v>
      </c>
      <c r="AR742" s="1">
        <v>12.4</v>
      </c>
      <c r="AS742" s="1">
        <v>14.6</v>
      </c>
      <c r="AT742" s="1">
        <v>24.5</v>
      </c>
      <c r="AU742" s="1">
        <v>13.9</v>
      </c>
      <c r="AV742" s="1">
        <v>45.4</v>
      </c>
      <c r="AW742" s="1">
        <v>2.3</v>
      </c>
      <c r="AX742" s="1">
        <v>0.7278</v>
      </c>
      <c r="AY742" s="1">
        <v>14.5</v>
      </c>
      <c r="AZ742" s="1">
        <v>13.9</v>
      </c>
      <c r="BA742" s="1">
        <v>19.8</v>
      </c>
      <c r="BB742" s="1">
        <v>2.9</v>
      </c>
      <c r="BC742" s="1" t="s">
        <v>1309</v>
      </c>
      <c r="BD742" s="1">
        <v>11.3</v>
      </c>
      <c r="BE742" s="1">
        <v>35.1</v>
      </c>
      <c r="BF742" s="1">
        <v>31.0</v>
      </c>
      <c r="BG742" s="1">
        <v>22.6</v>
      </c>
      <c r="BH742" s="1" t="s">
        <v>1370</v>
      </c>
    </row>
    <row r="743">
      <c r="A743" s="1">
        <v>18091.0</v>
      </c>
      <c r="B743" s="2" t="str">
        <f>IFERROR(__xludf.DUMMYFUNCTION("TO_TEXT(A743)"),"18091")</f>
        <v>18091</v>
      </c>
      <c r="C743" s="1">
        <v>110993.0</v>
      </c>
      <c r="D743" s="1">
        <v>598.326471264466</v>
      </c>
      <c r="E743" s="1" t="s">
        <v>1371</v>
      </c>
      <c r="F743" s="1" t="s">
        <v>1372</v>
      </c>
      <c r="G743" s="1">
        <v>185.505748668339</v>
      </c>
      <c r="H743" s="1">
        <v>18.347457388</v>
      </c>
      <c r="I743" s="1">
        <v>4.5188852884</v>
      </c>
      <c r="J743" s="1">
        <v>8.8639612889</v>
      </c>
      <c r="K743" s="1">
        <v>22.68348124</v>
      </c>
      <c r="L743" s="1">
        <v>36.9</v>
      </c>
      <c r="M743" s="1">
        <v>7.0</v>
      </c>
      <c r="N743" s="1">
        <v>30.1</v>
      </c>
      <c r="O743" s="1">
        <v>75.33799241</v>
      </c>
      <c r="P743" s="1">
        <v>8.8393806879</v>
      </c>
      <c r="Q743" s="1">
        <v>35.4452</v>
      </c>
      <c r="R743" s="1">
        <v>88.803680982</v>
      </c>
      <c r="S743" s="1">
        <v>24.9</v>
      </c>
      <c r="T743" s="1">
        <v>23681.0</v>
      </c>
      <c r="U743" s="1">
        <v>41.847894937</v>
      </c>
      <c r="V743" s="1">
        <v>301.79118658</v>
      </c>
      <c r="W743" s="1">
        <v>13.577235772</v>
      </c>
      <c r="X743" s="1">
        <v>11.275546159</v>
      </c>
      <c r="Y743" s="1">
        <v>75.779407035</v>
      </c>
      <c r="Z743" s="1">
        <v>12.9</v>
      </c>
      <c r="AA743" s="1">
        <v>11.744470452</v>
      </c>
      <c r="AB743" s="1">
        <v>52095.0</v>
      </c>
      <c r="AC743" s="1">
        <v>54.544908742</v>
      </c>
      <c r="AD743" s="1">
        <v>71.844117099</v>
      </c>
      <c r="AE743" s="1">
        <v>10.8852364479999</v>
      </c>
      <c r="AF743" s="1">
        <v>11.2492841359999</v>
      </c>
      <c r="AG743" s="1">
        <v>0.4654249275</v>
      </c>
      <c r="AH743" s="1">
        <v>0.6263237794</v>
      </c>
      <c r="AI743" s="1">
        <v>0.0327251902</v>
      </c>
      <c r="AJ743" s="1">
        <v>6.840473788</v>
      </c>
      <c r="AK743" s="1">
        <v>78.958611725</v>
      </c>
      <c r="AL743" s="1">
        <v>0.7494347972</v>
      </c>
      <c r="AM743" s="1">
        <v>48.463279609</v>
      </c>
      <c r="AN743" s="1">
        <v>35.627584846</v>
      </c>
      <c r="AO743" s="1">
        <v>24340.0</v>
      </c>
      <c r="AP743" s="1">
        <v>17.3</v>
      </c>
      <c r="AQ743" s="1">
        <v>8.8</v>
      </c>
      <c r="AR743" s="1">
        <v>12.5</v>
      </c>
      <c r="AS743" s="1">
        <v>15.7</v>
      </c>
      <c r="AT743" s="1">
        <v>22.1</v>
      </c>
      <c r="AU743" s="1">
        <v>13.6</v>
      </c>
      <c r="AV743" s="1">
        <v>19.8</v>
      </c>
      <c r="AW743" s="1">
        <v>0.9</v>
      </c>
      <c r="AX743" s="1">
        <v>0.6813</v>
      </c>
      <c r="AY743" s="1">
        <v>13.4</v>
      </c>
      <c r="AZ743" s="1">
        <v>13.9</v>
      </c>
      <c r="BA743" s="1">
        <v>21.2</v>
      </c>
      <c r="BB743" s="1">
        <v>2.8</v>
      </c>
      <c r="BC743" s="1" t="s">
        <v>1309</v>
      </c>
      <c r="BD743" s="1">
        <v>11.5</v>
      </c>
      <c r="BE743" s="1">
        <v>39.6</v>
      </c>
      <c r="BF743" s="1">
        <v>30.9</v>
      </c>
      <c r="BG743" s="1">
        <v>18.0</v>
      </c>
      <c r="BH743" s="1" t="s">
        <v>1372</v>
      </c>
    </row>
    <row r="744">
      <c r="A744" s="1">
        <v>18093.0</v>
      </c>
      <c r="B744" s="2" t="str">
        <f>IFERROR(__xludf.DUMMYFUNCTION("TO_TEXT(A744)"),"18093")</f>
        <v>18093</v>
      </c>
      <c r="C744" s="1">
        <v>45696.0</v>
      </c>
      <c r="D744" s="1">
        <v>449.178382190994</v>
      </c>
      <c r="E744" s="1" t="s">
        <v>138</v>
      </c>
      <c r="F744" s="1" t="s">
        <v>1373</v>
      </c>
      <c r="G744" s="1">
        <v>101.732411468924</v>
      </c>
      <c r="H744" s="1">
        <v>17.7852508179999</v>
      </c>
      <c r="I744" s="1">
        <v>4.4980219441</v>
      </c>
      <c r="J744" s="1">
        <v>7.9791847355</v>
      </c>
      <c r="K744" s="1">
        <v>19.172381449</v>
      </c>
      <c r="L744" s="1">
        <v>32.2</v>
      </c>
      <c r="M744" s="1">
        <v>8.1</v>
      </c>
      <c r="N744" s="1">
        <v>30.6</v>
      </c>
      <c r="O744" s="1">
        <v>78.690336845</v>
      </c>
      <c r="P744" s="1">
        <v>8.52304122</v>
      </c>
      <c r="Q744" s="1">
        <v>39.41663</v>
      </c>
      <c r="R744" s="1">
        <v>84.304932735</v>
      </c>
      <c r="S744" s="1">
        <v>17.3</v>
      </c>
      <c r="T744" s="1">
        <v>9832.0</v>
      </c>
      <c r="U744" s="1">
        <v>32.394222945</v>
      </c>
      <c r="V744" s="1">
        <v>314.95299932</v>
      </c>
      <c r="W744" s="1">
        <v>11.099050204</v>
      </c>
      <c r="X744" s="1">
        <v>9.0211132438</v>
      </c>
      <c r="Y744" s="1">
        <v>76.812542427</v>
      </c>
      <c r="Z744" s="1">
        <v>15.9</v>
      </c>
      <c r="AA744" s="1">
        <v>4.291180385</v>
      </c>
      <c r="AB744" s="1">
        <v>53187.0</v>
      </c>
      <c r="AC744" s="1">
        <v>53.064986941</v>
      </c>
      <c r="AD744" s="1">
        <v>77.589657597</v>
      </c>
      <c r="AE744" s="1">
        <v>9.0715883669</v>
      </c>
      <c r="AF744" s="1">
        <v>0.4926863449</v>
      </c>
      <c r="AG744" s="1">
        <v>0.4467022861</v>
      </c>
      <c r="AH744" s="1">
        <v>0.7204169221</v>
      </c>
      <c r="AI744" s="1">
        <v>0.0262766051</v>
      </c>
      <c r="AJ744" s="1">
        <v>1.7079793291</v>
      </c>
      <c r="AK744" s="1">
        <v>95.508890251</v>
      </c>
      <c r="AL744" s="1">
        <v>0.1739090108</v>
      </c>
      <c r="AM744" s="1">
        <v>50.4576508719999</v>
      </c>
      <c r="AN744" s="1">
        <v>58.447132267</v>
      </c>
      <c r="AO744" s="1">
        <v>23743.0</v>
      </c>
      <c r="AP744" s="1">
        <v>12.9</v>
      </c>
      <c r="AQ744" s="1">
        <v>5.6</v>
      </c>
      <c r="AR744" s="1">
        <v>11.6</v>
      </c>
      <c r="AS744" s="1">
        <v>18.0</v>
      </c>
      <c r="AT744" s="1">
        <v>22.4</v>
      </c>
      <c r="AU744" s="1">
        <v>16.9</v>
      </c>
      <c r="AV744" s="1">
        <v>4.0</v>
      </c>
      <c r="AW744" s="1">
        <v>0.3</v>
      </c>
      <c r="AX744" s="1">
        <v>0.2929</v>
      </c>
      <c r="AY744" s="1">
        <v>10.5</v>
      </c>
      <c r="AZ744" s="1">
        <v>13.2</v>
      </c>
      <c r="BA744" s="1">
        <v>18.6</v>
      </c>
      <c r="BB744" s="1">
        <v>2.57</v>
      </c>
      <c r="BC744" s="1" t="s">
        <v>1309</v>
      </c>
      <c r="BD744" s="1">
        <v>11.7</v>
      </c>
      <c r="BE744" s="1">
        <v>42.3</v>
      </c>
      <c r="BF744" s="1">
        <v>30.2</v>
      </c>
      <c r="BG744" s="1">
        <v>15.8</v>
      </c>
      <c r="BH744" s="1" t="s">
        <v>1373</v>
      </c>
    </row>
    <row r="745">
      <c r="A745" s="1">
        <v>18095.0</v>
      </c>
      <c r="B745" s="2" t="str">
        <f>IFERROR(__xludf.DUMMYFUNCTION("TO_TEXT(A745)"),"18095")</f>
        <v>18095</v>
      </c>
      <c r="C745" s="1">
        <v>129862.0</v>
      </c>
      <c r="D745" s="1">
        <v>451.91600869214</v>
      </c>
      <c r="E745" s="1" t="s">
        <v>148</v>
      </c>
      <c r="F745" s="1" t="s">
        <v>1374</v>
      </c>
      <c r="G745" s="1">
        <v>287.358707154068</v>
      </c>
      <c r="H745" s="1">
        <v>20.636314066</v>
      </c>
      <c r="I745" s="1">
        <v>5.0419137675</v>
      </c>
      <c r="J745" s="1">
        <v>9.0101522843</v>
      </c>
      <c r="K745" s="1">
        <v>21.638695544</v>
      </c>
      <c r="L745" s="1">
        <v>38.8</v>
      </c>
      <c r="M745" s="1">
        <v>7.1</v>
      </c>
      <c r="N745" s="1">
        <v>32.5</v>
      </c>
      <c r="O745" s="1">
        <v>70.545291562</v>
      </c>
      <c r="P745" s="1">
        <v>9.0541455835</v>
      </c>
      <c r="Q745" s="1">
        <v>49.42161</v>
      </c>
      <c r="R745" s="1">
        <v>84.898843931</v>
      </c>
      <c r="S745" s="1">
        <v>24.7</v>
      </c>
      <c r="T745" s="1">
        <v>27651.0</v>
      </c>
      <c r="U745" s="1">
        <v>39.333116343</v>
      </c>
      <c r="V745" s="1">
        <v>211.49378295</v>
      </c>
      <c r="W745" s="1">
        <v>13.024883359</v>
      </c>
      <c r="X745" s="1">
        <v>11.295418641</v>
      </c>
      <c r="Y745" s="1">
        <v>75.7808672239999</v>
      </c>
      <c r="Z745" s="1">
        <v>17.3</v>
      </c>
      <c r="AA745" s="1">
        <v>9.8035637758</v>
      </c>
      <c r="AB745" s="1">
        <v>49522.0</v>
      </c>
      <c r="AC745" s="1">
        <v>58.817703175</v>
      </c>
      <c r="AD745" s="1">
        <v>69.882540547</v>
      </c>
      <c r="AE745" s="1">
        <v>12.452563585</v>
      </c>
      <c r="AF745" s="1">
        <v>8.3839217531</v>
      </c>
      <c r="AG745" s="1">
        <v>0.4111353661</v>
      </c>
      <c r="AH745" s="1">
        <v>0.6163173687</v>
      </c>
      <c r="AI745" s="1">
        <v>0.0601661511</v>
      </c>
      <c r="AJ745" s="1">
        <v>4.1182959095</v>
      </c>
      <c r="AK745" s="1">
        <v>84.808818198</v>
      </c>
      <c r="AL745" s="1">
        <v>0.7055699875</v>
      </c>
      <c r="AM745" s="1">
        <v>50.021983786</v>
      </c>
      <c r="AN745" s="1">
        <v>23.088668753</v>
      </c>
      <c r="AO745" s="1">
        <v>22997.0</v>
      </c>
      <c r="AP745" s="1">
        <v>16.8</v>
      </c>
      <c r="AQ745" s="1">
        <v>7.8</v>
      </c>
      <c r="AR745" s="1">
        <v>12.5</v>
      </c>
      <c r="AS745" s="1">
        <v>16.9</v>
      </c>
      <c r="AT745" s="1">
        <v>22.1</v>
      </c>
      <c r="AU745" s="1">
        <v>17.7</v>
      </c>
      <c r="AV745" s="1">
        <v>14.5</v>
      </c>
      <c r="AW745" s="1">
        <v>0.6</v>
      </c>
      <c r="AX745" s="1">
        <v>0.639</v>
      </c>
      <c r="AY745" s="1">
        <v>13.1</v>
      </c>
      <c r="AZ745" s="1">
        <v>15.0</v>
      </c>
      <c r="BA745" s="1">
        <v>21.4</v>
      </c>
      <c r="BB745" s="1">
        <v>2.75</v>
      </c>
      <c r="BC745" s="1" t="s">
        <v>1309</v>
      </c>
      <c r="BD745" s="1">
        <v>11.6</v>
      </c>
      <c r="BE745" s="1">
        <v>39.4</v>
      </c>
      <c r="BF745" s="1">
        <v>30.6</v>
      </c>
      <c r="BG745" s="1">
        <v>18.4</v>
      </c>
      <c r="BH745" s="1" t="s">
        <v>1374</v>
      </c>
    </row>
    <row r="746">
      <c r="A746" s="1">
        <v>18097.0</v>
      </c>
      <c r="B746" s="2" t="str">
        <f>IFERROR(__xludf.DUMMYFUNCTION("TO_TEXT(A746)"),"18097")</f>
        <v>18097</v>
      </c>
      <c r="C746" s="1">
        <v>932142.0</v>
      </c>
      <c r="D746" s="1">
        <v>396.37699661726</v>
      </c>
      <c r="E746" s="1" t="s">
        <v>152</v>
      </c>
      <c r="F746" s="1" t="s">
        <v>1375</v>
      </c>
      <c r="G746" s="1">
        <v>2351.65513628449</v>
      </c>
      <c r="H746" s="1">
        <v>19.04312284</v>
      </c>
      <c r="I746" s="1">
        <v>4.2232618359</v>
      </c>
      <c r="J746" s="1">
        <v>9.22612546419999</v>
      </c>
      <c r="K746" s="1">
        <v>19.241619979</v>
      </c>
      <c r="L746" s="1">
        <v>32.5</v>
      </c>
      <c r="M746" s="1">
        <v>6.7</v>
      </c>
      <c r="N746" s="1">
        <v>26.3</v>
      </c>
      <c r="O746" s="1">
        <v>88.861326134</v>
      </c>
      <c r="P746" s="1">
        <v>11.683586369</v>
      </c>
      <c r="Q746" s="1">
        <v>79.78259</v>
      </c>
      <c r="R746" s="1">
        <v>75.923988842</v>
      </c>
      <c r="S746" s="1">
        <v>24.5</v>
      </c>
      <c r="T746" s="1">
        <v>230611.0</v>
      </c>
      <c r="U746" s="1">
        <v>47.05066107</v>
      </c>
      <c r="V746" s="1">
        <v>1251.1690298</v>
      </c>
      <c r="W746" s="1">
        <v>18.270993515</v>
      </c>
      <c r="X746" s="1">
        <v>16.349484608</v>
      </c>
      <c r="Y746" s="1">
        <v>75.736182829</v>
      </c>
      <c r="Z746" s="1">
        <v>11.8</v>
      </c>
      <c r="AA746" s="1">
        <v>8.7852007981</v>
      </c>
      <c r="AB746" s="1">
        <v>48409.0</v>
      </c>
      <c r="AC746" s="1">
        <v>69.9077283789999</v>
      </c>
      <c r="AD746" s="1">
        <v>53.9732219069999</v>
      </c>
      <c r="AE746" s="1">
        <v>16.122373797</v>
      </c>
      <c r="AF746" s="1">
        <v>28.165334618</v>
      </c>
      <c r="AG746" s="1">
        <v>0.4532456241</v>
      </c>
      <c r="AH746" s="1">
        <v>3.6453434171</v>
      </c>
      <c r="AI746" s="1">
        <v>0.0730095216</v>
      </c>
      <c r="AJ746" s="1">
        <v>10.643887417</v>
      </c>
      <c r="AK746" s="1">
        <v>54.80061173</v>
      </c>
      <c r="AL746" s="1">
        <v>3.5098925333</v>
      </c>
      <c r="AM746" s="1">
        <v>51.806069113</v>
      </c>
      <c r="AN746" s="1">
        <v>0.6001817592</v>
      </c>
      <c r="AO746" s="1">
        <v>25208.0</v>
      </c>
      <c r="AP746" s="1">
        <v>20.5</v>
      </c>
      <c r="AQ746" s="1">
        <v>9.0</v>
      </c>
      <c r="AR746" s="1">
        <v>14.3</v>
      </c>
      <c r="AS746" s="1">
        <v>11.3</v>
      </c>
      <c r="AT746" s="1">
        <v>24.9</v>
      </c>
      <c r="AU746" s="1">
        <v>13.7</v>
      </c>
      <c r="AV746" s="1">
        <v>42.7</v>
      </c>
      <c r="AW746" s="1">
        <v>3.4</v>
      </c>
      <c r="AX746" s="1">
        <v>0.8032</v>
      </c>
      <c r="AY746" s="1">
        <v>15.2</v>
      </c>
      <c r="AZ746" s="1">
        <v>15.3</v>
      </c>
      <c r="BA746" s="1">
        <v>19.7</v>
      </c>
      <c r="BB746" s="1">
        <v>2.83</v>
      </c>
      <c r="BC746" s="1" t="s">
        <v>1309</v>
      </c>
      <c r="BD746" s="1">
        <v>13.9</v>
      </c>
      <c r="BE746" s="1">
        <v>28.0</v>
      </c>
      <c r="BF746" s="1">
        <v>27.2</v>
      </c>
      <c r="BG746" s="1">
        <v>30.9</v>
      </c>
      <c r="BH746" s="1" t="s">
        <v>1375</v>
      </c>
    </row>
    <row r="747">
      <c r="A747" s="1">
        <v>18099.0</v>
      </c>
      <c r="B747" s="2" t="str">
        <f>IFERROR(__xludf.DUMMYFUNCTION("TO_TEXT(A747)"),"18099")</f>
        <v>18099</v>
      </c>
      <c r="C747" s="1">
        <v>46833.0</v>
      </c>
      <c r="D747" s="1">
        <v>443.628843550004</v>
      </c>
      <c r="E747" s="1" t="s">
        <v>154</v>
      </c>
      <c r="F747" s="1" t="s">
        <v>1376</v>
      </c>
      <c r="G747" s="1">
        <v>105.567978008899</v>
      </c>
      <c r="H747" s="1">
        <v>18.4258060809999</v>
      </c>
      <c r="I747" s="1">
        <v>4.6087977267</v>
      </c>
      <c r="J747" s="1">
        <v>6.74770528399999</v>
      </c>
      <c r="K747" s="1">
        <v>20.795918798</v>
      </c>
      <c r="L747" s="1">
        <v>41.4</v>
      </c>
      <c r="M747" s="1">
        <v>8.4</v>
      </c>
      <c r="N747" s="1">
        <v>31.9</v>
      </c>
      <c r="O747" s="1">
        <v>54.13912563</v>
      </c>
      <c r="P747" s="1">
        <v>12.764730551</v>
      </c>
      <c r="Q747" s="1">
        <v>43.0126</v>
      </c>
      <c r="R747" s="1">
        <v>89.695945946</v>
      </c>
      <c r="S747" s="1">
        <v>14.1</v>
      </c>
      <c r="T747" s="1">
        <v>11543.0</v>
      </c>
      <c r="U747" s="1">
        <v>22.836351035</v>
      </c>
      <c r="V747" s="1">
        <v>204.509002055</v>
      </c>
      <c r="W747" s="1">
        <v>13.1617432</v>
      </c>
      <c r="X747" s="1">
        <v>9.0655591813</v>
      </c>
      <c r="Y747" s="1">
        <v>78.607902063</v>
      </c>
      <c r="Z747" s="1">
        <v>12.1</v>
      </c>
      <c r="AA747" s="1">
        <v>5.077551504</v>
      </c>
      <c r="AB747" s="1">
        <v>55766.0</v>
      </c>
      <c r="AC747" s="1">
        <v>52.51572327</v>
      </c>
      <c r="AD747" s="1">
        <v>75.204407075</v>
      </c>
      <c r="AE747" s="1">
        <v>9.2503314451</v>
      </c>
      <c r="AF747" s="1">
        <v>0.6335409099</v>
      </c>
      <c r="AG747" s="1">
        <v>0.3805569971</v>
      </c>
      <c r="AH747" s="1">
        <v>0.7005708355</v>
      </c>
      <c r="AI747" s="1">
        <v>0.0821657153</v>
      </c>
      <c r="AJ747" s="1">
        <v>10.422072306</v>
      </c>
      <c r="AK747" s="1">
        <v>86.885919391</v>
      </c>
      <c r="AL747" s="1">
        <v>2.3926618935</v>
      </c>
      <c r="AM747" s="1">
        <v>50.155682408</v>
      </c>
      <c r="AN747" s="1">
        <v>63.346156298</v>
      </c>
      <c r="AO747" s="1">
        <v>23372.0</v>
      </c>
      <c r="AP747" s="1">
        <v>11.6</v>
      </c>
      <c r="AQ747" s="1">
        <v>7.7</v>
      </c>
      <c r="AR747" s="1">
        <v>15.5</v>
      </c>
      <c r="AS747" s="1">
        <v>16.2</v>
      </c>
      <c r="AT747" s="1">
        <v>25.5</v>
      </c>
      <c r="AU747" s="1">
        <v>13.8</v>
      </c>
      <c r="AV747" s="1">
        <v>11.6</v>
      </c>
      <c r="AW747" s="1">
        <v>1.9</v>
      </c>
      <c r="AX747" s="1">
        <v>0.5759</v>
      </c>
      <c r="AY747" s="1">
        <v>10.9</v>
      </c>
      <c r="AZ747" s="1">
        <v>11.6</v>
      </c>
      <c r="BA747" s="1">
        <v>14.9</v>
      </c>
      <c r="BB747" s="1">
        <v>2.66</v>
      </c>
      <c r="BC747" s="1" t="s">
        <v>1309</v>
      </c>
      <c r="BD747" s="1">
        <v>15.1</v>
      </c>
      <c r="BE747" s="1">
        <v>38.8</v>
      </c>
      <c r="BF747" s="1">
        <v>26.5</v>
      </c>
      <c r="BG747" s="1">
        <v>19.7</v>
      </c>
      <c r="BH747" s="1" t="s">
        <v>1376</v>
      </c>
    </row>
    <row r="748">
      <c r="A748" s="1">
        <v>18101.0</v>
      </c>
      <c r="B748" s="2" t="str">
        <f>IFERROR(__xludf.DUMMYFUNCTION("TO_TEXT(A748)"),"18101")</f>
        <v>18101</v>
      </c>
      <c r="C748" s="1">
        <v>10218.0</v>
      </c>
      <c r="D748" s="1">
        <v>335.760366406828</v>
      </c>
      <c r="E748" s="1" t="s">
        <v>750</v>
      </c>
      <c r="F748" s="1" t="s">
        <v>1377</v>
      </c>
      <c r="G748" s="1">
        <v>30.4324185410831</v>
      </c>
      <c r="H748" s="1">
        <v>17.529532792</v>
      </c>
      <c r="I748" s="1">
        <v>4.4815178609</v>
      </c>
      <c r="J748" s="1">
        <v>8.4175084175</v>
      </c>
      <c r="K748" s="1">
        <v>20.4381285</v>
      </c>
      <c r="L748" s="1">
        <v>42.5</v>
      </c>
      <c r="M748" s="1">
        <v>8.5</v>
      </c>
      <c r="N748" s="1">
        <v>39.6</v>
      </c>
      <c r="O748" s="1">
        <v>76.3982968839999</v>
      </c>
      <c r="P748" s="1">
        <v>9.3803786575</v>
      </c>
      <c r="Q748" s="1">
        <v>19.57905</v>
      </c>
      <c r="R748" s="1">
        <v>96.2264150939999</v>
      </c>
      <c r="S748" s="1">
        <v>15.6</v>
      </c>
      <c r="T748" s="1">
        <v>2254.0</v>
      </c>
      <c r="U748" s="1">
        <v>28.9707187219999</v>
      </c>
      <c r="V748" s="1">
        <v>204.509002055</v>
      </c>
      <c r="W748" s="1">
        <v>9.3601895735</v>
      </c>
      <c r="X748" s="1">
        <v>7.72397094429999</v>
      </c>
      <c r="Y748" s="1">
        <v>78.092293722</v>
      </c>
      <c r="Z748" s="1">
        <v>8.6</v>
      </c>
      <c r="AA748" s="1">
        <v>1.21016429</v>
      </c>
      <c r="AB748" s="1">
        <v>55444.0</v>
      </c>
      <c r="AC748" s="1">
        <v>50.0</v>
      </c>
      <c r="AD748" s="1">
        <v>79.156741305</v>
      </c>
      <c r="AE748" s="1">
        <v>6.8513853904</v>
      </c>
      <c r="AF748" s="1">
        <v>0.2936282666</v>
      </c>
      <c r="AG748" s="1">
        <v>0.3817167466</v>
      </c>
      <c r="AH748" s="1">
        <v>0.3817167466</v>
      </c>
      <c r="AI748" s="1">
        <v>0.0097876089</v>
      </c>
      <c r="AJ748" s="1">
        <v>1.0864245865</v>
      </c>
      <c r="AK748" s="1">
        <v>96.965841245</v>
      </c>
      <c r="AL748" s="1">
        <v>0.0</v>
      </c>
      <c r="AM748" s="1">
        <v>49.329548791</v>
      </c>
      <c r="AN748" s="1">
        <v>72.28565899</v>
      </c>
      <c r="AO748" s="1">
        <v>23913.0</v>
      </c>
      <c r="AP748" s="1">
        <v>12.2</v>
      </c>
      <c r="AQ748" s="1">
        <v>5.4</v>
      </c>
      <c r="AR748" s="1">
        <v>15.6</v>
      </c>
      <c r="AS748" s="1">
        <v>17.1</v>
      </c>
      <c r="AT748" s="1">
        <v>22.7</v>
      </c>
      <c r="AU748" s="1">
        <v>15.6</v>
      </c>
      <c r="AV748" s="1">
        <v>2.8</v>
      </c>
      <c r="AW748" s="1">
        <v>0.0</v>
      </c>
      <c r="AX748" s="1">
        <v>0.1796</v>
      </c>
      <c r="AY748" s="1">
        <v>10.9</v>
      </c>
      <c r="AZ748" s="1">
        <v>12.9</v>
      </c>
      <c r="BA748" s="1">
        <v>17.9</v>
      </c>
      <c r="BB748" s="1">
        <v>2.66</v>
      </c>
      <c r="BC748" s="1" t="s">
        <v>1309</v>
      </c>
      <c r="BD748" s="1">
        <v>11.9</v>
      </c>
      <c r="BE748" s="1">
        <v>42.7</v>
      </c>
      <c r="BF748" s="1">
        <v>31.6</v>
      </c>
      <c r="BG748" s="1">
        <v>13.7</v>
      </c>
      <c r="BH748" s="1" t="s">
        <v>1377</v>
      </c>
    </row>
    <row r="749">
      <c r="A749" s="1">
        <v>18103.0</v>
      </c>
      <c r="B749" s="2" t="str">
        <f>IFERROR(__xludf.DUMMYFUNCTION("TO_TEXT(A749)"),"18103")</f>
        <v>18103</v>
      </c>
      <c r="C749" s="1">
        <v>36093.0</v>
      </c>
      <c r="D749" s="1">
        <v>373.84208581941</v>
      </c>
      <c r="E749" s="1" t="s">
        <v>1378</v>
      </c>
      <c r="F749" s="1" t="s">
        <v>1379</v>
      </c>
      <c r="G749" s="1">
        <v>96.5461123000347</v>
      </c>
      <c r="H749" s="1">
        <v>21.049363843</v>
      </c>
      <c r="I749" s="1">
        <v>4.7320742587</v>
      </c>
      <c r="J749" s="1">
        <v>8.5758634071</v>
      </c>
      <c r="K749" s="1">
        <v>24.021312555</v>
      </c>
      <c r="L749" s="1">
        <v>36.7</v>
      </c>
      <c r="M749" s="1">
        <v>7.3</v>
      </c>
      <c r="N749" s="1">
        <v>32.5</v>
      </c>
      <c r="O749" s="1">
        <v>55.301736986</v>
      </c>
      <c r="P749" s="1">
        <v>9.99962065169999</v>
      </c>
      <c r="Q749" s="1">
        <v>19.52853</v>
      </c>
      <c r="R749" s="1">
        <v>94.943820225</v>
      </c>
      <c r="S749" s="1">
        <v>22.3</v>
      </c>
      <c r="T749" s="1">
        <v>7631.0</v>
      </c>
      <c r="U749" s="1">
        <v>37.242825318</v>
      </c>
      <c r="V749" s="1">
        <v>146.62551843</v>
      </c>
      <c r="W749" s="1">
        <v>11.039939714</v>
      </c>
      <c r="X749" s="1">
        <v>9.1498284407</v>
      </c>
      <c r="Y749" s="1">
        <v>77.156232266</v>
      </c>
      <c r="Z749" s="1">
        <v>10.1</v>
      </c>
      <c r="AA749" s="1">
        <v>9.1520252869</v>
      </c>
      <c r="AB749" s="1">
        <v>47624.0</v>
      </c>
      <c r="AC749" s="1">
        <v>54.664542397</v>
      </c>
      <c r="AD749" s="1">
        <v>71.197198512</v>
      </c>
      <c r="AE749" s="1">
        <v>9.3771285855</v>
      </c>
      <c r="AF749" s="1">
        <v>4.8387550257</v>
      </c>
      <c r="AG749" s="1">
        <v>0.9559423061</v>
      </c>
      <c r="AH749" s="1">
        <v>0.4639131779</v>
      </c>
      <c r="AI749" s="1">
        <v>0.0421739253</v>
      </c>
      <c r="AJ749" s="1">
        <v>3.3317400962</v>
      </c>
      <c r="AK749" s="1">
        <v>88.570866252</v>
      </c>
      <c r="AL749" s="1">
        <v>0.311416652</v>
      </c>
      <c r="AM749" s="1">
        <v>46.205752523</v>
      </c>
      <c r="AN749" s="1">
        <v>46.486735496</v>
      </c>
      <c r="AO749" s="1">
        <v>21940.0</v>
      </c>
      <c r="AP749" s="1">
        <v>16.1</v>
      </c>
      <c r="AQ749" s="1">
        <v>8.9</v>
      </c>
      <c r="AR749" s="1">
        <v>14.9</v>
      </c>
      <c r="AS749" s="1">
        <v>15.9</v>
      </c>
      <c r="AT749" s="1">
        <v>21.9</v>
      </c>
      <c r="AU749" s="1">
        <v>16.4</v>
      </c>
      <c r="AV749" s="1">
        <v>10.4</v>
      </c>
      <c r="AW749" s="1">
        <v>0.2</v>
      </c>
      <c r="AX749" s="1">
        <v>0.5056</v>
      </c>
      <c r="AY749" s="1">
        <v>13.0</v>
      </c>
      <c r="AZ749" s="1">
        <v>14.7</v>
      </c>
      <c r="BA749" s="1">
        <v>21.4</v>
      </c>
      <c r="BB749" s="1">
        <v>2.52</v>
      </c>
      <c r="BC749" s="1" t="s">
        <v>1309</v>
      </c>
      <c r="BD749" s="1">
        <v>13.9</v>
      </c>
      <c r="BE749" s="1">
        <v>42.0</v>
      </c>
      <c r="BF749" s="1">
        <v>31.1</v>
      </c>
      <c r="BG749" s="1">
        <v>13.0</v>
      </c>
      <c r="BH749" s="1" t="s">
        <v>1379</v>
      </c>
    </row>
    <row r="750">
      <c r="A750" s="1">
        <v>18105.0</v>
      </c>
      <c r="B750" s="2" t="str">
        <f>IFERROR(__xludf.DUMMYFUNCTION("TO_TEXT(A750)"),"18105")</f>
        <v>18105</v>
      </c>
      <c r="C750" s="1">
        <v>143292.0</v>
      </c>
      <c r="D750" s="1">
        <v>394.52351975779</v>
      </c>
      <c r="E750" s="1" t="s">
        <v>158</v>
      </c>
      <c r="F750" s="1" t="s">
        <v>1380</v>
      </c>
      <c r="G750" s="1">
        <v>363.202680762788</v>
      </c>
      <c r="H750" s="1">
        <v>17.256472698</v>
      </c>
      <c r="I750" s="1">
        <v>4.8292664039</v>
      </c>
      <c r="J750" s="1">
        <v>6.90228229559999</v>
      </c>
      <c r="K750" s="1">
        <v>19.923251541</v>
      </c>
      <c r="L750" s="1">
        <v>25.3</v>
      </c>
      <c r="M750" s="1">
        <v>7.2</v>
      </c>
      <c r="N750" s="1">
        <v>22.7</v>
      </c>
      <c r="O750" s="1">
        <v>86.918549872</v>
      </c>
      <c r="P750" s="1">
        <v>9.1522512575</v>
      </c>
      <c r="Q750" s="1">
        <v>58.50897</v>
      </c>
      <c r="R750" s="1">
        <v>90.766208251</v>
      </c>
      <c r="S750" s="1">
        <v>14.2</v>
      </c>
      <c r="T750" s="1">
        <v>22601.0</v>
      </c>
      <c r="U750" s="1">
        <v>30.795097562</v>
      </c>
      <c r="V750" s="1">
        <v>307.43422398</v>
      </c>
      <c r="W750" s="1">
        <v>20.56927045</v>
      </c>
      <c r="X750" s="1">
        <v>19.660631339</v>
      </c>
      <c r="Y750" s="1">
        <v>80.0290307189999</v>
      </c>
      <c r="Z750" s="1">
        <v>6.5</v>
      </c>
      <c r="AA750" s="1">
        <v>4.4726704947</v>
      </c>
      <c r="AB750" s="1">
        <v>48883.0</v>
      </c>
      <c r="AC750" s="1">
        <v>35.870321414</v>
      </c>
      <c r="AD750" s="1">
        <v>54.79410123</v>
      </c>
      <c r="AE750" s="1">
        <v>19.94334065</v>
      </c>
      <c r="AF750" s="1">
        <v>3.4747510499</v>
      </c>
      <c r="AG750" s="1">
        <v>0.3158245812</v>
      </c>
      <c r="AH750" s="1">
        <v>7.047516625</v>
      </c>
      <c r="AI750" s="1">
        <v>0.0653430168</v>
      </c>
      <c r="AJ750" s="1">
        <v>3.5019773069</v>
      </c>
      <c r="AK750" s="1">
        <v>83.404915701</v>
      </c>
      <c r="AL750" s="1">
        <v>1.0935173128</v>
      </c>
      <c r="AM750" s="1">
        <v>50.288938652</v>
      </c>
      <c r="AN750" s="1">
        <v>21.248206184</v>
      </c>
      <c r="AO750" s="1">
        <v>25488.0</v>
      </c>
      <c r="AP750" s="1">
        <v>25.0</v>
      </c>
      <c r="AQ750" s="1">
        <v>6.6</v>
      </c>
      <c r="AR750" s="1">
        <v>7.8</v>
      </c>
      <c r="AS750" s="1">
        <v>11.3</v>
      </c>
      <c r="AT750" s="1">
        <v>16.0</v>
      </c>
      <c r="AU750" s="1">
        <v>10.6</v>
      </c>
      <c r="AV750" s="1">
        <v>15.5</v>
      </c>
      <c r="AW750" s="1">
        <v>1.2</v>
      </c>
      <c r="AX750" s="1">
        <v>0.3531</v>
      </c>
      <c r="AY750" s="1">
        <v>20.8</v>
      </c>
      <c r="AZ750" s="1">
        <v>14.1</v>
      </c>
      <c r="BA750" s="1">
        <v>17.3</v>
      </c>
      <c r="BB750" s="1">
        <v>3.03</v>
      </c>
      <c r="BC750" s="1" t="s">
        <v>1309</v>
      </c>
      <c r="BD750" s="1">
        <v>7.3</v>
      </c>
      <c r="BE750" s="1">
        <v>22.2</v>
      </c>
      <c r="BF750" s="1">
        <v>24.8</v>
      </c>
      <c r="BG750" s="1">
        <v>45.7</v>
      </c>
      <c r="BH750" s="1" t="s">
        <v>1380</v>
      </c>
    </row>
    <row r="751">
      <c r="A751" s="1">
        <v>18107.0</v>
      </c>
      <c r="B751" s="2" t="str">
        <f>IFERROR(__xludf.DUMMYFUNCTION("TO_TEXT(A751)"),"18107")</f>
        <v>18107</v>
      </c>
      <c r="C751" s="1">
        <v>38108.0</v>
      </c>
      <c r="D751" s="1">
        <v>504.617630528399</v>
      </c>
      <c r="E751" s="1" t="s">
        <v>160</v>
      </c>
      <c r="F751" s="1" t="s">
        <v>1381</v>
      </c>
      <c r="G751" s="1">
        <v>75.5185663253501</v>
      </c>
      <c r="H751" s="1">
        <v>16.6845904009999</v>
      </c>
      <c r="I751" s="1">
        <v>4.1914498605</v>
      </c>
      <c r="J751" s="1">
        <v>7.1964956195</v>
      </c>
      <c r="K751" s="1">
        <v>19.59130503</v>
      </c>
      <c r="L751" s="1">
        <v>25.4</v>
      </c>
      <c r="M751" s="1">
        <v>8.1</v>
      </c>
      <c r="N751" s="1">
        <v>30.0</v>
      </c>
      <c r="O751" s="1">
        <v>63.820690379</v>
      </c>
      <c r="P751" s="1">
        <v>9.7663368914</v>
      </c>
      <c r="Q751" s="1">
        <v>38.93576</v>
      </c>
      <c r="R751" s="1">
        <v>96.796338673</v>
      </c>
      <c r="S751" s="1">
        <v>15.5</v>
      </c>
      <c r="T751" s="1">
        <v>8467.0</v>
      </c>
      <c r="U751" s="1">
        <v>28.687846935</v>
      </c>
      <c r="V751" s="1">
        <v>837.12656307</v>
      </c>
      <c r="W751" s="1">
        <v>10.101010101</v>
      </c>
      <c r="X751" s="1">
        <v>8.66824805149999</v>
      </c>
      <c r="Y751" s="1">
        <v>76.745634952</v>
      </c>
      <c r="Z751" s="1">
        <v>15.2</v>
      </c>
      <c r="AA751" s="1">
        <v>6.59980138669999</v>
      </c>
      <c r="AB751" s="1">
        <v>53700.0</v>
      </c>
      <c r="AC751" s="1">
        <v>49.584758183</v>
      </c>
      <c r="AD751" s="1">
        <v>70.85979962</v>
      </c>
      <c r="AE751" s="1">
        <v>7.54867964789999</v>
      </c>
      <c r="AF751" s="1">
        <v>0.9622907213</v>
      </c>
      <c r="AG751" s="1">
        <v>0.4381161008</v>
      </c>
      <c r="AH751" s="1">
        <v>0.8397225265</v>
      </c>
      <c r="AI751" s="1">
        <v>0.0495488447</v>
      </c>
      <c r="AJ751" s="1">
        <v>4.9861784802</v>
      </c>
      <c r="AK751" s="1">
        <v>91.701872425</v>
      </c>
      <c r="AL751" s="1">
        <v>1.41154241569999</v>
      </c>
      <c r="AM751" s="1">
        <v>49.282845668</v>
      </c>
      <c r="AN751" s="1">
        <v>52.754170601</v>
      </c>
      <c r="AO751" s="1">
        <v>24095.0</v>
      </c>
      <c r="AP751" s="1">
        <v>12.7</v>
      </c>
      <c r="AQ751" s="1">
        <v>5.4</v>
      </c>
      <c r="AR751" s="1">
        <v>11.5</v>
      </c>
      <c r="AS751" s="1">
        <v>16.8</v>
      </c>
      <c r="AT751" s="1">
        <v>23.1</v>
      </c>
      <c r="AU751" s="1">
        <v>14.8</v>
      </c>
      <c r="AV751" s="1">
        <v>7.5</v>
      </c>
      <c r="AW751" s="1">
        <v>1.5</v>
      </c>
      <c r="AX751" s="1">
        <v>0.3553</v>
      </c>
      <c r="AY751" s="1">
        <v>12.1</v>
      </c>
      <c r="AZ751" s="1">
        <v>11.7</v>
      </c>
      <c r="BA751" s="1">
        <v>15.7</v>
      </c>
      <c r="BB751" s="1">
        <v>2.81</v>
      </c>
      <c r="BC751" s="1" t="s">
        <v>1309</v>
      </c>
      <c r="BD751" s="1">
        <v>10.2</v>
      </c>
      <c r="BE751" s="1">
        <v>41.3</v>
      </c>
      <c r="BF751" s="1">
        <v>30.3</v>
      </c>
      <c r="BG751" s="1">
        <v>18.2</v>
      </c>
      <c r="BH751" s="1" t="s">
        <v>1381</v>
      </c>
    </row>
    <row r="752">
      <c r="A752" s="1">
        <v>18109.0</v>
      </c>
      <c r="B752" s="2" t="str">
        <f>IFERROR(__xludf.DUMMYFUNCTION("TO_TEXT(A752)"),"18109")</f>
        <v>18109</v>
      </c>
      <c r="C752" s="1">
        <v>69504.0</v>
      </c>
      <c r="D752" s="1">
        <v>403.987989434937</v>
      </c>
      <c r="E752" s="1" t="s">
        <v>162</v>
      </c>
      <c r="F752" s="1" t="s">
        <v>1382</v>
      </c>
      <c r="G752" s="1">
        <v>172.044718698731</v>
      </c>
      <c r="H752" s="1">
        <v>17.560721662</v>
      </c>
      <c r="I752" s="1">
        <v>4.3891042604</v>
      </c>
      <c r="J752" s="1">
        <v>7.994757536</v>
      </c>
      <c r="K752" s="1">
        <v>19.478256114</v>
      </c>
      <c r="L752" s="1">
        <v>35.9</v>
      </c>
      <c r="M752" s="1">
        <v>8.2</v>
      </c>
      <c r="N752" s="1">
        <v>27.9</v>
      </c>
      <c r="O752" s="1">
        <v>54.210816617</v>
      </c>
      <c r="P752" s="1">
        <v>8.2297626662</v>
      </c>
      <c r="Q752" s="1">
        <v>45.90249</v>
      </c>
      <c r="R752" s="1">
        <v>92.0577617329999</v>
      </c>
      <c r="S752" s="1">
        <v>14.7</v>
      </c>
      <c r="T752" s="1">
        <v>15756.0</v>
      </c>
      <c r="U752" s="1">
        <v>29.398324448</v>
      </c>
      <c r="V752" s="1">
        <v>204.509002055</v>
      </c>
      <c r="W752" s="1">
        <v>11.401286299</v>
      </c>
      <c r="X752" s="1">
        <v>9.5098039216</v>
      </c>
      <c r="Y752" s="1">
        <v>76.66961645</v>
      </c>
      <c r="Z752" s="1">
        <v>11.3</v>
      </c>
      <c r="AA752" s="1">
        <v>4.0680909294</v>
      </c>
      <c r="AB752" s="1">
        <v>66151.0</v>
      </c>
      <c r="AC752" s="1">
        <v>46.307919513</v>
      </c>
      <c r="AD752" s="1">
        <v>76.178353776</v>
      </c>
      <c r="AE752" s="1">
        <v>8.2590166522</v>
      </c>
      <c r="AF752" s="1">
        <v>0.4834845114</v>
      </c>
      <c r="AG752" s="1">
        <v>0.3308802556</v>
      </c>
      <c r="AH752" s="1">
        <v>0.6047121912</v>
      </c>
      <c r="AI752" s="1">
        <v>0.0413600319</v>
      </c>
      <c r="AJ752" s="1">
        <v>1.58879571</v>
      </c>
      <c r="AK752" s="1">
        <v>95.935307205</v>
      </c>
      <c r="AL752" s="1">
        <v>0.2723469</v>
      </c>
      <c r="AM752" s="1">
        <v>50.340863712</v>
      </c>
      <c r="AN752" s="1">
        <v>49.137805905</v>
      </c>
      <c r="AO752" s="1">
        <v>26556.0</v>
      </c>
      <c r="AP752" s="1">
        <v>12.5</v>
      </c>
      <c r="AQ752" s="1">
        <v>6.4</v>
      </c>
      <c r="AR752" s="1">
        <v>11.6</v>
      </c>
      <c r="AS752" s="1">
        <v>15.0</v>
      </c>
      <c r="AT752" s="1">
        <v>23.6</v>
      </c>
      <c r="AU752" s="1">
        <v>15.1</v>
      </c>
      <c r="AV752" s="1">
        <v>3.6</v>
      </c>
      <c r="AW752" s="1">
        <v>0.2</v>
      </c>
      <c r="AX752" s="1">
        <v>0.1566</v>
      </c>
      <c r="AY752" s="1">
        <v>8.9</v>
      </c>
      <c r="AZ752" s="1">
        <v>12.0</v>
      </c>
      <c r="BA752" s="1">
        <v>17.2</v>
      </c>
      <c r="BB752" s="1">
        <v>2.97</v>
      </c>
      <c r="BC752" s="1" t="s">
        <v>1309</v>
      </c>
      <c r="BD752" s="1">
        <v>11.9</v>
      </c>
      <c r="BE752" s="1">
        <v>39.3</v>
      </c>
      <c r="BF752" s="1">
        <v>31.6</v>
      </c>
      <c r="BG752" s="1">
        <v>17.3</v>
      </c>
      <c r="BH752" s="1" t="s">
        <v>1382</v>
      </c>
    </row>
    <row r="753">
      <c r="A753" s="1">
        <v>18111.0</v>
      </c>
      <c r="B753" s="2" t="str">
        <f>IFERROR(__xludf.DUMMYFUNCTION("TO_TEXT(A753)"),"18111")</f>
        <v>18111</v>
      </c>
      <c r="C753" s="1">
        <v>14022.0</v>
      </c>
      <c r="D753" s="1">
        <v>401.754543033534</v>
      </c>
      <c r="E753" s="1" t="s">
        <v>371</v>
      </c>
      <c r="F753" s="1" t="s">
        <v>1383</v>
      </c>
      <c r="G753" s="1">
        <v>34.9019077522407</v>
      </c>
      <c r="H753" s="1">
        <v>19.7125060059999</v>
      </c>
      <c r="I753" s="1">
        <v>4.6241783661</v>
      </c>
      <c r="J753" s="1">
        <v>7.3385518591</v>
      </c>
      <c r="K753" s="1">
        <v>20.730308579</v>
      </c>
      <c r="L753" s="1">
        <v>30.6</v>
      </c>
      <c r="M753" s="1">
        <v>8.0</v>
      </c>
      <c r="N753" s="1">
        <v>35.1</v>
      </c>
      <c r="O753" s="1">
        <v>45.815782084</v>
      </c>
      <c r="P753" s="1">
        <v>12.208021155</v>
      </c>
      <c r="Q753" s="1">
        <v>7.07713999999999</v>
      </c>
      <c r="R753" s="1">
        <v>87.898089172</v>
      </c>
      <c r="S753" s="1">
        <v>14.7</v>
      </c>
      <c r="T753" s="1">
        <v>3031.0</v>
      </c>
      <c r="U753" s="1">
        <v>35.53282745</v>
      </c>
      <c r="V753" s="1">
        <v>21.531615589</v>
      </c>
      <c r="W753" s="1">
        <v>8.6678832117</v>
      </c>
      <c r="X753" s="1">
        <v>7.6208178439</v>
      </c>
      <c r="Y753" s="1">
        <v>75.381921826</v>
      </c>
      <c r="Z753" s="1">
        <v>16.8</v>
      </c>
      <c r="AA753" s="1">
        <v>4.6053626254</v>
      </c>
      <c r="AB753" s="1">
        <v>53060.0</v>
      </c>
      <c r="AC753" s="1">
        <v>56.092157732</v>
      </c>
      <c r="AD753" s="1">
        <v>78.94642215</v>
      </c>
      <c r="AE753" s="1">
        <v>7.70239880059999</v>
      </c>
      <c r="AF753" s="1">
        <v>0.7422739276</v>
      </c>
      <c r="AG753" s="1">
        <v>0.5495681964</v>
      </c>
      <c r="AH753" s="1">
        <v>0.5210191992</v>
      </c>
      <c r="AI753" s="1">
        <v>0.1356077368</v>
      </c>
      <c r="AJ753" s="1">
        <v>6.3878381272</v>
      </c>
      <c r="AK753" s="1">
        <v>90.9927913779999</v>
      </c>
      <c r="AL753" s="1">
        <v>1.5581482875</v>
      </c>
      <c r="AM753" s="1">
        <v>49.5182356719999</v>
      </c>
      <c r="AN753" s="1">
        <v>100.0</v>
      </c>
      <c r="AO753" s="1">
        <v>24061.0</v>
      </c>
      <c r="AP753" s="1">
        <v>13.3</v>
      </c>
      <c r="AQ753" s="1">
        <v>7.2</v>
      </c>
      <c r="AR753" s="1">
        <v>14.2</v>
      </c>
      <c r="AS753" s="1">
        <v>17.5</v>
      </c>
      <c r="AT753" s="1">
        <v>22.1</v>
      </c>
      <c r="AU753" s="1">
        <v>13.8</v>
      </c>
      <c r="AV753" s="1">
        <v>8.1</v>
      </c>
      <c r="AW753" s="1">
        <v>1.3</v>
      </c>
      <c r="AX753" s="1">
        <v>0.2365</v>
      </c>
      <c r="AY753" s="1">
        <v>9.5</v>
      </c>
      <c r="AZ753" s="1">
        <v>13.1</v>
      </c>
      <c r="BA753" s="1">
        <v>20.2</v>
      </c>
      <c r="BB753" s="1">
        <v>2.9</v>
      </c>
      <c r="BC753" s="1" t="s">
        <v>1309</v>
      </c>
      <c r="BD753" s="1">
        <v>14.3</v>
      </c>
      <c r="BE753" s="1">
        <v>42.8</v>
      </c>
      <c r="BF753" s="1">
        <v>31.1</v>
      </c>
      <c r="BG753" s="1">
        <v>11.9</v>
      </c>
      <c r="BH753" s="1" t="s">
        <v>1383</v>
      </c>
    </row>
    <row r="754">
      <c r="A754" s="1">
        <v>18113.0</v>
      </c>
      <c r="B754" s="2" t="str">
        <f>IFERROR(__xludf.DUMMYFUNCTION("TO_TEXT(A754)"),"18113")</f>
        <v>18113</v>
      </c>
      <c r="C754" s="1">
        <v>47587.0</v>
      </c>
      <c r="D754" s="1">
        <v>410.840520781102</v>
      </c>
      <c r="E754" s="1" t="s">
        <v>1384</v>
      </c>
      <c r="F754" s="1" t="s">
        <v>1385</v>
      </c>
      <c r="G754" s="1">
        <v>115.828399568587</v>
      </c>
      <c r="H754" s="1">
        <v>16.66462878</v>
      </c>
      <c r="I754" s="1">
        <v>4.1496610386</v>
      </c>
      <c r="J754" s="1">
        <v>6.7627236812</v>
      </c>
      <c r="K754" s="1">
        <v>18.935768806</v>
      </c>
      <c r="L754" s="1">
        <v>38.2</v>
      </c>
      <c r="M754" s="1">
        <v>8.8</v>
      </c>
      <c r="N754" s="1">
        <v>28.5</v>
      </c>
      <c r="O754" s="1">
        <v>63.81268933</v>
      </c>
      <c r="P754" s="1">
        <v>10.397615319</v>
      </c>
      <c r="Q754" s="1">
        <v>27.39611</v>
      </c>
      <c r="R754" s="1">
        <v>91.155234657</v>
      </c>
      <c r="S754" s="1">
        <v>12.1</v>
      </c>
      <c r="T754" s="1">
        <v>11907.0</v>
      </c>
      <c r="U754" s="1">
        <v>27.227681196</v>
      </c>
      <c r="V754" s="1">
        <v>158.03902596</v>
      </c>
      <c r="W754" s="1">
        <v>11.12961421</v>
      </c>
      <c r="X754" s="1">
        <v>8.4195804196</v>
      </c>
      <c r="Y754" s="1">
        <v>77.486299019</v>
      </c>
      <c r="Z754" s="1">
        <v>11.3</v>
      </c>
      <c r="AA754" s="1">
        <v>2.1410945137</v>
      </c>
      <c r="AB754" s="1">
        <v>61341.0</v>
      </c>
      <c r="AC754" s="1">
        <v>49.972398565</v>
      </c>
      <c r="AD754" s="1">
        <v>76.00331675</v>
      </c>
      <c r="AE754" s="1">
        <v>6.9845610437</v>
      </c>
      <c r="AF754" s="1">
        <v>0.8878229403</v>
      </c>
      <c r="AG754" s="1">
        <v>0.3976268619</v>
      </c>
      <c r="AH754" s="1">
        <v>0.5343768409</v>
      </c>
      <c r="AI754" s="1">
        <v>0.0546999916</v>
      </c>
      <c r="AJ754" s="1">
        <v>10.538163763</v>
      </c>
      <c r="AK754" s="1">
        <v>86.756290499</v>
      </c>
      <c r="AL754" s="1">
        <v>2.1924784245</v>
      </c>
      <c r="AM754" s="1">
        <v>49.875873096</v>
      </c>
      <c r="AN754" s="1">
        <v>68.04947829</v>
      </c>
      <c r="AO754" s="1">
        <v>23792.0</v>
      </c>
      <c r="AP754" s="1">
        <v>11.4</v>
      </c>
      <c r="AQ754" s="1">
        <v>7.0</v>
      </c>
      <c r="AR754" s="1">
        <v>15.3</v>
      </c>
      <c r="AS754" s="1">
        <v>14.4</v>
      </c>
      <c r="AT754" s="1">
        <v>25.7</v>
      </c>
      <c r="AU754" s="1">
        <v>13.7</v>
      </c>
      <c r="AV754" s="1">
        <v>12.2</v>
      </c>
      <c r="AW754" s="1">
        <v>2.1</v>
      </c>
      <c r="AX754" s="1">
        <v>0.5626</v>
      </c>
      <c r="AY754" s="1">
        <v>7.8</v>
      </c>
      <c r="AZ754" s="1">
        <v>10.1</v>
      </c>
      <c r="BA754" s="1">
        <v>13.0</v>
      </c>
      <c r="BB754" s="1">
        <v>2.77</v>
      </c>
      <c r="BC754" s="1" t="s">
        <v>1309</v>
      </c>
      <c r="BD754" s="1">
        <v>16.4</v>
      </c>
      <c r="BE754" s="1">
        <v>42.0</v>
      </c>
      <c r="BF754" s="1">
        <v>27.9</v>
      </c>
      <c r="BG754" s="1">
        <v>13.7</v>
      </c>
      <c r="BH754" s="1" t="s">
        <v>1385</v>
      </c>
    </row>
    <row r="755">
      <c r="A755" s="1">
        <v>18115.0</v>
      </c>
      <c r="B755" s="2" t="str">
        <f>IFERROR(__xludf.DUMMYFUNCTION("TO_TEXT(A755)"),"18115")</f>
        <v>18115</v>
      </c>
      <c r="C755" s="1">
        <v>6003.0</v>
      </c>
      <c r="D755" s="1">
        <v>86.140081685658</v>
      </c>
      <c r="E755" s="1" t="s">
        <v>1386</v>
      </c>
      <c r="F755" s="1" t="s">
        <v>1387</v>
      </c>
      <c r="G755" s="1">
        <v>69.6888124846006</v>
      </c>
      <c r="H755" s="1">
        <v>13.975312727</v>
      </c>
      <c r="I755" s="1">
        <v>4.0190271023</v>
      </c>
      <c r="J755" s="1">
        <v>6.6502463054</v>
      </c>
      <c r="K755" s="1">
        <v>16.736976311</v>
      </c>
      <c r="L755" s="1">
        <v>35.6</v>
      </c>
      <c r="M755" s="1">
        <v>7.7</v>
      </c>
      <c r="N755" s="1">
        <v>26.2</v>
      </c>
      <c r="O755" s="1">
        <v>62.72845953</v>
      </c>
      <c r="P755" s="1">
        <v>7.3806395094</v>
      </c>
      <c r="Q755" s="1">
        <v>17.15854</v>
      </c>
      <c r="R755" s="1">
        <v>93.75</v>
      </c>
      <c r="S755" s="1">
        <v>12.6</v>
      </c>
      <c r="T755" s="1">
        <v>1120.0</v>
      </c>
      <c r="U755" s="1">
        <v>22.321428571</v>
      </c>
      <c r="V755" s="1">
        <v>204.509002055</v>
      </c>
      <c r="W755" s="1">
        <v>7.8350515464</v>
      </c>
      <c r="X755" s="1">
        <v>7.0116861436</v>
      </c>
      <c r="Y755" s="1">
        <v>78.168724629</v>
      </c>
      <c r="Z755" s="1">
        <v>6.4</v>
      </c>
      <c r="AA755" s="1">
        <v>6.508531482</v>
      </c>
      <c r="AB755" s="1">
        <v>58022.0</v>
      </c>
      <c r="AC755" s="1">
        <v>42.394014963</v>
      </c>
      <c r="AD755" s="1">
        <v>78.3923597289999</v>
      </c>
      <c r="AE755" s="1">
        <v>8.336772596</v>
      </c>
      <c r="AF755" s="1">
        <v>0.53045859</v>
      </c>
      <c r="AG755" s="1">
        <v>0.2566735113</v>
      </c>
      <c r="AH755" s="1">
        <v>0.325119781</v>
      </c>
      <c r="AI755" s="1">
        <v>0.0171115674</v>
      </c>
      <c r="AJ755" s="1">
        <v>1.4715947981</v>
      </c>
      <c r="AK755" s="1">
        <v>96.3894592739999</v>
      </c>
      <c r="AL755" s="1">
        <v>0.0</v>
      </c>
      <c r="AM755" s="1">
        <v>50.479123888</v>
      </c>
      <c r="AN755" s="1">
        <v>100.0</v>
      </c>
      <c r="AO755" s="1">
        <v>25278.0</v>
      </c>
      <c r="AP755" s="1">
        <v>6.7</v>
      </c>
      <c r="AQ755" s="1">
        <v>5.9</v>
      </c>
      <c r="AR755" s="1">
        <v>11.4</v>
      </c>
      <c r="AS755" s="1">
        <v>19.4</v>
      </c>
      <c r="AT755" s="1">
        <v>20.5</v>
      </c>
      <c r="AU755" s="1">
        <v>13.6</v>
      </c>
      <c r="AV755" s="1">
        <v>3.2</v>
      </c>
      <c r="AW755" s="1">
        <v>0.0</v>
      </c>
      <c r="AX755" s="1">
        <v>0.0576</v>
      </c>
      <c r="AY755" s="1">
        <v>9.6</v>
      </c>
      <c r="AZ755" s="1">
        <v>10.0</v>
      </c>
      <c r="BA755" s="1">
        <v>13.0</v>
      </c>
      <c r="BB755" s="1">
        <v>2.95</v>
      </c>
      <c r="BC755" s="1" t="s">
        <v>1309</v>
      </c>
      <c r="BD755" s="1">
        <v>12.4</v>
      </c>
      <c r="BE755" s="1">
        <v>43.1</v>
      </c>
      <c r="BF755" s="1">
        <v>29.8</v>
      </c>
      <c r="BG755" s="1">
        <v>14.7</v>
      </c>
      <c r="BH755" s="1" t="s">
        <v>1387</v>
      </c>
    </row>
    <row r="756">
      <c r="A756" s="1">
        <v>18117.0</v>
      </c>
      <c r="B756" s="2" t="str">
        <f>IFERROR(__xludf.DUMMYFUNCTION("TO_TEXT(A756)"),"18117")</f>
        <v>18117</v>
      </c>
      <c r="C756" s="1">
        <v>19579.0</v>
      </c>
      <c r="D756" s="1">
        <v>398.387155212738</v>
      </c>
      <c r="E756" s="1" t="s">
        <v>475</v>
      </c>
      <c r="F756" s="1" t="s">
        <v>1388</v>
      </c>
      <c r="G756" s="1">
        <v>49.1456608071233</v>
      </c>
      <c r="H756" s="1">
        <v>19.86300167</v>
      </c>
      <c r="I756" s="1">
        <v>4.5771762309</v>
      </c>
      <c r="J756" s="1">
        <v>7.3010173549</v>
      </c>
      <c r="K756" s="1">
        <v>21.196539276</v>
      </c>
      <c r="L756" s="1">
        <v>35.5</v>
      </c>
      <c r="M756" s="1">
        <v>7.8</v>
      </c>
      <c r="N756" s="1">
        <v>27.2</v>
      </c>
      <c r="O756" s="1">
        <v>82.610887097</v>
      </c>
      <c r="P756" s="1">
        <v>9.9792504215</v>
      </c>
      <c r="Q756" s="1">
        <v>56.62514</v>
      </c>
      <c r="R756" s="1">
        <v>92.268041237</v>
      </c>
      <c r="S756" s="1">
        <v>21.8</v>
      </c>
      <c r="T756" s="1">
        <v>4496.0</v>
      </c>
      <c r="U756" s="1">
        <v>37.1218861209999</v>
      </c>
      <c r="V756" s="1">
        <v>204.509002055</v>
      </c>
      <c r="W756" s="1">
        <v>12.3704663209999</v>
      </c>
      <c r="X756" s="1">
        <v>9.5269382392</v>
      </c>
      <c r="Y756" s="1">
        <v>76.115383206</v>
      </c>
      <c r="Z756" s="1">
        <v>13.1</v>
      </c>
      <c r="AA756" s="1">
        <v>5.48144355429999</v>
      </c>
      <c r="AB756" s="1">
        <v>44968.0</v>
      </c>
      <c r="AC756" s="1">
        <v>53.3870967739999</v>
      </c>
      <c r="AD756" s="1">
        <v>74.6732648139999</v>
      </c>
      <c r="AE756" s="1">
        <v>9.5846645367</v>
      </c>
      <c r="AF756" s="1">
        <v>1.4161834881</v>
      </c>
      <c r="AG756" s="1">
        <v>0.4412745651</v>
      </c>
      <c r="AH756" s="1">
        <v>0.405356868</v>
      </c>
      <c r="AI756" s="1">
        <v>0.0102621992</v>
      </c>
      <c r="AJ756" s="1">
        <v>1.7702293602</v>
      </c>
      <c r="AK756" s="1">
        <v>94.945866899</v>
      </c>
      <c r="AL756" s="1">
        <v>0.1741401828</v>
      </c>
      <c r="AM756" s="1">
        <v>50.13084304</v>
      </c>
      <c r="AN756" s="1">
        <v>83.45766129</v>
      </c>
      <c r="AO756" s="1">
        <v>21295.0</v>
      </c>
      <c r="AP756" s="1">
        <v>16.4</v>
      </c>
      <c r="AQ756" s="1">
        <v>5.5</v>
      </c>
      <c r="AR756" s="1">
        <v>16.7</v>
      </c>
      <c r="AS756" s="1">
        <v>17.4</v>
      </c>
      <c r="AT756" s="1">
        <v>24.0</v>
      </c>
      <c r="AU756" s="1">
        <v>18.9</v>
      </c>
      <c r="AV756" s="1">
        <v>4.2</v>
      </c>
      <c r="AW756" s="1">
        <v>0.1</v>
      </c>
      <c r="AX756" s="1">
        <v>0.6043</v>
      </c>
      <c r="AY756" s="1">
        <v>14.1</v>
      </c>
      <c r="AZ756" s="1">
        <v>15.4</v>
      </c>
      <c r="BA756" s="1">
        <v>21.9</v>
      </c>
      <c r="BB756" s="1">
        <v>2.62</v>
      </c>
      <c r="BC756" s="1" t="s">
        <v>1309</v>
      </c>
      <c r="BD756" s="1">
        <v>16.8</v>
      </c>
      <c r="BE756" s="1">
        <v>46.6</v>
      </c>
      <c r="BF756" s="1">
        <v>25.7</v>
      </c>
      <c r="BG756" s="1">
        <v>10.9</v>
      </c>
      <c r="BH756" s="1" t="s">
        <v>1388</v>
      </c>
    </row>
    <row r="757">
      <c r="A757" s="1">
        <v>18119.0</v>
      </c>
      <c r="B757" s="2" t="str">
        <f>IFERROR(__xludf.DUMMYFUNCTION("TO_TEXT(A757)"),"18119")</f>
        <v>18119</v>
      </c>
      <c r="C757" s="1">
        <v>21038.0</v>
      </c>
      <c r="D757" s="1">
        <v>385.299599348682</v>
      </c>
      <c r="E757" s="1" t="s">
        <v>1389</v>
      </c>
      <c r="F757" s="1" t="s">
        <v>1390</v>
      </c>
      <c r="G757" s="1">
        <v>54.6016659128715</v>
      </c>
      <c r="H757" s="1">
        <v>18.940138883</v>
      </c>
      <c r="I757" s="1">
        <v>4.509839001</v>
      </c>
      <c r="J757" s="1">
        <v>7.6330981398</v>
      </c>
      <c r="K757" s="1">
        <v>20.491930586</v>
      </c>
      <c r="L757" s="1">
        <v>31.6</v>
      </c>
      <c r="M757" s="1">
        <v>8.3</v>
      </c>
      <c r="N757" s="1">
        <v>25.7</v>
      </c>
      <c r="O757" s="1">
        <v>50.396292005</v>
      </c>
      <c r="P757" s="1">
        <v>11.269041622</v>
      </c>
      <c r="Q757" s="1">
        <v>9.59739</v>
      </c>
      <c r="R757" s="1">
        <v>92.134831461</v>
      </c>
      <c r="S757" s="1">
        <v>19.5</v>
      </c>
      <c r="T757" s="1">
        <v>4244.0</v>
      </c>
      <c r="U757" s="1">
        <v>31.856738926</v>
      </c>
      <c r="V757" s="1">
        <v>204.509002055</v>
      </c>
      <c r="W757" s="1">
        <v>11.188811189</v>
      </c>
      <c r="X757" s="1">
        <v>7.9669030733</v>
      </c>
      <c r="Y757" s="1">
        <v>75.583658572</v>
      </c>
      <c r="Z757" s="1">
        <v>15.4</v>
      </c>
      <c r="AA757" s="1">
        <v>0.3991204382</v>
      </c>
      <c r="AB757" s="1">
        <v>49731.0</v>
      </c>
      <c r="AC757" s="1">
        <v>53.198127925</v>
      </c>
      <c r="AD757" s="1">
        <v>78.769407706</v>
      </c>
      <c r="AE757" s="1">
        <v>9.3418514947</v>
      </c>
      <c r="AF757" s="1">
        <v>0.4893259775</v>
      </c>
      <c r="AG757" s="1">
        <v>0.3981770209</v>
      </c>
      <c r="AH757" s="1">
        <v>0.5468937395</v>
      </c>
      <c r="AI757" s="1">
        <v>0.0047973135</v>
      </c>
      <c r="AJ757" s="1">
        <v>1.46318061889999</v>
      </c>
      <c r="AK757" s="1">
        <v>95.931878148</v>
      </c>
      <c r="AL757" s="1">
        <v>0.3340419071</v>
      </c>
      <c r="AM757" s="1">
        <v>49.997601343</v>
      </c>
      <c r="AN757" s="1">
        <v>100.0</v>
      </c>
      <c r="AO757" s="1">
        <v>22675.0</v>
      </c>
      <c r="AP757" s="1">
        <v>14.8</v>
      </c>
      <c r="AQ757" s="1">
        <v>6.8</v>
      </c>
      <c r="AR757" s="1">
        <v>15.7</v>
      </c>
      <c r="AS757" s="1">
        <v>17.3</v>
      </c>
      <c r="AT757" s="1">
        <v>21.5</v>
      </c>
      <c r="AU757" s="1">
        <v>17.5</v>
      </c>
      <c r="AV757" s="1">
        <v>3.5</v>
      </c>
      <c r="AW757" s="1">
        <v>0.5</v>
      </c>
      <c r="AX757" s="1">
        <v>0.3372</v>
      </c>
      <c r="AY757" s="1">
        <v>12.0</v>
      </c>
      <c r="AZ757" s="1">
        <v>14.6</v>
      </c>
      <c r="BA757" s="1">
        <v>22.7</v>
      </c>
      <c r="BB757" s="1">
        <v>3.23</v>
      </c>
      <c r="BC757" s="1" t="s">
        <v>1309</v>
      </c>
      <c r="BD757" s="1">
        <v>14.6</v>
      </c>
      <c r="BE757" s="1">
        <v>44.4</v>
      </c>
      <c r="BF757" s="1">
        <v>27.9</v>
      </c>
      <c r="BG757" s="1">
        <v>13.1</v>
      </c>
      <c r="BH757" s="1" t="s">
        <v>1390</v>
      </c>
    </row>
    <row r="758">
      <c r="A758" s="1">
        <v>18121.0</v>
      </c>
      <c r="B758" s="2" t="str">
        <f>IFERROR(__xludf.DUMMYFUNCTION("TO_TEXT(A758)"),"18121")</f>
        <v>18121</v>
      </c>
      <c r="C758" s="1">
        <v>17033.0</v>
      </c>
      <c r="D758" s="1">
        <v>444.691986603962</v>
      </c>
      <c r="E758" s="1" t="s">
        <v>1391</v>
      </c>
      <c r="F758" s="1" t="s">
        <v>1392</v>
      </c>
      <c r="G758" s="1">
        <v>38.30291643004</v>
      </c>
      <c r="H758" s="1">
        <v>19.202342409</v>
      </c>
      <c r="I758" s="1">
        <v>4.7653647462</v>
      </c>
      <c r="J758" s="1">
        <v>6.5400843882</v>
      </c>
      <c r="K758" s="1">
        <v>22.048812947</v>
      </c>
      <c r="L758" s="1">
        <v>29.7</v>
      </c>
      <c r="M758" s="1">
        <v>7.8</v>
      </c>
      <c r="N758" s="1">
        <v>34.1</v>
      </c>
      <c r="O758" s="1">
        <v>33.612088356</v>
      </c>
      <c r="P758" s="1">
        <v>11.762295082</v>
      </c>
      <c r="Q758" s="1">
        <v>23.68826</v>
      </c>
      <c r="R758" s="1">
        <v>85.3932584269999</v>
      </c>
      <c r="S758" s="1">
        <v>23.7</v>
      </c>
      <c r="T758" s="1">
        <v>3621.0</v>
      </c>
      <c r="U758" s="1">
        <v>30.958298812</v>
      </c>
      <c r="V758" s="1">
        <v>63.972084908</v>
      </c>
      <c r="W758" s="1">
        <v>12.357723577</v>
      </c>
      <c r="X758" s="1">
        <v>9.0386195563</v>
      </c>
      <c r="Y758" s="1">
        <v>78.851112139</v>
      </c>
      <c r="Z758" s="1">
        <v>8.1</v>
      </c>
      <c r="AA758" s="1">
        <v>5.8273849703</v>
      </c>
      <c r="AB758" s="1">
        <v>49639.0</v>
      </c>
      <c r="AC758" s="1">
        <v>58.640604176</v>
      </c>
      <c r="AD758" s="1">
        <v>77.087062653</v>
      </c>
      <c r="AE758" s="1">
        <v>9.24024640659999</v>
      </c>
      <c r="AF758" s="1">
        <v>2.5639510841</v>
      </c>
      <c r="AG758" s="1">
        <v>0.4785254327</v>
      </c>
      <c r="AH758" s="1">
        <v>0.2067702487</v>
      </c>
      <c r="AI758" s="1">
        <v>0.029538607</v>
      </c>
      <c r="AJ758" s="1">
        <v>1.6423465469</v>
      </c>
      <c r="AK758" s="1">
        <v>94.352218349</v>
      </c>
      <c r="AL758" s="1">
        <v>0.671435743</v>
      </c>
      <c r="AM758" s="1">
        <v>52.738228865</v>
      </c>
      <c r="AN758" s="1">
        <v>74.975488783</v>
      </c>
      <c r="AO758" s="1">
        <v>22247.0</v>
      </c>
      <c r="AP758" s="1">
        <v>15.0</v>
      </c>
      <c r="AQ758" s="1">
        <v>7.0</v>
      </c>
      <c r="AR758" s="1">
        <v>14.5</v>
      </c>
      <c r="AS758" s="1">
        <v>17.1</v>
      </c>
      <c r="AT758" s="1">
        <v>21.3</v>
      </c>
      <c r="AU758" s="1">
        <v>16.7</v>
      </c>
      <c r="AV758" s="1">
        <v>5.1</v>
      </c>
      <c r="AW758" s="1">
        <v>0.3</v>
      </c>
      <c r="AX758" s="1">
        <v>0.3989</v>
      </c>
      <c r="AY758" s="1">
        <v>15.1</v>
      </c>
      <c r="AZ758" s="1">
        <v>14.0</v>
      </c>
      <c r="BA758" s="1">
        <v>20.7</v>
      </c>
      <c r="BB758" s="1">
        <v>2.7</v>
      </c>
      <c r="BC758" s="1" t="s">
        <v>1309</v>
      </c>
      <c r="BD758" s="1">
        <v>13.8</v>
      </c>
      <c r="BE758" s="1">
        <v>40.5</v>
      </c>
      <c r="BF758" s="1">
        <v>33.7</v>
      </c>
      <c r="BG758" s="1">
        <v>12.0</v>
      </c>
      <c r="BH758" s="1" t="s">
        <v>1392</v>
      </c>
    </row>
    <row r="759">
      <c r="A759" s="1">
        <v>18123.0</v>
      </c>
      <c r="B759" s="2" t="str">
        <f>IFERROR(__xludf.DUMMYFUNCTION("TO_TEXT(A759)"),"18123")</f>
        <v>18123</v>
      </c>
      <c r="C759" s="1">
        <v>19301.0</v>
      </c>
      <c r="D759" s="1">
        <v>381.726934994158</v>
      </c>
      <c r="E759" s="1" t="s">
        <v>164</v>
      </c>
      <c r="F759" s="1" t="s">
        <v>1393</v>
      </c>
      <c r="G759" s="1">
        <v>50.5623214675574</v>
      </c>
      <c r="H759" s="1">
        <v>18.662212624</v>
      </c>
      <c r="I759" s="1">
        <v>4.5560929775</v>
      </c>
      <c r="J759" s="1">
        <v>7.5313807531</v>
      </c>
      <c r="K759" s="1">
        <v>20.7449246079999</v>
      </c>
      <c r="L759" s="1">
        <v>35.7</v>
      </c>
      <c r="M759" s="1">
        <v>7.5</v>
      </c>
      <c r="N759" s="1">
        <v>26.6</v>
      </c>
      <c r="O759" s="1">
        <v>76.04716103</v>
      </c>
      <c r="P759" s="1">
        <v>8.10791968769999</v>
      </c>
      <c r="Q759" s="1">
        <v>52.40815</v>
      </c>
      <c r="R759" s="1">
        <v>89.912280702</v>
      </c>
      <c r="S759" s="1">
        <v>16.4</v>
      </c>
      <c r="T759" s="1">
        <v>4010.0</v>
      </c>
      <c r="U759" s="1">
        <v>34.713216958</v>
      </c>
      <c r="V759" s="1">
        <v>204.509002055</v>
      </c>
      <c r="W759" s="1">
        <v>8.9480874317</v>
      </c>
      <c r="X759" s="1">
        <v>8.1805555556</v>
      </c>
      <c r="Y759" s="1">
        <v>77.0321936639999</v>
      </c>
      <c r="Z759" s="1">
        <v>10.1</v>
      </c>
      <c r="AA759" s="1">
        <v>9.4630023314</v>
      </c>
      <c r="AB759" s="1">
        <v>52332.0</v>
      </c>
      <c r="AC759" s="1">
        <v>47.6986021139999</v>
      </c>
      <c r="AD759" s="1">
        <v>77.441393168</v>
      </c>
      <c r="AE759" s="1">
        <v>8.0050293378</v>
      </c>
      <c r="AF759" s="1">
        <v>2.8216940634</v>
      </c>
      <c r="AG759" s="1">
        <v>0.3612187206</v>
      </c>
      <c r="AH759" s="1">
        <v>0.4973301225</v>
      </c>
      <c r="AI759" s="1">
        <v>0.0366453774</v>
      </c>
      <c r="AJ759" s="1">
        <v>1.4448748822</v>
      </c>
      <c r="AK759" s="1">
        <v>93.927337452</v>
      </c>
      <c r="AL759" s="1">
        <v>0.0664084117</v>
      </c>
      <c r="AM759" s="1">
        <v>46.43492828</v>
      </c>
      <c r="AN759" s="1">
        <v>55.041886441</v>
      </c>
      <c r="AO759" s="1">
        <v>21634.0</v>
      </c>
      <c r="AP759" s="1">
        <v>14.7</v>
      </c>
      <c r="AQ759" s="1">
        <v>4.1</v>
      </c>
      <c r="AR759" s="1">
        <v>13.0</v>
      </c>
      <c r="AS759" s="1">
        <v>16.7</v>
      </c>
      <c r="AT759" s="1">
        <v>21.0</v>
      </c>
      <c r="AU759" s="1">
        <v>14.9</v>
      </c>
      <c r="AV759" s="1">
        <v>5.5</v>
      </c>
      <c r="AW759" s="1">
        <v>0.1</v>
      </c>
      <c r="AX759" s="1">
        <v>0.2913</v>
      </c>
      <c r="AY759" s="1">
        <v>12.1</v>
      </c>
      <c r="AZ759" s="1">
        <v>12.8</v>
      </c>
      <c r="BA759" s="1">
        <v>19.7</v>
      </c>
      <c r="BB759" s="1">
        <v>2.66</v>
      </c>
      <c r="BC759" s="1" t="s">
        <v>1309</v>
      </c>
      <c r="BD759" s="1">
        <v>9.7</v>
      </c>
      <c r="BE759" s="1">
        <v>44.7</v>
      </c>
      <c r="BF759" s="1">
        <v>29.5</v>
      </c>
      <c r="BG759" s="1">
        <v>16.1</v>
      </c>
      <c r="BH759" s="1" t="s">
        <v>1393</v>
      </c>
    </row>
    <row r="760">
      <c r="A760" s="1">
        <v>18125.0</v>
      </c>
      <c r="B760" s="2" t="str">
        <f>IFERROR(__xludf.DUMMYFUNCTION("TO_TEXT(A760)"),"18125")</f>
        <v>18125</v>
      </c>
      <c r="C760" s="1">
        <v>12554.0</v>
      </c>
      <c r="D760" s="1">
        <v>334.243122226936</v>
      </c>
      <c r="E760" s="1" t="s">
        <v>168</v>
      </c>
      <c r="F760" s="1" t="s">
        <v>1394</v>
      </c>
      <c r="G760" s="1">
        <v>37.5594863893007</v>
      </c>
      <c r="H760" s="1">
        <v>18.844642418</v>
      </c>
      <c r="I760" s="1">
        <v>4.4952252254</v>
      </c>
      <c r="J760" s="1">
        <v>8.8024564995</v>
      </c>
      <c r="K760" s="1">
        <v>19.780155511</v>
      </c>
      <c r="L760" s="1">
        <v>38.4</v>
      </c>
      <c r="M760" s="1">
        <v>8.5</v>
      </c>
      <c r="N760" s="1">
        <v>32.2</v>
      </c>
      <c r="O760" s="1">
        <v>75.53912028</v>
      </c>
      <c r="P760" s="1">
        <v>9.0287696388</v>
      </c>
      <c r="Q760" s="1">
        <v>8.08734</v>
      </c>
      <c r="R760" s="1">
        <v>92.700729927</v>
      </c>
      <c r="S760" s="1">
        <v>13.7</v>
      </c>
      <c r="T760" s="1">
        <v>2746.0</v>
      </c>
      <c r="U760" s="1">
        <v>22.068463219</v>
      </c>
      <c r="V760" s="1">
        <v>58.275058275</v>
      </c>
      <c r="W760" s="1">
        <v>6.3572149344</v>
      </c>
      <c r="X760" s="1">
        <v>4.6253282165</v>
      </c>
      <c r="Y760" s="1">
        <v>76.977912186</v>
      </c>
      <c r="Z760" s="1">
        <v>19.1</v>
      </c>
      <c r="AA760" s="1">
        <v>2.4172915111</v>
      </c>
      <c r="AB760" s="1">
        <v>54265.0</v>
      </c>
      <c r="AC760" s="1">
        <v>43.082788671</v>
      </c>
      <c r="AD760" s="1">
        <v>82.9206473</v>
      </c>
      <c r="AE760" s="1">
        <v>4.1524573721</v>
      </c>
      <c r="AF760" s="1">
        <v>0.5157131346</v>
      </c>
      <c r="AG760" s="1">
        <v>0.4270749396</v>
      </c>
      <c r="AH760" s="1">
        <v>0.6526994359</v>
      </c>
      <c r="AI760" s="1">
        <v>0.0402900886</v>
      </c>
      <c r="AJ760" s="1">
        <v>1.4423851732</v>
      </c>
      <c r="AK760" s="1">
        <v>96.244963739</v>
      </c>
      <c r="AL760" s="1">
        <v>0.0938646642</v>
      </c>
      <c r="AM760" s="1">
        <v>50.1450443189999</v>
      </c>
      <c r="AN760" s="1">
        <v>100.0</v>
      </c>
      <c r="AO760" s="1">
        <v>24367.0</v>
      </c>
      <c r="AP760" s="1">
        <v>10.1</v>
      </c>
      <c r="AQ760" s="1">
        <v>3.9</v>
      </c>
      <c r="AR760" s="1">
        <v>13.7</v>
      </c>
      <c r="AS760" s="1">
        <v>18.7</v>
      </c>
      <c r="AT760" s="1">
        <v>22.7</v>
      </c>
      <c r="AU760" s="1">
        <v>18.8</v>
      </c>
      <c r="AV760" s="1">
        <v>3.1</v>
      </c>
      <c r="AW760" s="1">
        <v>0.0</v>
      </c>
      <c r="AX760" s="1">
        <v>0.107</v>
      </c>
      <c r="AY760" s="1">
        <v>9.4</v>
      </c>
      <c r="AZ760" s="1">
        <v>12.4</v>
      </c>
      <c r="BA760" s="1">
        <v>18.7</v>
      </c>
      <c r="BB760" s="1">
        <v>2.82</v>
      </c>
      <c r="BC760" s="1" t="s">
        <v>1309</v>
      </c>
      <c r="BD760" s="1">
        <v>13.2</v>
      </c>
      <c r="BE760" s="1">
        <v>41.7</v>
      </c>
      <c r="BF760" s="1">
        <v>30.9</v>
      </c>
      <c r="BG760" s="1">
        <v>14.1</v>
      </c>
      <c r="BH760" s="1" t="s">
        <v>1394</v>
      </c>
    </row>
    <row r="761">
      <c r="A761" s="1">
        <v>18127.0</v>
      </c>
      <c r="B761" s="2" t="str">
        <f>IFERROR(__xludf.DUMMYFUNCTION("TO_TEXT(A761)"),"18127")</f>
        <v>18127</v>
      </c>
      <c r="C761" s="1">
        <v>167016.0</v>
      </c>
      <c r="D761" s="1">
        <v>418.062720467839</v>
      </c>
      <c r="E761" s="1" t="s">
        <v>1395</v>
      </c>
      <c r="F761" s="1" t="s">
        <v>1396</v>
      </c>
      <c r="G761" s="1">
        <v>399.49986407087</v>
      </c>
      <c r="H761" s="1">
        <v>16.148712495</v>
      </c>
      <c r="I761" s="1">
        <v>4.5986161413</v>
      </c>
      <c r="J761" s="1">
        <v>7.2770726883</v>
      </c>
      <c r="K761" s="1">
        <v>18.784419018</v>
      </c>
      <c r="L761" s="1">
        <v>33.5</v>
      </c>
      <c r="M761" s="1">
        <v>8.1</v>
      </c>
      <c r="N761" s="1">
        <v>25.0</v>
      </c>
      <c r="O761" s="1">
        <v>80.186561034</v>
      </c>
      <c r="P761" s="1">
        <v>7.4772249977</v>
      </c>
      <c r="Q761" s="1">
        <v>62.35006</v>
      </c>
      <c r="R761" s="1">
        <v>90.814884597</v>
      </c>
      <c r="S761" s="1">
        <v>11.3</v>
      </c>
      <c r="T761" s="1">
        <v>37265.0</v>
      </c>
      <c r="U761" s="1">
        <v>27.774050718</v>
      </c>
      <c r="V761" s="1">
        <v>96.853208028</v>
      </c>
      <c r="W761" s="1">
        <v>12.758289284</v>
      </c>
      <c r="X761" s="1">
        <v>11.460108757</v>
      </c>
      <c r="Y761" s="1">
        <v>78.339618437</v>
      </c>
      <c r="Z761" s="1">
        <v>10.6</v>
      </c>
      <c r="AA761" s="1">
        <v>7.8627548794</v>
      </c>
      <c r="AB761" s="1">
        <v>69298.0</v>
      </c>
      <c r="AC761" s="1">
        <v>36.936117579</v>
      </c>
      <c r="AD761" s="1">
        <v>75.456861917</v>
      </c>
      <c r="AE761" s="1">
        <v>11.907619916</v>
      </c>
      <c r="AF761" s="1">
        <v>3.8987228322</v>
      </c>
      <c r="AG761" s="1">
        <v>0.3685271885</v>
      </c>
      <c r="AH761" s="1">
        <v>1.4699812493</v>
      </c>
      <c r="AI761" s="1">
        <v>0.0359682536</v>
      </c>
      <c r="AJ761" s="1">
        <v>10.263334788</v>
      </c>
      <c r="AK761" s="1">
        <v>82.824274444</v>
      </c>
      <c r="AL761" s="1">
        <v>0.6115148691</v>
      </c>
      <c r="AM761" s="1">
        <v>50.511220916</v>
      </c>
      <c r="AN761" s="1">
        <v>20.752937454</v>
      </c>
      <c r="AO761" s="1">
        <v>30615.0</v>
      </c>
      <c r="AP761" s="1">
        <v>10.8</v>
      </c>
      <c r="AQ761" s="1">
        <v>6.3</v>
      </c>
      <c r="AR761" s="1">
        <v>8.3</v>
      </c>
      <c r="AS761" s="1">
        <v>14.4</v>
      </c>
      <c r="AT761" s="1">
        <v>23.0</v>
      </c>
      <c r="AU761" s="1">
        <v>10.9</v>
      </c>
      <c r="AV761" s="1">
        <v>15.7</v>
      </c>
      <c r="AW761" s="1">
        <v>0.6</v>
      </c>
      <c r="AX761" s="1">
        <v>0.1837</v>
      </c>
      <c r="AY761" s="1">
        <v>8.1</v>
      </c>
      <c r="AZ761" s="1">
        <v>10.6</v>
      </c>
      <c r="BA761" s="1">
        <v>14.1</v>
      </c>
      <c r="BB761" s="1">
        <v>3.12</v>
      </c>
      <c r="BC761" s="1" t="s">
        <v>1309</v>
      </c>
      <c r="BD761" s="1">
        <v>6.4</v>
      </c>
      <c r="BE761" s="1">
        <v>35.0</v>
      </c>
      <c r="BF761" s="1">
        <v>30.1</v>
      </c>
      <c r="BG761" s="1">
        <v>28.4</v>
      </c>
      <c r="BH761" s="1" t="s">
        <v>1396</v>
      </c>
    </row>
    <row r="762">
      <c r="A762" s="1">
        <v>18129.0</v>
      </c>
      <c r="B762" s="2" t="str">
        <f>IFERROR(__xludf.DUMMYFUNCTION("TO_TEXT(A762)"),"18129")</f>
        <v>18129</v>
      </c>
      <c r="C762" s="1">
        <v>25527.0</v>
      </c>
      <c r="D762" s="1">
        <v>409.572291541702</v>
      </c>
      <c r="E762" s="1" t="s">
        <v>1397</v>
      </c>
      <c r="F762" s="1" t="s">
        <v>1398</v>
      </c>
      <c r="G762" s="1">
        <v>62.3259935478347</v>
      </c>
      <c r="H762" s="1">
        <v>15.955954225</v>
      </c>
      <c r="I762" s="1">
        <v>4.3546261858</v>
      </c>
      <c r="J762" s="1">
        <v>7.2584856397</v>
      </c>
      <c r="K762" s="1">
        <v>18.701133326</v>
      </c>
      <c r="L762" s="1">
        <v>31.3</v>
      </c>
      <c r="M762" s="1">
        <v>8.3</v>
      </c>
      <c r="N762" s="1">
        <v>30.5</v>
      </c>
      <c r="O762" s="1">
        <v>30.046314164</v>
      </c>
      <c r="P762" s="1">
        <v>6.41239570919999</v>
      </c>
      <c r="Q762" s="1">
        <v>35.16312</v>
      </c>
      <c r="R762" s="1">
        <v>92.642140468</v>
      </c>
      <c r="S762" s="1">
        <v>11.4</v>
      </c>
      <c r="T762" s="1">
        <v>5650.0</v>
      </c>
      <c r="U762" s="1">
        <v>20.707964602</v>
      </c>
      <c r="V762" s="1">
        <v>304.89870587</v>
      </c>
      <c r="W762" s="1">
        <v>10.184722916</v>
      </c>
      <c r="X762" s="1">
        <v>7.9939668175</v>
      </c>
      <c r="Y762" s="1">
        <v>79.325201121</v>
      </c>
      <c r="Z762" s="1">
        <v>13.1</v>
      </c>
      <c r="AA762" s="1">
        <v>5.7985515136</v>
      </c>
      <c r="AB762" s="1">
        <v>68162.0</v>
      </c>
      <c r="AC762" s="1">
        <v>39.665911665</v>
      </c>
      <c r="AD762" s="1">
        <v>81.071253071</v>
      </c>
      <c r="AE762" s="1">
        <v>8.1362153344</v>
      </c>
      <c r="AF762" s="1">
        <v>0.9631949883</v>
      </c>
      <c r="AG762" s="1">
        <v>0.2858261551</v>
      </c>
      <c r="AH762" s="1">
        <v>0.6068911511</v>
      </c>
      <c r="AI762" s="1">
        <v>0.0195771339</v>
      </c>
      <c r="AJ762" s="1">
        <v>1.2920908379</v>
      </c>
      <c r="AK762" s="1">
        <v>95.798747063</v>
      </c>
      <c r="AL762" s="1">
        <v>0.0</v>
      </c>
      <c r="AM762" s="1">
        <v>50.058731402</v>
      </c>
      <c r="AN762" s="1">
        <v>66.761868005</v>
      </c>
      <c r="AO762" s="1">
        <v>30396.0</v>
      </c>
      <c r="AP762" s="1">
        <v>9.7</v>
      </c>
      <c r="AQ762" s="1">
        <v>4.6</v>
      </c>
      <c r="AR762" s="1">
        <v>5.7</v>
      </c>
      <c r="AS762" s="1">
        <v>16.4</v>
      </c>
      <c r="AT762" s="1">
        <v>22.7</v>
      </c>
      <c r="AU762" s="1">
        <v>12.3</v>
      </c>
      <c r="AV762" s="1">
        <v>3.7</v>
      </c>
      <c r="AW762" s="1">
        <v>0.1</v>
      </c>
      <c r="AX762" s="1">
        <v>0.0201</v>
      </c>
      <c r="AY762" s="1">
        <v>8.6</v>
      </c>
      <c r="AZ762" s="1">
        <v>10.6</v>
      </c>
      <c r="BA762" s="1">
        <v>14.1</v>
      </c>
      <c r="BB762" s="1">
        <v>3.06</v>
      </c>
      <c r="BC762" s="1" t="s">
        <v>1309</v>
      </c>
      <c r="BD762" s="1">
        <v>6.6</v>
      </c>
      <c r="BE762" s="1">
        <v>38.2</v>
      </c>
      <c r="BF762" s="1">
        <v>33.3</v>
      </c>
      <c r="BG762" s="1">
        <v>21.9</v>
      </c>
      <c r="BH762" s="1" t="s">
        <v>1398</v>
      </c>
    </row>
    <row r="763">
      <c r="A763" s="1">
        <v>18131.0</v>
      </c>
      <c r="B763" s="2" t="str">
        <f>IFERROR(__xludf.DUMMYFUNCTION("TO_TEXT(A763)"),"18131")</f>
        <v>18131</v>
      </c>
      <c r="C763" s="1">
        <v>12910.0</v>
      </c>
      <c r="D763" s="1">
        <v>433.648950868976</v>
      </c>
      <c r="E763" s="1" t="s">
        <v>387</v>
      </c>
      <c r="F763" s="1" t="s">
        <v>1399</v>
      </c>
      <c r="G763" s="1">
        <v>29.7706243128918</v>
      </c>
      <c r="H763" s="1">
        <v>17.893912898</v>
      </c>
      <c r="I763" s="1">
        <v>4.5072605983</v>
      </c>
      <c r="J763" s="1">
        <v>7.8891257996</v>
      </c>
      <c r="K763" s="1">
        <v>18.974508893</v>
      </c>
      <c r="L763" s="1">
        <v>31.2</v>
      </c>
      <c r="M763" s="1">
        <v>8.4</v>
      </c>
      <c r="N763" s="1">
        <v>27.6</v>
      </c>
      <c r="O763" s="1">
        <v>36.300552156</v>
      </c>
      <c r="P763" s="1">
        <v>10.005027652</v>
      </c>
      <c r="Q763" s="1">
        <v>39.8915</v>
      </c>
      <c r="R763" s="1">
        <v>91.823899371</v>
      </c>
      <c r="S763" s="1">
        <v>17.0</v>
      </c>
      <c r="T763" s="1">
        <v>2886.0</v>
      </c>
      <c r="U763" s="1">
        <v>29.556479556</v>
      </c>
      <c r="V763" s="1">
        <v>204.509002055</v>
      </c>
      <c r="W763" s="1">
        <v>13.140096618</v>
      </c>
      <c r="X763" s="1">
        <v>11.394891945</v>
      </c>
      <c r="Y763" s="1">
        <v>75.699314442</v>
      </c>
      <c r="Z763" s="1">
        <v>9.3</v>
      </c>
      <c r="AA763" s="1">
        <v>1.061908352</v>
      </c>
      <c r="AB763" s="1">
        <v>49730.0</v>
      </c>
      <c r="AC763" s="1">
        <v>51.5283842789999</v>
      </c>
      <c r="AD763" s="1">
        <v>77.0</v>
      </c>
      <c r="AE763" s="1">
        <v>10.970377937</v>
      </c>
      <c r="AF763" s="1">
        <v>0.9062474938</v>
      </c>
      <c r="AG763" s="1">
        <v>0.4972331382</v>
      </c>
      <c r="AH763" s="1">
        <v>0.2486165691</v>
      </c>
      <c r="AI763" s="1">
        <v>0.024059668</v>
      </c>
      <c r="AJ763" s="1">
        <v>3.2079557302</v>
      </c>
      <c r="AK763" s="1">
        <v>94.065281899</v>
      </c>
      <c r="AL763" s="1">
        <v>0.0</v>
      </c>
      <c r="AM763" s="1">
        <v>49.017563558</v>
      </c>
      <c r="AN763" s="1">
        <v>80.943142815</v>
      </c>
      <c r="AO763" s="1">
        <v>23958.0</v>
      </c>
      <c r="AP763" s="1">
        <v>13.4</v>
      </c>
      <c r="AQ763" s="1">
        <v>7.0</v>
      </c>
      <c r="AR763" s="1">
        <v>12.9</v>
      </c>
      <c r="AS763" s="1">
        <v>18.1</v>
      </c>
      <c r="AT763" s="1">
        <v>23.2</v>
      </c>
      <c r="AU763" s="1">
        <v>16.8</v>
      </c>
      <c r="AV763" s="1">
        <v>5.2</v>
      </c>
      <c r="AW763" s="1">
        <v>0.1</v>
      </c>
      <c r="AX763" s="1">
        <v>0.2502</v>
      </c>
      <c r="AY763" s="1">
        <v>11.2</v>
      </c>
      <c r="AZ763" s="1">
        <v>13.3</v>
      </c>
      <c r="BA763" s="1">
        <v>18.9</v>
      </c>
      <c r="BB763" s="1">
        <v>2.68</v>
      </c>
      <c r="BC763" s="1" t="s">
        <v>1309</v>
      </c>
      <c r="BD763" s="1">
        <v>11.5</v>
      </c>
      <c r="BE763" s="1">
        <v>46.1</v>
      </c>
      <c r="BF763" s="1">
        <v>29.7</v>
      </c>
      <c r="BG763" s="1">
        <v>12.8</v>
      </c>
      <c r="BH763" s="1" t="s">
        <v>1399</v>
      </c>
    </row>
    <row r="764">
      <c r="A764" s="1">
        <v>18133.0</v>
      </c>
      <c r="B764" s="2" t="str">
        <f>IFERROR(__xludf.DUMMYFUNCTION("TO_TEXT(A764)"),"18133")</f>
        <v>18133</v>
      </c>
      <c r="C764" s="1">
        <v>37626.0</v>
      </c>
      <c r="D764" s="1">
        <v>480.537105934004</v>
      </c>
      <c r="E764" s="1" t="s">
        <v>771</v>
      </c>
      <c r="F764" s="1" t="s">
        <v>1400</v>
      </c>
      <c r="G764" s="1">
        <v>78.2998847235066</v>
      </c>
      <c r="H764" s="1">
        <v>16.407523397</v>
      </c>
      <c r="I764" s="1">
        <v>4.1586671139</v>
      </c>
      <c r="J764" s="1">
        <v>6.9073783359</v>
      </c>
      <c r="K764" s="1">
        <v>19.0136371</v>
      </c>
      <c r="L764" s="1">
        <v>30.5</v>
      </c>
      <c r="M764" s="1">
        <v>8.4</v>
      </c>
      <c r="N764" s="1">
        <v>29.0</v>
      </c>
      <c r="O764" s="1">
        <v>59.210283697</v>
      </c>
      <c r="P764" s="1">
        <v>8.2356879813</v>
      </c>
      <c r="Q764" s="1">
        <v>34.48093</v>
      </c>
      <c r="R764" s="1">
        <v>91.442542787</v>
      </c>
      <c r="S764" s="1">
        <v>14.8</v>
      </c>
      <c r="T764" s="1">
        <v>7029.0</v>
      </c>
      <c r="U764" s="1">
        <v>30.018494807</v>
      </c>
      <c r="V764" s="1">
        <v>204.509002055</v>
      </c>
      <c r="W764" s="1">
        <v>10.99537037</v>
      </c>
      <c r="X764" s="1">
        <v>8.5238279737</v>
      </c>
      <c r="Y764" s="1">
        <v>78.049988456</v>
      </c>
      <c r="Z764" s="1">
        <v>12.0</v>
      </c>
      <c r="AA764" s="1">
        <v>1.5876974932</v>
      </c>
      <c r="AB764" s="1">
        <v>54718.0</v>
      </c>
      <c r="AC764" s="1">
        <v>47.4937788839999</v>
      </c>
      <c r="AD764" s="1">
        <v>71.791055882</v>
      </c>
      <c r="AE764" s="1">
        <v>8.9655697745</v>
      </c>
      <c r="AF764" s="1">
        <v>3.7004685143</v>
      </c>
      <c r="AG764" s="1">
        <v>0.3573413801</v>
      </c>
      <c r="AH764" s="1">
        <v>1.0429074353</v>
      </c>
      <c r="AI764" s="1">
        <v>0.0476455174</v>
      </c>
      <c r="AJ764" s="1">
        <v>2.0884618439</v>
      </c>
      <c r="AK764" s="1">
        <v>91.5958601339999</v>
      </c>
      <c r="AL764" s="1">
        <v>0.5536293479</v>
      </c>
      <c r="AM764" s="1">
        <v>47.484051987</v>
      </c>
      <c r="AN764" s="1">
        <v>64.802570924</v>
      </c>
      <c r="AO764" s="1">
        <v>23040.0</v>
      </c>
      <c r="AP764" s="1">
        <v>10.3</v>
      </c>
      <c r="AQ764" s="1">
        <v>6.5</v>
      </c>
      <c r="AR764" s="1">
        <v>11.6</v>
      </c>
      <c r="AS764" s="1">
        <v>15.1</v>
      </c>
      <c r="AT764" s="1">
        <v>19.3</v>
      </c>
      <c r="AU764" s="1">
        <v>15.6</v>
      </c>
      <c r="AV764" s="1">
        <v>8.0</v>
      </c>
      <c r="AW764" s="1">
        <v>0.5</v>
      </c>
      <c r="AX764" s="1">
        <v>0.3082</v>
      </c>
      <c r="AY764" s="1">
        <v>10.5</v>
      </c>
      <c r="AZ764" s="1">
        <v>12.7</v>
      </c>
      <c r="BA764" s="1">
        <v>18.5</v>
      </c>
      <c r="BB764" s="1">
        <v>2.63</v>
      </c>
      <c r="BC764" s="1" t="s">
        <v>1309</v>
      </c>
      <c r="BD764" s="1">
        <v>11.1</v>
      </c>
      <c r="BE764" s="1">
        <v>42.4</v>
      </c>
      <c r="BF764" s="1">
        <v>29.7</v>
      </c>
      <c r="BG764" s="1">
        <v>16.8</v>
      </c>
      <c r="BH764" s="1" t="s">
        <v>1400</v>
      </c>
    </row>
    <row r="765">
      <c r="A765" s="1">
        <v>18135.0</v>
      </c>
      <c r="B765" s="2" t="str">
        <f>IFERROR(__xludf.DUMMYFUNCTION("TO_TEXT(A765)"),"18135")</f>
        <v>18135</v>
      </c>
      <c r="C765" s="1">
        <v>25403.0</v>
      </c>
      <c r="D765" s="1">
        <v>452.378969314565</v>
      </c>
      <c r="E765" s="1" t="s">
        <v>170</v>
      </c>
      <c r="F765" s="1" t="s">
        <v>1401</v>
      </c>
      <c r="G765" s="1">
        <v>56.1542461589009</v>
      </c>
      <c r="H765" s="1">
        <v>19.3024438309999</v>
      </c>
      <c r="I765" s="1">
        <v>4.6977152761</v>
      </c>
      <c r="J765" s="1">
        <v>8.9537712895</v>
      </c>
      <c r="K765" s="1">
        <v>21.362723858</v>
      </c>
      <c r="L765" s="1">
        <v>36.0</v>
      </c>
      <c r="M765" s="1">
        <v>7.6</v>
      </c>
      <c r="N765" s="1">
        <v>26.4</v>
      </c>
      <c r="O765" s="1">
        <v>49.4440411139999</v>
      </c>
      <c r="P765" s="1">
        <v>9.6108790873</v>
      </c>
      <c r="Q765" s="1">
        <v>20.0626</v>
      </c>
      <c r="R765" s="1">
        <v>90.670553936</v>
      </c>
      <c r="S765" s="1">
        <v>20.9</v>
      </c>
      <c r="T765" s="1">
        <v>5708.0</v>
      </c>
      <c r="U765" s="1">
        <v>37.946741416</v>
      </c>
      <c r="V765" s="1">
        <v>204.509002055</v>
      </c>
      <c r="W765" s="1">
        <v>10.252742012</v>
      </c>
      <c r="X765" s="1">
        <v>9.0416263311</v>
      </c>
      <c r="Y765" s="1">
        <v>75.44091955</v>
      </c>
      <c r="Z765" s="1">
        <v>13.7</v>
      </c>
      <c r="AA765" s="1">
        <v>7.0091507232</v>
      </c>
      <c r="AB765" s="1">
        <v>46441.0</v>
      </c>
      <c r="AC765" s="1">
        <v>55.54663992</v>
      </c>
      <c r="AD765" s="1">
        <v>76.911329579</v>
      </c>
      <c r="AE765" s="1">
        <v>9.16518999799999</v>
      </c>
      <c r="AF765" s="1">
        <v>0.6961490483</v>
      </c>
      <c r="AG765" s="1">
        <v>0.4506860891</v>
      </c>
      <c r="AH765" s="1">
        <v>0.3742304133</v>
      </c>
      <c r="AI765" s="1">
        <v>0.06840771</v>
      </c>
      <c r="AJ765" s="1">
        <v>3.5330570198</v>
      </c>
      <c r="AK765" s="1">
        <v>93.8352581389999</v>
      </c>
      <c r="AL765" s="1">
        <v>0.8150789608</v>
      </c>
      <c r="AM765" s="1">
        <v>50.899360187</v>
      </c>
      <c r="AN765" s="1">
        <v>61.866187765</v>
      </c>
      <c r="AO765" s="1">
        <v>22817.0</v>
      </c>
      <c r="AP765" s="1">
        <v>17.3</v>
      </c>
      <c r="AQ765" s="1">
        <v>6.4</v>
      </c>
      <c r="AR765" s="1">
        <v>13.6</v>
      </c>
      <c r="AS765" s="1">
        <v>18.6</v>
      </c>
      <c r="AT765" s="1">
        <v>23.8</v>
      </c>
      <c r="AU765" s="1">
        <v>16.1</v>
      </c>
      <c r="AV765" s="1">
        <v>6.0</v>
      </c>
      <c r="AW765" s="1">
        <v>0.8</v>
      </c>
      <c r="AX765" s="1">
        <v>0.4358</v>
      </c>
      <c r="AY765" s="1">
        <v>13.3</v>
      </c>
      <c r="AZ765" s="1">
        <v>14.0</v>
      </c>
      <c r="BA765" s="1">
        <v>20.5</v>
      </c>
      <c r="BB765" s="1">
        <v>2.46</v>
      </c>
      <c r="BC765" s="1" t="s">
        <v>1309</v>
      </c>
      <c r="BD765" s="1">
        <v>12.5</v>
      </c>
      <c r="BE765" s="1">
        <v>43.4</v>
      </c>
      <c r="BF765" s="1">
        <v>29.7</v>
      </c>
      <c r="BG765" s="1">
        <v>14.3</v>
      </c>
      <c r="BH765" s="1" t="s">
        <v>1401</v>
      </c>
    </row>
    <row r="766">
      <c r="A766" s="1">
        <v>18137.0</v>
      </c>
      <c r="B766" s="2" t="str">
        <f>IFERROR(__xludf.DUMMYFUNCTION("TO_TEXT(A766)"),"18137")</f>
        <v>18137</v>
      </c>
      <c r="C766" s="1">
        <v>28633.0</v>
      </c>
      <c r="D766" s="1">
        <v>446.425338636988</v>
      </c>
      <c r="E766" s="1" t="s">
        <v>1402</v>
      </c>
      <c r="F766" s="1" t="s">
        <v>1403</v>
      </c>
      <c r="G766" s="1">
        <v>64.1383844551058</v>
      </c>
      <c r="H766" s="1">
        <v>17.845076853</v>
      </c>
      <c r="I766" s="1">
        <v>4.7610644699</v>
      </c>
      <c r="J766" s="1">
        <v>6.5436241611</v>
      </c>
      <c r="K766" s="1">
        <v>18.482406463</v>
      </c>
      <c r="L766" s="1">
        <v>31.6</v>
      </c>
      <c r="M766" s="1">
        <v>8.6</v>
      </c>
      <c r="N766" s="1">
        <v>33.5</v>
      </c>
      <c r="O766" s="1">
        <v>52.016101048</v>
      </c>
      <c r="P766" s="1">
        <v>9.2240934869</v>
      </c>
      <c r="Q766" s="1">
        <v>3.51593</v>
      </c>
      <c r="R766" s="1">
        <v>93.832599119</v>
      </c>
      <c r="S766" s="1">
        <v>15.0</v>
      </c>
      <c r="T766" s="1">
        <v>6724.0</v>
      </c>
      <c r="U766" s="1">
        <v>27.52825699</v>
      </c>
      <c r="V766" s="1">
        <v>29.792305073</v>
      </c>
      <c r="W766" s="1">
        <v>11.8397085609999</v>
      </c>
      <c r="X766" s="1">
        <v>9.0160183066</v>
      </c>
      <c r="Y766" s="1">
        <v>76.726899192</v>
      </c>
      <c r="Z766" s="1">
        <v>13.3</v>
      </c>
      <c r="AA766" s="1">
        <v>0.5005343735</v>
      </c>
      <c r="AB766" s="1">
        <v>57436.0</v>
      </c>
      <c r="AC766" s="1">
        <v>44.657836645</v>
      </c>
      <c r="AD766" s="1">
        <v>77.133900582</v>
      </c>
      <c r="AE766" s="1">
        <v>8.8664940828</v>
      </c>
      <c r="AF766" s="1">
        <v>0.4557725344</v>
      </c>
      <c r="AG766" s="1">
        <v>0.3505942573</v>
      </c>
      <c r="AH766" s="1">
        <v>0.9781579778</v>
      </c>
      <c r="AI766" s="1">
        <v>0.024541598</v>
      </c>
      <c r="AJ766" s="1">
        <v>1.8616555061</v>
      </c>
      <c r="AK766" s="1">
        <v>95.428250885</v>
      </c>
      <c r="AL766" s="1">
        <v>0.4773625718</v>
      </c>
      <c r="AM766" s="1">
        <v>50.468043333</v>
      </c>
      <c r="AN766" s="1">
        <v>83.2431119439999</v>
      </c>
      <c r="AO766" s="1">
        <v>23980.0</v>
      </c>
      <c r="AP766" s="1">
        <v>10.1</v>
      </c>
      <c r="AQ766" s="1">
        <v>6.6</v>
      </c>
      <c r="AR766" s="1">
        <v>13.2</v>
      </c>
      <c r="AS766" s="1">
        <v>17.1</v>
      </c>
      <c r="AT766" s="1">
        <v>24.0</v>
      </c>
      <c r="AU766" s="1">
        <v>13.5</v>
      </c>
      <c r="AV766" s="1">
        <v>4.2</v>
      </c>
      <c r="AW766" s="1">
        <v>0.1</v>
      </c>
      <c r="AX766" s="1">
        <v>0.2811</v>
      </c>
      <c r="AY766" s="1">
        <v>9.1</v>
      </c>
      <c r="AZ766" s="1">
        <v>11.9</v>
      </c>
      <c r="BA766" s="1">
        <v>17.0</v>
      </c>
      <c r="BB766" s="1">
        <v>2.68</v>
      </c>
      <c r="BC766" s="1" t="s">
        <v>1309</v>
      </c>
      <c r="BD766" s="1">
        <v>10.7</v>
      </c>
      <c r="BE766" s="1">
        <v>43.6</v>
      </c>
      <c r="BF766" s="1">
        <v>27.6</v>
      </c>
      <c r="BG766" s="1">
        <v>18.0</v>
      </c>
      <c r="BH766" s="1" t="s">
        <v>1403</v>
      </c>
    </row>
    <row r="767">
      <c r="A767" s="1">
        <v>18139.0</v>
      </c>
      <c r="B767" s="2" t="str">
        <f>IFERROR(__xludf.DUMMYFUNCTION("TO_TEXT(A767)"),"18139")</f>
        <v>18139</v>
      </c>
      <c r="C767" s="1">
        <v>16873.0</v>
      </c>
      <c r="D767" s="1">
        <v>408.12351675998</v>
      </c>
      <c r="E767" s="1" t="s">
        <v>1404</v>
      </c>
      <c r="F767" s="1" t="s">
        <v>1405</v>
      </c>
      <c r="G767" s="1">
        <v>41.342876132088</v>
      </c>
      <c r="H767" s="1">
        <v>18.560427485</v>
      </c>
      <c r="I767" s="1">
        <v>4.6640589618</v>
      </c>
      <c r="J767" s="1">
        <v>6.7169811321</v>
      </c>
      <c r="K767" s="1">
        <v>21.353093057</v>
      </c>
      <c r="L767" s="1">
        <v>29.7</v>
      </c>
      <c r="M767" s="1">
        <v>8.1</v>
      </c>
      <c r="N767" s="1">
        <v>23.1</v>
      </c>
      <c r="O767" s="1">
        <v>44.439972401</v>
      </c>
      <c r="P767" s="1">
        <v>10.311038527</v>
      </c>
      <c r="Q767" s="1">
        <v>36.04686</v>
      </c>
      <c r="R767" s="1">
        <v>97.674418605</v>
      </c>
      <c r="S767" s="1">
        <v>15.8</v>
      </c>
      <c r="T767" s="1">
        <v>3744.0</v>
      </c>
      <c r="U767" s="1">
        <v>26.86965812</v>
      </c>
      <c r="V767" s="1">
        <v>204.509002055</v>
      </c>
      <c r="W767" s="1">
        <v>10.378057821</v>
      </c>
      <c r="X767" s="1">
        <v>9.9242424242</v>
      </c>
      <c r="Y767" s="1">
        <v>76.354415546</v>
      </c>
      <c r="Z767" s="1">
        <v>11.6</v>
      </c>
      <c r="AA767" s="1">
        <v>1.0238386482</v>
      </c>
      <c r="AB767" s="1">
        <v>53271.0</v>
      </c>
      <c r="AC767" s="1">
        <v>55.815972222</v>
      </c>
      <c r="AD767" s="1">
        <v>71.345724907</v>
      </c>
      <c r="AE767" s="1">
        <v>11.6167849429999</v>
      </c>
      <c r="AF767" s="1">
        <v>0.9722138871</v>
      </c>
      <c r="AG767" s="1">
        <v>0.3540778971</v>
      </c>
      <c r="AH767" s="1">
        <v>0.3840844986</v>
      </c>
      <c r="AI767" s="1">
        <v>0.0360079217</v>
      </c>
      <c r="AJ767" s="1">
        <v>1.74038288419999</v>
      </c>
      <c r="AK767" s="1">
        <v>95.481005821</v>
      </c>
      <c r="AL767" s="1">
        <v>0.3612396223</v>
      </c>
      <c r="AM767" s="1">
        <v>50.651143252</v>
      </c>
      <c r="AN767" s="1">
        <v>61.160303588</v>
      </c>
      <c r="AO767" s="1">
        <v>24267.0</v>
      </c>
      <c r="AP767" s="1">
        <v>18.0</v>
      </c>
      <c r="AQ767" s="1">
        <v>5.7</v>
      </c>
      <c r="AR767" s="1">
        <v>15.4</v>
      </c>
      <c r="AS767" s="1">
        <v>17.4</v>
      </c>
      <c r="AT767" s="1">
        <v>23.1</v>
      </c>
      <c r="AU767" s="1">
        <v>15.3</v>
      </c>
      <c r="AV767" s="1">
        <v>3.7</v>
      </c>
      <c r="AW767" s="1">
        <v>0.1</v>
      </c>
      <c r="AX767" s="1">
        <v>0.2856</v>
      </c>
      <c r="AY767" s="1">
        <v>11.0</v>
      </c>
      <c r="AZ767" s="1">
        <v>13.7</v>
      </c>
      <c r="BA767" s="1">
        <v>19.0</v>
      </c>
      <c r="BB767" s="1">
        <v>2.77</v>
      </c>
      <c r="BC767" s="1" t="s">
        <v>1309</v>
      </c>
      <c r="BD767" s="1">
        <v>12.6</v>
      </c>
      <c r="BE767" s="1">
        <v>46.4</v>
      </c>
      <c r="BF767" s="1">
        <v>27.0</v>
      </c>
      <c r="BG767" s="1">
        <v>13.9</v>
      </c>
      <c r="BH767" s="1" t="s">
        <v>1405</v>
      </c>
    </row>
    <row r="768">
      <c r="A768" s="1">
        <v>18141.0</v>
      </c>
      <c r="B768" s="2" t="str">
        <f>IFERROR(__xludf.DUMMYFUNCTION("TO_TEXT(A768)"),"18141")</f>
        <v>18141</v>
      </c>
      <c r="C768" s="1">
        <v>267696.0</v>
      </c>
      <c r="D768" s="1">
        <v>457.883253326238</v>
      </c>
      <c r="E768" s="1" t="s">
        <v>1406</v>
      </c>
      <c r="F768" s="1" t="s">
        <v>1407</v>
      </c>
      <c r="G768" s="1">
        <v>584.638110381532</v>
      </c>
      <c r="H768" s="1">
        <v>18.90329959</v>
      </c>
      <c r="I768" s="1">
        <v>4.5568864343</v>
      </c>
      <c r="J768" s="1">
        <v>8.37054477549999</v>
      </c>
      <c r="K768" s="1">
        <v>19.041988454</v>
      </c>
      <c r="L768" s="1">
        <v>33.0</v>
      </c>
      <c r="M768" s="1">
        <v>7.2</v>
      </c>
      <c r="N768" s="1">
        <v>26.3</v>
      </c>
      <c r="O768" s="1">
        <v>83.643338541</v>
      </c>
      <c r="P768" s="1">
        <v>10.225596291</v>
      </c>
      <c r="Q768" s="1">
        <v>90.96489</v>
      </c>
      <c r="R768" s="1">
        <v>84.67486819</v>
      </c>
      <c r="S768" s="1">
        <v>17.7</v>
      </c>
      <c r="T768" s="1">
        <v>63640.0</v>
      </c>
      <c r="U768" s="1">
        <v>36.304211188</v>
      </c>
      <c r="V768" s="1">
        <v>425.5861175</v>
      </c>
      <c r="W768" s="1">
        <v>12.5768391829999</v>
      </c>
      <c r="X768" s="1">
        <v>11.047772789</v>
      </c>
      <c r="Y768" s="1">
        <v>77.096052559</v>
      </c>
      <c r="Z768" s="1">
        <v>9.7</v>
      </c>
      <c r="AA768" s="1">
        <v>9.872950431</v>
      </c>
      <c r="AB768" s="1">
        <v>54674.0</v>
      </c>
      <c r="AC768" s="1">
        <v>55.7921439</v>
      </c>
      <c r="AD768" s="1">
        <v>67.833190111</v>
      </c>
      <c r="AE768" s="1">
        <v>11.29786013</v>
      </c>
      <c r="AF768" s="1">
        <v>13.214487519</v>
      </c>
      <c r="AG768" s="1">
        <v>0.5654224418</v>
      </c>
      <c r="AH768" s="1">
        <v>2.5889035384</v>
      </c>
      <c r="AI768" s="1">
        <v>0.0986073102</v>
      </c>
      <c r="AJ768" s="1">
        <v>8.9138053927</v>
      </c>
      <c r="AK768" s="1">
        <v>72.244442721</v>
      </c>
      <c r="AL768" s="1">
        <v>1.420985953</v>
      </c>
      <c r="AM768" s="1">
        <v>51.310886321</v>
      </c>
      <c r="AN768" s="1">
        <v>9.0015771866</v>
      </c>
      <c r="AO768" s="1">
        <v>24748.0</v>
      </c>
      <c r="AP768" s="1">
        <v>17.2</v>
      </c>
      <c r="AQ768" s="1">
        <v>7.5</v>
      </c>
      <c r="AR768" s="1">
        <v>12.3</v>
      </c>
      <c r="AS768" s="1">
        <v>14.3</v>
      </c>
      <c r="AT768" s="1">
        <v>24.1</v>
      </c>
      <c r="AU768" s="1">
        <v>13.4</v>
      </c>
      <c r="AV768" s="1">
        <v>26.0</v>
      </c>
      <c r="AW768" s="1">
        <v>1.6</v>
      </c>
      <c r="AX768" s="1">
        <v>0.6415</v>
      </c>
      <c r="AY768" s="1">
        <v>15.3</v>
      </c>
      <c r="AZ768" s="1">
        <v>13.4</v>
      </c>
      <c r="BA768" s="1">
        <v>18.0</v>
      </c>
      <c r="BB768" s="1">
        <v>2.93</v>
      </c>
      <c r="BC768" s="1" t="s">
        <v>1309</v>
      </c>
      <c r="BD768" s="1">
        <v>11.5</v>
      </c>
      <c r="BE768" s="1">
        <v>30.7</v>
      </c>
      <c r="BF768" s="1">
        <v>28.2</v>
      </c>
      <c r="BG768" s="1">
        <v>29.6</v>
      </c>
      <c r="BH768" s="1" t="s">
        <v>1407</v>
      </c>
    </row>
    <row r="769">
      <c r="A769" s="1">
        <v>18143.0</v>
      </c>
      <c r="B769" s="2" t="str">
        <f>IFERROR(__xludf.DUMMYFUNCTION("TO_TEXT(A769)"),"18143")</f>
        <v>18143</v>
      </c>
      <c r="C769" s="1">
        <v>23734.0</v>
      </c>
      <c r="D769" s="1">
        <v>190.39695222659</v>
      </c>
      <c r="E769" s="1" t="s">
        <v>394</v>
      </c>
      <c r="F769" s="1" t="s">
        <v>1408</v>
      </c>
      <c r="G769" s="1">
        <v>124.655356729419</v>
      </c>
      <c r="H769" s="1">
        <v>19.211339817</v>
      </c>
      <c r="I769" s="1">
        <v>4.7241696016</v>
      </c>
      <c r="J769" s="1">
        <v>9.262086514</v>
      </c>
      <c r="K769" s="1">
        <v>20.830916153</v>
      </c>
      <c r="L769" s="1">
        <v>32.8</v>
      </c>
      <c r="M769" s="1">
        <v>8.3</v>
      </c>
      <c r="N769" s="1">
        <v>29.1</v>
      </c>
      <c r="O769" s="1">
        <v>52.003639221</v>
      </c>
      <c r="P769" s="1">
        <v>8.5803034932</v>
      </c>
      <c r="Q769" s="1">
        <v>41.89359</v>
      </c>
      <c r="R769" s="1">
        <v>86.61971831</v>
      </c>
      <c r="S769" s="1">
        <v>20.5</v>
      </c>
      <c r="T769" s="1">
        <v>5375.0</v>
      </c>
      <c r="U769" s="1">
        <v>26.6790697669999</v>
      </c>
      <c r="V769" s="1">
        <v>193.84788043</v>
      </c>
      <c r="W769" s="1">
        <v>9.9491237988</v>
      </c>
      <c r="X769" s="1">
        <v>9.7838452787</v>
      </c>
      <c r="Y769" s="1">
        <v>71.586499615</v>
      </c>
      <c r="Z769" s="1">
        <v>14.1</v>
      </c>
      <c r="AA769" s="1">
        <v>1.3003011088</v>
      </c>
      <c r="AB769" s="1">
        <v>44913.0</v>
      </c>
      <c r="AC769" s="1">
        <v>60.798969072</v>
      </c>
      <c r="AD769" s="1">
        <v>72.745446468</v>
      </c>
      <c r="AE769" s="1">
        <v>11.813218725</v>
      </c>
      <c r="AF769" s="1">
        <v>0.4648630539</v>
      </c>
      <c r="AG769" s="1">
        <v>0.3266605243</v>
      </c>
      <c r="AH769" s="1">
        <v>0.9716056621</v>
      </c>
      <c r="AI769" s="1">
        <v>0.0837591088</v>
      </c>
      <c r="AJ769" s="1">
        <v>2.4541418879</v>
      </c>
      <c r="AK769" s="1">
        <v>95.062400536</v>
      </c>
      <c r="AL769" s="1">
        <v>0.1433499082</v>
      </c>
      <c r="AM769" s="1">
        <v>50.8710947319999</v>
      </c>
      <c r="AN769" s="1">
        <v>52.714941483</v>
      </c>
      <c r="AO769" s="1">
        <v>23103.0</v>
      </c>
      <c r="AP769" s="1">
        <v>14.0</v>
      </c>
      <c r="AQ769" s="1">
        <v>6.7</v>
      </c>
      <c r="AR769" s="1">
        <v>15.4</v>
      </c>
      <c r="AS769" s="1">
        <v>15.9</v>
      </c>
      <c r="AT769" s="1">
        <v>22.9</v>
      </c>
      <c r="AU769" s="1">
        <v>16.9</v>
      </c>
      <c r="AV769" s="1">
        <v>3.7</v>
      </c>
      <c r="AW769" s="1">
        <v>0.4</v>
      </c>
      <c r="AX769" s="1">
        <v>0.2652</v>
      </c>
      <c r="AY769" s="1">
        <v>13.6</v>
      </c>
      <c r="AZ769" s="1">
        <v>14.5</v>
      </c>
      <c r="BA769" s="1">
        <v>21.0</v>
      </c>
      <c r="BB769" s="1">
        <v>2.73</v>
      </c>
      <c r="BC769" s="1" t="s">
        <v>1309</v>
      </c>
      <c r="BD769" s="1">
        <v>16.8</v>
      </c>
      <c r="BE769" s="1">
        <v>43.5</v>
      </c>
      <c r="BF769" s="1">
        <v>27.7</v>
      </c>
      <c r="BG769" s="1">
        <v>12.0</v>
      </c>
      <c r="BH769" s="1" t="s">
        <v>1408</v>
      </c>
    </row>
    <row r="770">
      <c r="A770" s="1">
        <v>18145.0</v>
      </c>
      <c r="B770" s="2" t="str">
        <f>IFERROR(__xludf.DUMMYFUNCTION("TO_TEXT(A770)"),"18145")</f>
        <v>18145</v>
      </c>
      <c r="C770" s="1">
        <v>44404.0</v>
      </c>
      <c r="D770" s="1">
        <v>411.159600493227</v>
      </c>
      <c r="E770" s="1" t="s">
        <v>176</v>
      </c>
      <c r="F770" s="1" t="s">
        <v>1409</v>
      </c>
      <c r="G770" s="1">
        <v>107.996991792805</v>
      </c>
      <c r="H770" s="1">
        <v>17.95496341</v>
      </c>
      <c r="I770" s="1">
        <v>4.3486425116</v>
      </c>
      <c r="J770" s="1">
        <v>6.8418013857</v>
      </c>
      <c r="K770" s="1">
        <v>20.587481832</v>
      </c>
      <c r="L770" s="1">
        <v>36.6</v>
      </c>
      <c r="M770" s="1">
        <v>8.3</v>
      </c>
      <c r="N770" s="1">
        <v>29.8</v>
      </c>
      <c r="O770" s="1">
        <v>54.30731839</v>
      </c>
      <c r="P770" s="1">
        <v>8.5369532428</v>
      </c>
      <c r="Q770" s="1">
        <v>31.53508</v>
      </c>
      <c r="R770" s="1">
        <v>95.3722334</v>
      </c>
      <c r="S770" s="1">
        <v>16.6</v>
      </c>
      <c r="T770" s="1">
        <v>10019.0</v>
      </c>
      <c r="U770" s="1">
        <v>31.190737599</v>
      </c>
      <c r="V770" s="1">
        <v>535.44824187</v>
      </c>
      <c r="W770" s="1">
        <v>11.66955517</v>
      </c>
      <c r="X770" s="1">
        <v>9.7319347319</v>
      </c>
      <c r="Y770" s="1">
        <v>76.148581331</v>
      </c>
      <c r="Z770" s="1">
        <v>17.1</v>
      </c>
      <c r="AA770" s="1">
        <v>3.954386115</v>
      </c>
      <c r="AB770" s="1">
        <v>57193.0</v>
      </c>
      <c r="AC770" s="1">
        <v>46.234534696</v>
      </c>
      <c r="AD770" s="1">
        <v>73.28067701</v>
      </c>
      <c r="AE770" s="1">
        <v>8.8761174968</v>
      </c>
      <c r="AF770" s="1">
        <v>1.2221649138</v>
      </c>
      <c r="AG770" s="1">
        <v>0.3543156998</v>
      </c>
      <c r="AH770" s="1">
        <v>0.8588791963</v>
      </c>
      <c r="AI770" s="1">
        <v>0.141277779</v>
      </c>
      <c r="AJ770" s="1">
        <v>4.3751261409</v>
      </c>
      <c r="AK770" s="1">
        <v>92.162447021</v>
      </c>
      <c r="AL770" s="1">
        <v>0.8498042586</v>
      </c>
      <c r="AM770" s="1">
        <v>50.3374969169999</v>
      </c>
      <c r="AN770" s="1">
        <v>52.0478890989999</v>
      </c>
      <c r="AO770" s="1">
        <v>25478.0</v>
      </c>
      <c r="AP770" s="1">
        <v>12.5</v>
      </c>
      <c r="AQ770" s="1">
        <v>7.7</v>
      </c>
      <c r="AR770" s="1">
        <v>12.3</v>
      </c>
      <c r="AS770" s="1">
        <v>15.5</v>
      </c>
      <c r="AT770" s="1">
        <v>23.3</v>
      </c>
      <c r="AU770" s="1">
        <v>13.6</v>
      </c>
      <c r="AV770" s="1">
        <v>7.2</v>
      </c>
      <c r="AW770" s="1">
        <v>0.9</v>
      </c>
      <c r="AX770" s="1">
        <v>0.3607</v>
      </c>
      <c r="AY770" s="1">
        <v>10.1</v>
      </c>
      <c r="AZ770" s="1">
        <v>11.6</v>
      </c>
      <c r="BA770" s="1">
        <v>16.1</v>
      </c>
      <c r="BB770" s="1">
        <v>2.64</v>
      </c>
      <c r="BC770" s="1" t="s">
        <v>1309</v>
      </c>
      <c r="BD770" s="1">
        <v>12.7</v>
      </c>
      <c r="BE770" s="1">
        <v>42.4</v>
      </c>
      <c r="BF770" s="1">
        <v>26.2</v>
      </c>
      <c r="BG770" s="1">
        <v>18.7</v>
      </c>
      <c r="BH770" s="1" t="s">
        <v>1409</v>
      </c>
    </row>
    <row r="771">
      <c r="A771" s="1">
        <v>18147.0</v>
      </c>
      <c r="B771" s="2" t="str">
        <f>IFERROR(__xludf.DUMMYFUNCTION("TO_TEXT(A771)"),"18147")</f>
        <v>18147</v>
      </c>
      <c r="C771" s="1">
        <v>20777.0</v>
      </c>
      <c r="D771" s="1">
        <v>396.79304082736</v>
      </c>
      <c r="E771" s="1" t="s">
        <v>1410</v>
      </c>
      <c r="F771" s="1" t="s">
        <v>1411</v>
      </c>
      <c r="G771" s="1">
        <v>52.3623094716517</v>
      </c>
      <c r="H771" s="1">
        <v>17.37270344</v>
      </c>
      <c r="I771" s="1">
        <v>4.2878327204</v>
      </c>
      <c r="J771" s="1">
        <v>5.2416609939</v>
      </c>
      <c r="K771" s="1">
        <v>17.580567571</v>
      </c>
      <c r="L771" s="1">
        <v>35.4</v>
      </c>
      <c r="M771" s="1">
        <v>8.8</v>
      </c>
      <c r="N771" s="1">
        <v>27.8</v>
      </c>
      <c r="O771" s="1">
        <v>46.167430317</v>
      </c>
      <c r="P771" s="1">
        <v>8.4924012158</v>
      </c>
      <c r="Q771" s="1">
        <v>39.22722</v>
      </c>
      <c r="R771" s="1">
        <v>92.608695652</v>
      </c>
      <c r="S771" s="1">
        <v>11.8</v>
      </c>
      <c r="T771" s="1">
        <v>4512.0</v>
      </c>
      <c r="U771" s="1">
        <v>19.769503546</v>
      </c>
      <c r="V771" s="1">
        <v>204.509002055</v>
      </c>
      <c r="W771" s="1">
        <v>7.8735275883</v>
      </c>
      <c r="X771" s="1">
        <v>6.2774639046</v>
      </c>
      <c r="Y771" s="1">
        <v>78.683860892</v>
      </c>
      <c r="Z771" s="1">
        <v>7.9</v>
      </c>
      <c r="AA771" s="1">
        <v>0.001758507</v>
      </c>
      <c r="AB771" s="1">
        <v>56862.0</v>
      </c>
      <c r="AC771" s="1">
        <v>37.722529159</v>
      </c>
      <c r="AD771" s="1">
        <v>80.98409175</v>
      </c>
      <c r="AE771" s="1">
        <v>6.4044377206</v>
      </c>
      <c r="AF771" s="1">
        <v>0.757613027</v>
      </c>
      <c r="AG771" s="1">
        <v>0.265656516</v>
      </c>
      <c r="AH771" s="1">
        <v>0.3837260786</v>
      </c>
      <c r="AI771" s="1">
        <v>0.0</v>
      </c>
      <c r="AJ771" s="1">
        <v>2.9566586314</v>
      </c>
      <c r="AK771" s="1">
        <v>94.755743592</v>
      </c>
      <c r="AL771" s="1">
        <v>0.3762886598</v>
      </c>
      <c r="AM771" s="1">
        <v>49.66300979</v>
      </c>
      <c r="AN771" s="1">
        <v>100.0</v>
      </c>
      <c r="AO771" s="1">
        <v>25914.0</v>
      </c>
      <c r="AP771" s="1">
        <v>9.9</v>
      </c>
      <c r="AQ771" s="1">
        <v>5.7</v>
      </c>
      <c r="AR771" s="1">
        <v>10.6</v>
      </c>
      <c r="AS771" s="1">
        <v>17.8</v>
      </c>
      <c r="AT771" s="1">
        <v>22.7</v>
      </c>
      <c r="AU771" s="1">
        <v>13.9</v>
      </c>
      <c r="AV771" s="1">
        <v>4.7</v>
      </c>
      <c r="AW771" s="1">
        <v>0.4</v>
      </c>
      <c r="AX771" s="1">
        <v>0.1175</v>
      </c>
      <c r="AY771" s="1">
        <v>8.7</v>
      </c>
      <c r="AZ771" s="1">
        <v>11.0</v>
      </c>
      <c r="BA771" s="1">
        <v>16.0</v>
      </c>
      <c r="BB771" s="1">
        <v>2.91</v>
      </c>
      <c r="BC771" s="1" t="s">
        <v>1309</v>
      </c>
      <c r="BD771" s="1">
        <v>9.5</v>
      </c>
      <c r="BE771" s="1">
        <v>46.0</v>
      </c>
      <c r="BF771" s="1">
        <v>29.2</v>
      </c>
      <c r="BG771" s="1">
        <v>15.2</v>
      </c>
      <c r="BH771" s="1" t="s">
        <v>1411</v>
      </c>
    </row>
    <row r="772">
      <c r="A772" s="1">
        <v>18149.0</v>
      </c>
      <c r="B772" s="2" t="str">
        <f>IFERROR(__xludf.DUMMYFUNCTION("TO_TEXT(A772)"),"18149")</f>
        <v>18149</v>
      </c>
      <c r="C772" s="1">
        <v>23069.0</v>
      </c>
      <c r="D772" s="1">
        <v>309.135517663688</v>
      </c>
      <c r="E772" s="1" t="s">
        <v>1412</v>
      </c>
      <c r="F772" s="1" t="s">
        <v>1413</v>
      </c>
      <c r="G772" s="1">
        <v>74.6242300928262</v>
      </c>
      <c r="H772" s="1">
        <v>20.265798629</v>
      </c>
      <c r="I772" s="1">
        <v>4.8267514443</v>
      </c>
      <c r="J772" s="1">
        <v>6.8316299086</v>
      </c>
      <c r="K772" s="1">
        <v>22.774916523</v>
      </c>
      <c r="L772" s="1">
        <v>32.6</v>
      </c>
      <c r="M772" s="1">
        <v>8.1</v>
      </c>
      <c r="N772" s="1">
        <v>28.4</v>
      </c>
      <c r="O772" s="1">
        <v>56.058725335</v>
      </c>
      <c r="P772" s="1">
        <v>9.8179663938</v>
      </c>
      <c r="Q772" s="1">
        <v>21.84074</v>
      </c>
      <c r="R772" s="1">
        <v>92.635658915</v>
      </c>
      <c r="S772" s="1">
        <v>19.3</v>
      </c>
      <c r="T772" s="1">
        <v>5285.0</v>
      </c>
      <c r="U772" s="1">
        <v>24.995269631</v>
      </c>
      <c r="V772" s="1">
        <v>97.316123745</v>
      </c>
      <c r="W772" s="1">
        <v>11.862464183</v>
      </c>
      <c r="X772" s="1">
        <v>10.249275362</v>
      </c>
      <c r="Y772" s="1">
        <v>74.866366537</v>
      </c>
      <c r="Z772" s="1">
        <v>9.6</v>
      </c>
      <c r="AA772" s="1">
        <v>3.1770204721</v>
      </c>
      <c r="AB772" s="1">
        <v>49972.0</v>
      </c>
      <c r="AC772" s="1">
        <v>57.307249712</v>
      </c>
      <c r="AD772" s="1">
        <v>79.004006869</v>
      </c>
      <c r="AE772" s="1">
        <v>8.1399543104</v>
      </c>
      <c r="AF772" s="1">
        <v>0.409853935</v>
      </c>
      <c r="AG772" s="1">
        <v>0.4883366034</v>
      </c>
      <c r="AH772" s="1">
        <v>0.231087857</v>
      </c>
      <c r="AI772" s="1">
        <v>0.0</v>
      </c>
      <c r="AJ772" s="1">
        <v>3.9372138653</v>
      </c>
      <c r="AK772" s="1">
        <v>94.08763898</v>
      </c>
      <c r="AL772" s="1">
        <v>0.6508793796</v>
      </c>
      <c r="AM772" s="1">
        <v>50.132984521</v>
      </c>
      <c r="AN772" s="1">
        <v>82.382399521</v>
      </c>
      <c r="AO772" s="1">
        <v>21343.0</v>
      </c>
      <c r="AP772" s="1">
        <v>15.7</v>
      </c>
      <c r="AQ772" s="1">
        <v>9.5</v>
      </c>
      <c r="AR772" s="1">
        <v>17.1</v>
      </c>
      <c r="AS772" s="1">
        <v>16.8</v>
      </c>
      <c r="AT772" s="1">
        <v>23.1</v>
      </c>
      <c r="AU772" s="1">
        <v>17.0</v>
      </c>
      <c r="AV772" s="1">
        <v>5.4</v>
      </c>
      <c r="AW772" s="1">
        <v>0.3</v>
      </c>
      <c r="AX772" s="1">
        <v>0.3661</v>
      </c>
      <c r="AY772" s="1">
        <v>13.3</v>
      </c>
      <c r="AZ772" s="1">
        <v>13.4</v>
      </c>
      <c r="BA772" s="1">
        <v>18.6</v>
      </c>
      <c r="BB772" s="1">
        <v>2.62</v>
      </c>
      <c r="BC772" s="1" t="s">
        <v>1309</v>
      </c>
      <c r="BD772" s="1">
        <v>15.1</v>
      </c>
      <c r="BE772" s="1">
        <v>42.1</v>
      </c>
      <c r="BF772" s="1">
        <v>30.9</v>
      </c>
      <c r="BG772" s="1">
        <v>11.9</v>
      </c>
      <c r="BH772" s="1" t="s">
        <v>1413</v>
      </c>
    </row>
    <row r="773">
      <c r="A773" s="1">
        <v>18151.0</v>
      </c>
      <c r="B773" s="2" t="str">
        <f>IFERROR(__xludf.DUMMYFUNCTION("TO_TEXT(A773)"),"18151")</f>
        <v>18151</v>
      </c>
      <c r="C773" s="1">
        <v>34279.0</v>
      </c>
      <c r="D773" s="1">
        <v>308.775477162585</v>
      </c>
      <c r="E773" s="1" t="s">
        <v>1414</v>
      </c>
      <c r="F773" s="1" t="s">
        <v>1415</v>
      </c>
      <c r="G773" s="1">
        <v>111.015940498249</v>
      </c>
      <c r="H773" s="1">
        <v>16.458553094</v>
      </c>
      <c r="I773" s="1">
        <v>4.3150811705</v>
      </c>
      <c r="J773" s="1">
        <v>7.3079791201</v>
      </c>
      <c r="K773" s="1">
        <v>19.254014719</v>
      </c>
      <c r="L773" s="1">
        <v>29.6</v>
      </c>
      <c r="M773" s="1">
        <v>8.1</v>
      </c>
      <c r="N773" s="1">
        <v>27.3</v>
      </c>
      <c r="O773" s="1">
        <v>61.336843645</v>
      </c>
      <c r="P773" s="1">
        <v>9.55857321179999</v>
      </c>
      <c r="Q773" s="1">
        <v>31.89885</v>
      </c>
      <c r="R773" s="1">
        <v>86.363636364</v>
      </c>
      <c r="S773" s="1">
        <v>15.9</v>
      </c>
      <c r="T773" s="1">
        <v>6947.0</v>
      </c>
      <c r="U773" s="1">
        <v>27.609039873</v>
      </c>
      <c r="V773" s="1">
        <v>69.844015033</v>
      </c>
      <c r="W773" s="1">
        <v>8.8475836431</v>
      </c>
      <c r="X773" s="1">
        <v>7.3161627473</v>
      </c>
      <c r="Y773" s="1">
        <v>79.9616967739999</v>
      </c>
      <c r="Z773" s="1">
        <v>8.4</v>
      </c>
      <c r="AA773" s="1">
        <v>7.5424868072</v>
      </c>
      <c r="AB773" s="1">
        <v>58295.0</v>
      </c>
      <c r="AC773" s="1">
        <v>46.577540107</v>
      </c>
      <c r="AD773" s="1">
        <v>77.486578129</v>
      </c>
      <c r="AE773" s="1">
        <v>6.6100711072</v>
      </c>
      <c r="AF773" s="1">
        <v>0.6765743364</v>
      </c>
      <c r="AG773" s="1">
        <v>0.3643092581</v>
      </c>
      <c r="AH773" s="1">
        <v>0.6216388134</v>
      </c>
      <c r="AI773" s="1">
        <v>0.054935523</v>
      </c>
      <c r="AJ773" s="1">
        <v>3.6980281039</v>
      </c>
      <c r="AK773" s="1">
        <v>93.653501417</v>
      </c>
      <c r="AL773" s="1">
        <v>0.9738863287</v>
      </c>
      <c r="AM773" s="1">
        <v>49.2280113339999</v>
      </c>
      <c r="AN773" s="1">
        <v>67.24879333</v>
      </c>
      <c r="AO773" s="1">
        <v>25497.0</v>
      </c>
      <c r="AP773" s="1">
        <v>10.4</v>
      </c>
      <c r="AQ773" s="1">
        <v>5.9</v>
      </c>
      <c r="AR773" s="1">
        <v>11.5</v>
      </c>
      <c r="AS773" s="1">
        <v>17.2</v>
      </c>
      <c r="AT773" s="1">
        <v>21.2</v>
      </c>
      <c r="AU773" s="1">
        <v>15.0</v>
      </c>
      <c r="AV773" s="1">
        <v>5.9</v>
      </c>
      <c r="AW773" s="1">
        <v>0.9</v>
      </c>
      <c r="AX773" s="1">
        <v>0.2703</v>
      </c>
      <c r="AY773" s="1">
        <v>8.6</v>
      </c>
      <c r="AZ773" s="1">
        <v>11.5</v>
      </c>
      <c r="BA773" s="1">
        <v>16.7</v>
      </c>
      <c r="BB773" s="1">
        <v>2.72</v>
      </c>
      <c r="BC773" s="1" t="s">
        <v>1309</v>
      </c>
      <c r="BD773" s="1">
        <v>8.9</v>
      </c>
      <c r="BE773" s="1">
        <v>39.6</v>
      </c>
      <c r="BF773" s="1">
        <v>29.8</v>
      </c>
      <c r="BG773" s="1">
        <v>21.8</v>
      </c>
      <c r="BH773" s="1" t="s">
        <v>1415</v>
      </c>
    </row>
    <row r="774">
      <c r="A774" s="1">
        <v>18153.0</v>
      </c>
      <c r="B774" s="2" t="str">
        <f>IFERROR(__xludf.DUMMYFUNCTION("TO_TEXT(A774)"),"18153")</f>
        <v>18153</v>
      </c>
      <c r="C774" s="1">
        <v>21026.0</v>
      </c>
      <c r="D774" s="1">
        <v>447.128626518804</v>
      </c>
      <c r="E774" s="1" t="s">
        <v>1416</v>
      </c>
      <c r="F774" s="1" t="s">
        <v>1417</v>
      </c>
      <c r="G774" s="1">
        <v>47.0244997814197</v>
      </c>
      <c r="H774" s="1">
        <v>19.50491326</v>
      </c>
      <c r="I774" s="1">
        <v>4.52222466339999</v>
      </c>
      <c r="J774" s="1">
        <v>7.1199486851</v>
      </c>
      <c r="K774" s="1">
        <v>21.065200146</v>
      </c>
      <c r="L774" s="1">
        <v>30.6</v>
      </c>
      <c r="M774" s="1">
        <v>8.0</v>
      </c>
      <c r="N774" s="1">
        <v>31.9</v>
      </c>
      <c r="O774" s="1">
        <v>49.545983702</v>
      </c>
      <c r="P774" s="1">
        <v>9.4079210561</v>
      </c>
      <c r="Q774" s="1">
        <v>48.20206</v>
      </c>
      <c r="R774" s="1">
        <v>82.329317269</v>
      </c>
      <c r="S774" s="1">
        <v>18.4</v>
      </c>
      <c r="T774" s="1">
        <v>4144.0</v>
      </c>
      <c r="U774" s="1">
        <v>35.738416988</v>
      </c>
      <c r="V774" s="1">
        <v>127.85442436</v>
      </c>
      <c r="W774" s="1">
        <v>14.646791964</v>
      </c>
      <c r="X774" s="1">
        <v>12.317880795</v>
      </c>
      <c r="Y774" s="1">
        <v>75.783729541</v>
      </c>
      <c r="Z774" s="1">
        <v>19.8</v>
      </c>
      <c r="AA774" s="1">
        <v>1.7436515811</v>
      </c>
      <c r="AB774" s="1">
        <v>47554.0</v>
      </c>
      <c r="AC774" s="1">
        <v>52.697095436</v>
      </c>
      <c r="AD774" s="1">
        <v>73.4786557669999</v>
      </c>
      <c r="AE774" s="1">
        <v>10.734850562</v>
      </c>
      <c r="AF774" s="1">
        <v>4.6544224263</v>
      </c>
      <c r="AG774" s="1">
        <v>0.3431609473</v>
      </c>
      <c r="AH774" s="1">
        <v>0.2706621556</v>
      </c>
      <c r="AI774" s="1">
        <v>0.0096665056</v>
      </c>
      <c r="AJ774" s="1">
        <v>1.7931367811</v>
      </c>
      <c r="AK774" s="1">
        <v>91.667472209</v>
      </c>
      <c r="AL774" s="1">
        <v>0.1823523453</v>
      </c>
      <c r="AM774" s="1">
        <v>45.66940551</v>
      </c>
      <c r="AN774" s="1">
        <v>78.961583236</v>
      </c>
      <c r="AO774" s="1">
        <v>20219.0</v>
      </c>
      <c r="AP774" s="1">
        <v>17.3</v>
      </c>
      <c r="AQ774" s="1">
        <v>5.6</v>
      </c>
      <c r="AR774" s="1">
        <v>13.6</v>
      </c>
      <c r="AS774" s="1">
        <v>16.3</v>
      </c>
      <c r="AT774" s="1">
        <v>20.7</v>
      </c>
      <c r="AU774" s="1">
        <v>17.7</v>
      </c>
      <c r="AV774" s="1">
        <v>7.7</v>
      </c>
      <c r="AW774" s="1">
        <v>0.2</v>
      </c>
      <c r="AX774" s="1">
        <v>0.6778</v>
      </c>
      <c r="AY774" s="1">
        <v>14.4</v>
      </c>
      <c r="AZ774" s="1">
        <v>14.3</v>
      </c>
      <c r="BA774" s="1">
        <v>19.5</v>
      </c>
      <c r="BB774" s="1">
        <v>2.93</v>
      </c>
      <c r="BC774" s="1" t="s">
        <v>1309</v>
      </c>
      <c r="BD774" s="1">
        <v>11.3</v>
      </c>
      <c r="BE774" s="1">
        <v>44.2</v>
      </c>
      <c r="BF774" s="1">
        <v>32.4</v>
      </c>
      <c r="BG774" s="1">
        <v>12.1</v>
      </c>
      <c r="BH774" s="1" t="s">
        <v>1417</v>
      </c>
    </row>
    <row r="775">
      <c r="A775" s="1">
        <v>18155.0</v>
      </c>
      <c r="B775" s="2" t="str">
        <f>IFERROR(__xludf.DUMMYFUNCTION("TO_TEXT(A775)"),"18155")</f>
        <v>18155</v>
      </c>
      <c r="C775" s="1">
        <v>10484.0</v>
      </c>
      <c r="D775" s="1">
        <v>220.661051316867</v>
      </c>
      <c r="E775" s="1" t="s">
        <v>1418</v>
      </c>
      <c r="F775" s="1" t="s">
        <v>1419</v>
      </c>
      <c r="G775" s="1">
        <v>47.5117830601877</v>
      </c>
      <c r="H775" s="1">
        <v>21.580626817</v>
      </c>
      <c r="I775" s="1">
        <v>5.0175832582</v>
      </c>
      <c r="J775" s="1">
        <v>8.120649652</v>
      </c>
      <c r="K775" s="1">
        <v>24.01962089</v>
      </c>
      <c r="L775" s="1">
        <v>34.4</v>
      </c>
      <c r="M775" s="1">
        <v>7.8</v>
      </c>
      <c r="N775" s="1">
        <v>37.1</v>
      </c>
      <c r="O775" s="1">
        <v>48.336945256</v>
      </c>
      <c r="P775" s="1">
        <v>11.452130096</v>
      </c>
      <c r="Q775" s="1">
        <v>48.31939</v>
      </c>
      <c r="R775" s="1">
        <v>95.37037037</v>
      </c>
      <c r="S775" s="1">
        <v>29.8</v>
      </c>
      <c r="T775" s="1">
        <v>2656.0</v>
      </c>
      <c r="U775" s="1">
        <v>26.09186747</v>
      </c>
      <c r="V775" s="1">
        <v>204.509002055</v>
      </c>
      <c r="W775" s="1">
        <v>14.7560975609999</v>
      </c>
      <c r="X775" s="1">
        <v>12.7921279209999</v>
      </c>
      <c r="Y775" s="1">
        <v>76.549548557</v>
      </c>
      <c r="Z775" s="1">
        <v>22.2</v>
      </c>
      <c r="AA775" s="1">
        <v>2.0806714191</v>
      </c>
      <c r="AB775" s="1">
        <v>47713.0</v>
      </c>
      <c r="AC775" s="1">
        <v>55.106100796</v>
      </c>
      <c r="AD775" s="1">
        <v>73.609494997</v>
      </c>
      <c r="AE775" s="1">
        <v>12.6411920209999</v>
      </c>
      <c r="AF775" s="1">
        <v>1.1850331249</v>
      </c>
      <c r="AG775" s="1">
        <v>0.2892600541</v>
      </c>
      <c r="AH775" s="1">
        <v>0.3919007185</v>
      </c>
      <c r="AI775" s="1">
        <v>0.0466548474</v>
      </c>
      <c r="AJ775" s="1">
        <v>1.9781655314</v>
      </c>
      <c r="AK775" s="1">
        <v>95.1105719879999</v>
      </c>
      <c r="AL775" s="1">
        <v>0.3712995484</v>
      </c>
      <c r="AM775" s="1">
        <v>48.45572455</v>
      </c>
      <c r="AN775" s="1">
        <v>100.0</v>
      </c>
      <c r="AO775" s="1">
        <v>20698.0</v>
      </c>
      <c r="AP775" s="1">
        <v>21.5</v>
      </c>
      <c r="AQ775" s="1">
        <v>6.9</v>
      </c>
      <c r="AR775" s="1">
        <v>17.3</v>
      </c>
      <c r="AS775" s="1">
        <v>16.9</v>
      </c>
      <c r="AT775" s="1">
        <v>24.9</v>
      </c>
      <c r="AU775" s="1">
        <v>16.3</v>
      </c>
      <c r="AV775" s="1">
        <v>3.6</v>
      </c>
      <c r="AW775" s="1">
        <v>0.3</v>
      </c>
      <c r="AX775" s="1">
        <v>0.611</v>
      </c>
      <c r="AY775" s="1">
        <v>14.5</v>
      </c>
      <c r="AZ775" s="1">
        <v>15.6</v>
      </c>
      <c r="BA775" s="1">
        <v>22.4</v>
      </c>
      <c r="BB775" s="1">
        <v>2.84</v>
      </c>
      <c r="BC775" s="1" t="s">
        <v>1309</v>
      </c>
      <c r="BD775" s="1">
        <v>16.1</v>
      </c>
      <c r="BE775" s="1">
        <v>46.4</v>
      </c>
      <c r="BF775" s="1">
        <v>26.6</v>
      </c>
      <c r="BG775" s="1">
        <v>10.9</v>
      </c>
      <c r="BH775" s="1" t="s">
        <v>1419</v>
      </c>
    </row>
    <row r="776">
      <c r="A776" s="1">
        <v>18157.0</v>
      </c>
      <c r="B776" s="2" t="str">
        <f>IFERROR(__xludf.DUMMYFUNCTION("TO_TEXT(A776)"),"18157")</f>
        <v>18157</v>
      </c>
      <c r="C776" s="1">
        <v>183397.0</v>
      </c>
      <c r="D776" s="1">
        <v>499.802916194484</v>
      </c>
      <c r="E776" s="1" t="s">
        <v>1420</v>
      </c>
      <c r="F776" s="1" t="s">
        <v>1421</v>
      </c>
      <c r="G776" s="1">
        <v>366.938635325281</v>
      </c>
      <c r="H776" s="1">
        <v>19.426508319</v>
      </c>
      <c r="I776" s="1">
        <v>5.2019385305</v>
      </c>
      <c r="J776" s="1">
        <v>7.1580262336</v>
      </c>
      <c r="K776" s="1">
        <v>19.1170140509999</v>
      </c>
      <c r="L776" s="1">
        <v>32.5</v>
      </c>
      <c r="M776" s="1">
        <v>7.3</v>
      </c>
      <c r="N776" s="1">
        <v>24.5</v>
      </c>
      <c r="O776" s="1">
        <v>78.6908206969999</v>
      </c>
      <c r="P776" s="1">
        <v>9.9463265201</v>
      </c>
      <c r="Q776" s="1">
        <v>69.7844</v>
      </c>
      <c r="R776" s="1">
        <v>84.662576687</v>
      </c>
      <c r="S776" s="1">
        <v>14.7</v>
      </c>
      <c r="T776" s="1">
        <v>38291.0</v>
      </c>
      <c r="U776" s="1">
        <v>31.357237993</v>
      </c>
      <c r="V776" s="1">
        <v>243.33161999</v>
      </c>
      <c r="W776" s="1">
        <v>17.544374358</v>
      </c>
      <c r="X776" s="1">
        <v>16.00926341</v>
      </c>
      <c r="Y776" s="1">
        <v>79.124290807</v>
      </c>
      <c r="Z776" s="1">
        <v>7.5</v>
      </c>
      <c r="AA776" s="1">
        <v>6.6627761782</v>
      </c>
      <c r="AB776" s="1">
        <v>52269.0</v>
      </c>
      <c r="AC776" s="1">
        <v>46.132959993</v>
      </c>
      <c r="AD776" s="1">
        <v>54.3624840839999</v>
      </c>
      <c r="AE776" s="1">
        <v>15.605703547</v>
      </c>
      <c r="AF776" s="1">
        <v>5.4079814347</v>
      </c>
      <c r="AG776" s="1">
        <v>0.3957564958</v>
      </c>
      <c r="AH776" s="1">
        <v>8.5610832539</v>
      </c>
      <c r="AI776" s="1">
        <v>0.0554266296</v>
      </c>
      <c r="AJ776" s="1">
        <v>8.5015125772</v>
      </c>
      <c r="AK776" s="1">
        <v>75.425282831</v>
      </c>
      <c r="AL776" s="1">
        <v>1.7110875099</v>
      </c>
      <c r="AM776" s="1">
        <v>48.884215325</v>
      </c>
      <c r="AN776" s="1">
        <v>14.501099664</v>
      </c>
      <c r="AO776" s="1">
        <v>24221.0</v>
      </c>
      <c r="AP776" s="1">
        <v>21.8</v>
      </c>
      <c r="AQ776" s="1">
        <v>6.2</v>
      </c>
      <c r="AR776" s="1">
        <v>9.3</v>
      </c>
      <c r="AS776" s="1">
        <v>10.2</v>
      </c>
      <c r="AT776" s="1">
        <v>20.7</v>
      </c>
      <c r="AU776" s="1">
        <v>9.9</v>
      </c>
      <c r="AV776" s="1">
        <v>22.2</v>
      </c>
      <c r="AW776" s="1">
        <v>2.0</v>
      </c>
      <c r="AX776" s="1">
        <v>0.4897</v>
      </c>
      <c r="AY776" s="1">
        <v>16.1</v>
      </c>
      <c r="AZ776" s="1">
        <v>13.1</v>
      </c>
      <c r="BA776" s="1">
        <v>15.2</v>
      </c>
      <c r="BB776" s="1">
        <v>2.92</v>
      </c>
      <c r="BC776" s="1" t="s">
        <v>1309</v>
      </c>
      <c r="BD776" s="1">
        <v>8.4</v>
      </c>
      <c r="BE776" s="1">
        <v>25.4</v>
      </c>
      <c r="BF776" s="1">
        <v>27.5</v>
      </c>
      <c r="BG776" s="1">
        <v>38.7</v>
      </c>
      <c r="BH776" s="1" t="s">
        <v>1421</v>
      </c>
    </row>
    <row r="777">
      <c r="A777" s="1">
        <v>18159.0</v>
      </c>
      <c r="B777" s="2" t="str">
        <f>IFERROR(__xludf.DUMMYFUNCTION("TO_TEXT(A777)"),"18159")</f>
        <v>18159</v>
      </c>
      <c r="C777" s="1">
        <v>15447.0</v>
      </c>
      <c r="D777" s="1">
        <v>260.540702182996</v>
      </c>
      <c r="E777" s="1" t="s">
        <v>1422</v>
      </c>
      <c r="F777" s="1" t="s">
        <v>1423</v>
      </c>
      <c r="G777" s="1">
        <v>59.2882412251675</v>
      </c>
      <c r="H777" s="1">
        <v>16.885077887</v>
      </c>
      <c r="I777" s="1">
        <v>4.4559670242</v>
      </c>
      <c r="J777" s="1">
        <v>6.906614786</v>
      </c>
      <c r="K777" s="1">
        <v>18.771037998</v>
      </c>
      <c r="L777" s="1">
        <v>34.5</v>
      </c>
      <c r="M777" s="1">
        <v>8.5</v>
      </c>
      <c r="N777" s="1">
        <v>18.4</v>
      </c>
      <c r="O777" s="1">
        <v>52.484939759</v>
      </c>
      <c r="P777" s="1">
        <v>8.3862876254</v>
      </c>
      <c r="Q777" s="1">
        <v>33.0513</v>
      </c>
      <c r="R777" s="1">
        <v>94.97716895</v>
      </c>
      <c r="S777" s="1">
        <v>11.0</v>
      </c>
      <c r="T777" s="1">
        <v>2991.0</v>
      </c>
      <c r="U777" s="1">
        <v>24.841190237</v>
      </c>
      <c r="V777" s="1">
        <v>132.30138255</v>
      </c>
      <c r="W777" s="1">
        <v>6.5625</v>
      </c>
      <c r="X777" s="1">
        <v>5.1648351648</v>
      </c>
      <c r="Y777" s="1">
        <v>77.625242285</v>
      </c>
      <c r="Z777" s="1">
        <v>17.0</v>
      </c>
      <c r="AA777" s="1">
        <v>2.9741425392</v>
      </c>
      <c r="AB777" s="1">
        <v>60896.0</v>
      </c>
      <c r="AC777" s="1">
        <v>40.691144708</v>
      </c>
      <c r="AD777" s="1">
        <v>80.619539317</v>
      </c>
      <c r="AE777" s="1">
        <v>6.0819892473</v>
      </c>
      <c r="AF777" s="1">
        <v>0.5750925436</v>
      </c>
      <c r="AG777" s="1">
        <v>0.4032258065</v>
      </c>
      <c r="AH777" s="1">
        <v>0.5618720254</v>
      </c>
      <c r="AI777" s="1">
        <v>0.0330512956</v>
      </c>
      <c r="AJ777" s="1">
        <v>2.9283447911</v>
      </c>
      <c r="AK777" s="1">
        <v>94.625859334</v>
      </c>
      <c r="AL777" s="1">
        <v>0.5389718076</v>
      </c>
      <c r="AM777" s="1">
        <v>50.178476996</v>
      </c>
      <c r="AN777" s="1">
        <v>61.602660643</v>
      </c>
      <c r="AO777" s="1">
        <v>27556.0</v>
      </c>
      <c r="AP777" s="1">
        <v>8.7</v>
      </c>
      <c r="AQ777" s="1">
        <v>5.3</v>
      </c>
      <c r="AR777" s="1">
        <v>11.7</v>
      </c>
      <c r="AS777" s="1">
        <v>19.3</v>
      </c>
      <c r="AT777" s="1">
        <v>21.7</v>
      </c>
      <c r="AU777" s="1">
        <v>16.6</v>
      </c>
      <c r="AV777" s="1">
        <v>4.3</v>
      </c>
      <c r="AW777" s="1">
        <v>0.6</v>
      </c>
      <c r="AX777" s="1">
        <v>0.1312</v>
      </c>
      <c r="AY777" s="1">
        <v>7.8</v>
      </c>
      <c r="AZ777" s="1">
        <v>11.1</v>
      </c>
      <c r="BA777" s="1">
        <v>15.7</v>
      </c>
      <c r="BB777" s="1">
        <v>3.03</v>
      </c>
      <c r="BC777" s="1" t="s">
        <v>1309</v>
      </c>
      <c r="BD777" s="1">
        <v>10.7</v>
      </c>
      <c r="BE777" s="1">
        <v>40.8</v>
      </c>
      <c r="BF777" s="1">
        <v>23.8</v>
      </c>
      <c r="BG777" s="1">
        <v>24.7</v>
      </c>
      <c r="BH777" s="1" t="s">
        <v>1423</v>
      </c>
    </row>
    <row r="778">
      <c r="A778" s="1">
        <v>18161.0</v>
      </c>
      <c r="B778" s="2" t="str">
        <f>IFERROR(__xludf.DUMMYFUNCTION("TO_TEXT(A778)"),"18161")</f>
        <v>18161</v>
      </c>
      <c r="C778" s="1">
        <v>7251.0</v>
      </c>
      <c r="D778" s="1">
        <v>161.224059241936</v>
      </c>
      <c r="E778" s="1" t="s">
        <v>406</v>
      </c>
      <c r="F778" s="1" t="s">
        <v>1424</v>
      </c>
      <c r="G778" s="1">
        <v>44.9746770680112</v>
      </c>
      <c r="H778" s="1">
        <v>18.238432018</v>
      </c>
      <c r="I778" s="1">
        <v>4.6112571349</v>
      </c>
      <c r="J778" s="1">
        <v>6.490872211</v>
      </c>
      <c r="K778" s="1">
        <v>20.195060822</v>
      </c>
      <c r="L778" s="1">
        <v>24.7</v>
      </c>
      <c r="M778" s="1">
        <v>7.7</v>
      </c>
      <c r="N778" s="1">
        <v>30.6</v>
      </c>
      <c r="O778" s="1">
        <v>70.210218201</v>
      </c>
      <c r="P778" s="1">
        <v>9.2055267703</v>
      </c>
      <c r="Q778" s="1">
        <v>13.88889</v>
      </c>
      <c r="R778" s="1">
        <v>91.818181818</v>
      </c>
      <c r="S778" s="1">
        <v>16.8</v>
      </c>
      <c r="T778" s="1">
        <v>1516.0</v>
      </c>
      <c r="U778" s="1">
        <v>33.443271768</v>
      </c>
      <c r="V778" s="1">
        <v>204.509002055</v>
      </c>
      <c r="W778" s="1">
        <v>11.66380789</v>
      </c>
      <c r="X778" s="1">
        <v>10.811744387</v>
      </c>
      <c r="Y778" s="1">
        <v>76.11945957</v>
      </c>
      <c r="Z778" s="1">
        <v>19.0</v>
      </c>
      <c r="AA778" s="1">
        <v>6.508531482</v>
      </c>
      <c r="AB778" s="1">
        <v>50300.0</v>
      </c>
      <c r="AC778" s="1">
        <v>49.631811487</v>
      </c>
      <c r="AD778" s="1">
        <v>71.047083626</v>
      </c>
      <c r="AE778" s="1">
        <v>9.1395930025</v>
      </c>
      <c r="AF778" s="1">
        <v>0.8242148643</v>
      </c>
      <c r="AG778" s="1">
        <v>0.2984226233</v>
      </c>
      <c r="AH778" s="1">
        <v>0.4831604377</v>
      </c>
      <c r="AI778" s="1">
        <v>0.0426318033</v>
      </c>
      <c r="AJ778" s="1">
        <v>1.8473781441</v>
      </c>
      <c r="AK778" s="1">
        <v>95.012079011</v>
      </c>
      <c r="AL778" s="1">
        <v>0.5349977708</v>
      </c>
      <c r="AM778" s="1">
        <v>50.39079153</v>
      </c>
      <c r="AN778" s="1">
        <v>100.0</v>
      </c>
      <c r="AO778" s="1">
        <v>22918.0</v>
      </c>
      <c r="AP778" s="1">
        <v>9.5</v>
      </c>
      <c r="AQ778" s="1">
        <v>5.4</v>
      </c>
      <c r="AR778" s="1">
        <v>11.8</v>
      </c>
      <c r="AS778" s="1">
        <v>17.3</v>
      </c>
      <c r="AT778" s="1">
        <v>23.2</v>
      </c>
      <c r="AU778" s="1">
        <v>14.7</v>
      </c>
      <c r="AV778" s="1">
        <v>3.8</v>
      </c>
      <c r="AW778" s="1">
        <v>0.0</v>
      </c>
      <c r="AX778" s="1">
        <v>0.1286</v>
      </c>
      <c r="AY778" s="1">
        <v>9.6</v>
      </c>
      <c r="AZ778" s="1">
        <v>11.7</v>
      </c>
      <c r="BA778" s="1">
        <v>14.8</v>
      </c>
      <c r="BB778" s="1">
        <v>2.98</v>
      </c>
      <c r="BC778" s="1" t="s">
        <v>1309</v>
      </c>
      <c r="BD778" s="1">
        <v>12.6</v>
      </c>
      <c r="BE778" s="1">
        <v>43.4</v>
      </c>
      <c r="BF778" s="1">
        <v>25.6</v>
      </c>
      <c r="BG778" s="1">
        <v>18.5</v>
      </c>
      <c r="BH778" s="1" t="s">
        <v>1424</v>
      </c>
    </row>
    <row r="779">
      <c r="A779" s="1">
        <v>18163.0</v>
      </c>
      <c r="B779" s="2" t="str">
        <f>IFERROR(__xludf.DUMMYFUNCTION("TO_TEXT(A779)"),"18163")</f>
        <v>18163</v>
      </c>
      <c r="C779" s="1">
        <v>181692.0</v>
      </c>
      <c r="D779" s="1">
        <v>233.679533533124</v>
      </c>
      <c r="E779" s="1" t="s">
        <v>1425</v>
      </c>
      <c r="F779" s="1" t="s">
        <v>1426</v>
      </c>
      <c r="G779" s="1">
        <v>777.526372348074</v>
      </c>
      <c r="H779" s="1">
        <v>19.380645513</v>
      </c>
      <c r="I779" s="1">
        <v>5.0769231503</v>
      </c>
      <c r="J779" s="1">
        <v>9.1078186133</v>
      </c>
      <c r="K779" s="1">
        <v>21.39977125</v>
      </c>
      <c r="L779" s="1">
        <v>34.2</v>
      </c>
      <c r="M779" s="1">
        <v>7.5</v>
      </c>
      <c r="N779" s="1">
        <v>28.5</v>
      </c>
      <c r="O779" s="1">
        <v>88.158795346</v>
      </c>
      <c r="P779" s="1">
        <v>8.516135222</v>
      </c>
      <c r="Q779" s="1">
        <v>84.79429</v>
      </c>
      <c r="R779" s="1">
        <v>81.061519903</v>
      </c>
      <c r="S779" s="1">
        <v>20.1</v>
      </c>
      <c r="T779" s="1">
        <v>38673.0</v>
      </c>
      <c r="U779" s="1">
        <v>39.252191451</v>
      </c>
      <c r="V779" s="1">
        <v>408.95861218</v>
      </c>
      <c r="W779" s="1">
        <v>14.256879499</v>
      </c>
      <c r="X779" s="1">
        <v>12.407610183</v>
      </c>
      <c r="Y779" s="1">
        <v>76.424063633</v>
      </c>
      <c r="Z779" s="1">
        <v>10.9</v>
      </c>
      <c r="AA779" s="1">
        <v>4.0149783093</v>
      </c>
      <c r="AB779" s="1">
        <v>50500.0</v>
      </c>
      <c r="AC779" s="1">
        <v>56.947471898</v>
      </c>
      <c r="AD779" s="1">
        <v>64.336343205</v>
      </c>
      <c r="AE779" s="1">
        <v>13.6748165259999</v>
      </c>
      <c r="AF779" s="1">
        <v>9.55662139309999</v>
      </c>
      <c r="AG779" s="1">
        <v>0.3005956657</v>
      </c>
      <c r="AH779" s="1">
        <v>1.3217368241</v>
      </c>
      <c r="AI779" s="1">
        <v>0.1933979467</v>
      </c>
      <c r="AJ779" s="1">
        <v>2.7351995314</v>
      </c>
      <c r="AK779" s="1">
        <v>83.544597567</v>
      </c>
      <c r="AL779" s="1">
        <v>0.6443957542</v>
      </c>
      <c r="AM779" s="1">
        <v>51.5405527869999</v>
      </c>
      <c r="AN779" s="1">
        <v>9.167348347</v>
      </c>
      <c r="AO779" s="1">
        <v>25666.0</v>
      </c>
      <c r="AP779" s="1">
        <v>17.0</v>
      </c>
      <c r="AQ779" s="1">
        <v>5.7</v>
      </c>
      <c r="AR779" s="1">
        <v>10.2</v>
      </c>
      <c r="AS779" s="1">
        <v>15.3</v>
      </c>
      <c r="AT779" s="1">
        <v>21.9</v>
      </c>
      <c r="AU779" s="1">
        <v>14.7</v>
      </c>
      <c r="AV779" s="1">
        <v>15.6</v>
      </c>
      <c r="AW779" s="1">
        <v>0.6</v>
      </c>
      <c r="AX779" s="1">
        <v>0.5196</v>
      </c>
      <c r="AY779" s="1">
        <v>14.4</v>
      </c>
      <c r="AZ779" s="1">
        <v>14.5</v>
      </c>
      <c r="BA779" s="1">
        <v>19.9</v>
      </c>
      <c r="BB779" s="1">
        <v>2.82</v>
      </c>
      <c r="BC779" s="1" t="s">
        <v>1309</v>
      </c>
      <c r="BD779" s="1">
        <v>9.9</v>
      </c>
      <c r="BE779" s="1">
        <v>32.5</v>
      </c>
      <c r="BF779" s="1">
        <v>30.6</v>
      </c>
      <c r="BG779" s="1">
        <v>27.0</v>
      </c>
      <c r="BH779" s="1" t="s">
        <v>1426</v>
      </c>
    </row>
    <row r="780">
      <c r="A780" s="1">
        <v>18165.0</v>
      </c>
      <c r="B780" s="2" t="str">
        <f>IFERROR(__xludf.DUMMYFUNCTION("TO_TEXT(A780)"),"18165")</f>
        <v>18165</v>
      </c>
      <c r="C780" s="1">
        <v>15752.0</v>
      </c>
      <c r="D780" s="1">
        <v>256.878198070704</v>
      </c>
      <c r="E780" s="1" t="s">
        <v>1427</v>
      </c>
      <c r="F780" s="1" t="s">
        <v>1428</v>
      </c>
      <c r="G780" s="1">
        <v>61.3208910616242</v>
      </c>
      <c r="H780" s="1">
        <v>17.4063026609999</v>
      </c>
      <c r="I780" s="1">
        <v>4.4714919465</v>
      </c>
      <c r="J780" s="1">
        <v>7.5993091537</v>
      </c>
      <c r="K780" s="1">
        <v>18.933214482</v>
      </c>
      <c r="L780" s="1">
        <v>40.5</v>
      </c>
      <c r="M780" s="1">
        <v>7.8</v>
      </c>
      <c r="N780" s="1">
        <v>25.7</v>
      </c>
      <c r="O780" s="1">
        <v>51.905995559</v>
      </c>
      <c r="P780" s="1">
        <v>8.12232020059999</v>
      </c>
      <c r="Q780" s="1">
        <v>38.69719</v>
      </c>
      <c r="R780" s="1">
        <v>94.1176470589999</v>
      </c>
      <c r="S780" s="1">
        <v>20.5</v>
      </c>
      <c r="T780" s="1">
        <v>3375.0</v>
      </c>
      <c r="U780" s="1">
        <v>36.918518519</v>
      </c>
      <c r="V780" s="1">
        <v>204.509002055</v>
      </c>
      <c r="W780" s="1">
        <v>8.7121212121</v>
      </c>
      <c r="X780" s="1">
        <v>7.5617283951</v>
      </c>
      <c r="Y780" s="1">
        <v>75.725066927</v>
      </c>
      <c r="Z780" s="1">
        <v>16.5</v>
      </c>
      <c r="AA780" s="1">
        <v>4.9584378023</v>
      </c>
      <c r="AB780" s="1">
        <v>49287.0</v>
      </c>
      <c r="AC780" s="1">
        <v>54.9498998</v>
      </c>
      <c r="AD780" s="1">
        <v>72.868802902</v>
      </c>
      <c r="AE780" s="1">
        <v>8.102862688</v>
      </c>
      <c r="AF780" s="1">
        <v>0.432844499</v>
      </c>
      <c r="AG780" s="1">
        <v>0.3811615737</v>
      </c>
      <c r="AH780" s="1">
        <v>0.2584146263</v>
      </c>
      <c r="AI780" s="1">
        <v>0.0516829253</v>
      </c>
      <c r="AJ780" s="1">
        <v>1.298533497</v>
      </c>
      <c r="AK780" s="1">
        <v>96.4920214479999</v>
      </c>
      <c r="AL780" s="1">
        <v>0.2375135722</v>
      </c>
      <c r="AM780" s="1">
        <v>50.313327734</v>
      </c>
      <c r="AN780" s="1">
        <v>60.368862571</v>
      </c>
      <c r="AO780" s="1">
        <v>22932.0</v>
      </c>
      <c r="AP780" s="1">
        <v>13.4</v>
      </c>
      <c r="AQ780" s="1">
        <v>6.2</v>
      </c>
      <c r="AR780" s="1">
        <v>11.0</v>
      </c>
      <c r="AS780" s="1">
        <v>18.7</v>
      </c>
      <c r="AT780" s="1">
        <v>22.3</v>
      </c>
      <c r="AU780" s="1">
        <v>17.2</v>
      </c>
      <c r="AV780" s="1">
        <v>3.0</v>
      </c>
      <c r="AW780" s="1">
        <v>0.2</v>
      </c>
      <c r="AX780" s="1">
        <v>0.3053</v>
      </c>
      <c r="AY780" s="1">
        <v>12.2</v>
      </c>
      <c r="AZ780" s="1">
        <v>15.4</v>
      </c>
      <c r="BA780" s="1">
        <v>23.0</v>
      </c>
      <c r="BB780" s="1">
        <v>2.71</v>
      </c>
      <c r="BC780" s="1" t="s">
        <v>1309</v>
      </c>
      <c r="BD780" s="1">
        <v>9.0</v>
      </c>
      <c r="BE780" s="1">
        <v>43.4</v>
      </c>
      <c r="BF780" s="1">
        <v>33.4</v>
      </c>
      <c r="BG780" s="1">
        <v>14.2</v>
      </c>
      <c r="BH780" s="1" t="s">
        <v>1428</v>
      </c>
    </row>
    <row r="781">
      <c r="A781" s="1">
        <v>18167.0</v>
      </c>
      <c r="B781" s="2" t="str">
        <f>IFERROR(__xludf.DUMMYFUNCTION("TO_TEXT(A781)"),"18167")</f>
        <v>18167</v>
      </c>
      <c r="C781" s="1">
        <v>108099.0</v>
      </c>
      <c r="D781" s="1">
        <v>403.47392396569</v>
      </c>
      <c r="E781" s="1" t="s">
        <v>1429</v>
      </c>
      <c r="F781" s="1" t="s">
        <v>1430</v>
      </c>
      <c r="G781" s="1">
        <v>267.920659995842</v>
      </c>
      <c r="H781" s="1">
        <v>20.267988194</v>
      </c>
      <c r="I781" s="1">
        <v>5.1161227227</v>
      </c>
      <c r="J781" s="1">
        <v>8.0995115302</v>
      </c>
      <c r="K781" s="1">
        <v>22.079088952</v>
      </c>
      <c r="L781" s="1">
        <v>34.6</v>
      </c>
      <c r="M781" s="1">
        <v>6.5</v>
      </c>
      <c r="N781" s="1">
        <v>28.7</v>
      </c>
      <c r="O781" s="1">
        <v>84.89262666</v>
      </c>
      <c r="P781" s="1">
        <v>9.1006279261</v>
      </c>
      <c r="Q781" s="1">
        <v>91.14922</v>
      </c>
      <c r="R781" s="1">
        <v>88.736842105</v>
      </c>
      <c r="S781" s="1">
        <v>21.6</v>
      </c>
      <c r="T781" s="1">
        <v>21688.0</v>
      </c>
      <c r="U781" s="1">
        <v>42.152342309</v>
      </c>
      <c r="V781" s="1">
        <v>232.86241279</v>
      </c>
      <c r="W781" s="1">
        <v>16.108452951</v>
      </c>
      <c r="X781" s="1">
        <v>13.870525134</v>
      </c>
      <c r="Y781" s="1">
        <v>75.830944738</v>
      </c>
      <c r="Z781" s="1">
        <v>11.6</v>
      </c>
      <c r="AA781" s="1">
        <v>13.848037409</v>
      </c>
      <c r="AB781" s="1">
        <v>48335.0</v>
      </c>
      <c r="AC781" s="1">
        <v>53.87161277</v>
      </c>
      <c r="AD781" s="1">
        <v>61.305344605</v>
      </c>
      <c r="AE781" s="1">
        <v>13.752299508</v>
      </c>
      <c r="AF781" s="1">
        <v>7.1722570912</v>
      </c>
      <c r="AG781" s="1">
        <v>0.3883187753</v>
      </c>
      <c r="AH781" s="1">
        <v>2.0216788036</v>
      </c>
      <c r="AI781" s="1">
        <v>0.0400424636</v>
      </c>
      <c r="AJ781" s="1">
        <v>2.7210250871</v>
      </c>
      <c r="AK781" s="1">
        <v>85.500903283</v>
      </c>
      <c r="AL781" s="1">
        <v>0.4851927458</v>
      </c>
      <c r="AM781" s="1">
        <v>49.3369713</v>
      </c>
      <c r="AN781" s="1">
        <v>23.758437801</v>
      </c>
      <c r="AO781" s="1">
        <v>22079.0</v>
      </c>
      <c r="AP781" s="1">
        <v>20.3</v>
      </c>
      <c r="AQ781" s="1">
        <v>8.1</v>
      </c>
      <c r="AR781" s="1">
        <v>12.3</v>
      </c>
      <c r="AS781" s="1">
        <v>14.7</v>
      </c>
      <c r="AT781" s="1">
        <v>20.8</v>
      </c>
      <c r="AU781" s="1">
        <v>17.9</v>
      </c>
      <c r="AV781" s="1">
        <v>14.0</v>
      </c>
      <c r="AW781" s="1">
        <v>0.5</v>
      </c>
      <c r="AX781" s="1">
        <v>0.6918</v>
      </c>
      <c r="AY781" s="1">
        <v>20.8</v>
      </c>
      <c r="AZ781" s="1">
        <v>15.9</v>
      </c>
      <c r="BA781" s="1">
        <v>21.4</v>
      </c>
      <c r="BB781" s="1">
        <v>2.7</v>
      </c>
      <c r="BC781" s="1" t="s">
        <v>1309</v>
      </c>
      <c r="BD781" s="1">
        <v>11.6</v>
      </c>
      <c r="BE781" s="1">
        <v>32.0</v>
      </c>
      <c r="BF781" s="1">
        <v>31.2</v>
      </c>
      <c r="BG781" s="1">
        <v>25.1</v>
      </c>
      <c r="BH781" s="1" t="s">
        <v>1430</v>
      </c>
    </row>
    <row r="782">
      <c r="A782" s="1">
        <v>18169.0</v>
      </c>
      <c r="B782" s="2" t="str">
        <f>IFERROR(__xludf.DUMMYFUNCTION("TO_TEXT(A782)"),"18169")</f>
        <v>18169</v>
      </c>
      <c r="C782" s="1">
        <v>32177.0</v>
      </c>
      <c r="D782" s="1">
        <v>412.436557182236</v>
      </c>
      <c r="E782" s="1" t="s">
        <v>1292</v>
      </c>
      <c r="F782" s="1" t="s">
        <v>1431</v>
      </c>
      <c r="G782" s="1">
        <v>78.0168475360988</v>
      </c>
      <c r="H782" s="1">
        <v>18.858492375</v>
      </c>
      <c r="I782" s="1">
        <v>4.5271537871</v>
      </c>
      <c r="J782" s="1">
        <v>7.6170212766</v>
      </c>
      <c r="K782" s="1">
        <v>19.647951486</v>
      </c>
      <c r="L782" s="1">
        <v>34.5</v>
      </c>
      <c r="M782" s="1">
        <v>8.1</v>
      </c>
      <c r="N782" s="1">
        <v>26.2</v>
      </c>
      <c r="O782" s="1">
        <v>68.553879835</v>
      </c>
      <c r="P782" s="1">
        <v>9.1892348642</v>
      </c>
      <c r="Q782" s="1">
        <v>44.52501</v>
      </c>
      <c r="R782" s="1">
        <v>87.104622871</v>
      </c>
      <c r="S782" s="1">
        <v>17.3</v>
      </c>
      <c r="T782" s="1">
        <v>6305.0</v>
      </c>
      <c r="U782" s="1">
        <v>31.21332276</v>
      </c>
      <c r="V782" s="1">
        <v>50.673730278</v>
      </c>
      <c r="W782" s="1">
        <v>10.223266745</v>
      </c>
      <c r="X782" s="1">
        <v>8.6200079083</v>
      </c>
      <c r="Y782" s="1">
        <v>75.842508135</v>
      </c>
      <c r="Z782" s="1">
        <v>13.1</v>
      </c>
      <c r="AA782" s="1">
        <v>4.6941305197</v>
      </c>
      <c r="AB782" s="1">
        <v>51487.0</v>
      </c>
      <c r="AC782" s="1">
        <v>49.070771541</v>
      </c>
      <c r="AD782" s="1">
        <v>73.203883495</v>
      </c>
      <c r="AE782" s="1">
        <v>10.026576468</v>
      </c>
      <c r="AF782" s="1">
        <v>0.703324808199999</v>
      </c>
      <c r="AG782" s="1">
        <v>0.7289002558</v>
      </c>
      <c r="AH782" s="1">
        <v>0.5786445013</v>
      </c>
      <c r="AI782" s="1">
        <v>0.0255754476</v>
      </c>
      <c r="AJ782" s="1">
        <v>2.6118925831</v>
      </c>
      <c r="AK782" s="1">
        <v>94.3510230179999</v>
      </c>
      <c r="AL782" s="1">
        <v>0.3399206852</v>
      </c>
      <c r="AM782" s="1">
        <v>51.540920716</v>
      </c>
      <c r="AN782" s="1">
        <v>49.984796886</v>
      </c>
      <c r="AO782" s="1">
        <v>23745.0</v>
      </c>
      <c r="AP782" s="1">
        <v>12.7</v>
      </c>
      <c r="AQ782" s="1">
        <v>5.9</v>
      </c>
      <c r="AR782" s="1">
        <v>12.1</v>
      </c>
      <c r="AS782" s="1">
        <v>19.4</v>
      </c>
      <c r="AT782" s="1">
        <v>21.6</v>
      </c>
      <c r="AU782" s="1">
        <v>14.6</v>
      </c>
      <c r="AV782" s="1">
        <v>5.4</v>
      </c>
      <c r="AW782" s="1">
        <v>0.4</v>
      </c>
      <c r="AX782" s="1">
        <v>0.2821</v>
      </c>
      <c r="AY782" s="1">
        <v>10.9</v>
      </c>
      <c r="AZ782" s="1">
        <v>12.5</v>
      </c>
      <c r="BA782" s="1">
        <v>18.2</v>
      </c>
      <c r="BB782" s="1">
        <v>2.88</v>
      </c>
      <c r="BC782" s="1" t="s">
        <v>1309</v>
      </c>
      <c r="BD782" s="1">
        <v>11.2</v>
      </c>
      <c r="BE782" s="1">
        <v>42.6</v>
      </c>
      <c r="BF782" s="1">
        <v>28.0</v>
      </c>
      <c r="BG782" s="1">
        <v>18.1</v>
      </c>
      <c r="BH782" s="1" t="s">
        <v>1431</v>
      </c>
    </row>
    <row r="783">
      <c r="A783" s="1">
        <v>18171.0</v>
      </c>
      <c r="B783" s="2" t="str">
        <f>IFERROR(__xludf.DUMMYFUNCTION("TO_TEXT(A783)"),"18171")</f>
        <v>18171</v>
      </c>
      <c r="C783" s="1">
        <v>8309.0</v>
      </c>
      <c r="D783" s="1">
        <v>364.681278801528</v>
      </c>
      <c r="E783" s="1" t="s">
        <v>1045</v>
      </c>
      <c r="F783" s="1" t="s">
        <v>1432</v>
      </c>
      <c r="G783" s="1">
        <v>22.7842789937184</v>
      </c>
      <c r="H783" s="1">
        <v>16.364772653</v>
      </c>
      <c r="I783" s="1">
        <v>4.3635987633</v>
      </c>
      <c r="J783" s="1">
        <v>5.3356282272</v>
      </c>
      <c r="K783" s="1">
        <v>18.565163112</v>
      </c>
      <c r="L783" s="1">
        <v>34.2</v>
      </c>
      <c r="M783" s="1">
        <v>8.7</v>
      </c>
      <c r="N783" s="1">
        <v>28.0</v>
      </c>
      <c r="O783" s="1">
        <v>33.662435355</v>
      </c>
      <c r="P783" s="1">
        <v>7.25880551299999</v>
      </c>
      <c r="Q783" s="1">
        <v>48.31939</v>
      </c>
      <c r="R783" s="1">
        <v>95.945945946</v>
      </c>
      <c r="S783" s="1">
        <v>16.1</v>
      </c>
      <c r="T783" s="1">
        <v>1801.0</v>
      </c>
      <c r="U783" s="1">
        <v>34.369794559</v>
      </c>
      <c r="V783" s="1">
        <v>204.509002055</v>
      </c>
      <c r="W783" s="1">
        <v>7.2180451128</v>
      </c>
      <c r="X783" s="1">
        <v>4.3438914027</v>
      </c>
      <c r="Y783" s="1">
        <v>79.703054169</v>
      </c>
      <c r="Z783" s="1">
        <v>13.0</v>
      </c>
      <c r="AA783" s="1">
        <v>1.698221428</v>
      </c>
      <c r="AB783" s="1">
        <v>60596.0</v>
      </c>
      <c r="AC783" s="1">
        <v>44.817073171</v>
      </c>
      <c r="AD783" s="1">
        <v>83.865248227</v>
      </c>
      <c r="AE783" s="1">
        <v>6.77290836649999</v>
      </c>
      <c r="AF783" s="1">
        <v>0.3146556941</v>
      </c>
      <c r="AG783" s="1">
        <v>0.302553552</v>
      </c>
      <c r="AH783" s="1">
        <v>0.5930049619</v>
      </c>
      <c r="AI783" s="1">
        <v>0.0726128525</v>
      </c>
      <c r="AJ783" s="1">
        <v>1.9605470168</v>
      </c>
      <c r="AK783" s="1">
        <v>95.727943846</v>
      </c>
      <c r="AL783" s="1">
        <v>0.2182845403</v>
      </c>
      <c r="AM783" s="1">
        <v>50.550647465</v>
      </c>
      <c r="AN783" s="1">
        <v>77.10390221</v>
      </c>
      <c r="AO783" s="1">
        <v>28690.0</v>
      </c>
      <c r="AP783" s="1">
        <v>7.9</v>
      </c>
      <c r="AQ783" s="1">
        <v>5.0</v>
      </c>
      <c r="AR783" s="1">
        <v>9.0</v>
      </c>
      <c r="AS783" s="1">
        <v>19.3</v>
      </c>
      <c r="AT783" s="1">
        <v>21.6</v>
      </c>
      <c r="AU783" s="1">
        <v>15.5</v>
      </c>
      <c r="AV783" s="1">
        <v>3.3</v>
      </c>
      <c r="AW783" s="1">
        <v>0.3</v>
      </c>
      <c r="AX783" s="1">
        <v>0.0637</v>
      </c>
      <c r="AY783" s="1">
        <v>9.4</v>
      </c>
      <c r="AZ783" s="1">
        <v>11.5</v>
      </c>
      <c r="BA783" s="1">
        <v>17.6</v>
      </c>
      <c r="BB783" s="1">
        <v>2.88</v>
      </c>
      <c r="BC783" s="1" t="s">
        <v>1309</v>
      </c>
      <c r="BD783" s="1">
        <v>8.0</v>
      </c>
      <c r="BE783" s="1">
        <v>41.8</v>
      </c>
      <c r="BF783" s="1">
        <v>30.8</v>
      </c>
      <c r="BG783" s="1">
        <v>19.4</v>
      </c>
      <c r="BH783" s="1" t="s">
        <v>1432</v>
      </c>
    </row>
    <row r="784">
      <c r="A784" s="1">
        <v>18173.0</v>
      </c>
      <c r="B784" s="2" t="str">
        <f>IFERROR(__xludf.DUMMYFUNCTION("TO_TEXT(A784)"),"18173")</f>
        <v>18173</v>
      </c>
      <c r="C784" s="1">
        <v>61427.0</v>
      </c>
      <c r="D784" s="1">
        <v>384.814239404828</v>
      </c>
      <c r="E784" s="1" t="s">
        <v>1433</v>
      </c>
      <c r="F784" s="1" t="s">
        <v>1434</v>
      </c>
      <c r="G784" s="1">
        <v>159.627668911124</v>
      </c>
      <c r="H784" s="1">
        <v>16.117011759</v>
      </c>
      <c r="I784" s="1">
        <v>4.2273118516</v>
      </c>
      <c r="J784" s="1">
        <v>7.67343296899999</v>
      </c>
      <c r="K784" s="1">
        <v>17.6458303109999</v>
      </c>
      <c r="L784" s="1">
        <v>35.2</v>
      </c>
      <c r="M784" s="1">
        <v>8.4</v>
      </c>
      <c r="N784" s="1">
        <v>29.4</v>
      </c>
      <c r="O784" s="1">
        <v>85.679103352</v>
      </c>
      <c r="P784" s="1">
        <v>7.2115292357</v>
      </c>
      <c r="Q784" s="1">
        <v>159.92324</v>
      </c>
      <c r="R784" s="1">
        <v>91.208791209</v>
      </c>
      <c r="S784" s="1">
        <v>8.0</v>
      </c>
      <c r="T784" s="1">
        <v>14658.0</v>
      </c>
      <c r="U784" s="1">
        <v>22.3632146269999</v>
      </c>
      <c r="V784" s="1">
        <v>222.52251523</v>
      </c>
      <c r="W784" s="1">
        <v>10.8200944609999</v>
      </c>
      <c r="X784" s="1">
        <v>8.61844954529999</v>
      </c>
      <c r="Y784" s="1">
        <v>78.503116623</v>
      </c>
      <c r="Z784" s="1">
        <v>13.9</v>
      </c>
      <c r="AA784" s="1">
        <v>5.1882527008</v>
      </c>
      <c r="AB784" s="1">
        <v>75534.0</v>
      </c>
      <c r="AC784" s="1">
        <v>31.762858265</v>
      </c>
      <c r="AD784" s="1">
        <v>79.441216467</v>
      </c>
      <c r="AE784" s="1">
        <v>7.6913335303</v>
      </c>
      <c r="AF784" s="1">
        <v>1.5918934902</v>
      </c>
      <c r="AG784" s="1">
        <v>0.2797001614</v>
      </c>
      <c r="AH784" s="1">
        <v>2.6675403967</v>
      </c>
      <c r="AI784" s="1">
        <v>0.0463503125</v>
      </c>
      <c r="AJ784" s="1">
        <v>1.9307302572</v>
      </c>
      <c r="AK784" s="1">
        <v>92.16839548</v>
      </c>
      <c r="AL784" s="1">
        <v>0.4223882894</v>
      </c>
      <c r="AM784" s="1">
        <v>50.980548852</v>
      </c>
      <c r="AN784" s="1">
        <v>29.30690747</v>
      </c>
      <c r="AO784" s="1">
        <v>31021.0</v>
      </c>
      <c r="AP784" s="1">
        <v>9.5</v>
      </c>
      <c r="AQ784" s="1">
        <v>4.5</v>
      </c>
      <c r="AR784" s="1">
        <v>7.2</v>
      </c>
      <c r="AS784" s="1">
        <v>16.1</v>
      </c>
      <c r="AT784" s="1">
        <v>24.6</v>
      </c>
      <c r="AU784" s="1">
        <v>11.7</v>
      </c>
      <c r="AV784" s="1">
        <v>6.9</v>
      </c>
      <c r="AW784" s="1">
        <v>0.5</v>
      </c>
      <c r="AX784" s="1">
        <v>0.0831</v>
      </c>
      <c r="AY784" s="1">
        <v>6.3</v>
      </c>
      <c r="AZ784" s="1">
        <v>9.8</v>
      </c>
      <c r="BA784" s="1">
        <v>12.8</v>
      </c>
      <c r="BB784" s="1">
        <v>2.94</v>
      </c>
      <c r="BC784" s="1" t="s">
        <v>1309</v>
      </c>
      <c r="BD784" s="1">
        <v>6.8</v>
      </c>
      <c r="BE784" s="1">
        <v>31.3</v>
      </c>
      <c r="BF784" s="1">
        <v>31.7</v>
      </c>
      <c r="BG784" s="1">
        <v>30.3</v>
      </c>
      <c r="BH784" s="1" t="s">
        <v>1434</v>
      </c>
    </row>
    <row r="785">
      <c r="A785" s="1">
        <v>18175.0</v>
      </c>
      <c r="B785" s="2" t="str">
        <f>IFERROR(__xludf.DUMMYFUNCTION("TO_TEXT(A785)"),"18175")</f>
        <v>18175</v>
      </c>
      <c r="C785" s="1">
        <v>27792.0</v>
      </c>
      <c r="D785" s="1">
        <v>513.725106435328</v>
      </c>
      <c r="E785" s="1" t="s">
        <v>188</v>
      </c>
      <c r="F785" s="1" t="s">
        <v>1435</v>
      </c>
      <c r="G785" s="1">
        <v>54.0989717104642</v>
      </c>
      <c r="H785" s="1">
        <v>17.911221992</v>
      </c>
      <c r="I785" s="1">
        <v>4.512208059</v>
      </c>
      <c r="J785" s="1">
        <v>7.27029438</v>
      </c>
      <c r="K785" s="1">
        <v>21.235927479</v>
      </c>
      <c r="L785" s="1">
        <v>40.6</v>
      </c>
      <c r="M785" s="1">
        <v>8.1</v>
      </c>
      <c r="N785" s="1">
        <v>34.3</v>
      </c>
      <c r="O785" s="1">
        <v>46.546599674</v>
      </c>
      <c r="P785" s="1">
        <v>10.4640980739999</v>
      </c>
      <c r="Q785" s="1">
        <v>25.15542</v>
      </c>
      <c r="R785" s="1">
        <v>89.710610932</v>
      </c>
      <c r="S785" s="1">
        <v>20.4</v>
      </c>
      <c r="T785" s="1">
        <v>6387.0</v>
      </c>
      <c r="U785" s="1">
        <v>30.029747925</v>
      </c>
      <c r="V785" s="1">
        <v>204.509002055</v>
      </c>
      <c r="W785" s="1">
        <v>11.669829222</v>
      </c>
      <c r="X785" s="1">
        <v>9.7878495661</v>
      </c>
      <c r="Y785" s="1">
        <v>74.813021429</v>
      </c>
      <c r="Z785" s="1">
        <v>14.6</v>
      </c>
      <c r="AA785" s="1">
        <v>4.3111195816</v>
      </c>
      <c r="AB785" s="1">
        <v>44534.0</v>
      </c>
      <c r="AC785" s="1">
        <v>53.255870249</v>
      </c>
      <c r="AD785" s="1">
        <v>76.158940397</v>
      </c>
      <c r="AE785" s="1">
        <v>8.6520499459</v>
      </c>
      <c r="AF785" s="1">
        <v>0.4938625058</v>
      </c>
      <c r="AG785" s="1">
        <v>0.2326163977</v>
      </c>
      <c r="AH785" s="1">
        <v>0.2898758186</v>
      </c>
      <c r="AI785" s="1">
        <v>0.0178935691</v>
      </c>
      <c r="AJ785" s="1">
        <v>1.36348996169999</v>
      </c>
      <c r="AK785" s="1">
        <v>96.761264002</v>
      </c>
      <c r="AL785" s="1">
        <v>0.0914738728</v>
      </c>
      <c r="AM785" s="1">
        <v>50.184303761</v>
      </c>
      <c r="AN785" s="1">
        <v>76.845233883</v>
      </c>
      <c r="AO785" s="1">
        <v>22096.0</v>
      </c>
      <c r="AP785" s="1">
        <v>14.9</v>
      </c>
      <c r="AQ785" s="1">
        <v>8.7</v>
      </c>
      <c r="AR785" s="1">
        <v>14.5</v>
      </c>
      <c r="AS785" s="1">
        <v>15.5</v>
      </c>
      <c r="AT785" s="1">
        <v>23.7</v>
      </c>
      <c r="AU785" s="1">
        <v>17.7</v>
      </c>
      <c r="AV785" s="1">
        <v>3.0</v>
      </c>
      <c r="AW785" s="1">
        <v>0.1</v>
      </c>
      <c r="AX785" s="1">
        <v>0.3919</v>
      </c>
      <c r="AY785" s="1">
        <v>12.1</v>
      </c>
      <c r="AZ785" s="1">
        <v>13.5</v>
      </c>
      <c r="BA785" s="1">
        <v>18.9</v>
      </c>
      <c r="BB785" s="1">
        <v>2.52</v>
      </c>
      <c r="BC785" s="1" t="s">
        <v>1309</v>
      </c>
      <c r="BD785" s="1">
        <v>15.0</v>
      </c>
      <c r="BE785" s="1">
        <v>43.1</v>
      </c>
      <c r="BF785" s="1">
        <v>28.5</v>
      </c>
      <c r="BG785" s="1">
        <v>13.4</v>
      </c>
      <c r="BH785" s="1" t="s">
        <v>1435</v>
      </c>
    </row>
    <row r="786">
      <c r="A786" s="1">
        <v>18177.0</v>
      </c>
      <c r="B786" s="2" t="str">
        <f>IFERROR(__xludf.DUMMYFUNCTION("TO_TEXT(A786)"),"18177")</f>
        <v>18177</v>
      </c>
      <c r="C786" s="1">
        <v>67423.0</v>
      </c>
      <c r="D786" s="1">
        <v>401.742605145795</v>
      </c>
      <c r="E786" s="1" t="s">
        <v>1048</v>
      </c>
      <c r="F786" s="1" t="s">
        <v>1436</v>
      </c>
      <c r="G786" s="1">
        <v>167.826362293667</v>
      </c>
      <c r="H786" s="1">
        <v>19.525653203</v>
      </c>
      <c r="I786" s="1">
        <v>5.015157232</v>
      </c>
      <c r="J786" s="1">
        <v>8.0368663594</v>
      </c>
      <c r="K786" s="1">
        <v>21.255682749</v>
      </c>
      <c r="L786" s="1">
        <v>37.5</v>
      </c>
      <c r="M786" s="1">
        <v>7.4</v>
      </c>
      <c r="N786" s="1">
        <v>31.3</v>
      </c>
      <c r="O786" s="1">
        <v>71.589012871</v>
      </c>
      <c r="P786" s="1">
        <v>10.980810235</v>
      </c>
      <c r="Q786" s="1">
        <v>64.9694</v>
      </c>
      <c r="R786" s="1">
        <v>81.914893617</v>
      </c>
      <c r="S786" s="1">
        <v>23.3</v>
      </c>
      <c r="T786" s="1">
        <v>14396.0</v>
      </c>
      <c r="U786" s="1">
        <v>44.783273131</v>
      </c>
      <c r="V786" s="1">
        <v>204.509002055</v>
      </c>
      <c r="W786" s="1">
        <v>13.988374273</v>
      </c>
      <c r="X786" s="1">
        <v>12.173580577</v>
      </c>
      <c r="Y786" s="1">
        <v>73.616071008</v>
      </c>
      <c r="Z786" s="1">
        <v>17.0</v>
      </c>
      <c r="AA786" s="1">
        <v>6.62505708799999</v>
      </c>
      <c r="AB786" s="1">
        <v>45130.0</v>
      </c>
      <c r="AC786" s="1">
        <v>60.09965504</v>
      </c>
      <c r="AD786" s="1">
        <v>67.58483334</v>
      </c>
      <c r="AE786" s="1">
        <v>10.192441996</v>
      </c>
      <c r="AF786" s="1">
        <v>4.8531909731</v>
      </c>
      <c r="AG786" s="1">
        <v>0.3655059452</v>
      </c>
      <c r="AH786" s="1">
        <v>1.0449526814</v>
      </c>
      <c r="AI786" s="1">
        <v>0.0985804416</v>
      </c>
      <c r="AJ786" s="1">
        <v>3.133341422</v>
      </c>
      <c r="AK786" s="1">
        <v>87.939820432</v>
      </c>
      <c r="AL786" s="1">
        <v>0.7791959463</v>
      </c>
      <c r="AM786" s="1">
        <v>51.563637467</v>
      </c>
      <c r="AN786" s="1">
        <v>33.049900605</v>
      </c>
      <c r="AO786" s="1">
        <v>22227.0</v>
      </c>
      <c r="AP786" s="1">
        <v>19.9</v>
      </c>
      <c r="AQ786" s="1">
        <v>7.3</v>
      </c>
      <c r="AR786" s="1">
        <v>15.3</v>
      </c>
      <c r="AS786" s="1">
        <v>17.9</v>
      </c>
      <c r="AT786" s="1">
        <v>22.2</v>
      </c>
      <c r="AU786" s="1">
        <v>18.1</v>
      </c>
      <c r="AV786" s="1">
        <v>11.4</v>
      </c>
      <c r="AW786" s="1">
        <v>0.9</v>
      </c>
      <c r="AX786" s="1">
        <v>0.7816</v>
      </c>
      <c r="AY786" s="1">
        <v>15.2</v>
      </c>
      <c r="AZ786" s="1">
        <v>15.0</v>
      </c>
      <c r="BA786" s="1">
        <v>20.9</v>
      </c>
      <c r="BB786" s="1">
        <v>2.75</v>
      </c>
      <c r="BC786" s="1" t="s">
        <v>1309</v>
      </c>
      <c r="BD786" s="1">
        <v>13.5</v>
      </c>
      <c r="BE786" s="1">
        <v>37.3</v>
      </c>
      <c r="BF786" s="1">
        <v>30.9</v>
      </c>
      <c r="BG786" s="1">
        <v>18.2</v>
      </c>
      <c r="BH786" s="1" t="s">
        <v>1436</v>
      </c>
    </row>
    <row r="787">
      <c r="A787" s="1">
        <v>18179.0</v>
      </c>
      <c r="B787" s="2" t="str">
        <f>IFERROR(__xludf.DUMMYFUNCTION("TO_TEXT(A787)"),"18179")</f>
        <v>18179</v>
      </c>
      <c r="C787" s="1">
        <v>27836.0</v>
      </c>
      <c r="D787" s="1">
        <v>368.086972573948</v>
      </c>
      <c r="E787" s="1" t="s">
        <v>1437</v>
      </c>
      <c r="F787" s="1" t="s">
        <v>1438</v>
      </c>
      <c r="G787" s="1">
        <v>75.6234316182102</v>
      </c>
      <c r="H787" s="1">
        <v>18.358380834</v>
      </c>
      <c r="I787" s="1">
        <v>4.3877223902</v>
      </c>
      <c r="J787" s="1">
        <v>7.2354663321</v>
      </c>
      <c r="K787" s="1">
        <v>18.740269644</v>
      </c>
      <c r="L787" s="1">
        <v>34.0</v>
      </c>
      <c r="M787" s="1">
        <v>8.4</v>
      </c>
      <c r="N787" s="1">
        <v>27.5</v>
      </c>
      <c r="O787" s="1">
        <v>44.091040672</v>
      </c>
      <c r="P787" s="1">
        <v>7.985058229</v>
      </c>
      <c r="Q787" s="1">
        <v>64.32247</v>
      </c>
      <c r="R787" s="1">
        <v>96.764705882</v>
      </c>
      <c r="S787" s="1">
        <v>12.0</v>
      </c>
      <c r="T787" s="1">
        <v>6922.0</v>
      </c>
      <c r="U787" s="1">
        <v>23.533660792</v>
      </c>
      <c r="V787" s="1">
        <v>17.908950894</v>
      </c>
      <c r="W787" s="1">
        <v>8.6334256694</v>
      </c>
      <c r="X787" s="1">
        <v>6.8372093023</v>
      </c>
      <c r="Y787" s="1">
        <v>78.312860911</v>
      </c>
      <c r="Z787" s="1">
        <v>11.0</v>
      </c>
      <c r="AA787" s="1">
        <v>3.605427285</v>
      </c>
      <c r="AB787" s="1">
        <v>60010.0</v>
      </c>
      <c r="AC787" s="1">
        <v>37.696969697</v>
      </c>
      <c r="AD787" s="1">
        <v>79.529152106</v>
      </c>
      <c r="AE787" s="1">
        <v>7.1939063382</v>
      </c>
      <c r="AF787" s="1">
        <v>0.6807062327</v>
      </c>
      <c r="AG787" s="1">
        <v>0.2907182869</v>
      </c>
      <c r="AH787" s="1">
        <v>0.6771608878</v>
      </c>
      <c r="AI787" s="1">
        <v>0.0425441395</v>
      </c>
      <c r="AJ787" s="1">
        <v>3.173083741</v>
      </c>
      <c r="AK787" s="1">
        <v>94.1182727079999</v>
      </c>
      <c r="AL787" s="1">
        <v>0.4020985716</v>
      </c>
      <c r="AM787" s="1">
        <v>50.677160888</v>
      </c>
      <c r="AN787" s="1">
        <v>50.560862643</v>
      </c>
      <c r="AO787" s="1">
        <v>24544.0</v>
      </c>
      <c r="AP787" s="1">
        <v>12.6</v>
      </c>
      <c r="AQ787" s="1">
        <v>3.8</v>
      </c>
      <c r="AR787" s="1">
        <v>8.8</v>
      </c>
      <c r="AS787" s="1">
        <v>17.4</v>
      </c>
      <c r="AT787" s="1">
        <v>24.6</v>
      </c>
      <c r="AU787" s="1">
        <v>12.7</v>
      </c>
      <c r="AV787" s="1">
        <v>4.8</v>
      </c>
      <c r="AW787" s="1">
        <v>0.3</v>
      </c>
      <c r="AX787" s="1">
        <v>0.1789</v>
      </c>
      <c r="AY787" s="1">
        <v>7.4</v>
      </c>
      <c r="AZ787" s="1">
        <v>10.6</v>
      </c>
      <c r="BA787" s="1">
        <v>14.8</v>
      </c>
      <c r="BB787" s="1">
        <v>2.77</v>
      </c>
      <c r="BC787" s="1" t="s">
        <v>1309</v>
      </c>
      <c r="BD787" s="1">
        <v>7.8</v>
      </c>
      <c r="BE787" s="1">
        <v>40.2</v>
      </c>
      <c r="BF787" s="1">
        <v>33.8</v>
      </c>
      <c r="BG787" s="1">
        <v>18.2</v>
      </c>
      <c r="BH787" s="1" t="s">
        <v>1438</v>
      </c>
    </row>
    <row r="788">
      <c r="A788" s="1">
        <v>18181.0</v>
      </c>
      <c r="B788" s="2" t="str">
        <f>IFERROR(__xludf.DUMMYFUNCTION("TO_TEXT(A788)"),"18181")</f>
        <v>18181</v>
      </c>
      <c r="C788" s="1">
        <v>24265.0</v>
      </c>
      <c r="D788" s="1">
        <v>505.125606783006</v>
      </c>
      <c r="E788" s="1" t="s">
        <v>411</v>
      </c>
      <c r="F788" s="1" t="s">
        <v>1439</v>
      </c>
      <c r="G788" s="1">
        <v>48.0375567466012</v>
      </c>
      <c r="H788" s="1">
        <v>17.492670471</v>
      </c>
      <c r="I788" s="1">
        <v>4.2433678661</v>
      </c>
      <c r="J788" s="1">
        <v>7.28962818</v>
      </c>
      <c r="K788" s="1">
        <v>17.996794797</v>
      </c>
      <c r="L788" s="1">
        <v>28.8</v>
      </c>
      <c r="M788" s="1">
        <v>8.6</v>
      </c>
      <c r="N788" s="1">
        <v>33.9</v>
      </c>
      <c r="O788" s="1">
        <v>46.378281865</v>
      </c>
      <c r="P788" s="1">
        <v>10.961267053</v>
      </c>
      <c r="Q788" s="1">
        <v>33.08246</v>
      </c>
      <c r="R788" s="1">
        <v>85.507246377</v>
      </c>
      <c r="S788" s="1">
        <v>13.6</v>
      </c>
      <c r="T788" s="1">
        <v>5616.0</v>
      </c>
      <c r="U788" s="1">
        <v>27.083333333</v>
      </c>
      <c r="V788" s="1">
        <v>61.730935429</v>
      </c>
      <c r="W788" s="1">
        <v>8.0144777663</v>
      </c>
      <c r="X788" s="1">
        <v>5.871941697</v>
      </c>
      <c r="Y788" s="1">
        <v>76.964520012</v>
      </c>
      <c r="Z788" s="1">
        <v>13.6</v>
      </c>
      <c r="AA788" s="1">
        <v>3.7419414384</v>
      </c>
      <c r="AB788" s="1">
        <v>58380.0</v>
      </c>
      <c r="AC788" s="1">
        <v>53.7903757419999</v>
      </c>
      <c r="AD788" s="1">
        <v>78.14263725</v>
      </c>
      <c r="AE788" s="1">
        <v>5.87736948</v>
      </c>
      <c r="AF788" s="1">
        <v>0.4185140679</v>
      </c>
      <c r="AG788" s="1">
        <v>0.7251481374</v>
      </c>
      <c r="AH788" s="1">
        <v>0.5552562881</v>
      </c>
      <c r="AI788" s="1">
        <v>0.0497244437</v>
      </c>
      <c r="AJ788" s="1">
        <v>8.6727717234</v>
      </c>
      <c r="AK788" s="1">
        <v>88.990179422</v>
      </c>
      <c r="AL788" s="1">
        <v>1.9279866185</v>
      </c>
      <c r="AM788" s="1">
        <v>50.234119256</v>
      </c>
      <c r="AN788" s="1">
        <v>67.966562513</v>
      </c>
      <c r="AO788" s="1">
        <v>25859.0</v>
      </c>
      <c r="AP788" s="1">
        <v>10.0</v>
      </c>
      <c r="AQ788" s="1">
        <v>5.4</v>
      </c>
      <c r="AR788" s="1">
        <v>10.4</v>
      </c>
      <c r="AS788" s="1">
        <v>18.6</v>
      </c>
      <c r="AT788" s="1">
        <v>23.4</v>
      </c>
      <c r="AU788" s="1">
        <v>15.8</v>
      </c>
      <c r="AV788" s="1">
        <v>9.8</v>
      </c>
      <c r="AW788" s="1">
        <v>1.7</v>
      </c>
      <c r="AX788" s="1">
        <v>0.2292</v>
      </c>
      <c r="AY788" s="1">
        <v>10.3</v>
      </c>
      <c r="AZ788" s="1">
        <v>11.1</v>
      </c>
      <c r="BA788" s="1">
        <v>15.1</v>
      </c>
      <c r="BB788" s="1">
        <v>2.9</v>
      </c>
      <c r="BC788" s="1" t="s">
        <v>1309</v>
      </c>
      <c r="BD788" s="1">
        <v>11.2</v>
      </c>
      <c r="BE788" s="1">
        <v>41.6</v>
      </c>
      <c r="BF788" s="1">
        <v>30.8</v>
      </c>
      <c r="BG788" s="1">
        <v>16.4</v>
      </c>
      <c r="BH788" s="1" t="s">
        <v>1439</v>
      </c>
    </row>
    <row r="789">
      <c r="A789" s="1">
        <v>18183.0</v>
      </c>
      <c r="B789" s="2" t="str">
        <f>IFERROR(__xludf.DUMMYFUNCTION("TO_TEXT(A789)"),"18183")</f>
        <v>18183</v>
      </c>
      <c r="C789" s="1">
        <v>33354.0</v>
      </c>
      <c r="D789" s="1">
        <v>335.569156727266</v>
      </c>
      <c r="E789" s="1" t="s">
        <v>1440</v>
      </c>
      <c r="F789" s="1" t="s">
        <v>1441</v>
      </c>
      <c r="G789" s="1">
        <v>99.395308929147</v>
      </c>
      <c r="H789" s="1">
        <v>16.496627559</v>
      </c>
      <c r="I789" s="1">
        <v>4.3824014757</v>
      </c>
      <c r="J789" s="1">
        <v>7.6866764275</v>
      </c>
      <c r="K789" s="1">
        <v>18.533364112</v>
      </c>
      <c r="L789" s="1">
        <v>36.6</v>
      </c>
      <c r="M789" s="1">
        <v>8.6</v>
      </c>
      <c r="N789" s="1">
        <v>26.3</v>
      </c>
      <c r="O789" s="1">
        <v>58.043974528</v>
      </c>
      <c r="P789" s="1">
        <v>8.566673902</v>
      </c>
      <c r="Q789" s="1">
        <v>56.28629</v>
      </c>
      <c r="R789" s="1">
        <v>91.268191268</v>
      </c>
      <c r="S789" s="1">
        <v>9.5</v>
      </c>
      <c r="T789" s="1">
        <v>7724.0</v>
      </c>
      <c r="U789" s="1">
        <v>26.890212325</v>
      </c>
      <c r="V789" s="1">
        <v>204.509002055</v>
      </c>
      <c r="W789" s="1">
        <v>7.2940287226</v>
      </c>
      <c r="X789" s="1">
        <v>5.6761904762</v>
      </c>
      <c r="Y789" s="1">
        <v>79.381136037</v>
      </c>
      <c r="Z789" s="1">
        <v>14.5</v>
      </c>
      <c r="AA789" s="1">
        <v>1.9051710869</v>
      </c>
      <c r="AB789" s="1">
        <v>67758.0</v>
      </c>
      <c r="AC789" s="1">
        <v>32.876477643</v>
      </c>
      <c r="AD789" s="1">
        <v>83.156185415</v>
      </c>
      <c r="AE789" s="1">
        <v>6.0015003751</v>
      </c>
      <c r="AF789" s="1">
        <v>0.4255444034</v>
      </c>
      <c r="AG789" s="1">
        <v>0.4314139813</v>
      </c>
      <c r="AH789" s="1">
        <v>0.5722838528</v>
      </c>
      <c r="AI789" s="1">
        <v>0.0410870458</v>
      </c>
      <c r="AJ789" s="1">
        <v>2.1981569525</v>
      </c>
      <c r="AK789" s="1">
        <v>95.292598462</v>
      </c>
      <c r="AL789" s="1">
        <v>0.0822342411</v>
      </c>
      <c r="AM789" s="1">
        <v>50.158478605</v>
      </c>
      <c r="AN789" s="1">
        <v>71.164243662</v>
      </c>
      <c r="AO789" s="1">
        <v>27062.0</v>
      </c>
      <c r="AP789" s="1">
        <v>8.8</v>
      </c>
      <c r="AQ789" s="1">
        <v>4.7</v>
      </c>
      <c r="AR789" s="1">
        <v>9.9</v>
      </c>
      <c r="AS789" s="1">
        <v>16.2</v>
      </c>
      <c r="AT789" s="1">
        <v>23.4</v>
      </c>
      <c r="AU789" s="1">
        <v>16.2</v>
      </c>
      <c r="AV789" s="1">
        <v>4.1</v>
      </c>
      <c r="AW789" s="1">
        <v>0.1</v>
      </c>
      <c r="AX789" s="1">
        <v>0.093</v>
      </c>
      <c r="AY789" s="1">
        <v>7.7</v>
      </c>
      <c r="AZ789" s="1">
        <v>10.6</v>
      </c>
      <c r="BA789" s="1">
        <v>16.3</v>
      </c>
      <c r="BB789" s="1">
        <v>2.6</v>
      </c>
      <c r="BC789" s="1" t="s">
        <v>1309</v>
      </c>
      <c r="BD789" s="1">
        <v>8.2</v>
      </c>
      <c r="BE789" s="1">
        <v>39.2</v>
      </c>
      <c r="BF789" s="1">
        <v>31.9</v>
      </c>
      <c r="BG789" s="1">
        <v>20.7</v>
      </c>
      <c r="BH789" s="1" t="s">
        <v>1441</v>
      </c>
    </row>
    <row r="790">
      <c r="A790" s="1">
        <v>19001.0</v>
      </c>
      <c r="B790" s="2" t="str">
        <f>IFERROR(__xludf.DUMMYFUNCTION("TO_TEXT(A790)"),"19001")</f>
        <v>19001</v>
      </c>
      <c r="C790" s="1">
        <v>7330.0</v>
      </c>
      <c r="D790" s="1">
        <v>569.270410042298</v>
      </c>
      <c r="E790" s="1" t="s">
        <v>1442</v>
      </c>
      <c r="F790" s="1" t="s">
        <v>1443</v>
      </c>
      <c r="G790" s="1">
        <v>12.8761303427933</v>
      </c>
      <c r="H790" s="1">
        <v>13.8547971759999</v>
      </c>
      <c r="I790" s="1">
        <v>3.5922847417</v>
      </c>
      <c r="J790" s="1">
        <v>6.2857142857</v>
      </c>
      <c r="K790" s="1">
        <v>15.583571389</v>
      </c>
      <c r="L790" s="1">
        <v>31.5</v>
      </c>
      <c r="M790" s="1">
        <v>8.7</v>
      </c>
      <c r="N790" s="1">
        <v>26.9</v>
      </c>
      <c r="O790" s="1">
        <v>71.595938558</v>
      </c>
      <c r="P790" s="1">
        <v>5.4625712709</v>
      </c>
      <c r="Q790" s="1">
        <v>42.52906</v>
      </c>
      <c r="R790" s="1">
        <v>95.555555556</v>
      </c>
      <c r="S790" s="1">
        <v>13.0</v>
      </c>
      <c r="T790" s="1">
        <v>1518.0</v>
      </c>
      <c r="U790" s="1">
        <v>30.5006587619999</v>
      </c>
      <c r="V790" s="1">
        <v>102.9795414</v>
      </c>
      <c r="W790" s="1">
        <v>7.73993808049999</v>
      </c>
      <c r="X790" s="1">
        <v>6.8407960199</v>
      </c>
      <c r="Y790" s="1">
        <v>79.731910733</v>
      </c>
      <c r="Z790" s="1">
        <v>12.0</v>
      </c>
      <c r="AA790" s="1">
        <v>1.288695076</v>
      </c>
      <c r="AB790" s="1">
        <v>54282.0</v>
      </c>
      <c r="AC790" s="1">
        <v>49.875</v>
      </c>
      <c r="AD790" s="1">
        <v>76.658163265</v>
      </c>
      <c r="AE790" s="1">
        <v>7.481872116</v>
      </c>
      <c r="AF790" s="1">
        <v>0.4813818491</v>
      </c>
      <c r="AG790" s="1">
        <v>0.2548492142</v>
      </c>
      <c r="AH790" s="1">
        <v>0.3822738213</v>
      </c>
      <c r="AI790" s="1">
        <v>0.042474869</v>
      </c>
      <c r="AJ790" s="1">
        <v>2.2228514795</v>
      </c>
      <c r="AK790" s="1">
        <v>95.879937704</v>
      </c>
      <c r="AL790" s="1">
        <v>0.059347181</v>
      </c>
      <c r="AM790" s="1">
        <v>50.318561518</v>
      </c>
      <c r="AN790" s="1">
        <v>100.0</v>
      </c>
      <c r="AO790" s="1">
        <v>27358.0</v>
      </c>
      <c r="AP790" s="1">
        <v>9.7</v>
      </c>
      <c r="AQ790" s="1">
        <v>2.8</v>
      </c>
      <c r="AR790" s="1">
        <v>6.6</v>
      </c>
      <c r="AS790" s="1">
        <v>22.7</v>
      </c>
      <c r="AT790" s="1">
        <v>21.5</v>
      </c>
      <c r="AU790" s="1">
        <v>15.3</v>
      </c>
      <c r="AV790" s="1">
        <v>3.1</v>
      </c>
      <c r="AW790" s="1">
        <v>0.0</v>
      </c>
      <c r="AX790" s="1">
        <v>0.0506</v>
      </c>
      <c r="AY790" s="1">
        <v>10.7</v>
      </c>
      <c r="AZ790" s="1">
        <v>9.3</v>
      </c>
      <c r="BA790" s="1">
        <v>14.6</v>
      </c>
      <c r="BB790" s="1">
        <v>3.12</v>
      </c>
      <c r="BC790" s="1" t="s">
        <v>1444</v>
      </c>
      <c r="BD790" s="1">
        <v>5.8</v>
      </c>
      <c r="BE790" s="1">
        <v>40.5</v>
      </c>
      <c r="BF790" s="1">
        <v>35.2</v>
      </c>
      <c r="BG790" s="1">
        <v>18.5</v>
      </c>
      <c r="BH790" s="1" t="s">
        <v>1443</v>
      </c>
    </row>
    <row r="791">
      <c r="A791" s="1">
        <v>19003.0</v>
      </c>
      <c r="B791" s="2" t="str">
        <f>IFERROR(__xludf.DUMMYFUNCTION("TO_TEXT(A791)"),"19003")</f>
        <v>19003</v>
      </c>
      <c r="C791" s="1">
        <v>3822.0</v>
      </c>
      <c r="D791" s="1">
        <v>423.438364173458</v>
      </c>
      <c r="E791" s="1" t="s">
        <v>532</v>
      </c>
      <c r="F791" s="1" t="s">
        <v>1445</v>
      </c>
      <c r="G791" s="1">
        <v>9.02610704030197</v>
      </c>
      <c r="H791" s="1">
        <v>12.4848187079999</v>
      </c>
      <c r="I791" s="1">
        <v>3.4330614241</v>
      </c>
      <c r="J791" s="1">
        <v>7.0707070707</v>
      </c>
      <c r="K791" s="1">
        <v>15.63671211</v>
      </c>
      <c r="L791" s="1">
        <v>29.9</v>
      </c>
      <c r="M791" s="1">
        <v>8.7</v>
      </c>
      <c r="N791" s="1">
        <v>24.7</v>
      </c>
      <c r="O791" s="1">
        <v>54.331099528</v>
      </c>
      <c r="P791" s="1">
        <v>6.1943752225</v>
      </c>
      <c r="Q791" s="1">
        <v>27.12968</v>
      </c>
      <c r="R791" s="1">
        <v>97.916666667</v>
      </c>
      <c r="S791" s="1">
        <v>20.3</v>
      </c>
      <c r="T791" s="1">
        <v>778.0</v>
      </c>
      <c r="U791" s="1">
        <v>13.7532133679999</v>
      </c>
      <c r="V791" s="1">
        <v>65.64264146</v>
      </c>
      <c r="W791" s="1">
        <v>7.1428571429</v>
      </c>
      <c r="X791" s="1">
        <v>6.8031306442</v>
      </c>
      <c r="Y791" s="1">
        <v>78.404216362</v>
      </c>
      <c r="Z791" s="1">
        <v>14.2</v>
      </c>
      <c r="AA791" s="1">
        <v>1.289802956</v>
      </c>
      <c r="AB791" s="1">
        <v>51577.0</v>
      </c>
      <c r="AC791" s="1">
        <v>45.023696682</v>
      </c>
      <c r="AD791" s="1">
        <v>77.330895795</v>
      </c>
      <c r="AE791" s="1">
        <v>5.682560418</v>
      </c>
      <c r="AF791" s="1">
        <v>0.329218107</v>
      </c>
      <c r="AG791" s="1">
        <v>0.5212620027</v>
      </c>
      <c r="AH791" s="1">
        <v>0.7407407407</v>
      </c>
      <c r="AI791" s="1">
        <v>0.0274348422</v>
      </c>
      <c r="AJ791" s="1">
        <v>1.45404663919999</v>
      </c>
      <c r="AK791" s="1">
        <v>96.241426612</v>
      </c>
      <c r="AL791" s="1">
        <v>0.171477565</v>
      </c>
      <c r="AM791" s="1">
        <v>49.931412894</v>
      </c>
      <c r="AN791" s="1">
        <v>100.0</v>
      </c>
      <c r="AO791" s="1">
        <v>26991.0</v>
      </c>
      <c r="AP791" s="1">
        <v>9.8</v>
      </c>
      <c r="AQ791" s="1">
        <v>3.1</v>
      </c>
      <c r="AR791" s="1">
        <v>7.5</v>
      </c>
      <c r="AS791" s="1">
        <v>22.2</v>
      </c>
      <c r="AT791" s="1">
        <v>20.9</v>
      </c>
      <c r="AU791" s="1">
        <v>15.4</v>
      </c>
      <c r="AV791" s="1">
        <v>3.2</v>
      </c>
      <c r="AW791" s="1">
        <v>0.1</v>
      </c>
      <c r="AX791" s="1">
        <v>0.0411</v>
      </c>
      <c r="AY791" s="1">
        <v>12.5</v>
      </c>
      <c r="AZ791" s="1">
        <v>9.1</v>
      </c>
      <c r="BA791" s="1">
        <v>12.3</v>
      </c>
      <c r="BB791" s="1">
        <v>2.93</v>
      </c>
      <c r="BC791" s="1" t="s">
        <v>1444</v>
      </c>
      <c r="BD791" s="1">
        <v>6.2</v>
      </c>
      <c r="BE791" s="1">
        <v>39.1</v>
      </c>
      <c r="BF791" s="1">
        <v>39.1</v>
      </c>
      <c r="BG791" s="1">
        <v>15.6</v>
      </c>
      <c r="BH791" s="1" t="s">
        <v>1445</v>
      </c>
    </row>
    <row r="792">
      <c r="A792" s="1">
        <v>19005.0</v>
      </c>
      <c r="B792" s="2" t="str">
        <f>IFERROR(__xludf.DUMMYFUNCTION("TO_TEXT(A792)"),"19005")</f>
        <v>19005</v>
      </c>
      <c r="C792" s="1">
        <v>14001.0</v>
      </c>
      <c r="D792" s="1">
        <v>639.081503781951</v>
      </c>
      <c r="E792" s="1" t="s">
        <v>1446</v>
      </c>
      <c r="F792" s="1" t="s">
        <v>1447</v>
      </c>
      <c r="G792" s="1">
        <v>21.9080037790876</v>
      </c>
      <c r="H792" s="1">
        <v>14.527962439</v>
      </c>
      <c r="I792" s="1">
        <v>3.5884545686</v>
      </c>
      <c r="J792" s="1">
        <v>5.2193645991</v>
      </c>
      <c r="K792" s="1">
        <v>16.1872112959999</v>
      </c>
      <c r="L792" s="1">
        <v>35.0</v>
      </c>
      <c r="M792" s="1">
        <v>8.5</v>
      </c>
      <c r="N792" s="1">
        <v>22.9</v>
      </c>
      <c r="O792" s="1">
        <v>71.688764829</v>
      </c>
      <c r="P792" s="1">
        <v>7.9272315958</v>
      </c>
      <c r="Q792" s="1">
        <v>57.62028</v>
      </c>
      <c r="R792" s="1">
        <v>91.139240506</v>
      </c>
      <c r="S792" s="1">
        <v>18.1</v>
      </c>
      <c r="T792" s="1">
        <v>3163.0</v>
      </c>
      <c r="U792" s="1">
        <v>16.503319633</v>
      </c>
      <c r="V792" s="1">
        <v>39.3884054859999</v>
      </c>
      <c r="W792" s="1">
        <v>10.024855012</v>
      </c>
      <c r="X792" s="1">
        <v>7.5020885547</v>
      </c>
      <c r="Y792" s="1">
        <v>79.701410662</v>
      </c>
      <c r="Z792" s="1">
        <v>10.6</v>
      </c>
      <c r="AA792" s="1">
        <v>2.162304794</v>
      </c>
      <c r="AB792" s="1">
        <v>53359.0</v>
      </c>
      <c r="AC792" s="1">
        <v>52.409362093</v>
      </c>
      <c r="AD792" s="1">
        <v>77.7236864189999</v>
      </c>
      <c r="AE792" s="1">
        <v>8.6605890603</v>
      </c>
      <c r="AF792" s="1">
        <v>1.6700404858</v>
      </c>
      <c r="AG792" s="1">
        <v>0.7229612493</v>
      </c>
      <c r="AH792" s="1">
        <v>0.4916136495</v>
      </c>
      <c r="AI792" s="1">
        <v>0.2819548872</v>
      </c>
      <c r="AJ792" s="1">
        <v>6.954887218</v>
      </c>
      <c r="AK792" s="1">
        <v>90.015905147</v>
      </c>
      <c r="AL792" s="1">
        <v>2.0307312177</v>
      </c>
      <c r="AM792" s="1">
        <v>49.255349913</v>
      </c>
      <c r="AN792" s="1">
        <v>73.963712491</v>
      </c>
      <c r="AO792" s="1">
        <v>27027.0</v>
      </c>
      <c r="AP792" s="1">
        <v>10.2</v>
      </c>
      <c r="AQ792" s="1">
        <v>4.7</v>
      </c>
      <c r="AR792" s="1">
        <v>11.9</v>
      </c>
      <c r="AS792" s="1">
        <v>21.2</v>
      </c>
      <c r="AT792" s="1">
        <v>22.4</v>
      </c>
      <c r="AU792" s="1">
        <v>11.6</v>
      </c>
      <c r="AV792" s="1">
        <v>8.4</v>
      </c>
      <c r="AW792" s="1">
        <v>1.9</v>
      </c>
      <c r="AX792" s="1">
        <v>0.2878</v>
      </c>
      <c r="AY792" s="1">
        <v>13.0</v>
      </c>
      <c r="AZ792" s="1">
        <v>8.4</v>
      </c>
      <c r="BA792" s="1">
        <v>13.0</v>
      </c>
      <c r="BB792" s="1">
        <v>2.92</v>
      </c>
      <c r="BC792" s="1" t="s">
        <v>1444</v>
      </c>
      <c r="BD792" s="1">
        <v>11.7</v>
      </c>
      <c r="BE792" s="1">
        <v>39.4</v>
      </c>
      <c r="BF792" s="1">
        <v>31.1</v>
      </c>
      <c r="BG792" s="1">
        <v>17.8</v>
      </c>
      <c r="BH792" s="1" t="s">
        <v>1447</v>
      </c>
    </row>
    <row r="793">
      <c r="A793" s="1">
        <v>19007.0</v>
      </c>
      <c r="B793" s="2" t="str">
        <f>IFERROR(__xludf.DUMMYFUNCTION("TO_TEXT(A793)"),"19007")</f>
        <v>19007</v>
      </c>
      <c r="C793" s="1">
        <v>12602.0</v>
      </c>
      <c r="D793" s="1">
        <v>497.29284122365</v>
      </c>
      <c r="E793" s="1" t="s">
        <v>1448</v>
      </c>
      <c r="F793" s="1" t="s">
        <v>1449</v>
      </c>
      <c r="G793" s="1">
        <v>25.3412053328402</v>
      </c>
      <c r="H793" s="1">
        <v>15.912165255</v>
      </c>
      <c r="I793" s="1">
        <v>3.7714682258</v>
      </c>
      <c r="J793" s="1">
        <v>8.7301587302</v>
      </c>
      <c r="K793" s="1">
        <v>16.839793466</v>
      </c>
      <c r="L793" s="1">
        <v>37.3</v>
      </c>
      <c r="M793" s="1">
        <v>7.8</v>
      </c>
      <c r="N793" s="1">
        <v>41.1</v>
      </c>
      <c r="O793" s="1">
        <v>69.465352681</v>
      </c>
      <c r="P793" s="1">
        <v>6.3441544664</v>
      </c>
      <c r="Q793" s="1">
        <v>89.0544</v>
      </c>
      <c r="R793" s="1">
        <v>90.9774436089999</v>
      </c>
      <c r="S793" s="1">
        <v>22.5</v>
      </c>
      <c r="T793" s="1">
        <v>2710.0</v>
      </c>
      <c r="U793" s="1">
        <v>26.900369004</v>
      </c>
      <c r="V793" s="1">
        <v>218.97519608</v>
      </c>
      <c r="W793" s="1">
        <v>12.5230202579999</v>
      </c>
      <c r="X793" s="1">
        <v>10.681818182</v>
      </c>
      <c r="Y793" s="1">
        <v>77.494255873</v>
      </c>
      <c r="Z793" s="1">
        <v>14.8</v>
      </c>
      <c r="AA793" s="1">
        <v>5.0909526829</v>
      </c>
      <c r="AB793" s="1">
        <v>44298.0</v>
      </c>
      <c r="AC793" s="1">
        <v>55.8421851289999</v>
      </c>
      <c r="AD793" s="1">
        <v>73.319793205</v>
      </c>
      <c r="AE793" s="1">
        <v>13.690360273</v>
      </c>
      <c r="AF793" s="1">
        <v>0.7075661333</v>
      </c>
      <c r="AG793" s="1">
        <v>0.3135804454</v>
      </c>
      <c r="AH793" s="1">
        <v>0.675404036299999</v>
      </c>
      <c r="AI793" s="1">
        <v>0.0643241938999999</v>
      </c>
      <c r="AJ793" s="1">
        <v>2.1629010211</v>
      </c>
      <c r="AK793" s="1">
        <v>94.886226582</v>
      </c>
      <c r="AL793" s="1">
        <v>0.3046458492</v>
      </c>
      <c r="AM793" s="1">
        <v>50.60705958</v>
      </c>
      <c r="AN793" s="1">
        <v>58.252502522</v>
      </c>
      <c r="AO793" s="1">
        <v>23617.0</v>
      </c>
      <c r="AP793" s="1">
        <v>16.1</v>
      </c>
      <c r="AQ793" s="1">
        <v>6.6</v>
      </c>
      <c r="AR793" s="1">
        <v>10.1</v>
      </c>
      <c r="AS793" s="1">
        <v>21.6</v>
      </c>
      <c r="AT793" s="1">
        <v>22.1</v>
      </c>
      <c r="AU793" s="1">
        <v>16.6</v>
      </c>
      <c r="AV793" s="1">
        <v>4.1</v>
      </c>
      <c r="AW793" s="1">
        <v>0.4</v>
      </c>
      <c r="AX793" s="1">
        <v>0.3629</v>
      </c>
      <c r="AY793" s="1">
        <v>19.3</v>
      </c>
      <c r="AZ793" s="1">
        <v>12.5</v>
      </c>
      <c r="BA793" s="1">
        <v>20.2</v>
      </c>
      <c r="BB793" s="1">
        <v>2.57</v>
      </c>
      <c r="BC793" s="1" t="s">
        <v>1444</v>
      </c>
      <c r="BD793" s="1">
        <v>9.8</v>
      </c>
      <c r="BE793" s="1">
        <v>36.5</v>
      </c>
      <c r="BF793" s="1">
        <v>37.3</v>
      </c>
      <c r="BG793" s="1">
        <v>16.3</v>
      </c>
      <c r="BH793" s="1" t="s">
        <v>1449</v>
      </c>
    </row>
    <row r="794">
      <c r="A794" s="1">
        <v>19009.0</v>
      </c>
      <c r="B794" s="2" t="str">
        <f>IFERROR(__xludf.DUMMYFUNCTION("TO_TEXT(A794)"),"19009")</f>
        <v>19009</v>
      </c>
      <c r="C794" s="1">
        <v>5793.0</v>
      </c>
      <c r="D794" s="1">
        <v>442.96113921461</v>
      </c>
      <c r="E794" s="1" t="s">
        <v>1450</v>
      </c>
      <c r="F794" s="1" t="s">
        <v>1451</v>
      </c>
      <c r="G794" s="1">
        <v>13.0778966531268</v>
      </c>
      <c r="H794" s="1">
        <v>12.981562934</v>
      </c>
      <c r="I794" s="1">
        <v>3.494764865</v>
      </c>
      <c r="J794" s="1">
        <v>5.0438596491</v>
      </c>
      <c r="K794" s="1">
        <v>16.186632591</v>
      </c>
      <c r="L794" s="1">
        <v>30.1</v>
      </c>
      <c r="M794" s="1">
        <v>8.4</v>
      </c>
      <c r="N794" s="1">
        <v>29.4</v>
      </c>
      <c r="O794" s="1">
        <v>65.04330773</v>
      </c>
      <c r="P794" s="1">
        <v>6.6634707574</v>
      </c>
      <c r="Q794" s="1">
        <v>71.71029</v>
      </c>
      <c r="R794" s="1">
        <v>96.666666667</v>
      </c>
      <c r="S794" s="1">
        <v>18.1</v>
      </c>
      <c r="T794" s="1">
        <v>1076.0</v>
      </c>
      <c r="U794" s="1">
        <v>28.3457249069999</v>
      </c>
      <c r="V794" s="1">
        <v>70.187752237</v>
      </c>
      <c r="W794" s="1">
        <v>5.8161350844</v>
      </c>
      <c r="X794" s="1">
        <v>4.9223778872</v>
      </c>
      <c r="Y794" s="1">
        <v>75.440839246</v>
      </c>
      <c r="Z794" s="1">
        <v>9.3</v>
      </c>
      <c r="AA794" s="1">
        <v>2.6467009649</v>
      </c>
      <c r="AB794" s="1">
        <v>51210.0</v>
      </c>
      <c r="AC794" s="1">
        <v>41.414141414</v>
      </c>
      <c r="AD794" s="1">
        <v>77.698916698</v>
      </c>
      <c r="AE794" s="1">
        <v>5.9146102624</v>
      </c>
      <c r="AF794" s="1">
        <v>0.3632401017</v>
      </c>
      <c r="AG794" s="1">
        <v>0.2542680712</v>
      </c>
      <c r="AH794" s="1">
        <v>0.4722121322</v>
      </c>
      <c r="AI794" s="1">
        <v>0.0181620051</v>
      </c>
      <c r="AJ794" s="1">
        <v>1.5982564475</v>
      </c>
      <c r="AK794" s="1">
        <v>96.403922993</v>
      </c>
      <c r="AL794" s="1">
        <v>0.2433090024</v>
      </c>
      <c r="AM794" s="1">
        <v>51.452960407</v>
      </c>
      <c r="AN794" s="1">
        <v>100.0</v>
      </c>
      <c r="AO794" s="1">
        <v>30085.0</v>
      </c>
      <c r="AP794" s="1">
        <v>11.6</v>
      </c>
      <c r="AQ794" s="1">
        <v>2.8</v>
      </c>
      <c r="AR794" s="1">
        <v>10.4</v>
      </c>
      <c r="AS794" s="1">
        <v>24.1</v>
      </c>
      <c r="AT794" s="1">
        <v>20.5</v>
      </c>
      <c r="AU794" s="1">
        <v>12.8</v>
      </c>
      <c r="AV794" s="1">
        <v>2.8</v>
      </c>
      <c r="AW794" s="1">
        <v>0.2</v>
      </c>
      <c r="AX794" s="1">
        <v>0.0194</v>
      </c>
      <c r="AY794" s="1">
        <v>10.9</v>
      </c>
      <c r="AZ794" s="1">
        <v>8.7</v>
      </c>
      <c r="BA794" s="1">
        <v>14.8</v>
      </c>
      <c r="BB794" s="1">
        <v>2.96</v>
      </c>
      <c r="BC794" s="1" t="s">
        <v>1444</v>
      </c>
      <c r="BD794" s="1">
        <v>10.5</v>
      </c>
      <c r="BE794" s="1">
        <v>37.1</v>
      </c>
      <c r="BF794" s="1">
        <v>35.3</v>
      </c>
      <c r="BG794" s="1">
        <v>17.1</v>
      </c>
      <c r="BH794" s="1" t="s">
        <v>1451</v>
      </c>
    </row>
    <row r="795">
      <c r="A795" s="1">
        <v>19011.0</v>
      </c>
      <c r="B795" s="2" t="str">
        <f>IFERROR(__xludf.DUMMYFUNCTION("TO_TEXT(A795)"),"19011")</f>
        <v>19011</v>
      </c>
      <c r="C795" s="1">
        <v>25720.0</v>
      </c>
      <c r="D795" s="1">
        <v>716.264506714436</v>
      </c>
      <c r="E795" s="1" t="s">
        <v>291</v>
      </c>
      <c r="F795" s="1" t="s">
        <v>1452</v>
      </c>
      <c r="G795" s="1">
        <v>35.9085222831712</v>
      </c>
      <c r="H795" s="1">
        <v>12.474054176</v>
      </c>
      <c r="I795" s="1">
        <v>3.5092253213</v>
      </c>
      <c r="J795" s="1">
        <v>6.15534929159999</v>
      </c>
      <c r="K795" s="1">
        <v>14.930812749</v>
      </c>
      <c r="L795" s="1">
        <v>35.6</v>
      </c>
      <c r="M795" s="1">
        <v>8.7</v>
      </c>
      <c r="N795" s="1">
        <v>25.2</v>
      </c>
      <c r="O795" s="1">
        <v>50.253106305</v>
      </c>
      <c r="P795" s="1">
        <v>5.0121608088</v>
      </c>
      <c r="Q795" s="1">
        <v>15.59941</v>
      </c>
      <c r="R795" s="1">
        <v>91.570881226</v>
      </c>
      <c r="S795" s="1">
        <v>9.0</v>
      </c>
      <c r="T795" s="1">
        <v>6009.0</v>
      </c>
      <c r="U795" s="1">
        <v>25.112331503</v>
      </c>
      <c r="V795" s="1">
        <v>204.509002055</v>
      </c>
      <c r="W795" s="1">
        <v>8.0256031512</v>
      </c>
      <c r="X795" s="1">
        <v>6.3920595533</v>
      </c>
      <c r="Y795" s="1">
        <v>79.931699597</v>
      </c>
      <c r="Z795" s="1">
        <v>11.5</v>
      </c>
      <c r="AA795" s="1">
        <v>2.9550015523</v>
      </c>
      <c r="AB795" s="1">
        <v>62799.0</v>
      </c>
      <c r="AC795" s="1">
        <v>28.831562974</v>
      </c>
      <c r="AD795" s="1">
        <v>82.335680751</v>
      </c>
      <c r="AE795" s="1">
        <v>7.0332350849</v>
      </c>
      <c r="AF795" s="1">
        <v>0.5966773263</v>
      </c>
      <c r="AG795" s="1">
        <v>0.300288589</v>
      </c>
      <c r="AH795" s="1">
        <v>0.3704859215</v>
      </c>
      <c r="AI795" s="1">
        <v>0.0545979253</v>
      </c>
      <c r="AJ795" s="1">
        <v>1.5014429452</v>
      </c>
      <c r="AK795" s="1">
        <v>96.314640044</v>
      </c>
      <c r="AL795" s="1">
        <v>0.3111000498</v>
      </c>
      <c r="AM795" s="1">
        <v>50.140394665</v>
      </c>
      <c r="AN795" s="1">
        <v>80.656542414</v>
      </c>
      <c r="AO795" s="1">
        <v>30888.0</v>
      </c>
      <c r="AP795" s="1">
        <v>9.2</v>
      </c>
      <c r="AQ795" s="1">
        <v>3.8</v>
      </c>
      <c r="AR795" s="1">
        <v>7.2</v>
      </c>
      <c r="AS795" s="1">
        <v>16.8</v>
      </c>
      <c r="AT795" s="1">
        <v>24.6</v>
      </c>
      <c r="AU795" s="1">
        <v>11.6</v>
      </c>
      <c r="AV795" s="1">
        <v>3.2</v>
      </c>
      <c r="AW795" s="1">
        <v>0.3</v>
      </c>
      <c r="AX795" s="1">
        <v>0.0252</v>
      </c>
      <c r="AY795" s="1">
        <v>7.8</v>
      </c>
      <c r="AZ795" s="1">
        <v>7.9</v>
      </c>
      <c r="BA795" s="1">
        <v>12.7</v>
      </c>
      <c r="BB795" s="1">
        <v>3.26</v>
      </c>
      <c r="BC795" s="1" t="s">
        <v>1444</v>
      </c>
      <c r="BD795" s="1">
        <v>5.9</v>
      </c>
      <c r="BE795" s="1">
        <v>36.9</v>
      </c>
      <c r="BF795" s="1">
        <v>35.0</v>
      </c>
      <c r="BG795" s="1">
        <v>22.1</v>
      </c>
      <c r="BH795" s="1" t="s">
        <v>1452</v>
      </c>
    </row>
    <row r="796">
      <c r="A796" s="1">
        <v>19013.0</v>
      </c>
      <c r="B796" s="2" t="str">
        <f>IFERROR(__xludf.DUMMYFUNCTION("TO_TEXT(A796)"),"19013")</f>
        <v>19013</v>
      </c>
      <c r="C796" s="1">
        <v>132821.0</v>
      </c>
      <c r="D796" s="1">
        <v>565.781985036032</v>
      </c>
      <c r="E796" s="1" t="s">
        <v>1453</v>
      </c>
      <c r="F796" s="1" t="s">
        <v>1454</v>
      </c>
      <c r="G796" s="1">
        <v>234.756502527279</v>
      </c>
      <c r="H796" s="1">
        <v>13.949032438</v>
      </c>
      <c r="I796" s="1">
        <v>3.4499558737</v>
      </c>
      <c r="J796" s="1">
        <v>7.0149129384</v>
      </c>
      <c r="K796" s="1">
        <v>18.266057458</v>
      </c>
      <c r="L796" s="1">
        <v>30.6</v>
      </c>
      <c r="M796" s="1">
        <v>7.1</v>
      </c>
      <c r="N796" s="1">
        <v>23.7</v>
      </c>
      <c r="O796" s="1">
        <v>83.402242734</v>
      </c>
      <c r="P796" s="1">
        <v>5.2627629036</v>
      </c>
      <c r="Q796" s="1">
        <v>94.98824</v>
      </c>
      <c r="R796" s="1">
        <v>89.01734104</v>
      </c>
      <c r="S796" s="1">
        <v>18.8</v>
      </c>
      <c r="T796" s="1">
        <v>28539.0</v>
      </c>
      <c r="U796" s="1">
        <v>33.869441816</v>
      </c>
      <c r="V796" s="1">
        <v>511.49265924</v>
      </c>
      <c r="W796" s="1">
        <v>14.8462051229999</v>
      </c>
      <c r="X796" s="1">
        <v>13.089258114</v>
      </c>
      <c r="Y796" s="1">
        <v>78.417547741</v>
      </c>
      <c r="Z796" s="1">
        <v>10.5</v>
      </c>
      <c r="AA796" s="1">
        <v>10.919016933</v>
      </c>
      <c r="AB796" s="1">
        <v>52320.0</v>
      </c>
      <c r="AC796" s="1">
        <v>41.582361997</v>
      </c>
      <c r="AD796" s="1">
        <v>65.695786771</v>
      </c>
      <c r="AE796" s="1">
        <v>12.822449454</v>
      </c>
      <c r="AF796" s="1">
        <v>9.4767687753</v>
      </c>
      <c r="AG796" s="1">
        <v>0.3866835841</v>
      </c>
      <c r="AH796" s="1">
        <v>2.4930517793</v>
      </c>
      <c r="AI796" s="1">
        <v>0.3783759289</v>
      </c>
      <c r="AJ796" s="1">
        <v>4.4506374237</v>
      </c>
      <c r="AK796" s="1">
        <v>80.782127968</v>
      </c>
      <c r="AL796" s="1">
        <v>1.7400451272</v>
      </c>
      <c r="AM796" s="1">
        <v>50.837562685</v>
      </c>
      <c r="AN796" s="1">
        <v>13.480814707</v>
      </c>
      <c r="AO796" s="1">
        <v>26571.0</v>
      </c>
      <c r="AP796" s="1">
        <v>15.4</v>
      </c>
      <c r="AQ796" s="1">
        <v>6.3</v>
      </c>
      <c r="AR796" s="1">
        <v>9.2</v>
      </c>
      <c r="AS796" s="1">
        <v>14.8</v>
      </c>
      <c r="AT796" s="1">
        <v>21.6</v>
      </c>
      <c r="AU796" s="1">
        <v>11.1</v>
      </c>
      <c r="AV796" s="1">
        <v>17.4</v>
      </c>
      <c r="AW796" s="1">
        <v>1.5</v>
      </c>
      <c r="AX796" s="1">
        <v>0.3801</v>
      </c>
      <c r="AY796" s="1">
        <v>13.7</v>
      </c>
      <c r="AZ796" s="1">
        <v>10.2</v>
      </c>
      <c r="BA796" s="1">
        <v>15.1</v>
      </c>
      <c r="BB796" s="1">
        <v>2.85</v>
      </c>
      <c r="BC796" s="1" t="s">
        <v>1444</v>
      </c>
      <c r="BD796" s="1">
        <v>8.6</v>
      </c>
      <c r="BE796" s="1">
        <v>30.5</v>
      </c>
      <c r="BF796" s="1">
        <v>31.8</v>
      </c>
      <c r="BG796" s="1">
        <v>29.1</v>
      </c>
      <c r="BH796" s="1" t="s">
        <v>1454</v>
      </c>
    </row>
    <row r="797">
      <c r="A797" s="1">
        <v>19015.0</v>
      </c>
      <c r="B797" s="2" t="str">
        <f>IFERROR(__xludf.DUMMYFUNCTION("TO_TEXT(A797)"),"19015")</f>
        <v>19015</v>
      </c>
      <c r="C797" s="1">
        <v>26411.0</v>
      </c>
      <c r="D797" s="1">
        <v>571.571354023137</v>
      </c>
      <c r="E797" s="1" t="s">
        <v>293</v>
      </c>
      <c r="F797" s="1" t="s">
        <v>1455</v>
      </c>
      <c r="G797" s="1">
        <v>46.2077041022087</v>
      </c>
      <c r="H797" s="1">
        <v>13.935630064</v>
      </c>
      <c r="I797" s="1">
        <v>3.6681817876</v>
      </c>
      <c r="J797" s="1">
        <v>6.0210737582</v>
      </c>
      <c r="K797" s="1">
        <v>16.036672467</v>
      </c>
      <c r="L797" s="1">
        <v>35.8</v>
      </c>
      <c r="M797" s="1">
        <v>8.5</v>
      </c>
      <c r="N797" s="1">
        <v>25.0</v>
      </c>
      <c r="O797" s="1">
        <v>85.5926404619999</v>
      </c>
      <c r="P797" s="1">
        <v>4.1765609722</v>
      </c>
      <c r="Q797" s="1">
        <v>49.08624</v>
      </c>
      <c r="R797" s="1">
        <v>93.959731544</v>
      </c>
      <c r="S797" s="1">
        <v>9.8</v>
      </c>
      <c r="T797" s="1">
        <v>5585.0</v>
      </c>
      <c r="U797" s="1">
        <v>29.722470904</v>
      </c>
      <c r="V797" s="1">
        <v>276.75797797</v>
      </c>
      <c r="W797" s="1">
        <v>12.014618547</v>
      </c>
      <c r="X797" s="1">
        <v>9.5032198712</v>
      </c>
      <c r="Y797" s="1">
        <v>79.406075916</v>
      </c>
      <c r="Z797" s="1">
        <v>9.4</v>
      </c>
      <c r="AA797" s="1">
        <v>4.478477985</v>
      </c>
      <c r="AB797" s="1">
        <v>63099.0</v>
      </c>
      <c r="AC797" s="1">
        <v>34.774633124</v>
      </c>
      <c r="AD797" s="1">
        <v>76.846435101</v>
      </c>
      <c r="AE797" s="1">
        <v>7.883856418</v>
      </c>
      <c r="AF797" s="1">
        <v>1.1538753511</v>
      </c>
      <c r="AG797" s="1">
        <v>0.4668640401</v>
      </c>
      <c r="AH797" s="1">
        <v>0.5275943217</v>
      </c>
      <c r="AI797" s="1">
        <v>0.0265694982</v>
      </c>
      <c r="AJ797" s="1">
        <v>2.7214757458</v>
      </c>
      <c r="AK797" s="1">
        <v>94.211645032</v>
      </c>
      <c r="AL797" s="1">
        <v>0.486862753</v>
      </c>
      <c r="AM797" s="1">
        <v>49.472405678</v>
      </c>
      <c r="AN797" s="1">
        <v>50.6348361589999</v>
      </c>
      <c r="AO797" s="1">
        <v>28412.0</v>
      </c>
      <c r="AP797" s="1">
        <v>10.3</v>
      </c>
      <c r="AQ797" s="1">
        <v>4.3</v>
      </c>
      <c r="AR797" s="1">
        <v>5.6</v>
      </c>
      <c r="AS797" s="1">
        <v>17.0</v>
      </c>
      <c r="AT797" s="1">
        <v>22.3</v>
      </c>
      <c r="AU797" s="1">
        <v>14.6</v>
      </c>
      <c r="AV797" s="1">
        <v>5.1</v>
      </c>
      <c r="AW797" s="1">
        <v>0.6</v>
      </c>
      <c r="AX797" s="1">
        <v>0.1777</v>
      </c>
      <c r="AY797" s="1">
        <v>8.7</v>
      </c>
      <c r="AZ797" s="1">
        <v>8.2</v>
      </c>
      <c r="BA797" s="1">
        <v>11.7</v>
      </c>
      <c r="BB797" s="1">
        <v>3.03</v>
      </c>
      <c r="BC797" s="1" t="s">
        <v>1444</v>
      </c>
      <c r="BD797" s="1">
        <v>6.1</v>
      </c>
      <c r="BE797" s="1">
        <v>31.5</v>
      </c>
      <c r="BF797" s="1">
        <v>37.1</v>
      </c>
      <c r="BG797" s="1">
        <v>25.3</v>
      </c>
      <c r="BH797" s="1" t="s">
        <v>1455</v>
      </c>
    </row>
    <row r="798">
      <c r="A798" s="1">
        <v>19017.0</v>
      </c>
      <c r="B798" s="2" t="str">
        <f>IFERROR(__xludf.DUMMYFUNCTION("TO_TEXT(A798)"),"19017")</f>
        <v>19017</v>
      </c>
      <c r="C798" s="1">
        <v>24663.0</v>
      </c>
      <c r="D798" s="1">
        <v>435.478836510144</v>
      </c>
      <c r="E798" s="1" t="s">
        <v>1456</v>
      </c>
      <c r="F798" s="1" t="s">
        <v>1457</v>
      </c>
      <c r="G798" s="1">
        <v>56.6342102813657</v>
      </c>
      <c r="H798" s="1">
        <v>11.751919404</v>
      </c>
      <c r="I798" s="1">
        <v>3.3931775513</v>
      </c>
      <c r="J798" s="1">
        <v>5.8539205156</v>
      </c>
      <c r="K798" s="1">
        <v>14.066598691</v>
      </c>
      <c r="L798" s="1">
        <v>32.7</v>
      </c>
      <c r="M798" s="1">
        <v>8.9</v>
      </c>
      <c r="N798" s="1">
        <v>21.8</v>
      </c>
      <c r="O798" s="1">
        <v>82.340583292</v>
      </c>
      <c r="P798" s="1">
        <v>3.9052122629</v>
      </c>
      <c r="Q798" s="1">
        <v>52.18578</v>
      </c>
      <c r="R798" s="1">
        <v>94.164456233</v>
      </c>
      <c r="S798" s="1">
        <v>6.4</v>
      </c>
      <c r="T798" s="1">
        <v>5331.0</v>
      </c>
      <c r="U798" s="1">
        <v>18.701932095</v>
      </c>
      <c r="V798" s="1">
        <v>377.54896023</v>
      </c>
      <c r="W798" s="1">
        <v>9.3097913323</v>
      </c>
      <c r="X798" s="1">
        <v>8.5659081151</v>
      </c>
      <c r="Y798" s="1">
        <v>82.23970025</v>
      </c>
      <c r="Z798" s="1">
        <v>8.2</v>
      </c>
      <c r="AA798" s="1">
        <v>1.7076412195</v>
      </c>
      <c r="AB798" s="1">
        <v>74646.0</v>
      </c>
      <c r="AC798" s="1">
        <v>22.810333963</v>
      </c>
      <c r="AD798" s="1">
        <v>81.9822639539999</v>
      </c>
      <c r="AE798" s="1">
        <v>8.7777303754</v>
      </c>
      <c r="AF798" s="1">
        <v>1.1624644246</v>
      </c>
      <c r="AG798" s="1">
        <v>0.1483144266</v>
      </c>
      <c r="AH798" s="1">
        <v>1.0863029623</v>
      </c>
      <c r="AI798" s="1">
        <v>0.0200424901</v>
      </c>
      <c r="AJ798" s="1">
        <v>1.6715436726</v>
      </c>
      <c r="AK798" s="1">
        <v>94.985368982</v>
      </c>
      <c r="AL798" s="1">
        <v>0.4020186468</v>
      </c>
      <c r="AM798" s="1">
        <v>50.503066501</v>
      </c>
      <c r="AN798" s="1">
        <v>64.48755973</v>
      </c>
      <c r="AO798" s="1">
        <v>31001.0</v>
      </c>
      <c r="AP798" s="1">
        <v>7.3</v>
      </c>
      <c r="AQ798" s="1">
        <v>3.2</v>
      </c>
      <c r="AR798" s="1">
        <v>4.7</v>
      </c>
      <c r="AS798" s="1">
        <v>18.5</v>
      </c>
      <c r="AT798" s="1">
        <v>22.0</v>
      </c>
      <c r="AU798" s="1">
        <v>9.4</v>
      </c>
      <c r="AV798" s="1">
        <v>4.5</v>
      </c>
      <c r="AW798" s="1">
        <v>0.4</v>
      </c>
      <c r="AX798" s="1">
        <v>0.0216</v>
      </c>
      <c r="AY798" s="1">
        <v>6.7</v>
      </c>
      <c r="AZ798" s="1">
        <v>6.6</v>
      </c>
      <c r="BA798" s="1">
        <v>10.6</v>
      </c>
      <c r="BB798" s="1">
        <v>3.09</v>
      </c>
      <c r="BC798" s="1" t="s">
        <v>1444</v>
      </c>
      <c r="BD798" s="1">
        <v>3.6</v>
      </c>
      <c r="BE798" s="1">
        <v>32.9</v>
      </c>
      <c r="BF798" s="1">
        <v>32.8</v>
      </c>
      <c r="BG798" s="1">
        <v>30.7</v>
      </c>
      <c r="BH798" s="1" t="s">
        <v>1457</v>
      </c>
    </row>
    <row r="799">
      <c r="A799" s="1">
        <v>19019.0</v>
      </c>
      <c r="B799" s="2" t="str">
        <f>IFERROR(__xludf.DUMMYFUNCTION("TO_TEXT(A799)"),"19019")</f>
        <v>19019</v>
      </c>
      <c r="C799" s="1">
        <v>21031.0</v>
      </c>
      <c r="D799" s="1">
        <v>571.019675269254</v>
      </c>
      <c r="E799" s="1" t="s">
        <v>1458</v>
      </c>
      <c r="F799" s="1" t="s">
        <v>1459</v>
      </c>
      <c r="G799" s="1">
        <v>36.830604812493</v>
      </c>
      <c r="H799" s="1">
        <v>11.593876981</v>
      </c>
      <c r="I799" s="1">
        <v>3.45390195</v>
      </c>
      <c r="J799" s="1">
        <v>4.9771457593</v>
      </c>
      <c r="K799" s="1">
        <v>16.15845209</v>
      </c>
      <c r="L799" s="1">
        <v>32.7</v>
      </c>
      <c r="M799" s="1">
        <v>8.5</v>
      </c>
      <c r="N799" s="1">
        <v>30.5</v>
      </c>
      <c r="O799" s="1">
        <v>74.720870312</v>
      </c>
      <c r="P799" s="1">
        <v>5.2741272506</v>
      </c>
      <c r="Q799" s="1">
        <v>28.29922</v>
      </c>
      <c r="R799" s="1">
        <v>93.8679245279999</v>
      </c>
      <c r="S799" s="1">
        <v>15.0</v>
      </c>
      <c r="T799" s="1">
        <v>5603.0</v>
      </c>
      <c r="U799" s="1">
        <v>24.736748171</v>
      </c>
      <c r="V799" s="1">
        <v>47.53303546</v>
      </c>
      <c r="W799" s="1">
        <v>9.5815645846</v>
      </c>
      <c r="X799" s="1">
        <v>7.2571777642</v>
      </c>
      <c r="Y799" s="1">
        <v>78.946765503</v>
      </c>
      <c r="Z799" s="1">
        <v>8.7</v>
      </c>
      <c r="AA799" s="1">
        <v>4.8972867353</v>
      </c>
      <c r="AB799" s="1">
        <v>59724.0</v>
      </c>
      <c r="AC799" s="1">
        <v>29.60162838</v>
      </c>
      <c r="AD799" s="1">
        <v>78.324633358</v>
      </c>
      <c r="AE799" s="1">
        <v>8.3713058196</v>
      </c>
      <c r="AF799" s="1">
        <v>0.4953063824</v>
      </c>
      <c r="AG799" s="1">
        <v>0.2594462003</v>
      </c>
      <c r="AH799" s="1">
        <v>0.608519269799999</v>
      </c>
      <c r="AI799" s="1">
        <v>0.0141516109</v>
      </c>
      <c r="AJ799" s="1">
        <v>1.6604556819</v>
      </c>
      <c r="AK799" s="1">
        <v>96.018680126</v>
      </c>
      <c r="AL799" s="1">
        <v>0.1015692448</v>
      </c>
      <c r="AM799" s="1">
        <v>50.2712392089999</v>
      </c>
      <c r="AN799" s="1">
        <v>68.537074148</v>
      </c>
      <c r="AO799" s="1">
        <v>30216.0</v>
      </c>
      <c r="AP799" s="1">
        <v>9.2</v>
      </c>
      <c r="AQ799" s="1">
        <v>3.8</v>
      </c>
      <c r="AR799" s="1">
        <v>7.7</v>
      </c>
      <c r="AS799" s="1">
        <v>16.7</v>
      </c>
      <c r="AT799" s="1">
        <v>26.7</v>
      </c>
      <c r="AU799" s="1">
        <v>10.6</v>
      </c>
      <c r="AV799" s="1">
        <v>3.5</v>
      </c>
      <c r="AW799" s="1">
        <v>0.6</v>
      </c>
      <c r="AX799" s="1">
        <v>0.0551</v>
      </c>
      <c r="AY799" s="1">
        <v>9.5</v>
      </c>
      <c r="AZ799" s="1">
        <v>8.1</v>
      </c>
      <c r="BA799" s="1">
        <v>13.1</v>
      </c>
      <c r="BB799" s="1">
        <v>2.97</v>
      </c>
      <c r="BC799" s="1" t="s">
        <v>1444</v>
      </c>
      <c r="BD799" s="1">
        <v>5.9</v>
      </c>
      <c r="BE799" s="1">
        <v>38.5</v>
      </c>
      <c r="BF799" s="1">
        <v>34.0</v>
      </c>
      <c r="BG799" s="1">
        <v>21.5</v>
      </c>
      <c r="BH799" s="1" t="s">
        <v>1459</v>
      </c>
    </row>
    <row r="800">
      <c r="A800" s="1">
        <v>19021.0</v>
      </c>
      <c r="B800" s="2" t="str">
        <f>IFERROR(__xludf.DUMMYFUNCTION("TO_TEXT(A800)"),"19021")</f>
        <v>19021</v>
      </c>
      <c r="C800" s="1">
        <v>20445.0</v>
      </c>
      <c r="D800" s="1">
        <v>574.90164825259</v>
      </c>
      <c r="E800" s="1" t="s">
        <v>1460</v>
      </c>
      <c r="F800" s="1" t="s">
        <v>1461</v>
      </c>
      <c r="G800" s="1">
        <v>35.5626045987909</v>
      </c>
      <c r="H800" s="1">
        <v>16.225093043</v>
      </c>
      <c r="I800" s="1">
        <v>3.3063825288</v>
      </c>
      <c r="J800" s="1">
        <v>6.83257918549999</v>
      </c>
      <c r="K800" s="1">
        <v>14.87408803</v>
      </c>
      <c r="L800" s="1">
        <v>33.7</v>
      </c>
      <c r="M800" s="1">
        <v>8.7</v>
      </c>
      <c r="N800" s="1">
        <v>23.9</v>
      </c>
      <c r="O800" s="1">
        <v>73.938795656</v>
      </c>
      <c r="P800" s="1">
        <v>11.319228376</v>
      </c>
      <c r="Q800" s="1">
        <v>44.75385</v>
      </c>
      <c r="R800" s="1">
        <v>76.315789474</v>
      </c>
      <c r="S800" s="1">
        <v>13.6</v>
      </c>
      <c r="T800" s="1">
        <v>5097.0</v>
      </c>
      <c r="U800" s="1">
        <v>32.37198352</v>
      </c>
      <c r="V800" s="1">
        <v>310.95887083</v>
      </c>
      <c r="W800" s="1">
        <v>14.723517655</v>
      </c>
      <c r="X800" s="1">
        <v>7.8901540522</v>
      </c>
      <c r="Y800" s="1">
        <v>81.385700556</v>
      </c>
      <c r="Z800" s="1">
        <v>9.3</v>
      </c>
      <c r="AA800" s="1">
        <v>3.5001531861</v>
      </c>
      <c r="AB800" s="1">
        <v>52683.0</v>
      </c>
      <c r="AC800" s="1">
        <v>59.865678555</v>
      </c>
      <c r="AD800" s="1">
        <v>66.556291391</v>
      </c>
      <c r="AE800" s="1">
        <v>7.6521500206</v>
      </c>
      <c r="AF800" s="1">
        <v>3.0290832243</v>
      </c>
      <c r="AG800" s="1">
        <v>0.6188990641</v>
      </c>
      <c r="AH800" s="1">
        <v>9.6809902385</v>
      </c>
      <c r="AI800" s="1">
        <v>1.8265069941</v>
      </c>
      <c r="AJ800" s="1">
        <v>25.983697293</v>
      </c>
      <c r="AK800" s="1">
        <v>58.6343966989999</v>
      </c>
      <c r="AL800" s="1">
        <v>10.816424349</v>
      </c>
      <c r="AM800" s="1">
        <v>49.204991446</v>
      </c>
      <c r="AN800" s="1">
        <v>43.9091806519999</v>
      </c>
      <c r="AO800" s="1">
        <v>25035.0</v>
      </c>
      <c r="AP800" s="1">
        <v>13.3</v>
      </c>
      <c r="AQ800" s="1">
        <v>4.5</v>
      </c>
      <c r="AR800" s="1">
        <v>21.8</v>
      </c>
      <c r="AS800" s="1">
        <v>14.5</v>
      </c>
      <c r="AT800" s="1">
        <v>25.4</v>
      </c>
      <c r="AU800" s="1">
        <v>9.2</v>
      </c>
      <c r="AV800" s="1">
        <v>37.4</v>
      </c>
      <c r="AW800" s="1">
        <v>11.0</v>
      </c>
      <c r="AX800" s="1">
        <v>0.7004</v>
      </c>
      <c r="AY800" s="1">
        <v>10.2</v>
      </c>
      <c r="AZ800" s="1">
        <v>8.3</v>
      </c>
      <c r="BA800" s="1">
        <v>12.3</v>
      </c>
      <c r="BB800" s="1">
        <v>2.91</v>
      </c>
      <c r="BC800" s="1" t="s">
        <v>1444</v>
      </c>
      <c r="BD800" s="1">
        <v>21.6</v>
      </c>
      <c r="BE800" s="1">
        <v>30.3</v>
      </c>
      <c r="BF800" s="1">
        <v>28.4</v>
      </c>
      <c r="BG800" s="1">
        <v>19.7</v>
      </c>
      <c r="BH800" s="1" t="s">
        <v>1461</v>
      </c>
    </row>
    <row r="801">
      <c r="A801" s="1">
        <v>19023.0</v>
      </c>
      <c r="B801" s="2" t="str">
        <f>IFERROR(__xludf.DUMMYFUNCTION("TO_TEXT(A801)"),"19023")</f>
        <v>19023</v>
      </c>
      <c r="C801" s="1">
        <v>14933.0</v>
      </c>
      <c r="D801" s="1">
        <v>580.132184787956</v>
      </c>
      <c r="E801" s="1" t="s">
        <v>72</v>
      </c>
      <c r="F801" s="1" t="s">
        <v>1462</v>
      </c>
      <c r="G801" s="1">
        <v>25.7406852982276</v>
      </c>
      <c r="H801" s="1">
        <v>12.22642987</v>
      </c>
      <c r="I801" s="1">
        <v>3.36616679</v>
      </c>
      <c r="J801" s="1">
        <v>5.3742802303</v>
      </c>
      <c r="K801" s="1">
        <v>15.070330538</v>
      </c>
      <c r="L801" s="1">
        <v>33.3</v>
      </c>
      <c r="M801" s="1">
        <v>7.6</v>
      </c>
      <c r="N801" s="1">
        <v>27.9</v>
      </c>
      <c r="O801" s="1">
        <v>63.751933813</v>
      </c>
      <c r="P801" s="1">
        <v>5.2012383901</v>
      </c>
      <c r="Q801" s="1">
        <v>13.693</v>
      </c>
      <c r="R801" s="1">
        <v>99.236641221</v>
      </c>
      <c r="S801" s="1">
        <v>11.4</v>
      </c>
      <c r="T801" s="1">
        <v>3350.0</v>
      </c>
      <c r="U801" s="1">
        <v>19.791044776</v>
      </c>
      <c r="V801" s="1">
        <v>10.0083402839999</v>
      </c>
      <c r="W801" s="1">
        <v>7.8821656051</v>
      </c>
      <c r="X801" s="1">
        <v>6.04799999999999</v>
      </c>
      <c r="Y801" s="1">
        <v>78.669069145</v>
      </c>
      <c r="Z801" s="1">
        <v>11.1</v>
      </c>
      <c r="AA801" s="1">
        <v>13.249706343</v>
      </c>
      <c r="AB801" s="1">
        <v>57971.0</v>
      </c>
      <c r="AC801" s="1">
        <v>31.612903226</v>
      </c>
      <c r="AD801" s="1">
        <v>79.107342825</v>
      </c>
      <c r="AE801" s="1">
        <v>7.8895463511</v>
      </c>
      <c r="AF801" s="1">
        <v>0.2613659812</v>
      </c>
      <c r="AG801" s="1">
        <v>0.1857074077</v>
      </c>
      <c r="AH801" s="1">
        <v>0.9422931426</v>
      </c>
      <c r="AI801" s="1">
        <v>0.0206341564</v>
      </c>
      <c r="AJ801" s="1">
        <v>1.3893665314</v>
      </c>
      <c r="AK801" s="1">
        <v>96.492193411</v>
      </c>
      <c r="AL801" s="1">
        <v>0.1647682499</v>
      </c>
      <c r="AM801" s="1">
        <v>50.0859756519999</v>
      </c>
      <c r="AN801" s="1">
        <v>100.0</v>
      </c>
      <c r="AO801" s="1">
        <v>27085.0</v>
      </c>
      <c r="AP801" s="1">
        <v>8.8</v>
      </c>
      <c r="AQ801" s="1">
        <v>3.2</v>
      </c>
      <c r="AR801" s="1">
        <v>8.1</v>
      </c>
      <c r="AS801" s="1">
        <v>21.2</v>
      </c>
      <c r="AT801" s="1">
        <v>23.1</v>
      </c>
      <c r="AU801" s="1">
        <v>10.3</v>
      </c>
      <c r="AV801" s="1">
        <v>3.0</v>
      </c>
      <c r="AW801" s="1">
        <v>0.0</v>
      </c>
      <c r="AX801" s="1">
        <v>0.0223</v>
      </c>
      <c r="AY801" s="1">
        <v>10.5</v>
      </c>
      <c r="AZ801" s="1">
        <v>8.2</v>
      </c>
      <c r="BA801" s="1">
        <v>13.4</v>
      </c>
      <c r="BB801" s="1">
        <v>2.92</v>
      </c>
      <c r="BC801" s="1" t="s">
        <v>1444</v>
      </c>
      <c r="BD801" s="1">
        <v>7.5</v>
      </c>
      <c r="BE801" s="1">
        <v>38.0</v>
      </c>
      <c r="BF801" s="1">
        <v>37.3</v>
      </c>
      <c r="BG801" s="1">
        <v>17.3</v>
      </c>
      <c r="BH801" s="1" t="s">
        <v>1462</v>
      </c>
    </row>
    <row r="802">
      <c r="A802" s="1">
        <v>19025.0</v>
      </c>
      <c r="B802" s="2" t="str">
        <f>IFERROR(__xludf.DUMMYFUNCTION("TO_TEXT(A802)"),"19025")</f>
        <v>19025</v>
      </c>
      <c r="C802" s="1">
        <v>9876.0</v>
      </c>
      <c r="D802" s="1">
        <v>569.845865729546</v>
      </c>
      <c r="E802" s="1" t="s">
        <v>74</v>
      </c>
      <c r="F802" s="1" t="s">
        <v>1463</v>
      </c>
      <c r="G802" s="1">
        <v>17.3310022831459</v>
      </c>
      <c r="H802" s="1">
        <v>14.733663602</v>
      </c>
      <c r="I802" s="1">
        <v>3.6039337694</v>
      </c>
      <c r="J802" s="1">
        <v>7.3548387097</v>
      </c>
      <c r="K802" s="1">
        <v>16.551356118</v>
      </c>
      <c r="L802" s="1">
        <v>36.0</v>
      </c>
      <c r="M802" s="1">
        <v>8.4</v>
      </c>
      <c r="N802" s="1">
        <v>30.8</v>
      </c>
      <c r="O802" s="1">
        <v>73.971044467</v>
      </c>
      <c r="P802" s="1">
        <v>5.5738644505</v>
      </c>
      <c r="Q802" s="1">
        <v>71.82434</v>
      </c>
      <c r="R802" s="1">
        <v>92.741935484</v>
      </c>
      <c r="S802" s="1">
        <v>14.7</v>
      </c>
      <c r="T802" s="1">
        <v>1981.0</v>
      </c>
      <c r="U802" s="1">
        <v>27.057041898</v>
      </c>
      <c r="V802" s="1">
        <v>45.86688411</v>
      </c>
      <c r="W802" s="1">
        <v>10.9411764709999</v>
      </c>
      <c r="X802" s="1">
        <v>8.9764901449</v>
      </c>
      <c r="Y802" s="1">
        <v>78.548014794</v>
      </c>
      <c r="Z802" s="1">
        <v>10.9</v>
      </c>
      <c r="AA802" s="1">
        <v>0.7832480801</v>
      </c>
      <c r="AB802" s="1">
        <v>54865.0</v>
      </c>
      <c r="AC802" s="1">
        <v>35.746606335</v>
      </c>
      <c r="AD802" s="1">
        <v>77.85731329</v>
      </c>
      <c r="AE802" s="1">
        <v>7.8293601004</v>
      </c>
      <c r="AF802" s="1">
        <v>2.3301371275</v>
      </c>
      <c r="AG802" s="1">
        <v>0.4227239922</v>
      </c>
      <c r="AH802" s="1">
        <v>0.2783792144</v>
      </c>
      <c r="AI802" s="1">
        <v>0.0</v>
      </c>
      <c r="AJ802" s="1">
        <v>1.9486545005</v>
      </c>
      <c r="AK802" s="1">
        <v>94.102484792</v>
      </c>
      <c r="AL802" s="1">
        <v>0.1084598698</v>
      </c>
      <c r="AM802" s="1">
        <v>48.396741932</v>
      </c>
      <c r="AN802" s="1">
        <v>100.0</v>
      </c>
      <c r="AO802" s="1">
        <v>26210.0</v>
      </c>
      <c r="AP802" s="1">
        <v>14.8</v>
      </c>
      <c r="AQ802" s="1">
        <v>2.7</v>
      </c>
      <c r="AR802" s="1">
        <v>7.8</v>
      </c>
      <c r="AS802" s="1">
        <v>22.5</v>
      </c>
      <c r="AT802" s="1">
        <v>20.7</v>
      </c>
      <c r="AU802" s="1">
        <v>13.8</v>
      </c>
      <c r="AV802" s="1">
        <v>5.1</v>
      </c>
      <c r="AW802" s="1">
        <v>0.1</v>
      </c>
      <c r="AX802" s="1">
        <v>0.163</v>
      </c>
      <c r="AY802" s="1">
        <v>11.5</v>
      </c>
      <c r="AZ802" s="1">
        <v>9.4</v>
      </c>
      <c r="BA802" s="1">
        <v>15.1</v>
      </c>
      <c r="BB802" s="1">
        <v>2.85</v>
      </c>
      <c r="BC802" s="1" t="s">
        <v>1444</v>
      </c>
      <c r="BD802" s="1">
        <v>6.2</v>
      </c>
      <c r="BE802" s="1">
        <v>38.0</v>
      </c>
      <c r="BF802" s="1">
        <v>37.1</v>
      </c>
      <c r="BG802" s="1">
        <v>18.7</v>
      </c>
      <c r="BH802" s="1" t="s">
        <v>1463</v>
      </c>
    </row>
    <row r="803">
      <c r="A803" s="1">
        <v>19027.0</v>
      </c>
      <c r="B803" s="2" t="str">
        <f>IFERROR(__xludf.DUMMYFUNCTION("TO_TEXT(A803)"),"19027")</f>
        <v>19027</v>
      </c>
      <c r="C803" s="1">
        <v>20555.0</v>
      </c>
      <c r="D803" s="1">
        <v>569.436778691384</v>
      </c>
      <c r="E803" s="1" t="s">
        <v>298</v>
      </c>
      <c r="F803" s="1" t="s">
        <v>1464</v>
      </c>
      <c r="G803" s="1">
        <v>36.0970712977781</v>
      </c>
      <c r="H803" s="1">
        <v>12.121249682</v>
      </c>
      <c r="I803" s="1">
        <v>3.3042229217</v>
      </c>
      <c r="J803" s="1">
        <v>5.0923335199</v>
      </c>
      <c r="K803" s="1">
        <v>15.261250857</v>
      </c>
      <c r="L803" s="1">
        <v>33.9</v>
      </c>
      <c r="M803" s="1">
        <v>8.7</v>
      </c>
      <c r="N803" s="1">
        <v>25.6</v>
      </c>
      <c r="O803" s="1">
        <v>76.1769792469999</v>
      </c>
      <c r="P803" s="1">
        <v>4.3999505624</v>
      </c>
      <c r="Q803" s="1">
        <v>93.50394</v>
      </c>
      <c r="R803" s="1">
        <v>95.475113122</v>
      </c>
      <c r="S803" s="1">
        <v>9.4</v>
      </c>
      <c r="T803" s="1">
        <v>4928.0</v>
      </c>
      <c r="U803" s="1">
        <v>25.101461039</v>
      </c>
      <c r="V803" s="1">
        <v>63.440938926</v>
      </c>
      <c r="W803" s="1">
        <v>8.5664335664</v>
      </c>
      <c r="X803" s="1">
        <v>7.4218289086</v>
      </c>
      <c r="Y803" s="1">
        <v>79.880601713</v>
      </c>
      <c r="Z803" s="1">
        <v>10.1</v>
      </c>
      <c r="AA803" s="1">
        <v>1.2069746139</v>
      </c>
      <c r="AB803" s="1">
        <v>60531.0</v>
      </c>
      <c r="AC803" s="1">
        <v>37.802485284</v>
      </c>
      <c r="AD803" s="1">
        <v>76.942587042</v>
      </c>
      <c r="AE803" s="1">
        <v>7.2082788153</v>
      </c>
      <c r="AF803" s="1">
        <v>1.1412126625</v>
      </c>
      <c r="AG803" s="1">
        <v>0.322516622</v>
      </c>
      <c r="AH803" s="1">
        <v>0.5457973603</v>
      </c>
      <c r="AI803" s="1">
        <v>0.0198471767</v>
      </c>
      <c r="AJ803" s="1">
        <v>2.5057060633</v>
      </c>
      <c r="AK803" s="1">
        <v>94.64126228</v>
      </c>
      <c r="AL803" s="1">
        <v>0.1842590155</v>
      </c>
      <c r="AM803" s="1">
        <v>50.75915451</v>
      </c>
      <c r="AN803" s="1">
        <v>52.036894696</v>
      </c>
      <c r="AO803" s="1">
        <v>28307.0</v>
      </c>
      <c r="AP803" s="1">
        <v>9.4</v>
      </c>
      <c r="AQ803" s="1">
        <v>2.6</v>
      </c>
      <c r="AR803" s="1">
        <v>7.1</v>
      </c>
      <c r="AS803" s="1">
        <v>19.2</v>
      </c>
      <c r="AT803" s="1">
        <v>24.2</v>
      </c>
      <c r="AU803" s="1">
        <v>11.1</v>
      </c>
      <c r="AV803" s="1">
        <v>4.4</v>
      </c>
      <c r="AW803" s="1">
        <v>0.2</v>
      </c>
      <c r="AX803" s="1">
        <v>0.0739</v>
      </c>
      <c r="AY803" s="1">
        <v>8.2</v>
      </c>
      <c r="AZ803" s="1">
        <v>7.8</v>
      </c>
      <c r="BA803" s="1">
        <v>10.8</v>
      </c>
      <c r="BB803" s="1">
        <v>2.98</v>
      </c>
      <c r="BC803" s="1" t="s">
        <v>1444</v>
      </c>
      <c r="BD803" s="1">
        <v>6.5</v>
      </c>
      <c r="BE803" s="1">
        <v>36.7</v>
      </c>
      <c r="BF803" s="1">
        <v>34.5</v>
      </c>
      <c r="BG803" s="1">
        <v>22.4</v>
      </c>
      <c r="BH803" s="1" t="s">
        <v>1464</v>
      </c>
    </row>
    <row r="804">
      <c r="A804" s="1">
        <v>19029.0</v>
      </c>
      <c r="B804" s="2" t="str">
        <f>IFERROR(__xludf.DUMMYFUNCTION("TO_TEXT(A804)"),"19029")</f>
        <v>19029</v>
      </c>
      <c r="C804" s="1">
        <v>13433.0</v>
      </c>
      <c r="D804" s="1">
        <v>564.269076009396</v>
      </c>
      <c r="E804" s="1" t="s">
        <v>1164</v>
      </c>
      <c r="F804" s="1" t="s">
        <v>1465</v>
      </c>
      <c r="G804" s="1">
        <v>23.8060183893124</v>
      </c>
      <c r="H804" s="1">
        <v>14.862979747</v>
      </c>
      <c r="I804" s="1">
        <v>3.7254388913</v>
      </c>
      <c r="J804" s="1">
        <v>5.3571428571</v>
      </c>
      <c r="K804" s="1">
        <v>17.266042533</v>
      </c>
      <c r="L804" s="1">
        <v>33.7</v>
      </c>
      <c r="M804" s="1">
        <v>7.6</v>
      </c>
      <c r="N804" s="1">
        <v>21.9</v>
      </c>
      <c r="O804" s="1">
        <v>76.820005732</v>
      </c>
      <c r="P804" s="1">
        <v>6.7821930087</v>
      </c>
      <c r="Q804" s="1">
        <v>53.25219</v>
      </c>
      <c r="R804" s="1">
        <v>88.3720930229999</v>
      </c>
      <c r="S804" s="1">
        <v>17.6</v>
      </c>
      <c r="T804" s="1">
        <v>2888.0</v>
      </c>
      <c r="U804" s="1">
        <v>30.782548476</v>
      </c>
      <c r="V804" s="1">
        <v>238.35238911</v>
      </c>
      <c r="W804" s="1">
        <v>9.9588477366</v>
      </c>
      <c r="X804" s="1">
        <v>8.4411276949</v>
      </c>
      <c r="Y804" s="1">
        <v>76.63205487</v>
      </c>
      <c r="Z804" s="1">
        <v>9.6</v>
      </c>
      <c r="AA804" s="1">
        <v>8.3394679993</v>
      </c>
      <c r="AB804" s="1">
        <v>50356.0</v>
      </c>
      <c r="AC804" s="1">
        <v>42.1195652169999</v>
      </c>
      <c r="AD804" s="1">
        <v>69.349429913</v>
      </c>
      <c r="AE804" s="1">
        <v>8.6013986014</v>
      </c>
      <c r="AF804" s="1">
        <v>0.4253673627</v>
      </c>
      <c r="AG804" s="1">
        <v>0.4485692189</v>
      </c>
      <c r="AH804" s="1">
        <v>0.3866976025</v>
      </c>
      <c r="AI804" s="1">
        <v>0.464037123</v>
      </c>
      <c r="AJ804" s="1">
        <v>2.6295436968</v>
      </c>
      <c r="AK804" s="1">
        <v>95.1430781129999</v>
      </c>
      <c r="AL804" s="1">
        <v>0.904</v>
      </c>
      <c r="AM804" s="1">
        <v>50.7501933489999</v>
      </c>
      <c r="AN804" s="1">
        <v>53.632846088</v>
      </c>
      <c r="AO804" s="1">
        <v>26411.0</v>
      </c>
      <c r="AP804" s="1">
        <v>15.1</v>
      </c>
      <c r="AQ804" s="1">
        <v>3.3</v>
      </c>
      <c r="AR804" s="1">
        <v>9.7</v>
      </c>
      <c r="AS804" s="1">
        <v>21.4</v>
      </c>
      <c r="AT804" s="1">
        <v>22.3</v>
      </c>
      <c r="AU804" s="1">
        <v>14.6</v>
      </c>
      <c r="AV804" s="1">
        <v>4.2</v>
      </c>
      <c r="AW804" s="1">
        <v>0.4</v>
      </c>
      <c r="AX804" s="1">
        <v>0.256</v>
      </c>
      <c r="AY804" s="1">
        <v>14.3</v>
      </c>
      <c r="AZ804" s="1">
        <v>9.8</v>
      </c>
      <c r="BA804" s="1">
        <v>14.7</v>
      </c>
      <c r="BB804" s="1">
        <v>2.86</v>
      </c>
      <c r="BC804" s="1" t="s">
        <v>1444</v>
      </c>
      <c r="BD804" s="1">
        <v>12.0</v>
      </c>
      <c r="BE804" s="1">
        <v>37.9</v>
      </c>
      <c r="BF804" s="1">
        <v>30.0</v>
      </c>
      <c r="BG804" s="1">
        <v>20.1</v>
      </c>
      <c r="BH804" s="1" t="s">
        <v>1465</v>
      </c>
    </row>
    <row r="805">
      <c r="A805" s="1">
        <v>19031.0</v>
      </c>
      <c r="B805" s="2" t="str">
        <f>IFERROR(__xludf.DUMMYFUNCTION("TO_TEXT(A805)"),"19031")</f>
        <v>19031</v>
      </c>
      <c r="C805" s="1">
        <v>18389.0</v>
      </c>
      <c r="D805" s="1">
        <v>579.435156391763</v>
      </c>
      <c r="E805" s="1" t="s">
        <v>1466</v>
      </c>
      <c r="F805" s="1" t="s">
        <v>1467</v>
      </c>
      <c r="G805" s="1">
        <v>31.7360791749525</v>
      </c>
      <c r="H805" s="1">
        <v>11.30416249</v>
      </c>
      <c r="I805" s="1">
        <v>3.2110464391</v>
      </c>
      <c r="J805" s="1">
        <v>5.0965250965</v>
      </c>
      <c r="K805" s="1">
        <v>14.0769807929999</v>
      </c>
      <c r="L805" s="1">
        <v>34.7</v>
      </c>
      <c r="M805" s="1">
        <v>8.6</v>
      </c>
      <c r="N805" s="1">
        <v>28.4</v>
      </c>
      <c r="O805" s="1">
        <v>72.220120006</v>
      </c>
      <c r="P805" s="1">
        <v>4.3117855472</v>
      </c>
      <c r="Q805" s="1">
        <v>26.96435</v>
      </c>
      <c r="R805" s="1">
        <v>86.885245902</v>
      </c>
      <c r="S805" s="1">
        <v>9.5</v>
      </c>
      <c r="T805" s="1">
        <v>4159.0</v>
      </c>
      <c r="U805" s="1">
        <v>17.744650156</v>
      </c>
      <c r="V805" s="1">
        <v>95.417245986</v>
      </c>
      <c r="W805" s="1">
        <v>8.1578947368</v>
      </c>
      <c r="X805" s="1">
        <v>6.856386499</v>
      </c>
      <c r="Y805" s="1">
        <v>82.110875451</v>
      </c>
      <c r="Z805" s="1">
        <v>5.4</v>
      </c>
      <c r="AA805" s="1">
        <v>4.9695646995</v>
      </c>
      <c r="AB805" s="1">
        <v>67597.0</v>
      </c>
      <c r="AC805" s="1">
        <v>25.2485688459999</v>
      </c>
      <c r="AD805" s="1">
        <v>80.519480519</v>
      </c>
      <c r="AE805" s="1">
        <v>5.7040011076</v>
      </c>
      <c r="AF805" s="1">
        <v>0.6066462662</v>
      </c>
      <c r="AG805" s="1">
        <v>0.2093734901</v>
      </c>
      <c r="AH805" s="1">
        <v>0.6925430826</v>
      </c>
      <c r="AI805" s="1">
        <v>0.0590540613</v>
      </c>
      <c r="AJ805" s="1">
        <v>2.0883663499</v>
      </c>
      <c r="AK805" s="1">
        <v>95.286412197</v>
      </c>
      <c r="AL805" s="1">
        <v>0.3607627555</v>
      </c>
      <c r="AM805" s="1">
        <v>50.228163419</v>
      </c>
      <c r="AN805" s="1">
        <v>83.420725445</v>
      </c>
      <c r="AO805" s="1">
        <v>29271.0</v>
      </c>
      <c r="AP805" s="1">
        <v>6.4</v>
      </c>
      <c r="AQ805" s="1">
        <v>3.3</v>
      </c>
      <c r="AR805" s="1">
        <v>6.6</v>
      </c>
      <c r="AS805" s="1">
        <v>18.2</v>
      </c>
      <c r="AT805" s="1">
        <v>23.2</v>
      </c>
      <c r="AU805" s="1">
        <v>11.2</v>
      </c>
      <c r="AV805" s="1">
        <v>4.1</v>
      </c>
      <c r="AW805" s="1">
        <v>0.3</v>
      </c>
      <c r="AX805" s="1">
        <v>0.0111</v>
      </c>
      <c r="AY805" s="1">
        <v>7.8</v>
      </c>
      <c r="AZ805" s="1">
        <v>6.9</v>
      </c>
      <c r="BA805" s="1">
        <v>10.7</v>
      </c>
      <c r="BB805" s="1">
        <v>2.93</v>
      </c>
      <c r="BC805" s="1" t="s">
        <v>1444</v>
      </c>
      <c r="BD805" s="1">
        <v>4.4</v>
      </c>
      <c r="BE805" s="1">
        <v>37.6</v>
      </c>
      <c r="BF805" s="1">
        <v>35.8</v>
      </c>
      <c r="BG805" s="1">
        <v>22.2</v>
      </c>
      <c r="BH805" s="1" t="s">
        <v>1467</v>
      </c>
    </row>
    <row r="806">
      <c r="A806" s="1">
        <v>19033.0</v>
      </c>
      <c r="B806" s="2" t="str">
        <f>IFERROR(__xludf.DUMMYFUNCTION("TO_TEXT(A806)"),"19033")</f>
        <v>19033</v>
      </c>
      <c r="C806" s="1">
        <v>43303.0</v>
      </c>
      <c r="D806" s="1">
        <v>568.296480102562</v>
      </c>
      <c r="E806" s="1" t="s">
        <v>1468</v>
      </c>
      <c r="F806" s="1" t="s">
        <v>1469</v>
      </c>
      <c r="G806" s="1">
        <v>76.1979028836937</v>
      </c>
      <c r="H806" s="1">
        <v>13.535121676</v>
      </c>
      <c r="I806" s="1">
        <v>3.6673563959</v>
      </c>
      <c r="J806" s="1">
        <v>6.8244697203</v>
      </c>
      <c r="K806" s="1">
        <v>16.345733358</v>
      </c>
      <c r="L806" s="1">
        <v>30.0</v>
      </c>
      <c r="M806" s="1">
        <v>8.2</v>
      </c>
      <c r="N806" s="1">
        <v>20.9</v>
      </c>
      <c r="O806" s="1">
        <v>92.3082149889999</v>
      </c>
      <c r="P806" s="1">
        <v>4.5516201959</v>
      </c>
      <c r="Q806" s="1">
        <v>153.46696</v>
      </c>
      <c r="R806" s="1">
        <v>91.647331787</v>
      </c>
      <c r="S806" s="1">
        <v>13.3</v>
      </c>
      <c r="T806" s="1">
        <v>8798.0</v>
      </c>
      <c r="U806" s="1">
        <v>34.780631962</v>
      </c>
      <c r="V806" s="1">
        <v>133.31014896</v>
      </c>
      <c r="W806" s="1">
        <v>9.9480519481</v>
      </c>
      <c r="X806" s="1">
        <v>8.8620870477</v>
      </c>
      <c r="Y806" s="1">
        <v>78.398395705</v>
      </c>
      <c r="Z806" s="1">
        <v>10.9</v>
      </c>
      <c r="AA806" s="1">
        <v>4.2985967848</v>
      </c>
      <c r="AB806" s="1">
        <v>51939.0</v>
      </c>
      <c r="AC806" s="1">
        <v>38.031735314</v>
      </c>
      <c r="AD806" s="1">
        <v>69.140685994</v>
      </c>
      <c r="AE806" s="1">
        <v>8.6545648692</v>
      </c>
      <c r="AF806" s="1">
        <v>1.7937955776</v>
      </c>
      <c r="AG806" s="1">
        <v>0.3540694539</v>
      </c>
      <c r="AH806" s="1">
        <v>1.0880015007</v>
      </c>
      <c r="AI806" s="1">
        <v>0.1477243417</v>
      </c>
      <c r="AJ806" s="1">
        <v>4.9311792154</v>
      </c>
      <c r="AK806" s="1">
        <v>90.36743499</v>
      </c>
      <c r="AL806" s="1">
        <v>0.5436788113</v>
      </c>
      <c r="AM806" s="1">
        <v>51.063380777</v>
      </c>
      <c r="AN806" s="1">
        <v>20.592965052</v>
      </c>
      <c r="AO806" s="1">
        <v>28763.0</v>
      </c>
      <c r="AP806" s="1">
        <v>12.8</v>
      </c>
      <c r="AQ806" s="1">
        <v>4.1</v>
      </c>
      <c r="AR806" s="1">
        <v>6.7</v>
      </c>
      <c r="AS806" s="1">
        <v>19.7</v>
      </c>
      <c r="AT806" s="1">
        <v>20.8</v>
      </c>
      <c r="AU806" s="1">
        <v>14.3</v>
      </c>
      <c r="AV806" s="1">
        <v>8.4</v>
      </c>
      <c r="AW806" s="1">
        <v>0.6</v>
      </c>
      <c r="AX806" s="1">
        <v>0.2257</v>
      </c>
      <c r="AY806" s="1">
        <v>8.5</v>
      </c>
      <c r="AZ806" s="1">
        <v>9.7</v>
      </c>
      <c r="BA806" s="1">
        <v>13.9</v>
      </c>
      <c r="BB806" s="1">
        <v>2.94</v>
      </c>
      <c r="BC806" s="1" t="s">
        <v>1444</v>
      </c>
      <c r="BD806" s="1">
        <v>7.3</v>
      </c>
      <c r="BE806" s="1">
        <v>30.6</v>
      </c>
      <c r="BF806" s="1">
        <v>38.5</v>
      </c>
      <c r="BG806" s="1">
        <v>23.6</v>
      </c>
      <c r="BH806" s="1" t="s">
        <v>1469</v>
      </c>
    </row>
    <row r="807">
      <c r="A807" s="1">
        <v>19035.0</v>
      </c>
      <c r="B807" s="2" t="str">
        <f>IFERROR(__xludf.DUMMYFUNCTION("TO_TEXT(A807)"),"19035")</f>
        <v>19035</v>
      </c>
      <c r="C807" s="1">
        <v>11752.0</v>
      </c>
      <c r="D807" s="1">
        <v>576.906057789288</v>
      </c>
      <c r="E807" s="1" t="s">
        <v>78</v>
      </c>
      <c r="F807" s="1" t="s">
        <v>1470</v>
      </c>
      <c r="G807" s="1">
        <v>20.3707342665698</v>
      </c>
      <c r="H807" s="1">
        <v>13.597440758</v>
      </c>
      <c r="I807" s="1">
        <v>3.6075179972</v>
      </c>
      <c r="J807" s="1">
        <v>6.4804469274</v>
      </c>
      <c r="K807" s="1">
        <v>16.513485611</v>
      </c>
      <c r="L807" s="1">
        <v>35.1</v>
      </c>
      <c r="M807" s="1">
        <v>8.6</v>
      </c>
      <c r="N807" s="1">
        <v>27.3</v>
      </c>
      <c r="O807" s="1">
        <v>77.451954937</v>
      </c>
      <c r="P807" s="1">
        <v>5.9687351966</v>
      </c>
      <c r="Q807" s="1">
        <v>61.85931</v>
      </c>
      <c r="R807" s="1">
        <v>95.679012346</v>
      </c>
      <c r="S807" s="1">
        <v>11.4</v>
      </c>
      <c r="T807" s="1">
        <v>2350.0</v>
      </c>
      <c r="U807" s="1">
        <v>41.617021277</v>
      </c>
      <c r="V807" s="1">
        <v>175.40106952</v>
      </c>
      <c r="W807" s="1">
        <v>5.7384760113</v>
      </c>
      <c r="X807" s="1">
        <v>3.465252793</v>
      </c>
      <c r="Y807" s="1">
        <v>79.9563153839999</v>
      </c>
      <c r="Z807" s="1">
        <v>13.8</v>
      </c>
      <c r="AA807" s="1">
        <v>1.8283829852</v>
      </c>
      <c r="AB807" s="1">
        <v>56312.0</v>
      </c>
      <c r="AC807" s="1">
        <v>39.806812405</v>
      </c>
      <c r="AD807" s="1">
        <v>74.124039723</v>
      </c>
      <c r="AE807" s="1">
        <v>3.9382239382</v>
      </c>
      <c r="AF807" s="1">
        <v>1.0599770338</v>
      </c>
      <c r="AG807" s="1">
        <v>0.4328239555</v>
      </c>
      <c r="AH807" s="1">
        <v>0.5918205106</v>
      </c>
      <c r="AI807" s="1">
        <v>0.2384948326</v>
      </c>
      <c r="AJ807" s="1">
        <v>3.957247593</v>
      </c>
      <c r="AK807" s="1">
        <v>92.995318435</v>
      </c>
      <c r="AL807" s="1">
        <v>0.3900083573</v>
      </c>
      <c r="AM807" s="1">
        <v>49.721756029</v>
      </c>
      <c r="AN807" s="1">
        <v>61.381709742</v>
      </c>
      <c r="AO807" s="1">
        <v>28783.0</v>
      </c>
      <c r="AP807" s="1">
        <v>11.8</v>
      </c>
      <c r="AQ807" s="1">
        <v>3.2</v>
      </c>
      <c r="AR807" s="1">
        <v>9.4</v>
      </c>
      <c r="AS807" s="1">
        <v>22.7</v>
      </c>
      <c r="AT807" s="1">
        <v>21.0</v>
      </c>
      <c r="AU807" s="1">
        <v>13.5</v>
      </c>
      <c r="AV807" s="1">
        <v>5.8</v>
      </c>
      <c r="AW807" s="1">
        <v>0.6</v>
      </c>
      <c r="AX807" s="1">
        <v>0.1799</v>
      </c>
      <c r="AY807" s="1">
        <v>10.2</v>
      </c>
      <c r="AZ807" s="1">
        <v>9.0</v>
      </c>
      <c r="BA807" s="1">
        <v>13.6</v>
      </c>
      <c r="BB807" s="1">
        <v>2.99</v>
      </c>
      <c r="BC807" s="1" t="s">
        <v>1444</v>
      </c>
      <c r="BD807" s="1">
        <v>6.9</v>
      </c>
      <c r="BE807" s="1">
        <v>35.8</v>
      </c>
      <c r="BF807" s="1">
        <v>35.1</v>
      </c>
      <c r="BG807" s="1">
        <v>22.2</v>
      </c>
      <c r="BH807" s="1" t="s">
        <v>1470</v>
      </c>
    </row>
    <row r="808">
      <c r="A808" s="1">
        <v>19037.0</v>
      </c>
      <c r="B808" s="2" t="str">
        <f>IFERROR(__xludf.DUMMYFUNCTION("TO_TEXT(A808)"),"19037")</f>
        <v>19037</v>
      </c>
      <c r="C808" s="1">
        <v>12164.0</v>
      </c>
      <c r="D808" s="1">
        <v>504.38000791352</v>
      </c>
      <c r="E808" s="1" t="s">
        <v>1471</v>
      </c>
      <c r="F808" s="1" t="s">
        <v>1472</v>
      </c>
      <c r="G808" s="1">
        <v>24.1167370021645</v>
      </c>
      <c r="H808" s="1">
        <v>13.8230966109999</v>
      </c>
      <c r="I808" s="1">
        <v>3.5278588959</v>
      </c>
      <c r="J808" s="1">
        <v>5.4192229039</v>
      </c>
      <c r="K808" s="1">
        <v>15.791497674</v>
      </c>
      <c r="L808" s="1">
        <v>30.2</v>
      </c>
      <c r="M808" s="1">
        <v>8.4</v>
      </c>
      <c r="N808" s="1">
        <v>22.5</v>
      </c>
      <c r="O808" s="1">
        <v>68.293271163</v>
      </c>
      <c r="P808" s="1">
        <v>6.3612427593</v>
      </c>
      <c r="Q808" s="1">
        <v>58.30904</v>
      </c>
      <c r="R808" s="1">
        <v>94.520547945</v>
      </c>
      <c r="S808" s="1">
        <v>11.9</v>
      </c>
      <c r="T808" s="1">
        <v>2772.0</v>
      </c>
      <c r="U808" s="1">
        <v>14.682539683</v>
      </c>
      <c r="V808" s="1">
        <v>172.59091843</v>
      </c>
      <c r="W808" s="1">
        <v>7.8169685415</v>
      </c>
      <c r="X808" s="1">
        <v>6.320845341</v>
      </c>
      <c r="Y808" s="1">
        <v>79.307372656</v>
      </c>
      <c r="Z808" s="1">
        <v>8.5</v>
      </c>
      <c r="AA808" s="1">
        <v>4.89940133519999</v>
      </c>
      <c r="AB808" s="1">
        <v>64190.0</v>
      </c>
      <c r="AC808" s="1">
        <v>31.213566508</v>
      </c>
      <c r="AD808" s="1">
        <v>80.196493932</v>
      </c>
      <c r="AE808" s="1">
        <v>5.5356431701</v>
      </c>
      <c r="AF808" s="1">
        <v>0.6185222334</v>
      </c>
      <c r="AG808" s="1">
        <v>0.1504513541</v>
      </c>
      <c r="AH808" s="1">
        <v>0.3510531595</v>
      </c>
      <c r="AI808" s="1">
        <v>0.0167168171</v>
      </c>
      <c r="AJ808" s="1">
        <v>2.766633233</v>
      </c>
      <c r="AK808" s="1">
        <v>95.436308927</v>
      </c>
      <c r="AL808" s="1">
        <v>1.3765892153</v>
      </c>
      <c r="AM808" s="1">
        <v>49.389836175</v>
      </c>
      <c r="AN808" s="1">
        <v>73.534850068</v>
      </c>
      <c r="AO808" s="1">
        <v>26915.0</v>
      </c>
      <c r="AP808" s="1">
        <v>9.0</v>
      </c>
      <c r="AQ808" s="1">
        <v>3.2</v>
      </c>
      <c r="AR808" s="1">
        <v>9.7</v>
      </c>
      <c r="AS808" s="1">
        <v>19.1</v>
      </c>
      <c r="AT808" s="1">
        <v>23.7</v>
      </c>
      <c r="AU808" s="1">
        <v>14.2</v>
      </c>
      <c r="AV808" s="1">
        <v>3.6</v>
      </c>
      <c r="AW808" s="1">
        <v>0.9</v>
      </c>
      <c r="AX808" s="1">
        <v>0.1258</v>
      </c>
      <c r="AY808" s="1">
        <v>8.5</v>
      </c>
      <c r="AZ808" s="1">
        <v>8.0</v>
      </c>
      <c r="BA808" s="1">
        <v>12.2</v>
      </c>
      <c r="BB808" s="1">
        <v>2.93</v>
      </c>
      <c r="BC808" s="1" t="s">
        <v>1444</v>
      </c>
      <c r="BD808" s="1">
        <v>7.2</v>
      </c>
      <c r="BE808" s="1">
        <v>43.6</v>
      </c>
      <c r="BF808" s="1">
        <v>32.0</v>
      </c>
      <c r="BG808" s="1">
        <v>17.2</v>
      </c>
      <c r="BH808" s="1" t="s">
        <v>1472</v>
      </c>
    </row>
    <row r="809">
      <c r="A809" s="1">
        <v>19039.0</v>
      </c>
      <c r="B809" s="2" t="str">
        <f>IFERROR(__xludf.DUMMYFUNCTION("TO_TEXT(A809)"),"19039")</f>
        <v>19039</v>
      </c>
      <c r="C809" s="1">
        <v>9273.0</v>
      </c>
      <c r="D809" s="1">
        <v>431.166330839158</v>
      </c>
      <c r="E809" s="1" t="s">
        <v>84</v>
      </c>
      <c r="F809" s="1" t="s">
        <v>1473</v>
      </c>
      <c r="G809" s="1">
        <v>21.5067813434143</v>
      </c>
      <c r="H809" s="1">
        <v>15.590320335</v>
      </c>
      <c r="I809" s="1">
        <v>3.6029455501</v>
      </c>
      <c r="J809" s="1">
        <v>7.3863636364</v>
      </c>
      <c r="K809" s="1">
        <v>17.179426684</v>
      </c>
      <c r="L809" s="1">
        <v>36.6</v>
      </c>
      <c r="M809" s="1">
        <v>8.5</v>
      </c>
      <c r="N809" s="1">
        <v>27.6</v>
      </c>
      <c r="O809" s="1">
        <v>67.014861081</v>
      </c>
      <c r="P809" s="1">
        <v>6.4221398305</v>
      </c>
      <c r="Q809" s="1">
        <v>32.0034099999999</v>
      </c>
      <c r="R809" s="1">
        <v>92.5</v>
      </c>
      <c r="S809" s="1">
        <v>16.1</v>
      </c>
      <c r="T809" s="1">
        <v>2310.0</v>
      </c>
      <c r="U809" s="1">
        <v>18.051948052</v>
      </c>
      <c r="V809" s="1">
        <v>139.89776702</v>
      </c>
      <c r="W809" s="1">
        <v>13.2985658409999</v>
      </c>
      <c r="X809" s="1">
        <v>10.534550196</v>
      </c>
      <c r="Y809" s="1">
        <v>76.259682985</v>
      </c>
      <c r="Z809" s="1">
        <v>11.7</v>
      </c>
      <c r="AA809" s="1">
        <v>2.270079641</v>
      </c>
      <c r="AB809" s="1">
        <v>52541.0</v>
      </c>
      <c r="AC809" s="1">
        <v>54.52991453</v>
      </c>
      <c r="AD809" s="1">
        <v>70.783601453</v>
      </c>
      <c r="AE809" s="1">
        <v>9.68169761269999</v>
      </c>
      <c r="AF809" s="1">
        <v>1.103682479</v>
      </c>
      <c r="AG809" s="1">
        <v>1.0506208214</v>
      </c>
      <c r="AH809" s="1">
        <v>0.8171495278</v>
      </c>
      <c r="AI809" s="1">
        <v>0.1910219675</v>
      </c>
      <c r="AJ809" s="1">
        <v>14.262973575</v>
      </c>
      <c r="AK809" s="1">
        <v>82.160670699</v>
      </c>
      <c r="AL809" s="1">
        <v>2.2458902524</v>
      </c>
      <c r="AM809" s="1">
        <v>49.3579539419999</v>
      </c>
      <c r="AN809" s="1">
        <v>48.104673702</v>
      </c>
      <c r="AO809" s="1">
        <v>23742.0</v>
      </c>
      <c r="AP809" s="1">
        <v>16.0</v>
      </c>
      <c r="AQ809" s="1">
        <v>4.6</v>
      </c>
      <c r="AR809" s="1">
        <v>9.3</v>
      </c>
      <c r="AS809" s="1">
        <v>17.6</v>
      </c>
      <c r="AT809" s="1">
        <v>24.1</v>
      </c>
      <c r="AU809" s="1">
        <v>13.8</v>
      </c>
      <c r="AV809" s="1">
        <v>14.5</v>
      </c>
      <c r="AW809" s="1">
        <v>2.8</v>
      </c>
      <c r="AX809" s="1">
        <v>0.4925</v>
      </c>
      <c r="AY809" s="1">
        <v>11.7</v>
      </c>
      <c r="AZ809" s="1">
        <v>10.2</v>
      </c>
      <c r="BA809" s="1">
        <v>15.1</v>
      </c>
      <c r="BB809" s="1">
        <v>3.09</v>
      </c>
      <c r="BC809" s="1" t="s">
        <v>1444</v>
      </c>
      <c r="BD809" s="1">
        <v>12.2</v>
      </c>
      <c r="BE809" s="1">
        <v>38.9</v>
      </c>
      <c r="BF809" s="1">
        <v>32.9</v>
      </c>
      <c r="BG809" s="1">
        <v>16.0</v>
      </c>
      <c r="BH809" s="1" t="s">
        <v>1473</v>
      </c>
    </row>
    <row r="810">
      <c r="A810" s="1">
        <v>19041.0</v>
      </c>
      <c r="B810" s="2" t="str">
        <f>IFERROR(__xludf.DUMMYFUNCTION("TO_TEXT(A810)"),"19041")</f>
        <v>19041</v>
      </c>
      <c r="C810" s="1">
        <v>16478.0</v>
      </c>
      <c r="D810" s="1">
        <v>567.237686101532</v>
      </c>
      <c r="E810" s="1" t="s">
        <v>86</v>
      </c>
      <c r="F810" s="1" t="s">
        <v>1474</v>
      </c>
      <c r="G810" s="1">
        <v>29.0495508386418</v>
      </c>
      <c r="H810" s="1">
        <v>12.980351025</v>
      </c>
      <c r="I810" s="1">
        <v>3.4896814369</v>
      </c>
      <c r="J810" s="1">
        <v>5.9549745824</v>
      </c>
      <c r="K810" s="1">
        <v>15.864480885</v>
      </c>
      <c r="L810" s="1">
        <v>35.0</v>
      </c>
      <c r="M810" s="1">
        <v>8.2</v>
      </c>
      <c r="N810" s="1">
        <v>20.7</v>
      </c>
      <c r="O810" s="1">
        <v>75.62848743</v>
      </c>
      <c r="P810" s="1">
        <v>5.5564263323</v>
      </c>
      <c r="Q810" s="1">
        <v>80.39579</v>
      </c>
      <c r="R810" s="1">
        <v>95.031055901</v>
      </c>
      <c r="S810" s="1">
        <v>12.6</v>
      </c>
      <c r="T810" s="1">
        <v>3648.0</v>
      </c>
      <c r="U810" s="1">
        <v>29.714912281</v>
      </c>
      <c r="V810" s="1">
        <v>148.72822194</v>
      </c>
      <c r="W810" s="1">
        <v>9.9587912088</v>
      </c>
      <c r="X810" s="1">
        <v>7.9944289694</v>
      </c>
      <c r="Y810" s="1">
        <v>81.506296308</v>
      </c>
      <c r="Z810" s="1">
        <v>11.7</v>
      </c>
      <c r="AA810" s="1">
        <v>2.8359190482</v>
      </c>
      <c r="AB810" s="1">
        <v>56338.0</v>
      </c>
      <c r="AC810" s="1">
        <v>41.043478261</v>
      </c>
      <c r="AD810" s="1">
        <v>68.786599483</v>
      </c>
      <c r="AE810" s="1">
        <v>10.445662871</v>
      </c>
      <c r="AF810" s="1">
        <v>0.8243461014</v>
      </c>
      <c r="AG810" s="1">
        <v>0.3099045494</v>
      </c>
      <c r="AH810" s="1">
        <v>0.8367422834</v>
      </c>
      <c r="AI810" s="1">
        <v>0.006198091</v>
      </c>
      <c r="AJ810" s="1">
        <v>3.8056278666</v>
      </c>
      <c r="AK810" s="1">
        <v>93.175901822</v>
      </c>
      <c r="AL810" s="1">
        <v>1.525168554</v>
      </c>
      <c r="AM810" s="1">
        <v>50.8119499189999</v>
      </c>
      <c r="AN810" s="1">
        <v>34.289314214</v>
      </c>
      <c r="AO810" s="1">
        <v>27883.0</v>
      </c>
      <c r="AP810" s="1">
        <v>11.9</v>
      </c>
      <c r="AQ810" s="1">
        <v>3.3</v>
      </c>
      <c r="AR810" s="1">
        <v>6.8</v>
      </c>
      <c r="AS810" s="1">
        <v>19.3</v>
      </c>
      <c r="AT810" s="1">
        <v>22.8</v>
      </c>
      <c r="AU810" s="1">
        <v>13.2</v>
      </c>
      <c r="AV810" s="1">
        <v>5.8</v>
      </c>
      <c r="AW810" s="1">
        <v>0.8</v>
      </c>
      <c r="AX810" s="1">
        <v>0.2471</v>
      </c>
      <c r="AY810" s="1">
        <v>10.3</v>
      </c>
      <c r="AZ810" s="1">
        <v>10.6</v>
      </c>
      <c r="BA810" s="1">
        <v>16.5</v>
      </c>
      <c r="BB810" s="1">
        <v>3.09</v>
      </c>
      <c r="BC810" s="1" t="s">
        <v>1444</v>
      </c>
      <c r="BD810" s="1">
        <v>6.4</v>
      </c>
      <c r="BE810" s="1">
        <v>34.4</v>
      </c>
      <c r="BF810" s="1">
        <v>36.4</v>
      </c>
      <c r="BG810" s="1">
        <v>22.7</v>
      </c>
      <c r="BH810" s="1" t="s">
        <v>1474</v>
      </c>
    </row>
    <row r="811">
      <c r="A811" s="1">
        <v>19043.0</v>
      </c>
      <c r="B811" s="2" t="str">
        <f>IFERROR(__xludf.DUMMYFUNCTION("TO_TEXT(A811)"),"19043")</f>
        <v>19043</v>
      </c>
      <c r="C811" s="1">
        <v>17735.0</v>
      </c>
      <c r="D811" s="1">
        <v>778.49888152485</v>
      </c>
      <c r="E811" s="1" t="s">
        <v>849</v>
      </c>
      <c r="F811" s="1" t="s">
        <v>1475</v>
      </c>
      <c r="G811" s="1">
        <v>22.7810218111841</v>
      </c>
      <c r="H811" s="1">
        <v>12.727433272</v>
      </c>
      <c r="I811" s="1">
        <v>3.6141598815</v>
      </c>
      <c r="J811" s="1">
        <v>4.9512378095</v>
      </c>
      <c r="K811" s="1">
        <v>15.4467252359999</v>
      </c>
      <c r="L811" s="1">
        <v>36.0</v>
      </c>
      <c r="M811" s="1">
        <v>8.5</v>
      </c>
      <c r="N811" s="1">
        <v>24.4</v>
      </c>
      <c r="O811" s="1">
        <v>73.887142148</v>
      </c>
      <c r="P811" s="1">
        <v>6.1902290755</v>
      </c>
      <c r="Q811" s="1">
        <v>34.01939</v>
      </c>
      <c r="R811" s="1">
        <v>90.540540541</v>
      </c>
      <c r="S811" s="1">
        <v>13.2</v>
      </c>
      <c r="T811" s="1">
        <v>3750.0</v>
      </c>
      <c r="U811" s="1">
        <v>27.76</v>
      </c>
      <c r="V811" s="1">
        <v>59.55588327</v>
      </c>
      <c r="W811" s="1">
        <v>10.62992126</v>
      </c>
      <c r="X811" s="1">
        <v>8.6393659181</v>
      </c>
      <c r="Y811" s="1">
        <v>81.30166476</v>
      </c>
      <c r="Z811" s="1">
        <v>7.1</v>
      </c>
      <c r="AA811" s="1">
        <v>1.0821663836</v>
      </c>
      <c r="AB811" s="1">
        <v>53968.0</v>
      </c>
      <c r="AC811" s="1">
        <v>31.892572388</v>
      </c>
      <c r="AD811" s="1">
        <v>74.986931521</v>
      </c>
      <c r="AE811" s="1">
        <v>9.7145176566</v>
      </c>
      <c r="AF811" s="1">
        <v>0.8430166325</v>
      </c>
      <c r="AG811" s="1">
        <v>0.1993620415</v>
      </c>
      <c r="AH811" s="1">
        <v>0.2620186831</v>
      </c>
      <c r="AI811" s="1">
        <v>0.0911369332</v>
      </c>
      <c r="AJ811" s="1">
        <v>2.0391888813</v>
      </c>
      <c r="AK811" s="1">
        <v>95.7849168379999</v>
      </c>
      <c r="AL811" s="1">
        <v>0.7015229644</v>
      </c>
      <c r="AM811" s="1">
        <v>49.3905217589999</v>
      </c>
      <c r="AN811" s="1">
        <v>96.596613161</v>
      </c>
      <c r="AO811" s="1">
        <v>26960.0</v>
      </c>
      <c r="AP811" s="1">
        <v>10.5</v>
      </c>
      <c r="AQ811" s="1">
        <v>4.0</v>
      </c>
      <c r="AR811" s="1">
        <v>9.0</v>
      </c>
      <c r="AS811" s="1">
        <v>21.0</v>
      </c>
      <c r="AT811" s="1">
        <v>22.1</v>
      </c>
      <c r="AU811" s="1">
        <v>13.5</v>
      </c>
      <c r="AV811" s="1">
        <v>3.8</v>
      </c>
      <c r="AW811" s="1">
        <v>0.6</v>
      </c>
      <c r="AX811" s="1">
        <v>0.1897</v>
      </c>
      <c r="AY811" s="1">
        <v>11.0</v>
      </c>
      <c r="AZ811" s="1">
        <v>9.1</v>
      </c>
      <c r="BA811" s="1">
        <v>14.0</v>
      </c>
      <c r="BB811" s="1">
        <v>2.9</v>
      </c>
      <c r="BC811" s="1" t="s">
        <v>1444</v>
      </c>
      <c r="BD811" s="1">
        <v>10.1</v>
      </c>
      <c r="BE811" s="1">
        <v>43.2</v>
      </c>
      <c r="BF811" s="1">
        <v>29.0</v>
      </c>
      <c r="BG811" s="1">
        <v>17.7</v>
      </c>
      <c r="BH811" s="1" t="s">
        <v>1475</v>
      </c>
    </row>
    <row r="812">
      <c r="A812" s="1">
        <v>19045.0</v>
      </c>
      <c r="B812" s="2" t="str">
        <f>IFERROR(__xludf.DUMMYFUNCTION("TO_TEXT(A812)"),"19045")</f>
        <v>19045</v>
      </c>
      <c r="C812" s="1">
        <v>47972.0</v>
      </c>
      <c r="D812" s="1">
        <v>694.918309765697</v>
      </c>
      <c r="E812" s="1" t="s">
        <v>1172</v>
      </c>
      <c r="F812" s="1" t="s">
        <v>1476</v>
      </c>
      <c r="G812" s="1">
        <v>69.0325745139373</v>
      </c>
      <c r="H812" s="1">
        <v>14.4709417959999</v>
      </c>
      <c r="I812" s="1">
        <v>3.8509170318</v>
      </c>
      <c r="J812" s="1">
        <v>8.1748071979</v>
      </c>
      <c r="K812" s="1">
        <v>17.125421189</v>
      </c>
      <c r="L812" s="1">
        <v>33.3</v>
      </c>
      <c r="M812" s="1">
        <v>7.9</v>
      </c>
      <c r="N812" s="1">
        <v>28.4</v>
      </c>
      <c r="O812" s="1">
        <v>80.442218422</v>
      </c>
      <c r="P812" s="1">
        <v>4.8647643339</v>
      </c>
      <c r="Q812" s="1">
        <v>51.05297</v>
      </c>
      <c r="R812" s="1">
        <v>87.3626373629999</v>
      </c>
      <c r="S812" s="1">
        <v>16.8</v>
      </c>
      <c r="T812" s="1">
        <v>10344.0</v>
      </c>
      <c r="U812" s="1">
        <v>37.57733952</v>
      </c>
      <c r="V812" s="1">
        <v>484.46374875</v>
      </c>
      <c r="W812" s="1">
        <v>11.449421238</v>
      </c>
      <c r="X812" s="1">
        <v>10.317985245</v>
      </c>
      <c r="Y812" s="1">
        <v>77.861759113</v>
      </c>
      <c r="Z812" s="1">
        <v>11.9</v>
      </c>
      <c r="AA812" s="1">
        <v>6.3753052521</v>
      </c>
      <c r="AB812" s="1">
        <v>51317.0</v>
      </c>
      <c r="AC812" s="1">
        <v>45.842303552</v>
      </c>
      <c r="AD812" s="1">
        <v>74.188633247</v>
      </c>
      <c r="AE812" s="1">
        <v>10.561504309</v>
      </c>
      <c r="AF812" s="1">
        <v>2.8741562406</v>
      </c>
      <c r="AG812" s="1">
        <v>0.3976955157</v>
      </c>
      <c r="AH812" s="1">
        <v>0.6513607636</v>
      </c>
      <c r="AI812" s="1">
        <v>0.0494432263</v>
      </c>
      <c r="AJ812" s="1">
        <v>3.125671783</v>
      </c>
      <c r="AK812" s="1">
        <v>91.274345415</v>
      </c>
      <c r="AL812" s="1">
        <v>0.2207107788</v>
      </c>
      <c r="AM812" s="1">
        <v>50.892127778</v>
      </c>
      <c r="AN812" s="1">
        <v>32.233895268</v>
      </c>
      <c r="AO812" s="1">
        <v>27116.0</v>
      </c>
      <c r="AP812" s="1">
        <v>13.6</v>
      </c>
      <c r="AQ812" s="1">
        <v>4.6</v>
      </c>
      <c r="AR812" s="1">
        <v>8.4</v>
      </c>
      <c r="AS812" s="1">
        <v>18.3</v>
      </c>
      <c r="AT812" s="1">
        <v>23.0</v>
      </c>
      <c r="AU812" s="1">
        <v>13.6</v>
      </c>
      <c r="AV812" s="1">
        <v>8.3</v>
      </c>
      <c r="AW812" s="1">
        <v>0.2</v>
      </c>
      <c r="AX812" s="1">
        <v>0.2388</v>
      </c>
      <c r="AY812" s="1">
        <v>13.1</v>
      </c>
      <c r="AZ812" s="1">
        <v>10.0</v>
      </c>
      <c r="BA812" s="1">
        <v>15.1</v>
      </c>
      <c r="BB812" s="1">
        <v>2.72</v>
      </c>
      <c r="BC812" s="1" t="s">
        <v>1444</v>
      </c>
      <c r="BD812" s="1">
        <v>9.1</v>
      </c>
      <c r="BE812" s="1">
        <v>38.8</v>
      </c>
      <c r="BF812" s="1">
        <v>34.2</v>
      </c>
      <c r="BG812" s="1">
        <v>17.9</v>
      </c>
      <c r="BH812" s="1" t="s">
        <v>1476</v>
      </c>
    </row>
    <row r="813">
      <c r="A813" s="1">
        <v>19047.0</v>
      </c>
      <c r="B813" s="2" t="str">
        <f>IFERROR(__xludf.DUMMYFUNCTION("TO_TEXT(A813)"),"19047")</f>
        <v>19047</v>
      </c>
      <c r="C813" s="1">
        <v>17147.0</v>
      </c>
      <c r="D813" s="1">
        <v>714.189426998168</v>
      </c>
      <c r="E813" s="1" t="s">
        <v>314</v>
      </c>
      <c r="F813" s="1" t="s">
        <v>1477</v>
      </c>
      <c r="G813" s="1">
        <v>24.0090364709977</v>
      </c>
      <c r="H813" s="1">
        <v>17.728443717</v>
      </c>
      <c r="I813" s="1">
        <v>3.6437606364</v>
      </c>
      <c r="J813" s="1">
        <v>6.1338289963</v>
      </c>
      <c r="K813" s="1">
        <v>16.8801616909999</v>
      </c>
      <c r="L813" s="1">
        <v>33.3</v>
      </c>
      <c r="M813" s="1">
        <v>8.0</v>
      </c>
      <c r="N813" s="1">
        <v>27.3</v>
      </c>
      <c r="O813" s="1">
        <v>73.8476836689999</v>
      </c>
      <c r="P813" s="1">
        <v>10.433467742</v>
      </c>
      <c r="Q813" s="1">
        <v>23.45216</v>
      </c>
      <c r="R813" s="1">
        <v>88.118811881</v>
      </c>
      <c r="S813" s="1">
        <v>16.4</v>
      </c>
      <c r="T813" s="1">
        <v>4204.0</v>
      </c>
      <c r="U813" s="1">
        <v>30.39961941</v>
      </c>
      <c r="V813" s="1">
        <v>58.637269849</v>
      </c>
      <c r="W813" s="1">
        <v>11.353032659</v>
      </c>
      <c r="X813" s="1">
        <v>8.4094488189</v>
      </c>
      <c r="Y813" s="1">
        <v>79.204646149</v>
      </c>
      <c r="Z813" s="1">
        <v>12.4</v>
      </c>
      <c r="AA813" s="1">
        <v>9.2175817819</v>
      </c>
      <c r="AB813" s="1">
        <v>54828.0</v>
      </c>
      <c r="AC813" s="1">
        <v>63.3268482489999</v>
      </c>
      <c r="AD813" s="1">
        <v>73.0069930069999</v>
      </c>
      <c r="AE813" s="1">
        <v>7.562058195</v>
      </c>
      <c r="AF813" s="1">
        <v>3.4852546917</v>
      </c>
      <c r="AG813" s="1">
        <v>1.2880289078</v>
      </c>
      <c r="AH813" s="1">
        <v>2.3429304115</v>
      </c>
      <c r="AI813" s="1">
        <v>0.2564401445</v>
      </c>
      <c r="AJ813" s="1">
        <v>28.493996969</v>
      </c>
      <c r="AK813" s="1">
        <v>64.97260753</v>
      </c>
      <c r="AL813" s="1">
        <v>9.1772943236</v>
      </c>
      <c r="AM813" s="1">
        <v>48.904301201</v>
      </c>
      <c r="AN813" s="1">
        <v>51.801591015</v>
      </c>
      <c r="AO813" s="1">
        <v>26693.0</v>
      </c>
      <c r="AP813" s="1">
        <v>21.7</v>
      </c>
      <c r="AQ813" s="1">
        <v>5.7</v>
      </c>
      <c r="AR813" s="1">
        <v>21.5</v>
      </c>
      <c r="AS813" s="1">
        <v>16.6</v>
      </c>
      <c r="AT813" s="1">
        <v>25.9</v>
      </c>
      <c r="AU813" s="1">
        <v>12.8</v>
      </c>
      <c r="AV813" s="1">
        <v>31.8</v>
      </c>
      <c r="AW813" s="1">
        <v>6.7</v>
      </c>
      <c r="AX813" s="1">
        <v>0.7103</v>
      </c>
      <c r="AY813" s="1">
        <v>12.5</v>
      </c>
      <c r="AZ813" s="1">
        <v>10.3</v>
      </c>
      <c r="BA813" s="1">
        <v>13.7</v>
      </c>
      <c r="BB813" s="1">
        <v>2.92</v>
      </c>
      <c r="BC813" s="1" t="s">
        <v>1444</v>
      </c>
      <c r="BD813" s="1">
        <v>19.8</v>
      </c>
      <c r="BE813" s="1">
        <v>37.4</v>
      </c>
      <c r="BF813" s="1">
        <v>28.5</v>
      </c>
      <c r="BG813" s="1">
        <v>14.3</v>
      </c>
      <c r="BH813" s="1" t="s">
        <v>1477</v>
      </c>
    </row>
    <row r="814">
      <c r="A814" s="1">
        <v>19049.0</v>
      </c>
      <c r="B814" s="2" t="str">
        <f>IFERROR(__xludf.DUMMYFUNCTION("TO_TEXT(A814)"),"19049")</f>
        <v>19049</v>
      </c>
      <c r="C814" s="1">
        <v>78074.0</v>
      </c>
      <c r="D814" s="1">
        <v>588.402041363534</v>
      </c>
      <c r="E814" s="1" t="s">
        <v>106</v>
      </c>
      <c r="F814" s="1" t="s">
        <v>1478</v>
      </c>
      <c r="G814" s="1">
        <v>132.688186837481</v>
      </c>
      <c r="H814" s="1">
        <v>10.605274868</v>
      </c>
      <c r="I814" s="1">
        <v>3.0472197303</v>
      </c>
      <c r="J814" s="1">
        <v>6.6612977451</v>
      </c>
      <c r="K814" s="1">
        <v>13.494258416</v>
      </c>
      <c r="L814" s="1">
        <v>28.6</v>
      </c>
      <c r="M814" s="1">
        <v>9.2</v>
      </c>
      <c r="N814" s="1">
        <v>20.9</v>
      </c>
      <c r="O814" s="1">
        <v>85.227186815</v>
      </c>
      <c r="P814" s="1">
        <v>3.9317117001</v>
      </c>
      <c r="Q814" s="1">
        <v>45.85316</v>
      </c>
      <c r="R814" s="1">
        <v>98.341625207</v>
      </c>
      <c r="S814" s="1">
        <v>5.4</v>
      </c>
      <c r="T814" s="1">
        <v>23563.0</v>
      </c>
      <c r="U814" s="1">
        <v>14.709502186</v>
      </c>
      <c r="V814" s="1">
        <v>191.94337983</v>
      </c>
      <c r="W814" s="1">
        <v>9.7085761865</v>
      </c>
      <c r="X814" s="1">
        <v>7.6085134909</v>
      </c>
      <c r="Y814" s="1">
        <v>82.103779937</v>
      </c>
      <c r="Z814" s="1">
        <v>7.9</v>
      </c>
      <c r="AA814" s="1">
        <v>1.2157856532</v>
      </c>
      <c r="AB814" s="1">
        <v>87267.0</v>
      </c>
      <c r="AC814" s="1">
        <v>20.897060419</v>
      </c>
      <c r="AD814" s="1">
        <v>74.365991607</v>
      </c>
      <c r="AE814" s="1">
        <v>7.1762050521</v>
      </c>
      <c r="AF814" s="1">
        <v>2.2654690619</v>
      </c>
      <c r="AG814" s="1">
        <v>0.3437569306</v>
      </c>
      <c r="AH814" s="1">
        <v>5.0255045465</v>
      </c>
      <c r="AI814" s="1">
        <v>0.0754047461</v>
      </c>
      <c r="AJ814" s="1">
        <v>6.1477045908</v>
      </c>
      <c r="AK814" s="1">
        <v>84.997782213</v>
      </c>
      <c r="AL814" s="1">
        <v>1.5581359263</v>
      </c>
      <c r="AM814" s="1">
        <v>50.658682635</v>
      </c>
      <c r="AN814" s="1">
        <v>30.585922734</v>
      </c>
      <c r="AO814" s="1">
        <v>40468.0</v>
      </c>
      <c r="AP814" s="1">
        <v>5.7</v>
      </c>
      <c r="AQ814" s="1">
        <v>2.2</v>
      </c>
      <c r="AR814" s="1">
        <v>4.5</v>
      </c>
      <c r="AS814" s="1">
        <v>11.3</v>
      </c>
      <c r="AT814" s="1">
        <v>28.5</v>
      </c>
      <c r="AU814" s="1">
        <v>7.4</v>
      </c>
      <c r="AV814" s="1">
        <v>13.5</v>
      </c>
      <c r="AW814" s="1">
        <v>1.9</v>
      </c>
      <c r="AX814" s="1">
        <v>0.0538</v>
      </c>
      <c r="AY814" s="1">
        <v>4.3</v>
      </c>
      <c r="AZ814" s="1">
        <v>5.6</v>
      </c>
      <c r="BA814" s="1">
        <v>7.3</v>
      </c>
      <c r="BB814" s="1">
        <v>3.18</v>
      </c>
      <c r="BC814" s="1" t="s">
        <v>1444</v>
      </c>
      <c r="BD814" s="1">
        <v>4.4</v>
      </c>
      <c r="BE814" s="1">
        <v>17.7</v>
      </c>
      <c r="BF814" s="1">
        <v>27.6</v>
      </c>
      <c r="BG814" s="1">
        <v>50.4</v>
      </c>
      <c r="BH814" s="1" t="s">
        <v>1478</v>
      </c>
    </row>
    <row r="815">
      <c r="A815" s="1">
        <v>19051.0</v>
      </c>
      <c r="B815" s="2" t="str">
        <f>IFERROR(__xludf.DUMMYFUNCTION("TO_TEXT(A815)"),"19051")</f>
        <v>19051</v>
      </c>
      <c r="C815" s="1">
        <v>8768.0</v>
      </c>
      <c r="D815" s="1">
        <v>502.188143925312</v>
      </c>
      <c r="E815" s="1" t="s">
        <v>1479</v>
      </c>
      <c r="F815" s="1" t="s">
        <v>1480</v>
      </c>
      <c r="G815" s="1">
        <v>17.4595918005265</v>
      </c>
      <c r="H815" s="1">
        <v>13.751379265</v>
      </c>
      <c r="I815" s="1">
        <v>3.6722072019</v>
      </c>
      <c r="J815" s="1">
        <v>6.0987415295</v>
      </c>
      <c r="K815" s="1">
        <v>16.607978027</v>
      </c>
      <c r="L815" s="1">
        <v>25.6</v>
      </c>
      <c r="M815" s="1">
        <v>8.1</v>
      </c>
      <c r="N815" s="1">
        <v>23.4</v>
      </c>
      <c r="O815" s="1">
        <v>48.577630527</v>
      </c>
      <c r="P815" s="1">
        <v>11.284793638</v>
      </c>
      <c r="Q815" s="1">
        <v>44.61298</v>
      </c>
      <c r="R815" s="1">
        <v>95.833333333</v>
      </c>
      <c r="S815" s="1">
        <v>18.9</v>
      </c>
      <c r="T815" s="1">
        <v>2590.0</v>
      </c>
      <c r="U815" s="1">
        <v>13.976833977</v>
      </c>
      <c r="V815" s="1">
        <v>113.52026337</v>
      </c>
      <c r="W815" s="1">
        <v>12.229102167</v>
      </c>
      <c r="X815" s="1">
        <v>7.38170347</v>
      </c>
      <c r="Y815" s="1">
        <v>79.1420142039999</v>
      </c>
      <c r="Z815" s="1">
        <v>13.0</v>
      </c>
      <c r="AA815" s="1">
        <v>6.1337950479</v>
      </c>
      <c r="AB815" s="1">
        <v>54830.0</v>
      </c>
      <c r="AC815" s="1">
        <v>48.482362592</v>
      </c>
      <c r="AD815" s="1">
        <v>82.892690513</v>
      </c>
      <c r="AE815" s="1">
        <v>6.93036940179999</v>
      </c>
      <c r="AF815" s="1">
        <v>0.1996229345</v>
      </c>
      <c r="AG815" s="1">
        <v>0.3105245647</v>
      </c>
      <c r="AH815" s="1">
        <v>0.3216147277</v>
      </c>
      <c r="AI815" s="1">
        <v>0.0</v>
      </c>
      <c r="AJ815" s="1">
        <v>1.6857047799</v>
      </c>
      <c r="AK815" s="1">
        <v>96.51768881</v>
      </c>
      <c r="AL815" s="1">
        <v>0.678258724899999</v>
      </c>
      <c r="AM815" s="1">
        <v>50.515692581</v>
      </c>
      <c r="AN815" s="1">
        <v>100.0</v>
      </c>
      <c r="AO815" s="1">
        <v>24405.0</v>
      </c>
      <c r="AP815" s="1">
        <v>18.7</v>
      </c>
      <c r="AQ815" s="1">
        <v>4.1</v>
      </c>
      <c r="AR815" s="1">
        <v>13.3</v>
      </c>
      <c r="AS815" s="1">
        <v>17.3</v>
      </c>
      <c r="AT815" s="1">
        <v>29.3</v>
      </c>
      <c r="AU815" s="1">
        <v>12.3</v>
      </c>
      <c r="AV815" s="1">
        <v>2.8</v>
      </c>
      <c r="AW815" s="1">
        <v>0.5</v>
      </c>
      <c r="AX815" s="1">
        <v>0.4479</v>
      </c>
      <c r="AY815" s="1">
        <v>11.5</v>
      </c>
      <c r="AZ815" s="1">
        <v>8.9</v>
      </c>
      <c r="BA815" s="1">
        <v>14.4</v>
      </c>
      <c r="BB815" s="1">
        <v>2.62</v>
      </c>
      <c r="BC815" s="1" t="s">
        <v>1444</v>
      </c>
      <c r="BD815" s="1">
        <v>16.9</v>
      </c>
      <c r="BE815" s="1">
        <v>32.5</v>
      </c>
      <c r="BF815" s="1">
        <v>31.1</v>
      </c>
      <c r="BG815" s="1">
        <v>19.5</v>
      </c>
      <c r="BH815" s="1" t="s">
        <v>1480</v>
      </c>
    </row>
    <row r="816">
      <c r="A816" s="1">
        <v>19053.0</v>
      </c>
      <c r="B816" s="2" t="str">
        <f>IFERROR(__xludf.DUMMYFUNCTION("TO_TEXT(A816)"),"19053")</f>
        <v>19053</v>
      </c>
      <c r="C816" s="1">
        <v>8210.0</v>
      </c>
      <c r="D816" s="1">
        <v>531.881495070028</v>
      </c>
      <c r="E816" s="1" t="s">
        <v>870</v>
      </c>
      <c r="F816" s="1" t="s">
        <v>1481</v>
      </c>
      <c r="G816" s="1">
        <v>15.4357692006545</v>
      </c>
      <c r="H816" s="1">
        <v>16.1910456759999</v>
      </c>
      <c r="I816" s="1">
        <v>4.0112206256</v>
      </c>
      <c r="J816" s="1">
        <v>5.89101620029999</v>
      </c>
      <c r="K816" s="1">
        <v>18.177573797</v>
      </c>
      <c r="L816" s="1">
        <v>40.4</v>
      </c>
      <c r="M816" s="1">
        <v>7.8</v>
      </c>
      <c r="N816" s="1">
        <v>28.9</v>
      </c>
      <c r="O816" s="1">
        <v>69.7292183989999</v>
      </c>
      <c r="P816" s="1">
        <v>7.2116226151</v>
      </c>
      <c r="Q816" s="1">
        <v>25.15723</v>
      </c>
      <c r="R816" s="1">
        <v>95.652173913</v>
      </c>
      <c r="S816" s="1">
        <v>25.6</v>
      </c>
      <c r="T816" s="1">
        <v>1751.0</v>
      </c>
      <c r="U816" s="1">
        <v>25.2427184469999</v>
      </c>
      <c r="V816" s="1">
        <v>204.509002055</v>
      </c>
      <c r="W816" s="1">
        <v>16.429699842</v>
      </c>
      <c r="X816" s="1">
        <v>10.87372449</v>
      </c>
      <c r="Y816" s="1">
        <v>77.712871659</v>
      </c>
      <c r="Z816" s="1">
        <v>18.2</v>
      </c>
      <c r="AA816" s="1">
        <v>4.1087102767</v>
      </c>
      <c r="AB816" s="1">
        <v>41101.0</v>
      </c>
      <c r="AC816" s="1">
        <v>56.0804899389999</v>
      </c>
      <c r="AD816" s="1">
        <v>66.106442577</v>
      </c>
      <c r="AE816" s="1">
        <v>10.828656322</v>
      </c>
      <c r="AF816" s="1">
        <v>1.875792142</v>
      </c>
      <c r="AG816" s="1">
        <v>0.4689480355</v>
      </c>
      <c r="AH816" s="1">
        <v>0.7858048162</v>
      </c>
      <c r="AI816" s="1">
        <v>0.2534854246</v>
      </c>
      <c r="AJ816" s="1">
        <v>3.1812420786</v>
      </c>
      <c r="AK816" s="1">
        <v>92.420785805</v>
      </c>
      <c r="AL816" s="1">
        <v>0.6468646865</v>
      </c>
      <c r="AM816" s="1">
        <v>50.063371356</v>
      </c>
      <c r="AN816" s="1">
        <v>100.0</v>
      </c>
      <c r="AO816" s="1">
        <v>20808.0</v>
      </c>
      <c r="AP816" s="1">
        <v>20.8</v>
      </c>
      <c r="AQ816" s="1">
        <v>5.8</v>
      </c>
      <c r="AR816" s="1">
        <v>13.1</v>
      </c>
      <c r="AS816" s="1">
        <v>18.6</v>
      </c>
      <c r="AT816" s="1">
        <v>21.4</v>
      </c>
      <c r="AU816" s="1">
        <v>18.3</v>
      </c>
      <c r="AV816" s="1">
        <v>6.9</v>
      </c>
      <c r="AW816" s="1">
        <v>1.0</v>
      </c>
      <c r="AX816" s="1">
        <v>0.7533</v>
      </c>
      <c r="AY816" s="1">
        <v>18.3</v>
      </c>
      <c r="AZ816" s="1">
        <v>12.3</v>
      </c>
      <c r="BA816" s="1">
        <v>17.8</v>
      </c>
      <c r="BB816" s="1">
        <v>2.81</v>
      </c>
      <c r="BC816" s="1" t="s">
        <v>1444</v>
      </c>
      <c r="BD816" s="1">
        <v>10.9</v>
      </c>
      <c r="BE816" s="1">
        <v>37.5</v>
      </c>
      <c r="BF816" s="1">
        <v>26.6</v>
      </c>
      <c r="BG816" s="1">
        <v>25.0</v>
      </c>
      <c r="BH816" s="1" t="s">
        <v>1481</v>
      </c>
    </row>
    <row r="817">
      <c r="A817" s="1">
        <v>19055.0</v>
      </c>
      <c r="B817" s="2" t="str">
        <f>IFERROR(__xludf.DUMMYFUNCTION("TO_TEXT(A817)"),"19055")</f>
        <v>19055</v>
      </c>
      <c r="C817" s="1">
        <v>17445.0</v>
      </c>
      <c r="D817" s="1">
        <v>577.755956322544</v>
      </c>
      <c r="E817" s="1" t="s">
        <v>1331</v>
      </c>
      <c r="F817" s="1" t="s">
        <v>1482</v>
      </c>
      <c r="G817" s="1">
        <v>30.1944096103113</v>
      </c>
      <c r="H817" s="1">
        <v>12.951098732</v>
      </c>
      <c r="I817" s="1">
        <v>3.5335560092</v>
      </c>
      <c r="J817" s="1">
        <v>5.1903114187</v>
      </c>
      <c r="K817" s="1">
        <v>15.6723217709999</v>
      </c>
      <c r="L817" s="1">
        <v>32.8</v>
      </c>
      <c r="M817" s="1">
        <v>8.7</v>
      </c>
      <c r="N817" s="1">
        <v>26.8</v>
      </c>
      <c r="O817" s="1">
        <v>62.9475343389999</v>
      </c>
      <c r="P817" s="1">
        <v>6.2472978815</v>
      </c>
      <c r="Q817" s="1">
        <v>58.29884</v>
      </c>
      <c r="R817" s="1">
        <v>96.951219512</v>
      </c>
      <c r="S817" s="1">
        <v>11.9</v>
      </c>
      <c r="T817" s="1">
        <v>4102.0</v>
      </c>
      <c r="U817" s="1">
        <v>20.429058996</v>
      </c>
      <c r="V817" s="1">
        <v>146.50120648</v>
      </c>
      <c r="W817" s="1">
        <v>12.5</v>
      </c>
      <c r="X817" s="1">
        <v>10.625273284</v>
      </c>
      <c r="Y817" s="1">
        <v>81.206146468</v>
      </c>
      <c r="Z817" s="1">
        <v>9.1</v>
      </c>
      <c r="AA817" s="1">
        <v>3.1611541199</v>
      </c>
      <c r="AB817" s="1">
        <v>61342.0</v>
      </c>
      <c r="AC817" s="1">
        <v>36.176470588</v>
      </c>
      <c r="AD817" s="1">
        <v>82.922611327</v>
      </c>
      <c r="AE817" s="1">
        <v>11.032238983</v>
      </c>
      <c r="AF817" s="1">
        <v>0.8846446775</v>
      </c>
      <c r="AG817" s="1">
        <v>0.1581814986</v>
      </c>
      <c r="AH817" s="1">
        <v>0.3632315894</v>
      </c>
      <c r="AI817" s="1">
        <v>0.011717148</v>
      </c>
      <c r="AJ817" s="1">
        <v>1.56423926419999</v>
      </c>
      <c r="AK817" s="1">
        <v>96.314956939</v>
      </c>
      <c r="AL817" s="1">
        <v>0.1237776953</v>
      </c>
      <c r="AM817" s="1">
        <v>49.551819087</v>
      </c>
      <c r="AN817" s="1">
        <v>71.470389552</v>
      </c>
      <c r="AO817" s="1">
        <v>29978.0</v>
      </c>
      <c r="AP817" s="1">
        <v>9.6</v>
      </c>
      <c r="AQ817" s="1">
        <v>3.4</v>
      </c>
      <c r="AR817" s="1">
        <v>9.3</v>
      </c>
      <c r="AS817" s="1">
        <v>18.0</v>
      </c>
      <c r="AT817" s="1">
        <v>24.0</v>
      </c>
      <c r="AU817" s="1">
        <v>10.9</v>
      </c>
      <c r="AV817" s="1">
        <v>2.7</v>
      </c>
      <c r="AW817" s="1">
        <v>0.5</v>
      </c>
      <c r="AX817" s="1">
        <v>0.0649</v>
      </c>
      <c r="AY817" s="1">
        <v>8.6</v>
      </c>
      <c r="AZ817" s="1">
        <v>7.4</v>
      </c>
      <c r="BA817" s="1">
        <v>12.6</v>
      </c>
      <c r="BB817" s="1">
        <v>2.9</v>
      </c>
      <c r="BC817" s="1" t="s">
        <v>1444</v>
      </c>
      <c r="BD817" s="1">
        <v>8.3</v>
      </c>
      <c r="BE817" s="1">
        <v>42.8</v>
      </c>
      <c r="BF817" s="1">
        <v>32.3</v>
      </c>
      <c r="BG817" s="1">
        <v>16.6</v>
      </c>
      <c r="BH817" s="1" t="s">
        <v>1482</v>
      </c>
    </row>
    <row r="818">
      <c r="A818" s="1">
        <v>19057.0</v>
      </c>
      <c r="B818" s="2" t="str">
        <f>IFERROR(__xludf.DUMMYFUNCTION("TO_TEXT(A818)"),"19057")</f>
        <v>19057</v>
      </c>
      <c r="C818" s="1">
        <v>40114.0</v>
      </c>
      <c r="D818" s="1">
        <v>416.107826968234</v>
      </c>
      <c r="E818" s="1" t="s">
        <v>1483</v>
      </c>
      <c r="F818" s="1" t="s">
        <v>1484</v>
      </c>
      <c r="G818" s="1">
        <v>96.4028970381813</v>
      </c>
      <c r="H818" s="1">
        <v>15.077355207</v>
      </c>
      <c r="I818" s="1">
        <v>3.9758247566</v>
      </c>
      <c r="J818" s="1">
        <v>6.8911755535</v>
      </c>
      <c r="K818" s="1">
        <v>18.690601423</v>
      </c>
      <c r="L818" s="1">
        <v>36.9</v>
      </c>
      <c r="M818" s="1">
        <v>7.4</v>
      </c>
      <c r="N818" s="1">
        <v>27.1</v>
      </c>
      <c r="O818" s="1">
        <v>75.598264104</v>
      </c>
      <c r="P818" s="1">
        <v>5.2757638529</v>
      </c>
      <c r="Q818" s="1">
        <v>68.4983599999999</v>
      </c>
      <c r="R818" s="1">
        <v>83.802816901</v>
      </c>
      <c r="S818" s="1">
        <v>19.8</v>
      </c>
      <c r="T818" s="1">
        <v>8866.0</v>
      </c>
      <c r="U818" s="1">
        <v>42.2400180459999</v>
      </c>
      <c r="V818" s="1">
        <v>517.56236813</v>
      </c>
      <c r="W818" s="1">
        <v>12.545018007</v>
      </c>
      <c r="X818" s="1">
        <v>10.912938331</v>
      </c>
      <c r="Y818" s="1">
        <v>78.539550612</v>
      </c>
      <c r="Z818" s="1">
        <v>12.8</v>
      </c>
      <c r="AA818" s="1">
        <v>9.1807526084</v>
      </c>
      <c r="AB818" s="1">
        <v>51805.0</v>
      </c>
      <c r="AC818" s="1">
        <v>49.629746337</v>
      </c>
      <c r="AD818" s="1">
        <v>72.476247031</v>
      </c>
      <c r="AE818" s="1">
        <v>10.772419679</v>
      </c>
      <c r="AF818" s="1">
        <v>5.9047473044</v>
      </c>
      <c r="AG818" s="1">
        <v>0.350043436</v>
      </c>
      <c r="AH818" s="1">
        <v>1.0271347539</v>
      </c>
      <c r="AI818" s="1">
        <v>0.0536562931</v>
      </c>
      <c r="AJ818" s="1">
        <v>3.0762941387</v>
      </c>
      <c r="AK818" s="1">
        <v>87.130154837</v>
      </c>
      <c r="AL818" s="1">
        <v>0.4266967233</v>
      </c>
      <c r="AM818" s="1">
        <v>51.349072513</v>
      </c>
      <c r="AN818" s="1">
        <v>26.735275883</v>
      </c>
      <c r="AO818" s="1">
        <v>25151.0</v>
      </c>
      <c r="AP818" s="1">
        <v>16.7</v>
      </c>
      <c r="AQ818" s="1">
        <v>5.7</v>
      </c>
      <c r="AR818" s="1">
        <v>7.8</v>
      </c>
      <c r="AS818" s="1">
        <v>18.8</v>
      </c>
      <c r="AT818" s="1">
        <v>22.9</v>
      </c>
      <c r="AU818" s="1">
        <v>14.7</v>
      </c>
      <c r="AV818" s="1">
        <v>11.6</v>
      </c>
      <c r="AW818" s="1">
        <v>0.3</v>
      </c>
      <c r="AX818" s="1">
        <v>0.4167</v>
      </c>
      <c r="AY818" s="1">
        <v>14.9</v>
      </c>
      <c r="AZ818" s="1">
        <v>11.5</v>
      </c>
      <c r="BA818" s="1">
        <v>18.6</v>
      </c>
      <c r="BB818" s="1">
        <v>2.74</v>
      </c>
      <c r="BC818" s="1" t="s">
        <v>1444</v>
      </c>
      <c r="BD818" s="1">
        <v>8.0</v>
      </c>
      <c r="BE818" s="1">
        <v>33.5</v>
      </c>
      <c r="BF818" s="1">
        <v>38.4</v>
      </c>
      <c r="BG818" s="1">
        <v>20.1</v>
      </c>
      <c r="BH818" s="1" t="s">
        <v>1484</v>
      </c>
    </row>
    <row r="819">
      <c r="A819" s="1">
        <v>19059.0</v>
      </c>
      <c r="B819" s="2" t="str">
        <f>IFERROR(__xludf.DUMMYFUNCTION("TO_TEXT(A819)"),"19059")</f>
        <v>19059</v>
      </c>
      <c r="C819" s="1">
        <v>17046.0</v>
      </c>
      <c r="D819" s="1">
        <v>380.60560829931</v>
      </c>
      <c r="E819" s="1" t="s">
        <v>1485</v>
      </c>
      <c r="F819" s="1" t="s">
        <v>1486</v>
      </c>
      <c r="G819" s="1">
        <v>44.7865181918048</v>
      </c>
      <c r="H819" s="1">
        <v>12.122693113</v>
      </c>
      <c r="I819" s="1">
        <v>3.3933684715</v>
      </c>
      <c r="J819" s="1">
        <v>5.8823529412</v>
      </c>
      <c r="K819" s="1">
        <v>15.24827327</v>
      </c>
      <c r="L819" s="1">
        <v>27.7</v>
      </c>
      <c r="M819" s="1">
        <v>8.5</v>
      </c>
      <c r="N819" s="1">
        <v>22.4</v>
      </c>
      <c r="O819" s="1">
        <v>91.282174357</v>
      </c>
      <c r="P819" s="1">
        <v>4.8489107519</v>
      </c>
      <c r="Q819" s="1">
        <v>75.58579</v>
      </c>
      <c r="R819" s="1">
        <v>93.370165746</v>
      </c>
      <c r="S819" s="1">
        <v>9.3</v>
      </c>
      <c r="T819" s="1">
        <v>3212.0</v>
      </c>
      <c r="U819" s="1">
        <v>28.455790785</v>
      </c>
      <c r="V819" s="1">
        <v>131.4329108</v>
      </c>
      <c r="W819" s="1">
        <v>10.4244694129999</v>
      </c>
      <c r="X819" s="1">
        <v>9.0840652447</v>
      </c>
      <c r="Y819" s="1">
        <v>81.190815436</v>
      </c>
      <c r="Z819" s="1">
        <v>11.8</v>
      </c>
      <c r="AA819" s="1">
        <v>3.678632624</v>
      </c>
      <c r="AB819" s="1">
        <v>55603.0</v>
      </c>
      <c r="AC819" s="1">
        <v>31.315974666</v>
      </c>
      <c r="AD819" s="1">
        <v>78.968893295</v>
      </c>
      <c r="AE819" s="1">
        <v>9.10360589129999</v>
      </c>
      <c r="AF819" s="1">
        <v>0.4547309509</v>
      </c>
      <c r="AG819" s="1">
        <v>0.2215355914</v>
      </c>
      <c r="AH819" s="1">
        <v>0.833673409899999</v>
      </c>
      <c r="AI819" s="1">
        <v>0.0408091879</v>
      </c>
      <c r="AJ819" s="1">
        <v>2.0462892788</v>
      </c>
      <c r="AK819" s="1">
        <v>95.627587011</v>
      </c>
      <c r="AL819" s="1">
        <v>0.5113356333</v>
      </c>
      <c r="AM819" s="1">
        <v>50.323558561</v>
      </c>
      <c r="AN819" s="1">
        <v>35.045299094</v>
      </c>
      <c r="AO819" s="1">
        <v>36042.0</v>
      </c>
      <c r="AP819" s="1">
        <v>6.9</v>
      </c>
      <c r="AQ819" s="1">
        <v>3.4</v>
      </c>
      <c r="AR819" s="1">
        <v>4.4</v>
      </c>
      <c r="AS819" s="1">
        <v>24.0</v>
      </c>
      <c r="AT819" s="1">
        <v>19.4</v>
      </c>
      <c r="AU819" s="1">
        <v>13.7</v>
      </c>
      <c r="AV819" s="1">
        <v>3.6</v>
      </c>
      <c r="AW819" s="1">
        <v>0.2</v>
      </c>
      <c r="AX819" s="1">
        <v>0.0684</v>
      </c>
      <c r="AY819" s="1">
        <v>7.0</v>
      </c>
      <c r="AZ819" s="1">
        <v>8.6</v>
      </c>
      <c r="BA819" s="1">
        <v>14.0</v>
      </c>
      <c r="BB819" s="1">
        <v>3.03</v>
      </c>
      <c r="BC819" s="1" t="s">
        <v>1444</v>
      </c>
      <c r="BD819" s="1">
        <v>4.0</v>
      </c>
      <c r="BE819" s="1">
        <v>26.3</v>
      </c>
      <c r="BF819" s="1">
        <v>36.2</v>
      </c>
      <c r="BG819" s="1">
        <v>33.6</v>
      </c>
      <c r="BH819" s="1" t="s">
        <v>1486</v>
      </c>
    </row>
    <row r="820">
      <c r="A820" s="1">
        <v>19061.0</v>
      </c>
      <c r="B820" s="2" t="str">
        <f>IFERROR(__xludf.DUMMYFUNCTION("TO_TEXT(A820)"),"19061")</f>
        <v>19061</v>
      </c>
      <c r="C820" s="1">
        <v>96359.0</v>
      </c>
      <c r="D820" s="1">
        <v>608.299103683486</v>
      </c>
      <c r="E820" s="1" t="s">
        <v>1487</v>
      </c>
      <c r="F820" s="1" t="s">
        <v>1488</v>
      </c>
      <c r="G820" s="1">
        <v>158.407269411558</v>
      </c>
      <c r="H820" s="1">
        <v>11.621486435</v>
      </c>
      <c r="I820" s="1">
        <v>3.6045801622</v>
      </c>
      <c r="J820" s="1">
        <v>6.1428571429</v>
      </c>
      <c r="K820" s="1">
        <v>16.403689039</v>
      </c>
      <c r="L820" s="1">
        <v>33.5</v>
      </c>
      <c r="M820" s="1">
        <v>8.1</v>
      </c>
      <c r="N820" s="1">
        <v>26.3</v>
      </c>
      <c r="O820" s="1">
        <v>84.670005232</v>
      </c>
      <c r="P820" s="1">
        <v>4.3499675956</v>
      </c>
      <c r="Q820" s="1">
        <v>79.3479</v>
      </c>
      <c r="R820" s="1">
        <v>91.470054446</v>
      </c>
      <c r="S820" s="1">
        <v>12.1</v>
      </c>
      <c r="T820" s="1">
        <v>22083.0</v>
      </c>
      <c r="U820" s="1">
        <v>29.352895893</v>
      </c>
      <c r="V820" s="1">
        <v>210.33963665</v>
      </c>
      <c r="W820" s="1">
        <v>12.182607552</v>
      </c>
      <c r="X820" s="1">
        <v>10.864656661</v>
      </c>
      <c r="Y820" s="1">
        <v>80.505512338</v>
      </c>
      <c r="Z820" s="1">
        <v>7.1</v>
      </c>
      <c r="AA820" s="1">
        <v>5.4458151882</v>
      </c>
      <c r="AB820" s="1">
        <v>60367.0</v>
      </c>
      <c r="AC820" s="1">
        <v>34.868468994</v>
      </c>
      <c r="AD820" s="1">
        <v>72.361074876</v>
      </c>
      <c r="AE820" s="1">
        <v>10.455176835</v>
      </c>
      <c r="AF820" s="1">
        <v>3.3999628307</v>
      </c>
      <c r="AG820" s="1">
        <v>0.2983872633</v>
      </c>
      <c r="AH820" s="1">
        <v>1.3577136721</v>
      </c>
      <c r="AI820" s="1">
        <v>0.4439672084</v>
      </c>
      <c r="AJ820" s="1">
        <v>2.5171908233</v>
      </c>
      <c r="AK820" s="1">
        <v>90.645714168</v>
      </c>
      <c r="AL820" s="1">
        <v>0.4918340115</v>
      </c>
      <c r="AM820" s="1">
        <v>50.58231978</v>
      </c>
      <c r="AN820" s="1">
        <v>27.016753334</v>
      </c>
      <c r="AO820" s="1">
        <v>28526.0</v>
      </c>
      <c r="AP820" s="1">
        <v>12.5</v>
      </c>
      <c r="AQ820" s="1">
        <v>4.0</v>
      </c>
      <c r="AR820" s="1">
        <v>7.7</v>
      </c>
      <c r="AS820" s="1">
        <v>16.2</v>
      </c>
      <c r="AT820" s="1">
        <v>23.1</v>
      </c>
      <c r="AU820" s="1">
        <v>10.9</v>
      </c>
      <c r="AV820" s="1">
        <v>8.2</v>
      </c>
      <c r="AW820" s="1">
        <v>0.5</v>
      </c>
      <c r="AX820" s="1">
        <v>0.1939</v>
      </c>
      <c r="AY820" s="1">
        <v>10.7</v>
      </c>
      <c r="AZ820" s="1">
        <v>8.8</v>
      </c>
      <c r="BA820" s="1">
        <v>13.2</v>
      </c>
      <c r="BB820" s="1">
        <v>2.97</v>
      </c>
      <c r="BC820" s="1" t="s">
        <v>1444</v>
      </c>
      <c r="BD820" s="1">
        <v>7.3</v>
      </c>
      <c r="BE820" s="1">
        <v>32.7</v>
      </c>
      <c r="BF820" s="1">
        <v>29.2</v>
      </c>
      <c r="BG820" s="1">
        <v>30.8</v>
      </c>
      <c r="BH820" s="1" t="s">
        <v>1488</v>
      </c>
    </row>
    <row r="821">
      <c r="A821" s="1">
        <v>19063.0</v>
      </c>
      <c r="B821" s="2" t="str">
        <f>IFERROR(__xludf.DUMMYFUNCTION("TO_TEXT(A821)"),"19063")</f>
        <v>19063</v>
      </c>
      <c r="C821" s="1">
        <v>9820.0</v>
      </c>
      <c r="D821" s="1">
        <v>395.88138064598</v>
      </c>
      <c r="E821" s="1" t="s">
        <v>1489</v>
      </c>
      <c r="F821" s="1" t="s">
        <v>1490</v>
      </c>
      <c r="G821" s="1">
        <v>24.8054101053609</v>
      </c>
      <c r="H821" s="1">
        <v>15.784012142</v>
      </c>
      <c r="I821" s="1">
        <v>3.68032123</v>
      </c>
      <c r="J821" s="1">
        <v>6.9885641677</v>
      </c>
      <c r="K821" s="1">
        <v>17.97383965</v>
      </c>
      <c r="L821" s="1">
        <v>40.1</v>
      </c>
      <c r="M821" s="1">
        <v>7.9</v>
      </c>
      <c r="N821" s="1">
        <v>26.4</v>
      </c>
      <c r="O821" s="1">
        <v>81.556979227</v>
      </c>
      <c r="P821" s="1">
        <v>6.7507002801</v>
      </c>
      <c r="Q821" s="1">
        <v>63.61323</v>
      </c>
      <c r="R821" s="1">
        <v>94.285714286</v>
      </c>
      <c r="S821" s="1">
        <v>16.6</v>
      </c>
      <c r="T821" s="1">
        <v>1894.0</v>
      </c>
      <c r="U821" s="1">
        <v>33.262935586</v>
      </c>
      <c r="V821" s="1">
        <v>392.81705948</v>
      </c>
      <c r="W821" s="1">
        <v>10.181818182</v>
      </c>
      <c r="X821" s="1">
        <v>7.6735688185</v>
      </c>
      <c r="Y821" s="1">
        <v>78.38788115</v>
      </c>
      <c r="Z821" s="1">
        <v>6.5</v>
      </c>
      <c r="AA821" s="1">
        <v>9.08224403809999</v>
      </c>
      <c r="AB821" s="1">
        <v>51497.0</v>
      </c>
      <c r="AC821" s="1">
        <v>47.754293263</v>
      </c>
      <c r="AD821" s="1">
        <v>77.080291971</v>
      </c>
      <c r="AE821" s="1">
        <v>8.885503935</v>
      </c>
      <c r="AF821" s="1">
        <v>1.1888036313</v>
      </c>
      <c r="AG821" s="1">
        <v>1.5778666378</v>
      </c>
      <c r="AH821" s="1">
        <v>0.702474873</v>
      </c>
      <c r="AI821" s="1">
        <v>0.0756511402</v>
      </c>
      <c r="AJ821" s="1">
        <v>9.76980438779999</v>
      </c>
      <c r="AK821" s="1">
        <v>86.923160056</v>
      </c>
      <c r="AL821" s="1">
        <v>1.9005524862</v>
      </c>
      <c r="AM821" s="1">
        <v>49.789257538</v>
      </c>
      <c r="AN821" s="1">
        <v>39.895165987</v>
      </c>
      <c r="AO821" s="1">
        <v>27807.0</v>
      </c>
      <c r="AP821" s="1">
        <v>13.6</v>
      </c>
      <c r="AQ821" s="1">
        <v>5.3</v>
      </c>
      <c r="AR821" s="1">
        <v>10.4</v>
      </c>
      <c r="AS821" s="1">
        <v>19.7</v>
      </c>
      <c r="AT821" s="1">
        <v>21.6</v>
      </c>
      <c r="AU821" s="1">
        <v>14.4</v>
      </c>
      <c r="AV821" s="1">
        <v>11.7</v>
      </c>
      <c r="AW821" s="1">
        <v>2.1</v>
      </c>
      <c r="AX821" s="1">
        <v>0.3677</v>
      </c>
      <c r="AY821" s="1">
        <v>11.4</v>
      </c>
      <c r="AZ821" s="1">
        <v>9.4</v>
      </c>
      <c r="BA821" s="1">
        <v>13.9</v>
      </c>
      <c r="BB821" s="1">
        <v>3.2</v>
      </c>
      <c r="BC821" s="1" t="s">
        <v>1444</v>
      </c>
      <c r="BD821" s="1">
        <v>9.3</v>
      </c>
      <c r="BE821" s="1">
        <v>32.8</v>
      </c>
      <c r="BF821" s="1">
        <v>39.0</v>
      </c>
      <c r="BG821" s="1">
        <v>18.8</v>
      </c>
      <c r="BH821" s="1" t="s">
        <v>1490</v>
      </c>
    </row>
    <row r="822">
      <c r="A822" s="1">
        <v>19065.0</v>
      </c>
      <c r="B822" s="2" t="str">
        <f>IFERROR(__xludf.DUMMYFUNCTION("TO_TEXT(A822)"),"19065")</f>
        <v>19065</v>
      </c>
      <c r="C822" s="1">
        <v>20391.0</v>
      </c>
      <c r="D822" s="1">
        <v>730.829681110124</v>
      </c>
      <c r="E822" s="1" t="s">
        <v>116</v>
      </c>
      <c r="F822" s="1" t="s">
        <v>1491</v>
      </c>
      <c r="G822" s="1">
        <v>27.9011656574022</v>
      </c>
      <c r="H822" s="1">
        <v>13.863406122</v>
      </c>
      <c r="I822" s="1">
        <v>3.5314990349</v>
      </c>
      <c r="J822" s="1">
        <v>5.9691482227</v>
      </c>
      <c r="K822" s="1">
        <v>15.910849565</v>
      </c>
      <c r="L822" s="1">
        <v>33.9</v>
      </c>
      <c r="M822" s="1">
        <v>8.4</v>
      </c>
      <c r="N822" s="1">
        <v>32.6</v>
      </c>
      <c r="O822" s="1">
        <v>78.223180077</v>
      </c>
      <c r="P822" s="1">
        <v>5.4178944549</v>
      </c>
      <c r="Q822" s="1">
        <v>35.36068</v>
      </c>
      <c r="R822" s="1">
        <v>90.517241379</v>
      </c>
      <c r="S822" s="1">
        <v>16.4</v>
      </c>
      <c r="T822" s="1">
        <v>4166.0</v>
      </c>
      <c r="U822" s="1">
        <v>33.341334614</v>
      </c>
      <c r="V822" s="1">
        <v>278.60647452</v>
      </c>
      <c r="W822" s="1">
        <v>11.5776844629999</v>
      </c>
      <c r="X822" s="1">
        <v>9.3542546771</v>
      </c>
      <c r="Y822" s="1">
        <v>78.5491024969999</v>
      </c>
      <c r="Z822" s="1">
        <v>12.9</v>
      </c>
      <c r="AA822" s="1">
        <v>1.6206879419</v>
      </c>
      <c r="AB822" s="1">
        <v>50893.0</v>
      </c>
      <c r="AC822" s="1">
        <v>47.2096530919999</v>
      </c>
      <c r="AD822" s="1">
        <v>75.393866506</v>
      </c>
      <c r="AE822" s="1">
        <v>8.4781269254</v>
      </c>
      <c r="AF822" s="1">
        <v>1.3682604273</v>
      </c>
      <c r="AG822" s="1">
        <v>0.2746693795</v>
      </c>
      <c r="AH822" s="1">
        <v>1.1851475076</v>
      </c>
      <c r="AI822" s="1">
        <v>0.0508646999</v>
      </c>
      <c r="AJ822" s="1">
        <v>2.477110885</v>
      </c>
      <c r="AK822" s="1">
        <v>93.5045778229999</v>
      </c>
      <c r="AL822" s="1">
        <v>0.4833483826</v>
      </c>
      <c r="AM822" s="1">
        <v>49.593082401</v>
      </c>
      <c r="AN822" s="1">
        <v>70.579501916</v>
      </c>
      <c r="AO822" s="1">
        <v>26002.0</v>
      </c>
      <c r="AP822" s="1">
        <v>13.1</v>
      </c>
      <c r="AQ822" s="1">
        <v>4.3</v>
      </c>
      <c r="AR822" s="1">
        <v>10.2</v>
      </c>
      <c r="AS822" s="1">
        <v>20.5</v>
      </c>
      <c r="AT822" s="1">
        <v>21.4</v>
      </c>
      <c r="AU822" s="1">
        <v>13.8</v>
      </c>
      <c r="AV822" s="1">
        <v>5.6</v>
      </c>
      <c r="AW822" s="1">
        <v>0.4</v>
      </c>
      <c r="AX822" s="1">
        <v>0.1993</v>
      </c>
      <c r="AY822" s="1">
        <v>13.2</v>
      </c>
      <c r="AZ822" s="1">
        <v>9.9</v>
      </c>
      <c r="BA822" s="1">
        <v>15.8</v>
      </c>
      <c r="BB822" s="1">
        <v>2.9</v>
      </c>
      <c r="BC822" s="1" t="s">
        <v>1444</v>
      </c>
      <c r="BD822" s="1">
        <v>8.3</v>
      </c>
      <c r="BE822" s="1">
        <v>39.6</v>
      </c>
      <c r="BF822" s="1">
        <v>33.8</v>
      </c>
      <c r="BG822" s="1">
        <v>18.3</v>
      </c>
      <c r="BH822" s="1" t="s">
        <v>1491</v>
      </c>
    </row>
    <row r="823">
      <c r="A823" s="1">
        <v>19067.0</v>
      </c>
      <c r="B823" s="2" t="str">
        <f>IFERROR(__xludf.DUMMYFUNCTION("TO_TEXT(A823)"),"19067")</f>
        <v>19067</v>
      </c>
      <c r="C823" s="1">
        <v>16004.0</v>
      </c>
      <c r="D823" s="1">
        <v>500.631853250159</v>
      </c>
      <c r="E823" s="1" t="s">
        <v>894</v>
      </c>
      <c r="F823" s="1" t="s">
        <v>1492</v>
      </c>
      <c r="G823" s="1">
        <v>31.967602333132</v>
      </c>
      <c r="H823" s="1">
        <v>14.495769091</v>
      </c>
      <c r="I823" s="1">
        <v>3.7586440013</v>
      </c>
      <c r="J823" s="1">
        <v>5.9398496241</v>
      </c>
      <c r="K823" s="1">
        <v>15.947325464</v>
      </c>
      <c r="L823" s="1">
        <v>40.7</v>
      </c>
      <c r="M823" s="1">
        <v>8.0</v>
      </c>
      <c r="N823" s="1">
        <v>29.2</v>
      </c>
      <c r="O823" s="1">
        <v>76.875421702</v>
      </c>
      <c r="P823" s="1">
        <v>6.4995891537</v>
      </c>
      <c r="Q823" s="1">
        <v>38.10976</v>
      </c>
      <c r="R823" s="1">
        <v>96.341463415</v>
      </c>
      <c r="S823" s="1">
        <v>17.0</v>
      </c>
      <c r="T823" s="1">
        <v>3596.0</v>
      </c>
      <c r="U823" s="1">
        <v>26.946607341</v>
      </c>
      <c r="V823" s="1">
        <v>175.3507014</v>
      </c>
      <c r="W823" s="1">
        <v>10.23222061</v>
      </c>
      <c r="X823" s="1">
        <v>8.8023512123</v>
      </c>
      <c r="Y823" s="1">
        <v>79.846134584</v>
      </c>
      <c r="Z823" s="1">
        <v>8.6</v>
      </c>
      <c r="AA823" s="1">
        <v>4.7770021615</v>
      </c>
      <c r="AB823" s="1">
        <v>53811.0</v>
      </c>
      <c r="AC823" s="1">
        <v>46.396023198</v>
      </c>
      <c r="AD823" s="1">
        <v>72.214824678</v>
      </c>
      <c r="AE823" s="1">
        <v>8.6598566855</v>
      </c>
      <c r="AF823" s="1">
        <v>2.6774950828</v>
      </c>
      <c r="AG823" s="1">
        <v>0.3362730791</v>
      </c>
      <c r="AH823" s="1">
        <v>1.48467736819999</v>
      </c>
      <c r="AI823" s="1">
        <v>0.1078611763</v>
      </c>
      <c r="AJ823" s="1">
        <v>3.67362477</v>
      </c>
      <c r="AK823" s="1">
        <v>90.749317937</v>
      </c>
      <c r="AL823" s="1">
        <v>0.7389162562</v>
      </c>
      <c r="AM823" s="1">
        <v>50.555167819</v>
      </c>
      <c r="AN823" s="1">
        <v>52.732625897</v>
      </c>
      <c r="AO823" s="1">
        <v>26929.0</v>
      </c>
      <c r="AP823" s="1">
        <v>14.1</v>
      </c>
      <c r="AQ823" s="1">
        <v>3.5</v>
      </c>
      <c r="AR823" s="1">
        <v>11.0</v>
      </c>
      <c r="AS823" s="1">
        <v>21.2</v>
      </c>
      <c r="AT823" s="1">
        <v>22.7</v>
      </c>
      <c r="AU823" s="1">
        <v>14.5</v>
      </c>
      <c r="AV823" s="1">
        <v>6.8</v>
      </c>
      <c r="AW823" s="1">
        <v>0.3</v>
      </c>
      <c r="AX823" s="1">
        <v>0.2579</v>
      </c>
      <c r="AY823" s="1">
        <v>11.7</v>
      </c>
      <c r="AZ823" s="1">
        <v>11.4</v>
      </c>
      <c r="BA823" s="1">
        <v>19.7</v>
      </c>
      <c r="BB823" s="1">
        <v>3.03</v>
      </c>
      <c r="BC823" s="1" t="s">
        <v>1444</v>
      </c>
      <c r="BD823" s="1">
        <v>9.9</v>
      </c>
      <c r="BE823" s="1">
        <v>35.4</v>
      </c>
      <c r="BF823" s="1">
        <v>34.9</v>
      </c>
      <c r="BG823" s="1">
        <v>19.8</v>
      </c>
      <c r="BH823" s="1" t="s">
        <v>1492</v>
      </c>
    </row>
    <row r="824">
      <c r="A824" s="1">
        <v>19069.0</v>
      </c>
      <c r="B824" s="2" t="str">
        <f>IFERROR(__xludf.DUMMYFUNCTION("TO_TEXT(A824)"),"19069")</f>
        <v>19069</v>
      </c>
      <c r="C824" s="1">
        <v>10393.0</v>
      </c>
      <c r="D824" s="1">
        <v>581.971978192546</v>
      </c>
      <c r="E824" s="1" t="s">
        <v>118</v>
      </c>
      <c r="F824" s="1" t="s">
        <v>1493</v>
      </c>
      <c r="G824" s="1">
        <v>17.8582481450017</v>
      </c>
      <c r="H824" s="1">
        <v>15.760572494</v>
      </c>
      <c r="I824" s="1">
        <v>3.721249705</v>
      </c>
      <c r="J824" s="1">
        <v>6.50118203309999</v>
      </c>
      <c r="K824" s="1">
        <v>16.70181748</v>
      </c>
      <c r="L824" s="1">
        <v>45.1</v>
      </c>
      <c r="M824" s="1">
        <v>8.3</v>
      </c>
      <c r="N824" s="1">
        <v>29.8</v>
      </c>
      <c r="O824" s="1">
        <v>72.65917603</v>
      </c>
      <c r="P824" s="1">
        <v>7.56566545179999</v>
      </c>
      <c r="Q824" s="1">
        <v>29.51594</v>
      </c>
      <c r="R824" s="1">
        <v>92.47311828</v>
      </c>
      <c r="S824" s="1">
        <v>16.0</v>
      </c>
      <c r="T824" s="1">
        <v>2378.0</v>
      </c>
      <c r="U824" s="1">
        <v>33.095037847</v>
      </c>
      <c r="V824" s="1">
        <v>204.509002055</v>
      </c>
      <c r="W824" s="1">
        <v>11.00591716</v>
      </c>
      <c r="X824" s="1">
        <v>10.096385542</v>
      </c>
      <c r="Y824" s="1">
        <v>79.157170999</v>
      </c>
      <c r="Z824" s="1">
        <v>15.6</v>
      </c>
      <c r="AA824" s="1">
        <v>5.1942389354</v>
      </c>
      <c r="AB824" s="1">
        <v>59367.0</v>
      </c>
      <c r="AC824" s="1">
        <v>48.8296135</v>
      </c>
      <c r="AD824" s="1">
        <v>74.30952381</v>
      </c>
      <c r="AE824" s="1">
        <v>8.4849975406</v>
      </c>
      <c r="AF824" s="1">
        <v>0.6617937574</v>
      </c>
      <c r="AG824" s="1">
        <v>0.6420387199</v>
      </c>
      <c r="AH824" s="1">
        <v>0.582773607299999</v>
      </c>
      <c r="AI824" s="1">
        <v>0.1185302252</v>
      </c>
      <c r="AJ824" s="1">
        <v>12.9197945479999</v>
      </c>
      <c r="AK824" s="1">
        <v>84.492295535</v>
      </c>
      <c r="AL824" s="1">
        <v>1.0270774977</v>
      </c>
      <c r="AM824" s="1">
        <v>49.634531806</v>
      </c>
      <c r="AN824" s="1">
        <v>60.243445693</v>
      </c>
      <c r="AO824" s="1">
        <v>24909.0</v>
      </c>
      <c r="AP824" s="1">
        <v>14.7</v>
      </c>
      <c r="AQ824" s="1">
        <v>5.4</v>
      </c>
      <c r="AR824" s="1">
        <v>11.4</v>
      </c>
      <c r="AS824" s="1">
        <v>19.8</v>
      </c>
      <c r="AT824" s="1">
        <v>23.2</v>
      </c>
      <c r="AU824" s="1">
        <v>12.9</v>
      </c>
      <c r="AV824" s="1">
        <v>13.8</v>
      </c>
      <c r="AW824" s="1">
        <v>1.5</v>
      </c>
      <c r="AX824" s="1">
        <v>0.3235</v>
      </c>
      <c r="AY824" s="1">
        <v>11.2</v>
      </c>
      <c r="AZ824" s="1">
        <v>8.3</v>
      </c>
      <c r="BA824" s="1">
        <v>13.1</v>
      </c>
      <c r="BB824" s="1">
        <v>3.02</v>
      </c>
      <c r="BC824" s="1" t="s">
        <v>1444</v>
      </c>
      <c r="BD824" s="1">
        <v>8.9</v>
      </c>
      <c r="BE824" s="1">
        <v>35.9</v>
      </c>
      <c r="BF824" s="1">
        <v>37.2</v>
      </c>
      <c r="BG824" s="1">
        <v>18.0</v>
      </c>
      <c r="BH824" s="1" t="s">
        <v>1493</v>
      </c>
    </row>
    <row r="825">
      <c r="A825" s="1">
        <v>19071.0</v>
      </c>
      <c r="B825" s="2" t="str">
        <f>IFERROR(__xludf.DUMMYFUNCTION("TO_TEXT(A825)"),"19071")</f>
        <v>19071</v>
      </c>
      <c r="C825" s="1">
        <v>7019.0</v>
      </c>
      <c r="D825" s="1">
        <v>511.12455541063</v>
      </c>
      <c r="E825" s="1" t="s">
        <v>577</v>
      </c>
      <c r="F825" s="1" t="s">
        <v>1494</v>
      </c>
      <c r="G825" s="1">
        <v>13.732464867318</v>
      </c>
      <c r="H825" s="1">
        <v>12.995608099</v>
      </c>
      <c r="I825" s="1">
        <v>3.6173050296</v>
      </c>
      <c r="J825" s="1">
        <v>5.2631578947</v>
      </c>
      <c r="K825" s="1">
        <v>15.579271732</v>
      </c>
      <c r="L825" s="1">
        <v>32.7</v>
      </c>
      <c r="M825" s="1">
        <v>6.8</v>
      </c>
      <c r="N825" s="1">
        <v>26.9</v>
      </c>
      <c r="O825" s="1">
        <v>45.074586749</v>
      </c>
      <c r="P825" s="1">
        <v>4.8839820359</v>
      </c>
      <c r="Q825" s="1">
        <v>14.39263</v>
      </c>
      <c r="R825" s="1">
        <v>94.736842105</v>
      </c>
      <c r="S825" s="1">
        <v>16.4</v>
      </c>
      <c r="T825" s="1">
        <v>1468.0</v>
      </c>
      <c r="U825" s="1">
        <v>24.863760218</v>
      </c>
      <c r="V825" s="1">
        <v>397.35099338</v>
      </c>
      <c r="W825" s="1">
        <v>9.7643097643</v>
      </c>
      <c r="X825" s="1">
        <v>7.9161028417</v>
      </c>
      <c r="Y825" s="1">
        <v>77.50304258</v>
      </c>
      <c r="Z825" s="1">
        <v>10.1</v>
      </c>
      <c r="AA825" s="1">
        <v>22.235261097</v>
      </c>
      <c r="AB825" s="1">
        <v>54658.0</v>
      </c>
      <c r="AC825" s="1">
        <v>43.670348343</v>
      </c>
      <c r="AD825" s="1">
        <v>74.147157191</v>
      </c>
      <c r="AE825" s="1">
        <v>7.5752334832</v>
      </c>
      <c r="AF825" s="1">
        <v>0.700700700699999</v>
      </c>
      <c r="AG825" s="1">
        <v>0.3861003861</v>
      </c>
      <c r="AH825" s="1">
        <v>0.4433004433</v>
      </c>
      <c r="AI825" s="1">
        <v>0.0429000429</v>
      </c>
      <c r="AJ825" s="1">
        <v>3.0602030602</v>
      </c>
      <c r="AK825" s="1">
        <v>94.365794366</v>
      </c>
      <c r="AL825" s="1">
        <v>0.1217100259</v>
      </c>
      <c r="AM825" s="1">
        <v>50.1215501219999</v>
      </c>
      <c r="AN825" s="1">
        <v>100.0</v>
      </c>
      <c r="AO825" s="1">
        <v>29553.0</v>
      </c>
      <c r="AP825" s="1">
        <v>10.5</v>
      </c>
      <c r="AQ825" s="1">
        <v>3.9</v>
      </c>
      <c r="AR825" s="1">
        <v>7.9</v>
      </c>
      <c r="AS825" s="1">
        <v>21.5</v>
      </c>
      <c r="AT825" s="1">
        <v>22.0</v>
      </c>
      <c r="AU825" s="1">
        <v>14.8</v>
      </c>
      <c r="AV825" s="1">
        <v>4.7</v>
      </c>
      <c r="AW825" s="1">
        <v>0.1</v>
      </c>
      <c r="AX825" s="1">
        <v>0.0786</v>
      </c>
      <c r="AY825" s="1">
        <v>11.6</v>
      </c>
      <c r="AZ825" s="1">
        <v>8.4</v>
      </c>
      <c r="BA825" s="1">
        <v>13.1</v>
      </c>
      <c r="BB825" s="1">
        <v>2.97</v>
      </c>
      <c r="BC825" s="1" t="s">
        <v>1444</v>
      </c>
      <c r="BD825" s="1">
        <v>7.9</v>
      </c>
      <c r="BE825" s="1">
        <v>33.6</v>
      </c>
      <c r="BF825" s="1">
        <v>39.6</v>
      </c>
      <c r="BG825" s="1">
        <v>18.9</v>
      </c>
      <c r="BH825" s="1" t="s">
        <v>1494</v>
      </c>
    </row>
    <row r="826">
      <c r="A826" s="1">
        <v>19073.0</v>
      </c>
      <c r="B826" s="2" t="str">
        <f>IFERROR(__xludf.DUMMYFUNCTION("TO_TEXT(A826)"),"19073")</f>
        <v>19073</v>
      </c>
      <c r="C826" s="1">
        <v>9083.0</v>
      </c>
      <c r="D826" s="1">
        <v>569.571518636834</v>
      </c>
      <c r="E826" s="1" t="s">
        <v>122</v>
      </c>
      <c r="F826" s="1" t="s">
        <v>1495</v>
      </c>
      <c r="G826" s="1">
        <v>15.9470754818263</v>
      </c>
      <c r="H826" s="1">
        <v>13.52241947</v>
      </c>
      <c r="I826" s="1">
        <v>3.6470751953</v>
      </c>
      <c r="J826" s="1">
        <v>8.57908847179999</v>
      </c>
      <c r="K826" s="1">
        <v>14.8456946929999</v>
      </c>
      <c r="L826" s="1">
        <v>41.2</v>
      </c>
      <c r="M826" s="1">
        <v>8.4</v>
      </c>
      <c r="N826" s="1">
        <v>34.3</v>
      </c>
      <c r="O826" s="1">
        <v>68.905312768</v>
      </c>
      <c r="P826" s="1">
        <v>5.0957247733</v>
      </c>
      <c r="Q826" s="1">
        <v>44.53847</v>
      </c>
      <c r="R826" s="1">
        <v>84.426229508</v>
      </c>
      <c r="S826" s="1">
        <v>17.2</v>
      </c>
      <c r="T826" s="1">
        <v>2048.0</v>
      </c>
      <c r="U826" s="1">
        <v>28.41796875</v>
      </c>
      <c r="V826" s="1">
        <v>76.838638858</v>
      </c>
      <c r="W826" s="1">
        <v>11.907810499</v>
      </c>
      <c r="X826" s="1">
        <v>10.360824742</v>
      </c>
      <c r="Y826" s="1">
        <v>78.1766549589999</v>
      </c>
      <c r="Z826" s="1">
        <v>19.1</v>
      </c>
      <c r="AA826" s="1">
        <v>4.1839853109</v>
      </c>
      <c r="AB826" s="1">
        <v>51861.0</v>
      </c>
      <c r="AC826" s="1">
        <v>46.7763157889999</v>
      </c>
      <c r="AD826" s="1">
        <v>74.2350218569999</v>
      </c>
      <c r="AE826" s="1">
        <v>7.9892037787</v>
      </c>
      <c r="AF826" s="1">
        <v>0.445384701</v>
      </c>
      <c r="AG826" s="1">
        <v>0.5233270237</v>
      </c>
      <c r="AH826" s="1">
        <v>0.4899231711</v>
      </c>
      <c r="AI826" s="1">
        <v>0.0556730876</v>
      </c>
      <c r="AJ826" s="1">
        <v>3.2067698475</v>
      </c>
      <c r="AK826" s="1">
        <v>94.187729651</v>
      </c>
      <c r="AL826" s="1">
        <v>0.635368866899999</v>
      </c>
      <c r="AM826" s="1">
        <v>50.67364436</v>
      </c>
      <c r="AN826" s="1">
        <v>58.161953728</v>
      </c>
      <c r="AO826" s="1">
        <v>26103.0</v>
      </c>
      <c r="AP826" s="1">
        <v>10.6</v>
      </c>
      <c r="AQ826" s="1">
        <v>5.8</v>
      </c>
      <c r="AR826" s="1">
        <v>7.2</v>
      </c>
      <c r="AS826" s="1">
        <v>21.1</v>
      </c>
      <c r="AT826" s="1">
        <v>22.9</v>
      </c>
      <c r="AU826" s="1">
        <v>16.3</v>
      </c>
      <c r="AV826" s="1">
        <v>4.7</v>
      </c>
      <c r="AW826" s="1">
        <v>0.5</v>
      </c>
      <c r="AX826" s="1">
        <v>0.1541</v>
      </c>
      <c r="AY826" s="1">
        <v>11.2</v>
      </c>
      <c r="AZ826" s="1">
        <v>9.2</v>
      </c>
      <c r="BA826" s="1">
        <v>12.9</v>
      </c>
      <c r="BB826" s="1">
        <v>3.08</v>
      </c>
      <c r="BC826" s="1" t="s">
        <v>1444</v>
      </c>
      <c r="BD826" s="1">
        <v>6.6</v>
      </c>
      <c r="BE826" s="1">
        <v>39.7</v>
      </c>
      <c r="BF826" s="1">
        <v>35.1</v>
      </c>
      <c r="BG826" s="1">
        <v>18.7</v>
      </c>
      <c r="BH826" s="1" t="s">
        <v>1495</v>
      </c>
    </row>
    <row r="827">
      <c r="A827" s="1">
        <v>19075.0</v>
      </c>
      <c r="B827" s="2" t="str">
        <f>IFERROR(__xludf.DUMMYFUNCTION("TO_TEXT(A827)"),"19075")</f>
        <v>19075</v>
      </c>
      <c r="C827" s="1">
        <v>12373.0</v>
      </c>
      <c r="D827" s="1">
        <v>501.85452438407</v>
      </c>
      <c r="E827" s="1" t="s">
        <v>1199</v>
      </c>
      <c r="F827" s="1" t="s">
        <v>1496</v>
      </c>
      <c r="G827" s="1">
        <v>24.6545550529518</v>
      </c>
      <c r="H827" s="1">
        <v>11.22348948</v>
      </c>
      <c r="I827" s="1">
        <v>3.3073177026</v>
      </c>
      <c r="J827" s="1">
        <v>5.7367829021</v>
      </c>
      <c r="K827" s="1">
        <v>13.523542151</v>
      </c>
      <c r="L827" s="1">
        <v>31.1</v>
      </c>
      <c r="M827" s="1">
        <v>8.9</v>
      </c>
      <c r="N827" s="1">
        <v>24.0</v>
      </c>
      <c r="O827" s="1">
        <v>71.532963944</v>
      </c>
      <c r="P827" s="1">
        <v>3.6565491954</v>
      </c>
      <c r="Q827" s="1">
        <v>24.32498</v>
      </c>
      <c r="R827" s="1">
        <v>97.549019608</v>
      </c>
      <c r="S827" s="1">
        <v>8.9</v>
      </c>
      <c r="T827" s="1">
        <v>2799.0</v>
      </c>
      <c r="U827" s="1">
        <v>16.898892462</v>
      </c>
      <c r="V827" s="1">
        <v>97.09916252</v>
      </c>
      <c r="W827" s="1">
        <v>7.2674418605</v>
      </c>
      <c r="X827" s="1">
        <v>5.6519197038</v>
      </c>
      <c r="Y827" s="1">
        <v>79.633436224</v>
      </c>
      <c r="Z827" s="1">
        <v>8.9</v>
      </c>
      <c r="AA827" s="1">
        <v>2.4613829878</v>
      </c>
      <c r="AB827" s="1">
        <v>65060.0</v>
      </c>
      <c r="AC827" s="1">
        <v>27.677806341</v>
      </c>
      <c r="AD827" s="1">
        <v>79.5211212769999</v>
      </c>
      <c r="AE827" s="1">
        <v>5.4365400162</v>
      </c>
      <c r="AF827" s="1">
        <v>0.4632639792</v>
      </c>
      <c r="AG827" s="1">
        <v>0.1300390117</v>
      </c>
      <c r="AH827" s="1">
        <v>0.349479844</v>
      </c>
      <c r="AI827" s="1">
        <v>0.0568920676</v>
      </c>
      <c r="AJ827" s="1">
        <v>1.33289987</v>
      </c>
      <c r="AK827" s="1">
        <v>96.879063719</v>
      </c>
      <c r="AL827" s="1">
        <v>0.205655527</v>
      </c>
      <c r="AM827" s="1">
        <v>50.650195059</v>
      </c>
      <c r="AN827" s="1">
        <v>100.0</v>
      </c>
      <c r="AO827" s="1">
        <v>32953.0</v>
      </c>
      <c r="AP827" s="1">
        <v>6.0</v>
      </c>
      <c r="AQ827" s="1">
        <v>3.8</v>
      </c>
      <c r="AR827" s="1">
        <v>4.6</v>
      </c>
      <c r="AS827" s="1">
        <v>19.7</v>
      </c>
      <c r="AT827" s="1">
        <v>23.6</v>
      </c>
      <c r="AU827" s="1">
        <v>10.8</v>
      </c>
      <c r="AV827" s="1">
        <v>2.8</v>
      </c>
      <c r="AW827" s="1">
        <v>0.1</v>
      </c>
      <c r="AX827" s="1">
        <v>0.0054</v>
      </c>
      <c r="AY827" s="1">
        <v>5.5</v>
      </c>
      <c r="AZ827" s="1">
        <v>6.7</v>
      </c>
      <c r="BA827" s="1">
        <v>10.7</v>
      </c>
      <c r="BB827" s="1">
        <v>2.87</v>
      </c>
      <c r="BC827" s="1" t="s">
        <v>1444</v>
      </c>
      <c r="BD827" s="1">
        <v>5.4</v>
      </c>
      <c r="BE827" s="1">
        <v>31.6</v>
      </c>
      <c r="BF827" s="1">
        <v>35.1</v>
      </c>
      <c r="BG827" s="1">
        <v>27.9</v>
      </c>
      <c r="BH827" s="1" t="s">
        <v>1496</v>
      </c>
    </row>
    <row r="828">
      <c r="A828" s="1">
        <v>19077.0</v>
      </c>
      <c r="B828" s="2" t="str">
        <f>IFERROR(__xludf.DUMMYFUNCTION("TO_TEXT(A828)"),"19077")</f>
        <v>19077</v>
      </c>
      <c r="C828" s="1">
        <v>10691.0</v>
      </c>
      <c r="D828" s="1">
        <v>590.619779977272</v>
      </c>
      <c r="E828" s="1" t="s">
        <v>1497</v>
      </c>
      <c r="F828" s="1" t="s">
        <v>1498</v>
      </c>
      <c r="G828" s="1">
        <v>18.1013240030861</v>
      </c>
      <c r="H828" s="1">
        <v>12.870778648</v>
      </c>
      <c r="I828" s="1">
        <v>3.525403303</v>
      </c>
      <c r="J828" s="1">
        <v>6.7708333333</v>
      </c>
      <c r="K828" s="1">
        <v>15.06224817</v>
      </c>
      <c r="L828" s="1">
        <v>33.6</v>
      </c>
      <c r="M828" s="1">
        <v>8.5</v>
      </c>
      <c r="N828" s="1">
        <v>36.5</v>
      </c>
      <c r="O828" s="1">
        <v>74.246850466</v>
      </c>
      <c r="P828" s="1">
        <v>6.0760724268</v>
      </c>
      <c r="Q828" s="1">
        <v>37.48828</v>
      </c>
      <c r="R828" s="1">
        <v>97.575757576</v>
      </c>
      <c r="S828" s="1">
        <v>14.0</v>
      </c>
      <c r="T828" s="1">
        <v>2415.0</v>
      </c>
      <c r="U828" s="1">
        <v>30.2277432709999</v>
      </c>
      <c r="V828" s="1">
        <v>32.9396263709999</v>
      </c>
      <c r="W828" s="1">
        <v>12.694877506</v>
      </c>
      <c r="X828" s="1">
        <v>10.414333707</v>
      </c>
      <c r="Y828" s="1">
        <v>81.625580612</v>
      </c>
      <c r="Z828" s="1">
        <v>7.5</v>
      </c>
      <c r="AA828" s="1">
        <v>3.8645020996</v>
      </c>
      <c r="AB828" s="1">
        <v>60306.0</v>
      </c>
      <c r="AC828" s="1">
        <v>35.0903614459999</v>
      </c>
      <c r="AD828" s="1">
        <v>79.440527632</v>
      </c>
      <c r="AE828" s="1">
        <v>9.9130843317</v>
      </c>
      <c r="AF828" s="1">
        <v>0.5597014925</v>
      </c>
      <c r="AG828" s="1">
        <v>0.3731343284</v>
      </c>
      <c r="AH828" s="1">
        <v>0.401119403</v>
      </c>
      <c r="AI828" s="1">
        <v>0.0746268657</v>
      </c>
      <c r="AJ828" s="1">
        <v>2.9850746269</v>
      </c>
      <c r="AK828" s="1">
        <v>94.524253731</v>
      </c>
      <c r="AL828" s="1">
        <v>0.642864207299999</v>
      </c>
      <c r="AM828" s="1">
        <v>50.093283582</v>
      </c>
      <c r="AN828" s="1">
        <v>100.0</v>
      </c>
      <c r="AO828" s="1">
        <v>29938.0</v>
      </c>
      <c r="AP828" s="1">
        <v>10.6</v>
      </c>
      <c r="AQ828" s="1">
        <v>3.3</v>
      </c>
      <c r="AR828" s="1">
        <v>7.9</v>
      </c>
      <c r="AS828" s="1">
        <v>21.3</v>
      </c>
      <c r="AT828" s="1">
        <v>22.5</v>
      </c>
      <c r="AU828" s="1">
        <v>13.7</v>
      </c>
      <c r="AV828" s="1">
        <v>4.3</v>
      </c>
      <c r="AW828" s="1">
        <v>0.5</v>
      </c>
      <c r="AX828" s="1">
        <v>0.0958</v>
      </c>
      <c r="AY828" s="1">
        <v>8.8</v>
      </c>
      <c r="AZ828" s="1">
        <v>9.2</v>
      </c>
      <c r="BA828" s="1">
        <v>14.3</v>
      </c>
      <c r="BB828" s="1">
        <v>3.1</v>
      </c>
      <c r="BC828" s="1" t="s">
        <v>1444</v>
      </c>
      <c r="BD828" s="1">
        <v>6.9</v>
      </c>
      <c r="BE828" s="1">
        <v>38.9</v>
      </c>
      <c r="BF828" s="1">
        <v>34.4</v>
      </c>
      <c r="BG828" s="1">
        <v>19.8</v>
      </c>
      <c r="BH828" s="1" t="s">
        <v>1498</v>
      </c>
    </row>
    <row r="829">
      <c r="A829" s="1">
        <v>19079.0</v>
      </c>
      <c r="B829" s="2" t="str">
        <f>IFERROR(__xludf.DUMMYFUNCTION("TO_TEXT(A829)"),"19079")</f>
        <v>19079</v>
      </c>
      <c r="C829" s="1">
        <v>15227.0</v>
      </c>
      <c r="D829" s="1">
        <v>576.750079145022</v>
      </c>
      <c r="E829" s="1" t="s">
        <v>719</v>
      </c>
      <c r="F829" s="1" t="s">
        <v>1499</v>
      </c>
      <c r="G829" s="1">
        <v>26.4013834598386</v>
      </c>
      <c r="H829" s="1">
        <v>12.402653433</v>
      </c>
      <c r="I829" s="1">
        <v>3.4668863129</v>
      </c>
      <c r="J829" s="1">
        <v>6.6562255286</v>
      </c>
      <c r="K829" s="1">
        <v>15.113201215</v>
      </c>
      <c r="L829" s="1">
        <v>33.1</v>
      </c>
      <c r="M829" s="1">
        <v>8.3</v>
      </c>
      <c r="N829" s="1">
        <v>24.6</v>
      </c>
      <c r="O829" s="1">
        <v>84.852931794</v>
      </c>
      <c r="P829" s="1">
        <v>5.6559766764</v>
      </c>
      <c r="Q829" s="1">
        <v>33.07972</v>
      </c>
      <c r="R829" s="1">
        <v>95.5056179779999</v>
      </c>
      <c r="S829" s="1">
        <v>11.8</v>
      </c>
      <c r="T829" s="1">
        <v>3463.0</v>
      </c>
      <c r="U829" s="1">
        <v>16.344210222</v>
      </c>
      <c r="V829" s="1">
        <v>210.92874563</v>
      </c>
      <c r="W829" s="1">
        <v>11.520376176</v>
      </c>
      <c r="X829" s="1">
        <v>10.008019246</v>
      </c>
      <c r="Y829" s="1">
        <v>79.33181391</v>
      </c>
      <c r="Z829" s="1">
        <v>12.2</v>
      </c>
      <c r="AA829" s="1">
        <v>5.67815790919999</v>
      </c>
      <c r="AB829" s="1">
        <v>56738.0</v>
      </c>
      <c r="AC829" s="1">
        <v>42.344497608</v>
      </c>
      <c r="AD829" s="1">
        <v>72.858273951</v>
      </c>
      <c r="AE829" s="1">
        <v>8.4966216216</v>
      </c>
      <c r="AF829" s="1">
        <v>1.1503477796</v>
      </c>
      <c r="AG829" s="1">
        <v>0.5082932049</v>
      </c>
      <c r="AH829" s="1">
        <v>2.367576244</v>
      </c>
      <c r="AI829" s="1">
        <v>0.0066880685</v>
      </c>
      <c r="AJ829" s="1">
        <v>6.26003210269999</v>
      </c>
      <c r="AK829" s="1">
        <v>88.4764579989999</v>
      </c>
      <c r="AL829" s="1">
        <v>1.0672132306</v>
      </c>
      <c r="AM829" s="1">
        <v>50.167201712</v>
      </c>
      <c r="AN829" s="1">
        <v>50.481720156</v>
      </c>
      <c r="AO829" s="1">
        <v>28076.0</v>
      </c>
      <c r="AP829" s="1">
        <v>10.8</v>
      </c>
      <c r="AQ829" s="1">
        <v>3.0</v>
      </c>
      <c r="AR829" s="1">
        <v>7.8</v>
      </c>
      <c r="AS829" s="1">
        <v>19.4</v>
      </c>
      <c r="AT829" s="1">
        <v>23.2</v>
      </c>
      <c r="AU829" s="1">
        <v>12.9</v>
      </c>
      <c r="AV829" s="1">
        <v>9.8</v>
      </c>
      <c r="AW829" s="1">
        <v>0.9</v>
      </c>
      <c r="AX829" s="1">
        <v>0.1238</v>
      </c>
      <c r="AY829" s="1">
        <v>9.1</v>
      </c>
      <c r="AZ829" s="1">
        <v>8.6</v>
      </c>
      <c r="BA829" s="1">
        <v>12.7</v>
      </c>
      <c r="BB829" s="1">
        <v>2.98</v>
      </c>
      <c r="BC829" s="1" t="s">
        <v>1444</v>
      </c>
      <c r="BD829" s="1">
        <v>6.7</v>
      </c>
      <c r="BE829" s="1">
        <v>32.4</v>
      </c>
      <c r="BF829" s="1">
        <v>36.6</v>
      </c>
      <c r="BG829" s="1">
        <v>24.3</v>
      </c>
      <c r="BH829" s="1" t="s">
        <v>1499</v>
      </c>
    </row>
    <row r="830">
      <c r="A830" s="1">
        <v>19081.0</v>
      </c>
      <c r="B830" s="2" t="str">
        <f>IFERROR(__xludf.DUMMYFUNCTION("TO_TEXT(A830)"),"19081")</f>
        <v>19081</v>
      </c>
      <c r="C830" s="1">
        <v>11006.0</v>
      </c>
      <c r="D830" s="1">
        <v>571.00433852561</v>
      </c>
      <c r="E830" s="1" t="s">
        <v>917</v>
      </c>
      <c r="F830" s="1" t="s">
        <v>1500</v>
      </c>
      <c r="G830" s="1">
        <v>19.274809764876</v>
      </c>
      <c r="H830" s="1">
        <v>12.6159195859999</v>
      </c>
      <c r="I830" s="1">
        <v>3.4361939769</v>
      </c>
      <c r="J830" s="1">
        <v>7.0197044335</v>
      </c>
      <c r="K830" s="1">
        <v>14.498356239</v>
      </c>
      <c r="L830" s="1">
        <v>34.1</v>
      </c>
      <c r="M830" s="1">
        <v>8.5</v>
      </c>
      <c r="N830" s="1">
        <v>23.1</v>
      </c>
      <c r="O830" s="1">
        <v>75.6987919939999</v>
      </c>
      <c r="P830" s="1">
        <v>5.4582533589</v>
      </c>
      <c r="Q830" s="1">
        <v>27.85257</v>
      </c>
      <c r="R830" s="1">
        <v>96.923076923</v>
      </c>
      <c r="S830" s="1">
        <v>11.2</v>
      </c>
      <c r="T830" s="1">
        <v>2405.0</v>
      </c>
      <c r="U830" s="1">
        <v>21.081081081</v>
      </c>
      <c r="V830" s="1">
        <v>117.49819234</v>
      </c>
      <c r="W830" s="1">
        <v>8.7234042553</v>
      </c>
      <c r="X830" s="1">
        <v>7.4433656958</v>
      </c>
      <c r="Y830" s="1">
        <v>81.509212909</v>
      </c>
      <c r="Z830" s="1">
        <v>6.3</v>
      </c>
      <c r="AA830" s="1">
        <v>4.5194543554</v>
      </c>
      <c r="AB830" s="1">
        <v>60859.0</v>
      </c>
      <c r="AC830" s="1">
        <v>33.857677903</v>
      </c>
      <c r="AD830" s="1">
        <v>77.94796475</v>
      </c>
      <c r="AE830" s="1">
        <v>7.48031496059999</v>
      </c>
      <c r="AF830" s="1">
        <v>0.8401792382</v>
      </c>
      <c r="AG830" s="1">
        <v>0.2893950709</v>
      </c>
      <c r="AH830" s="1">
        <v>0.5787901419</v>
      </c>
      <c r="AI830" s="1">
        <v>0.0840179238</v>
      </c>
      <c r="AJ830" s="1">
        <v>4.6116504854</v>
      </c>
      <c r="AK830" s="1">
        <v>92.8304705</v>
      </c>
      <c r="AL830" s="1">
        <v>0.7173322993</v>
      </c>
      <c r="AM830" s="1">
        <v>49.915982076</v>
      </c>
      <c r="AN830" s="1">
        <v>70.020280399</v>
      </c>
      <c r="AO830" s="1">
        <v>27732.0</v>
      </c>
      <c r="AP830" s="1">
        <v>9.5</v>
      </c>
      <c r="AQ830" s="1">
        <v>1.8</v>
      </c>
      <c r="AR830" s="1">
        <v>7.3</v>
      </c>
      <c r="AS830" s="1">
        <v>20.3</v>
      </c>
      <c r="AT830" s="1">
        <v>22.8</v>
      </c>
      <c r="AU830" s="1">
        <v>12.1</v>
      </c>
      <c r="AV830" s="1">
        <v>5.9</v>
      </c>
      <c r="AW830" s="1">
        <v>0.6</v>
      </c>
      <c r="AX830" s="1">
        <v>0.0503</v>
      </c>
      <c r="AY830" s="1">
        <v>9.0</v>
      </c>
      <c r="AZ830" s="1">
        <v>7.9</v>
      </c>
      <c r="BA830" s="1">
        <v>11.7</v>
      </c>
      <c r="BB830" s="1">
        <v>3.03</v>
      </c>
      <c r="BC830" s="1" t="s">
        <v>1444</v>
      </c>
      <c r="BD830" s="1">
        <v>6.7</v>
      </c>
      <c r="BE830" s="1">
        <v>36.3</v>
      </c>
      <c r="BF830" s="1">
        <v>33.2</v>
      </c>
      <c r="BG830" s="1">
        <v>23.8</v>
      </c>
      <c r="BH830" s="1" t="s">
        <v>1500</v>
      </c>
    </row>
    <row r="831">
      <c r="A831" s="1">
        <v>19083.0</v>
      </c>
      <c r="B831" s="2" t="str">
        <f>IFERROR(__xludf.DUMMYFUNCTION("TO_TEXT(A831)"),"19083")</f>
        <v>19083</v>
      </c>
      <c r="C831" s="1">
        <v>17324.0</v>
      </c>
      <c r="D831" s="1">
        <v>569.310456155636</v>
      </c>
      <c r="E831" s="1" t="s">
        <v>1203</v>
      </c>
      <c r="F831" s="1" t="s">
        <v>1501</v>
      </c>
      <c r="G831" s="1">
        <v>30.4297941706239</v>
      </c>
      <c r="H831" s="1">
        <v>13.588745371</v>
      </c>
      <c r="I831" s="1">
        <v>3.4738247098</v>
      </c>
      <c r="J831" s="1">
        <v>5.8731401723</v>
      </c>
      <c r="K831" s="1">
        <v>15.3706652059999</v>
      </c>
      <c r="L831" s="1">
        <v>42.1</v>
      </c>
      <c r="M831" s="1">
        <v>8.5</v>
      </c>
      <c r="N831" s="1">
        <v>24.2</v>
      </c>
      <c r="O831" s="1">
        <v>85.388388274</v>
      </c>
      <c r="P831" s="1">
        <v>5.3469674498</v>
      </c>
      <c r="Q831" s="1">
        <v>46.92633</v>
      </c>
      <c r="R831" s="1">
        <v>93.170731707</v>
      </c>
      <c r="S831" s="1">
        <v>14.9</v>
      </c>
      <c r="T831" s="1">
        <v>3480.0</v>
      </c>
      <c r="U831" s="1">
        <v>25.977011494</v>
      </c>
      <c r="V831" s="1">
        <v>106.08424337</v>
      </c>
      <c r="W831" s="1">
        <v>7.47004933049999</v>
      </c>
      <c r="X831" s="1">
        <v>5.6413890858</v>
      </c>
      <c r="Y831" s="1">
        <v>80.187988429</v>
      </c>
      <c r="Z831" s="1">
        <v>12.8</v>
      </c>
      <c r="AA831" s="1">
        <v>3.6467955327</v>
      </c>
      <c r="AB831" s="1">
        <v>55303.0</v>
      </c>
      <c r="AC831" s="1">
        <v>38.061842525</v>
      </c>
      <c r="AD831" s="1">
        <v>77.0592334489999</v>
      </c>
      <c r="AE831" s="1">
        <v>7.2821100917</v>
      </c>
      <c r="AF831" s="1">
        <v>1.482096277</v>
      </c>
      <c r="AG831" s="1">
        <v>0.4209153427</v>
      </c>
      <c r="AH831" s="1">
        <v>0.9959686981</v>
      </c>
      <c r="AI831" s="1">
        <v>0.0414986958</v>
      </c>
      <c r="AJ831" s="1">
        <v>4.4640739862</v>
      </c>
      <c r="AK831" s="1">
        <v>91.7239743889999</v>
      </c>
      <c r="AL831" s="1">
        <v>0.7125744825</v>
      </c>
      <c r="AM831" s="1">
        <v>49.804363291</v>
      </c>
      <c r="AN831" s="1">
        <v>71.084749629</v>
      </c>
      <c r="AO831" s="1">
        <v>27657.0</v>
      </c>
      <c r="AP831" s="1">
        <v>8.1</v>
      </c>
      <c r="AQ831" s="1">
        <v>3.4</v>
      </c>
      <c r="AR831" s="1">
        <v>8.3</v>
      </c>
      <c r="AS831" s="1">
        <v>21.0</v>
      </c>
      <c r="AT831" s="1">
        <v>22.1</v>
      </c>
      <c r="AU831" s="1">
        <v>11.6</v>
      </c>
      <c r="AV831" s="1">
        <v>7.3</v>
      </c>
      <c r="AW831" s="1">
        <v>0.7</v>
      </c>
      <c r="AX831" s="1">
        <v>0.1124</v>
      </c>
      <c r="AY831" s="1">
        <v>10.6</v>
      </c>
      <c r="AZ831" s="1">
        <v>7.9</v>
      </c>
      <c r="BA831" s="1">
        <v>12.3</v>
      </c>
      <c r="BB831" s="1">
        <v>2.92</v>
      </c>
      <c r="BC831" s="1" t="s">
        <v>1444</v>
      </c>
      <c r="BD831" s="1">
        <v>7.6</v>
      </c>
      <c r="BE831" s="1">
        <v>34.7</v>
      </c>
      <c r="BF831" s="1">
        <v>37.0</v>
      </c>
      <c r="BG831" s="1">
        <v>20.8</v>
      </c>
      <c r="BH831" s="1" t="s">
        <v>1501</v>
      </c>
    </row>
    <row r="832">
      <c r="A832" s="1">
        <v>19085.0</v>
      </c>
      <c r="B832" s="2" t="str">
        <f>IFERROR(__xludf.DUMMYFUNCTION("TO_TEXT(A832)"),"19085")</f>
        <v>19085</v>
      </c>
      <c r="C832" s="1">
        <v>14335.0</v>
      </c>
      <c r="D832" s="1">
        <v>696.840115868312</v>
      </c>
      <c r="E832" s="1" t="s">
        <v>1349</v>
      </c>
      <c r="F832" s="1" t="s">
        <v>1502</v>
      </c>
      <c r="G832" s="1">
        <v>20.5714333511606</v>
      </c>
      <c r="H832" s="1">
        <v>13.847176787</v>
      </c>
      <c r="I832" s="1">
        <v>3.5098919904</v>
      </c>
      <c r="J832" s="1">
        <v>6.5953654189</v>
      </c>
      <c r="K832" s="1">
        <v>15.706791116</v>
      </c>
      <c r="L832" s="1">
        <v>39.8</v>
      </c>
      <c r="M832" s="1">
        <v>8.3</v>
      </c>
      <c r="N832" s="1">
        <v>24.9</v>
      </c>
      <c r="O832" s="1">
        <v>51.031618435</v>
      </c>
      <c r="P832" s="1">
        <v>5.4061228101</v>
      </c>
      <c r="Q832" s="1">
        <v>35.37068</v>
      </c>
      <c r="R832" s="1">
        <v>96.832579186</v>
      </c>
      <c r="S832" s="1">
        <v>12.8</v>
      </c>
      <c r="T832" s="1">
        <v>3203.0</v>
      </c>
      <c r="U832" s="1">
        <v>30.40899157</v>
      </c>
      <c r="V832" s="1">
        <v>31.6277762159999</v>
      </c>
      <c r="W832" s="1">
        <v>9.5947063689</v>
      </c>
      <c r="X832" s="1">
        <v>7.9264214047</v>
      </c>
      <c r="Y832" s="1">
        <v>78.634874348</v>
      </c>
      <c r="Z832" s="1">
        <v>15.1</v>
      </c>
      <c r="AA832" s="1">
        <v>5.2339072733</v>
      </c>
      <c r="AB832" s="1">
        <v>60044.0</v>
      </c>
      <c r="AC832" s="1">
        <v>32.551778038</v>
      </c>
      <c r="AD832" s="1">
        <v>74.835418038</v>
      </c>
      <c r="AE832" s="1">
        <v>7.9658119658</v>
      </c>
      <c r="AF832" s="1">
        <v>0.403282864</v>
      </c>
      <c r="AG832" s="1">
        <v>0.3537568983</v>
      </c>
      <c r="AH832" s="1">
        <v>0.3537568983</v>
      </c>
      <c r="AI832" s="1">
        <v>0.0</v>
      </c>
      <c r="AJ832" s="1">
        <v>1.8112353191</v>
      </c>
      <c r="AK832" s="1">
        <v>95.974246498</v>
      </c>
      <c r="AL832" s="1">
        <v>0.1424821897</v>
      </c>
      <c r="AM832" s="1">
        <v>50.014150276</v>
      </c>
      <c r="AN832" s="1">
        <v>81.11602358</v>
      </c>
      <c r="AO832" s="1">
        <v>27984.0</v>
      </c>
      <c r="AP832" s="1">
        <v>10.5</v>
      </c>
      <c r="AQ832" s="1">
        <v>2.8</v>
      </c>
      <c r="AR832" s="1">
        <v>9.0</v>
      </c>
      <c r="AS832" s="1">
        <v>19.0</v>
      </c>
      <c r="AT832" s="1">
        <v>22.7</v>
      </c>
      <c r="AU832" s="1">
        <v>15.0</v>
      </c>
      <c r="AV832" s="1">
        <v>3.5</v>
      </c>
      <c r="AW832" s="1">
        <v>0.0</v>
      </c>
      <c r="AX832" s="1">
        <v>0.079</v>
      </c>
      <c r="AY832" s="1">
        <v>8.7</v>
      </c>
      <c r="AZ832" s="1">
        <v>8.8</v>
      </c>
      <c r="BA832" s="1">
        <v>12.8</v>
      </c>
      <c r="BB832" s="1">
        <v>3.0</v>
      </c>
      <c r="BC832" s="1" t="s">
        <v>1444</v>
      </c>
      <c r="BD832" s="1">
        <v>8.5</v>
      </c>
      <c r="BE832" s="1">
        <v>37.2</v>
      </c>
      <c r="BF832" s="1">
        <v>34.9</v>
      </c>
      <c r="BG832" s="1">
        <v>19.5</v>
      </c>
      <c r="BH832" s="1" t="s">
        <v>1502</v>
      </c>
    </row>
    <row r="833">
      <c r="A833" s="1">
        <v>19087.0</v>
      </c>
      <c r="B833" s="2" t="str">
        <f>IFERROR(__xludf.DUMMYFUNCTION("TO_TEXT(A833)"),"19087")</f>
        <v>19087</v>
      </c>
      <c r="C833" s="1">
        <v>19941.0</v>
      </c>
      <c r="D833" s="1">
        <v>434.324826280996</v>
      </c>
      <c r="E833" s="1" t="s">
        <v>126</v>
      </c>
      <c r="F833" s="1" t="s">
        <v>1503</v>
      </c>
      <c r="G833" s="1">
        <v>45.9126413996393</v>
      </c>
      <c r="H833" s="1">
        <v>13.893912739</v>
      </c>
      <c r="I833" s="1">
        <v>3.5437251104</v>
      </c>
      <c r="J833" s="1">
        <v>7.2727272727</v>
      </c>
      <c r="K833" s="1">
        <v>16.506831267</v>
      </c>
      <c r="L833" s="1">
        <v>34.8</v>
      </c>
      <c r="M833" s="1">
        <v>7.7</v>
      </c>
      <c r="N833" s="1">
        <v>29.2</v>
      </c>
      <c r="O833" s="1">
        <v>80.332588732</v>
      </c>
      <c r="P833" s="1">
        <v>5.5142083897</v>
      </c>
      <c r="Q833" s="1">
        <v>75.51729</v>
      </c>
      <c r="R833" s="1">
        <v>90.983606557</v>
      </c>
      <c r="S833" s="1">
        <v>13.9</v>
      </c>
      <c r="T833" s="1">
        <v>4336.0</v>
      </c>
      <c r="U833" s="1">
        <v>36.070110701</v>
      </c>
      <c r="V833" s="1">
        <v>224.70735786</v>
      </c>
      <c r="W833" s="1">
        <v>10.695538058</v>
      </c>
      <c r="X833" s="1">
        <v>8.5165562914</v>
      </c>
      <c r="Y833" s="1">
        <v>79.498986104</v>
      </c>
      <c r="Z833" s="1">
        <v>6.9</v>
      </c>
      <c r="AA833" s="1">
        <v>10.3810068779999</v>
      </c>
      <c r="AB833" s="1">
        <v>55856.0</v>
      </c>
      <c r="AC833" s="1">
        <v>42.742681048</v>
      </c>
      <c r="AD833" s="1">
        <v>70.97485092</v>
      </c>
      <c r="AE833" s="1">
        <v>6.5633917652</v>
      </c>
      <c r="AF833" s="1">
        <v>2.6461354463</v>
      </c>
      <c r="AG833" s="1">
        <v>0.3837145562</v>
      </c>
      <c r="AH833" s="1">
        <v>2.6062689989</v>
      </c>
      <c r="AI833" s="1">
        <v>0.154482483699999</v>
      </c>
      <c r="AJ833" s="1">
        <v>4.9633727015</v>
      </c>
      <c r="AK833" s="1">
        <v>87.915483132</v>
      </c>
      <c r="AL833" s="1">
        <v>0.8037900564</v>
      </c>
      <c r="AM833" s="1">
        <v>48.427766981</v>
      </c>
      <c r="AN833" s="1">
        <v>57.130801688</v>
      </c>
      <c r="AO833" s="1">
        <v>24380.0</v>
      </c>
      <c r="AP833" s="1">
        <v>13.6</v>
      </c>
      <c r="AQ833" s="1">
        <v>4.9</v>
      </c>
      <c r="AR833" s="1">
        <v>8.0</v>
      </c>
      <c r="AS833" s="1">
        <v>17.7</v>
      </c>
      <c r="AT833" s="1">
        <v>22.4</v>
      </c>
      <c r="AU833" s="1">
        <v>14.7</v>
      </c>
      <c r="AV833" s="1">
        <v>11.1</v>
      </c>
      <c r="AW833" s="1">
        <v>1.2</v>
      </c>
      <c r="AX833" s="1">
        <v>0.4021</v>
      </c>
      <c r="AY833" s="1">
        <v>11.7</v>
      </c>
      <c r="AZ833" s="1">
        <v>9.4</v>
      </c>
      <c r="BA833" s="1">
        <v>15.2</v>
      </c>
      <c r="BB833" s="1">
        <v>2.68</v>
      </c>
      <c r="BC833" s="1" t="s">
        <v>1444</v>
      </c>
      <c r="BD833" s="1">
        <v>7.4</v>
      </c>
      <c r="BE833" s="1">
        <v>36.0</v>
      </c>
      <c r="BF833" s="1">
        <v>36.9</v>
      </c>
      <c r="BG833" s="1">
        <v>19.6</v>
      </c>
      <c r="BH833" s="1" t="s">
        <v>1503</v>
      </c>
    </row>
    <row r="834">
      <c r="A834" s="1">
        <v>19089.0</v>
      </c>
      <c r="B834" s="2" t="str">
        <f>IFERROR(__xludf.DUMMYFUNCTION("TO_TEXT(A834)"),"19089")</f>
        <v>19089</v>
      </c>
      <c r="C834" s="1">
        <v>9430.0</v>
      </c>
      <c r="D834" s="1">
        <v>473.24766928668</v>
      </c>
      <c r="E834" s="1" t="s">
        <v>339</v>
      </c>
      <c r="F834" s="1" t="s">
        <v>1504</v>
      </c>
      <c r="G834" s="1">
        <v>19.9261414519246</v>
      </c>
      <c r="H834" s="1">
        <v>12.622644497</v>
      </c>
      <c r="I834" s="1">
        <v>3.5747776862</v>
      </c>
      <c r="J834" s="1">
        <v>6.9711538462</v>
      </c>
      <c r="K834" s="1">
        <v>16.004380924</v>
      </c>
      <c r="L834" s="1">
        <v>31.6</v>
      </c>
      <c r="M834" s="1">
        <v>7.7</v>
      </c>
      <c r="N834" s="1">
        <v>24.5</v>
      </c>
      <c r="O834" s="1">
        <v>81.110181894</v>
      </c>
      <c r="P834" s="1">
        <v>6.3319078494</v>
      </c>
      <c r="Q834" s="1">
        <v>54.18292</v>
      </c>
      <c r="R834" s="1">
        <v>96.09375</v>
      </c>
      <c r="S834" s="1">
        <v>13.8</v>
      </c>
      <c r="T834" s="1">
        <v>2306.0</v>
      </c>
      <c r="U834" s="1">
        <v>27.10320902</v>
      </c>
      <c r="V834" s="1">
        <v>63.485345466</v>
      </c>
      <c r="W834" s="1">
        <v>12.319790301</v>
      </c>
      <c r="X834" s="1">
        <v>10.659630607</v>
      </c>
      <c r="Y834" s="1">
        <v>79.335389187</v>
      </c>
      <c r="Z834" s="1">
        <v>7.7</v>
      </c>
      <c r="AA834" s="1">
        <v>12.134826461</v>
      </c>
      <c r="AB834" s="1">
        <v>53500.0</v>
      </c>
      <c r="AC834" s="1">
        <v>41.884456671</v>
      </c>
      <c r="AD834" s="1">
        <v>79.058945191</v>
      </c>
      <c r="AE834" s="1">
        <v>6.79144385029999</v>
      </c>
      <c r="AF834" s="1">
        <v>0.5660171982</v>
      </c>
      <c r="AG834" s="1">
        <v>0.2068139763</v>
      </c>
      <c r="AH834" s="1">
        <v>0.3374333297</v>
      </c>
      <c r="AI834" s="1">
        <v>0.0653096767</v>
      </c>
      <c r="AJ834" s="1">
        <v>1.6109720257</v>
      </c>
      <c r="AK834" s="1">
        <v>96.440622619</v>
      </c>
      <c r="AL834" s="1">
        <v>0.2305475504</v>
      </c>
      <c r="AM834" s="1">
        <v>50.12517688</v>
      </c>
      <c r="AN834" s="1">
        <v>62.99393686</v>
      </c>
      <c r="AO834" s="1">
        <v>25567.0</v>
      </c>
      <c r="AP834" s="1">
        <v>11.6</v>
      </c>
      <c r="AQ834" s="1">
        <v>3.7</v>
      </c>
      <c r="AR834" s="1">
        <v>11.1</v>
      </c>
      <c r="AS834" s="1">
        <v>20.1</v>
      </c>
      <c r="AT834" s="1">
        <v>25.0</v>
      </c>
      <c r="AU834" s="1">
        <v>11.7</v>
      </c>
      <c r="AV834" s="1">
        <v>3.2</v>
      </c>
      <c r="AW834" s="1">
        <v>0.3</v>
      </c>
      <c r="AX834" s="1">
        <v>0.1468</v>
      </c>
      <c r="AY834" s="1">
        <v>9.6</v>
      </c>
      <c r="AZ834" s="1">
        <v>8.9</v>
      </c>
      <c r="BA834" s="1">
        <v>13.7</v>
      </c>
      <c r="BB834" s="1">
        <v>3.0</v>
      </c>
      <c r="BC834" s="1" t="s">
        <v>1444</v>
      </c>
      <c r="BD834" s="1">
        <v>9.1</v>
      </c>
      <c r="BE834" s="1">
        <v>40.0</v>
      </c>
      <c r="BF834" s="1">
        <v>35.1</v>
      </c>
      <c r="BG834" s="1">
        <v>15.8</v>
      </c>
      <c r="BH834" s="1" t="s">
        <v>1504</v>
      </c>
    </row>
    <row r="835">
      <c r="A835" s="1">
        <v>19091.0</v>
      </c>
      <c r="B835" s="2" t="str">
        <f>IFERROR(__xludf.DUMMYFUNCTION("TO_TEXT(A835)"),"19091")</f>
        <v>19091</v>
      </c>
      <c r="C835" s="1">
        <v>9607.0</v>
      </c>
      <c r="D835" s="1">
        <v>434.363548450576</v>
      </c>
      <c r="E835" s="1" t="s">
        <v>440</v>
      </c>
      <c r="F835" s="1" t="s">
        <v>1505</v>
      </c>
      <c r="G835" s="1">
        <v>22.117417620031</v>
      </c>
      <c r="H835" s="1">
        <v>13.554742973</v>
      </c>
      <c r="I835" s="1">
        <v>3.5806129826</v>
      </c>
      <c r="J835" s="1">
        <v>5.1315789474</v>
      </c>
      <c r="K835" s="1">
        <v>16.4724998</v>
      </c>
      <c r="L835" s="1">
        <v>29.6</v>
      </c>
      <c r="M835" s="1">
        <v>8.2</v>
      </c>
      <c r="N835" s="1">
        <v>22.0</v>
      </c>
      <c r="O835" s="1">
        <v>71.930718288</v>
      </c>
      <c r="P835" s="1">
        <v>5.40252827679999</v>
      </c>
      <c r="Q835" s="1">
        <v>20.91175</v>
      </c>
      <c r="R835" s="1">
        <v>92.523364486</v>
      </c>
      <c r="S835" s="1">
        <v>12.7</v>
      </c>
      <c r="T835" s="1">
        <v>2210.0</v>
      </c>
      <c r="U835" s="1">
        <v>30.769230769</v>
      </c>
      <c r="V835" s="1">
        <v>57.378331855</v>
      </c>
      <c r="W835" s="1">
        <v>8.7367178276</v>
      </c>
      <c r="X835" s="1">
        <v>8.0668257757</v>
      </c>
      <c r="Y835" s="1">
        <v>79.265063331</v>
      </c>
      <c r="Z835" s="1">
        <v>6.8</v>
      </c>
      <c r="AA835" s="1">
        <v>5.1512788441</v>
      </c>
      <c r="AB835" s="1">
        <v>60166.0</v>
      </c>
      <c r="AC835" s="1">
        <v>39.833226427</v>
      </c>
      <c r="AD835" s="1">
        <v>74.224117508</v>
      </c>
      <c r="AE835" s="1">
        <v>7.1533923304</v>
      </c>
      <c r="AF835" s="1">
        <v>0.5970461925</v>
      </c>
      <c r="AG835" s="1">
        <v>0.345658322</v>
      </c>
      <c r="AH835" s="1">
        <v>0.5132502357</v>
      </c>
      <c r="AI835" s="1">
        <v>0.0209489892</v>
      </c>
      <c r="AJ835" s="1">
        <v>4.860165497</v>
      </c>
      <c r="AK835" s="1">
        <v>92.793547711</v>
      </c>
      <c r="AL835" s="1">
        <v>1.2203239405</v>
      </c>
      <c r="AM835" s="1">
        <v>50.73845187</v>
      </c>
      <c r="AN835" s="1">
        <v>46.581762608</v>
      </c>
      <c r="AO835" s="1">
        <v>28654.0</v>
      </c>
      <c r="AP835" s="1">
        <v>13.6</v>
      </c>
      <c r="AQ835" s="1">
        <v>3.9</v>
      </c>
      <c r="AR835" s="1">
        <v>6.9</v>
      </c>
      <c r="AS835" s="1">
        <v>20.6</v>
      </c>
      <c r="AT835" s="1">
        <v>23.4</v>
      </c>
      <c r="AU835" s="1">
        <v>12.3</v>
      </c>
      <c r="AV835" s="1">
        <v>5.6</v>
      </c>
      <c r="AW835" s="1">
        <v>0.6</v>
      </c>
      <c r="AX835" s="1">
        <v>0.1168</v>
      </c>
      <c r="AY835" s="1">
        <v>10.8</v>
      </c>
      <c r="AZ835" s="1">
        <v>9.5</v>
      </c>
      <c r="BA835" s="1">
        <v>14.7</v>
      </c>
      <c r="BB835" s="1">
        <v>2.91</v>
      </c>
      <c r="BC835" s="1" t="s">
        <v>1444</v>
      </c>
      <c r="BD835" s="1">
        <v>7.2</v>
      </c>
      <c r="BE835" s="1">
        <v>37.0</v>
      </c>
      <c r="BF835" s="1">
        <v>34.6</v>
      </c>
      <c r="BG835" s="1">
        <v>21.2</v>
      </c>
      <c r="BH835" s="1" t="s">
        <v>1505</v>
      </c>
    </row>
    <row r="836">
      <c r="A836" s="1">
        <v>19093.0</v>
      </c>
      <c r="B836" s="2" t="str">
        <f>IFERROR(__xludf.DUMMYFUNCTION("TO_TEXT(A836)"),"19093")</f>
        <v>19093</v>
      </c>
      <c r="C836" s="1">
        <v>7041.0</v>
      </c>
      <c r="D836" s="1">
        <v>431.507540759618</v>
      </c>
      <c r="E836" s="1" t="s">
        <v>1506</v>
      </c>
      <c r="F836" s="1" t="s">
        <v>1507</v>
      </c>
      <c r="G836" s="1">
        <v>16.3172119486143</v>
      </c>
      <c r="H836" s="1">
        <v>12.8403315779999</v>
      </c>
      <c r="I836" s="1">
        <v>3.4523407816</v>
      </c>
      <c r="J836" s="1">
        <v>7.6782449726</v>
      </c>
      <c r="K836" s="1">
        <v>15.76016834</v>
      </c>
      <c r="L836" s="1">
        <v>30.3</v>
      </c>
      <c r="M836" s="1">
        <v>8.8</v>
      </c>
      <c r="N836" s="1">
        <v>30.3</v>
      </c>
      <c r="O836" s="1">
        <v>78.050500776</v>
      </c>
      <c r="P836" s="1">
        <v>4.8344620015</v>
      </c>
      <c r="Q836" s="1">
        <v>29.13328</v>
      </c>
      <c r="R836" s="1">
        <v>98.076923077</v>
      </c>
      <c r="S836" s="1">
        <v>12.6</v>
      </c>
      <c r="T836" s="1">
        <v>1610.0</v>
      </c>
      <c r="U836" s="1">
        <v>18.01242236</v>
      </c>
      <c r="V836" s="1">
        <v>162.17740798</v>
      </c>
      <c r="W836" s="1">
        <v>5.3658536585</v>
      </c>
      <c r="X836" s="1">
        <v>5.0574712644</v>
      </c>
      <c r="Y836" s="1">
        <v>78.13010708</v>
      </c>
      <c r="Z836" s="1">
        <v>7.9</v>
      </c>
      <c r="AA836" s="1">
        <v>0.3551409528</v>
      </c>
      <c r="AB836" s="1">
        <v>60312.0</v>
      </c>
      <c r="AC836" s="1">
        <v>37.476635514</v>
      </c>
      <c r="AD836" s="1">
        <v>75.780730897</v>
      </c>
      <c r="AE836" s="1">
        <v>5.5382485289</v>
      </c>
      <c r="AF836" s="1">
        <v>0.4239146324</v>
      </c>
      <c r="AG836" s="1">
        <v>0.3508259026</v>
      </c>
      <c r="AH836" s="1">
        <v>0.6139453296</v>
      </c>
      <c r="AI836" s="1">
        <v>0.0584709838</v>
      </c>
      <c r="AJ836" s="1">
        <v>2.4557813185</v>
      </c>
      <c r="AK836" s="1">
        <v>95.205379331</v>
      </c>
      <c r="AL836" s="1">
        <v>0.030703101</v>
      </c>
      <c r="AM836" s="1">
        <v>50.080397603</v>
      </c>
      <c r="AN836" s="1">
        <v>100.0</v>
      </c>
      <c r="AO836" s="1">
        <v>29750.0</v>
      </c>
      <c r="AP836" s="1">
        <v>11.0</v>
      </c>
      <c r="AQ836" s="1">
        <v>3.6</v>
      </c>
      <c r="AR836" s="1">
        <v>6.7</v>
      </c>
      <c r="AS836" s="1">
        <v>21.7</v>
      </c>
      <c r="AT836" s="1">
        <v>23.4</v>
      </c>
      <c r="AU836" s="1">
        <v>13.1</v>
      </c>
      <c r="AV836" s="1">
        <v>3.9</v>
      </c>
      <c r="AW836" s="1">
        <v>0.0</v>
      </c>
      <c r="AX836" s="1">
        <v>0.0767</v>
      </c>
      <c r="AY836" s="1">
        <v>10.5</v>
      </c>
      <c r="AZ836" s="1">
        <v>9.0</v>
      </c>
      <c r="BA836" s="1">
        <v>12.7</v>
      </c>
      <c r="BB836" s="1">
        <v>2.95</v>
      </c>
      <c r="BC836" s="1" t="s">
        <v>1444</v>
      </c>
      <c r="BD836" s="1">
        <v>6.8</v>
      </c>
      <c r="BE836" s="1">
        <v>38.8</v>
      </c>
      <c r="BF836" s="1">
        <v>35.8</v>
      </c>
      <c r="BG836" s="1">
        <v>18.6</v>
      </c>
      <c r="BH836" s="1" t="s">
        <v>1507</v>
      </c>
    </row>
    <row r="837">
      <c r="A837" s="1">
        <v>19095.0</v>
      </c>
      <c r="B837" s="2" t="str">
        <f>IFERROR(__xludf.DUMMYFUNCTION("TO_TEXT(A837)"),"19095")</f>
        <v>19095</v>
      </c>
      <c r="C837" s="1">
        <v>16326.0</v>
      </c>
      <c r="D837" s="1">
        <v>586.456509679122</v>
      </c>
      <c r="E837" s="1" t="s">
        <v>1508</v>
      </c>
      <c r="F837" s="1" t="s">
        <v>1509</v>
      </c>
      <c r="G837" s="1">
        <v>27.8383814154143</v>
      </c>
      <c r="H837" s="1">
        <v>12.053643306</v>
      </c>
      <c r="I837" s="1">
        <v>3.2643589306</v>
      </c>
      <c r="J837" s="1">
        <v>5.819295559</v>
      </c>
      <c r="K837" s="1">
        <v>14.756389522</v>
      </c>
      <c r="L837" s="1">
        <v>31.5</v>
      </c>
      <c r="M837" s="1">
        <v>8.6</v>
      </c>
      <c r="N837" s="1">
        <v>20.0</v>
      </c>
      <c r="O837" s="1">
        <v>76.4353408739999</v>
      </c>
      <c r="P837" s="1">
        <v>4.3691552966</v>
      </c>
      <c r="Q837" s="1">
        <v>68.31025</v>
      </c>
      <c r="R837" s="1">
        <v>94.413407821</v>
      </c>
      <c r="S837" s="1">
        <v>8.1</v>
      </c>
      <c r="T837" s="1">
        <v>3673.0</v>
      </c>
      <c r="U837" s="1">
        <v>19.112442145</v>
      </c>
      <c r="V837" s="1">
        <v>103.80411553</v>
      </c>
      <c r="W837" s="1">
        <v>7.8171091445</v>
      </c>
      <c r="X837" s="1">
        <v>5.9896219422</v>
      </c>
      <c r="Y837" s="1">
        <v>79.818162853</v>
      </c>
      <c r="Z837" s="1">
        <v>9.7</v>
      </c>
      <c r="AA837" s="1">
        <v>3.2843403843</v>
      </c>
      <c r="AB837" s="1">
        <v>64188.0</v>
      </c>
      <c r="AC837" s="1">
        <v>28.335777126</v>
      </c>
      <c r="AD837" s="1">
        <v>78.10337211</v>
      </c>
      <c r="AE837" s="1">
        <v>7.5918615244</v>
      </c>
      <c r="AF837" s="1">
        <v>0.5947586891</v>
      </c>
      <c r="AG837" s="1">
        <v>0.2602069265</v>
      </c>
      <c r="AH837" s="1">
        <v>0.5018276439</v>
      </c>
      <c r="AI837" s="1">
        <v>0.0371724181</v>
      </c>
      <c r="AJ837" s="1">
        <v>3.0915061025</v>
      </c>
      <c r="AK837" s="1">
        <v>94.622390186</v>
      </c>
      <c r="AL837" s="1">
        <v>0.2624499705</v>
      </c>
      <c r="AM837" s="1">
        <v>50.1517873739999</v>
      </c>
      <c r="AN837" s="1">
        <v>82.18281871</v>
      </c>
      <c r="AO837" s="1">
        <v>28640.0</v>
      </c>
      <c r="AP837" s="1">
        <v>9.8</v>
      </c>
      <c r="AQ837" s="1">
        <v>1.8</v>
      </c>
      <c r="AR837" s="1">
        <v>7.9</v>
      </c>
      <c r="AS837" s="1">
        <v>18.0</v>
      </c>
      <c r="AT837" s="1">
        <v>23.3</v>
      </c>
      <c r="AU837" s="1">
        <v>11.5</v>
      </c>
      <c r="AV837" s="1">
        <v>4.2</v>
      </c>
      <c r="AW837" s="1">
        <v>0.3</v>
      </c>
      <c r="AX837" s="1">
        <v>0.0519</v>
      </c>
      <c r="AY837" s="1">
        <v>6.7</v>
      </c>
      <c r="AZ837" s="1">
        <v>7.7</v>
      </c>
      <c r="BA837" s="1">
        <v>11.7</v>
      </c>
      <c r="BB837" s="1">
        <v>3.01</v>
      </c>
      <c r="BC837" s="1" t="s">
        <v>1444</v>
      </c>
      <c r="BD837" s="1">
        <v>6.2</v>
      </c>
      <c r="BE837" s="1">
        <v>37.1</v>
      </c>
      <c r="BF837" s="1">
        <v>37.8</v>
      </c>
      <c r="BG837" s="1">
        <v>18.8</v>
      </c>
      <c r="BH837" s="1" t="s">
        <v>1509</v>
      </c>
    </row>
    <row r="838">
      <c r="A838" s="1">
        <v>19097.0</v>
      </c>
      <c r="B838" s="2" t="str">
        <f>IFERROR(__xludf.DUMMYFUNCTION("TO_TEXT(A838)"),"19097")</f>
        <v>19097</v>
      </c>
      <c r="C838" s="1">
        <v>19529.0</v>
      </c>
      <c r="D838" s="1">
        <v>636.03836905398</v>
      </c>
      <c r="E838" s="1" t="s">
        <v>130</v>
      </c>
      <c r="F838" s="1" t="s">
        <v>1510</v>
      </c>
      <c r="G838" s="1">
        <v>30.7041225029344</v>
      </c>
      <c r="H838" s="1">
        <v>13.289636109</v>
      </c>
      <c r="I838" s="1">
        <v>3.5545472133</v>
      </c>
      <c r="J838" s="1">
        <v>5.9691482227</v>
      </c>
      <c r="K838" s="1">
        <v>15.4297430659999</v>
      </c>
      <c r="L838" s="1">
        <v>31.1</v>
      </c>
      <c r="M838" s="1">
        <v>8.0</v>
      </c>
      <c r="N838" s="1">
        <v>35.6</v>
      </c>
      <c r="O838" s="1">
        <v>74.778315195</v>
      </c>
      <c r="P838" s="1">
        <v>5.4089536563</v>
      </c>
      <c r="Q838" s="1">
        <v>36.14582</v>
      </c>
      <c r="R838" s="1">
        <v>94.0540540539999</v>
      </c>
      <c r="S838" s="1">
        <v>15.1</v>
      </c>
      <c r="T838" s="1">
        <v>4193.0</v>
      </c>
      <c r="U838" s="1">
        <v>29.000715478</v>
      </c>
      <c r="V838" s="1">
        <v>82.253752827</v>
      </c>
      <c r="W838" s="1">
        <v>9.4362017804</v>
      </c>
      <c r="X838" s="1">
        <v>7.86786786789999</v>
      </c>
      <c r="Y838" s="1">
        <v>79.472232695</v>
      </c>
      <c r="Z838" s="1">
        <v>6.7</v>
      </c>
      <c r="AA838" s="1">
        <v>6.9713739342</v>
      </c>
      <c r="AB838" s="1">
        <v>54663.0</v>
      </c>
      <c r="AC838" s="1">
        <v>43.1768953069999</v>
      </c>
      <c r="AD838" s="1">
        <v>78.946090335</v>
      </c>
      <c r="AE838" s="1">
        <v>7.4447949527</v>
      </c>
      <c r="AF838" s="1">
        <v>0.6175380815</v>
      </c>
      <c r="AG838" s="1">
        <v>0.3293536435</v>
      </c>
      <c r="AH838" s="1">
        <v>0.3705228489</v>
      </c>
      <c r="AI838" s="1">
        <v>0.6123919308</v>
      </c>
      <c r="AJ838" s="1">
        <v>1.6107451626</v>
      </c>
      <c r="AK838" s="1">
        <v>95.342733635</v>
      </c>
      <c r="AL838" s="1">
        <v>0.0054836587</v>
      </c>
      <c r="AM838" s="1">
        <v>50.0926307119999</v>
      </c>
      <c r="AN838" s="1">
        <v>53.2698508669999</v>
      </c>
      <c r="AO838" s="1">
        <v>25865.0</v>
      </c>
      <c r="AP838" s="1">
        <v>13.8</v>
      </c>
      <c r="AQ838" s="1">
        <v>4.8</v>
      </c>
      <c r="AR838" s="1">
        <v>8.8</v>
      </c>
      <c r="AS838" s="1">
        <v>19.7</v>
      </c>
      <c r="AT838" s="1">
        <v>22.3</v>
      </c>
      <c r="AU838" s="1">
        <v>12.6</v>
      </c>
      <c r="AV838" s="1">
        <v>4.1</v>
      </c>
      <c r="AW838" s="1">
        <v>0.1</v>
      </c>
      <c r="AX838" s="1">
        <v>0.1671</v>
      </c>
      <c r="AY838" s="1">
        <v>12.3</v>
      </c>
      <c r="AZ838" s="1">
        <v>9.3</v>
      </c>
      <c r="BA838" s="1">
        <v>14.7</v>
      </c>
      <c r="BB838" s="1">
        <v>2.9</v>
      </c>
      <c r="BC838" s="1" t="s">
        <v>1444</v>
      </c>
      <c r="BD838" s="1">
        <v>7.4</v>
      </c>
      <c r="BE838" s="1">
        <v>42.0</v>
      </c>
      <c r="BF838" s="1">
        <v>31.4</v>
      </c>
      <c r="BG838" s="1">
        <v>19.2</v>
      </c>
      <c r="BH838" s="1" t="s">
        <v>1510</v>
      </c>
    </row>
    <row r="839">
      <c r="A839" s="1">
        <v>19099.0</v>
      </c>
      <c r="B839" s="2" t="str">
        <f>IFERROR(__xludf.DUMMYFUNCTION("TO_TEXT(A839)"),"19099")</f>
        <v>19099</v>
      </c>
      <c r="C839" s="1">
        <v>36715.0</v>
      </c>
      <c r="D839" s="1">
        <v>730.417577070934</v>
      </c>
      <c r="E839" s="1" t="s">
        <v>932</v>
      </c>
      <c r="F839" s="1" t="s">
        <v>1511</v>
      </c>
      <c r="G839" s="1">
        <v>50.265767353562</v>
      </c>
      <c r="H839" s="1">
        <v>13.189154065</v>
      </c>
      <c r="I839" s="1">
        <v>3.4966410271</v>
      </c>
      <c r="J839" s="1">
        <v>7.4357192495</v>
      </c>
      <c r="K839" s="1">
        <v>15.298066638</v>
      </c>
      <c r="L839" s="1">
        <v>36.1</v>
      </c>
      <c r="M839" s="1">
        <v>8.4</v>
      </c>
      <c r="N839" s="1">
        <v>24.6</v>
      </c>
      <c r="O839" s="1">
        <v>78.467509907</v>
      </c>
      <c r="P839" s="1">
        <v>4.214290723</v>
      </c>
      <c r="Q839" s="1">
        <v>40.57783</v>
      </c>
      <c r="R839" s="1">
        <v>95.12195122</v>
      </c>
      <c r="S839" s="1">
        <v>11.2</v>
      </c>
      <c r="T839" s="1">
        <v>8176.0</v>
      </c>
      <c r="U839" s="1">
        <v>29.537671233</v>
      </c>
      <c r="V839" s="1">
        <v>253.25418006</v>
      </c>
      <c r="W839" s="1">
        <v>10.891089109</v>
      </c>
      <c r="X839" s="1">
        <v>8.8720770289</v>
      </c>
      <c r="Y839" s="1">
        <v>79.247530519</v>
      </c>
      <c r="Z839" s="1">
        <v>14.0</v>
      </c>
      <c r="AA839" s="1">
        <v>3.9242655193</v>
      </c>
      <c r="AB839" s="1">
        <v>60378.0</v>
      </c>
      <c r="AC839" s="1">
        <v>41.891659501</v>
      </c>
      <c r="AD839" s="1">
        <v>73.948309046</v>
      </c>
      <c r="AE839" s="1">
        <v>8.475532365</v>
      </c>
      <c r="AF839" s="1">
        <v>2.2101381</v>
      </c>
      <c r="AG839" s="1">
        <v>0.3741890328</v>
      </c>
      <c r="AH839" s="1">
        <v>0.6703098501</v>
      </c>
      <c r="AI839" s="1">
        <v>0.0592241635</v>
      </c>
      <c r="AJ839" s="1">
        <v>2.4578027835</v>
      </c>
      <c r="AK839" s="1">
        <v>93.197297225</v>
      </c>
      <c r="AL839" s="1">
        <v>0.2103322096</v>
      </c>
      <c r="AM839" s="1">
        <v>48.862626861</v>
      </c>
      <c r="AN839" s="1">
        <v>57.507735736</v>
      </c>
      <c r="AO839" s="1">
        <v>26507.0</v>
      </c>
      <c r="AP839" s="1">
        <v>9.3</v>
      </c>
      <c r="AQ839" s="1">
        <v>4.9</v>
      </c>
      <c r="AR839" s="1">
        <v>7.6</v>
      </c>
      <c r="AS839" s="1">
        <v>18.0</v>
      </c>
      <c r="AT839" s="1">
        <v>22.2</v>
      </c>
      <c r="AU839" s="1">
        <v>14.0</v>
      </c>
      <c r="AV839" s="1">
        <v>5.4</v>
      </c>
      <c r="AW839" s="1">
        <v>0.2</v>
      </c>
      <c r="AX839" s="1">
        <v>0.2038</v>
      </c>
      <c r="AY839" s="1">
        <v>8.4</v>
      </c>
      <c r="AZ839" s="1">
        <v>9.3</v>
      </c>
      <c r="BA839" s="1">
        <v>13.3</v>
      </c>
      <c r="BB839" s="1">
        <v>3.0</v>
      </c>
      <c r="BC839" s="1" t="s">
        <v>1444</v>
      </c>
      <c r="BD839" s="1">
        <v>6.1</v>
      </c>
      <c r="BE839" s="1">
        <v>41.4</v>
      </c>
      <c r="BF839" s="1">
        <v>33.8</v>
      </c>
      <c r="BG839" s="1">
        <v>18.8</v>
      </c>
      <c r="BH839" s="1" t="s">
        <v>1511</v>
      </c>
    </row>
    <row r="840">
      <c r="A840" s="1">
        <v>19101.0</v>
      </c>
      <c r="B840" s="2" t="str">
        <f>IFERROR(__xludf.DUMMYFUNCTION("TO_TEXT(A840)"),"19101")</f>
        <v>19101</v>
      </c>
      <c r="C840" s="1">
        <v>17662.0</v>
      </c>
      <c r="D840" s="1">
        <v>435.515295735902</v>
      </c>
      <c r="E840" s="1" t="s">
        <v>132</v>
      </c>
      <c r="F840" s="1" t="s">
        <v>1512</v>
      </c>
      <c r="G840" s="1">
        <v>40.5542587664023</v>
      </c>
      <c r="H840" s="1">
        <v>14.413007507</v>
      </c>
      <c r="I840" s="1">
        <v>3.3342311368</v>
      </c>
      <c r="J840" s="1">
        <v>6.66666666669999</v>
      </c>
      <c r="K840" s="1">
        <v>15.291315628</v>
      </c>
      <c r="L840" s="1">
        <v>28.2</v>
      </c>
      <c r="M840" s="1">
        <v>7.9</v>
      </c>
      <c r="N840" s="1">
        <v>15.4</v>
      </c>
      <c r="O840" s="1">
        <v>66.585525144</v>
      </c>
      <c r="P840" s="1">
        <v>7.4594760698</v>
      </c>
      <c r="Q840" s="1">
        <v>75.99609</v>
      </c>
      <c r="R840" s="1">
        <v>92.4855491329999</v>
      </c>
      <c r="S840" s="1">
        <v>19.9</v>
      </c>
      <c r="T840" s="1">
        <v>3248.0</v>
      </c>
      <c r="U840" s="1">
        <v>36.360837438</v>
      </c>
      <c r="V840" s="1">
        <v>83.994670683</v>
      </c>
      <c r="W840" s="1">
        <v>13.63306744</v>
      </c>
      <c r="X840" s="1">
        <v>11.626195732</v>
      </c>
      <c r="Y840" s="1">
        <v>80.0915325639999</v>
      </c>
      <c r="Z840" s="1">
        <v>7.7</v>
      </c>
      <c r="AA840" s="1">
        <v>3.9714940116</v>
      </c>
      <c r="AB840" s="1">
        <v>46715.0</v>
      </c>
      <c r="AC840" s="1">
        <v>36.059957173</v>
      </c>
      <c r="AD840" s="1">
        <v>67.076562729</v>
      </c>
      <c r="AE840" s="1">
        <v>12.809023486</v>
      </c>
      <c r="AF840" s="1">
        <v>2.4536205865</v>
      </c>
      <c r="AG840" s="1">
        <v>0.315543224</v>
      </c>
      <c r="AH840" s="1">
        <v>11.963440509</v>
      </c>
      <c r="AI840" s="1">
        <v>0.0217616017</v>
      </c>
      <c r="AJ840" s="1">
        <v>3.1391110386</v>
      </c>
      <c r="AK840" s="1">
        <v>80.621293727</v>
      </c>
      <c r="AL840" s="1">
        <v>2.840370019</v>
      </c>
      <c r="AM840" s="1">
        <v>44.905065013</v>
      </c>
      <c r="AN840" s="1">
        <v>38.728255061</v>
      </c>
      <c r="AO840" s="1">
        <v>25120.0</v>
      </c>
      <c r="AP840" s="1">
        <v>15.6</v>
      </c>
      <c r="AQ840" s="1">
        <v>6.6</v>
      </c>
      <c r="AR840" s="1">
        <v>5.1</v>
      </c>
      <c r="AS840" s="1">
        <v>18.1</v>
      </c>
      <c r="AT840" s="1">
        <v>19.5</v>
      </c>
      <c r="AU840" s="1">
        <v>9.7</v>
      </c>
      <c r="AV840" s="1">
        <v>18.8</v>
      </c>
      <c r="AW840" s="1">
        <v>3.9</v>
      </c>
      <c r="AX840" s="1">
        <v>0.3317</v>
      </c>
      <c r="AY840" s="1">
        <v>14.2</v>
      </c>
      <c r="AZ840" s="1">
        <v>10.5</v>
      </c>
      <c r="BA840" s="1">
        <v>12.5</v>
      </c>
      <c r="BB840" s="1">
        <v>2.7</v>
      </c>
      <c r="BC840" s="1" t="s">
        <v>1444</v>
      </c>
      <c r="BD840" s="1">
        <v>6.8</v>
      </c>
      <c r="BE840" s="1">
        <v>28.0</v>
      </c>
      <c r="BF840" s="1">
        <v>33.7</v>
      </c>
      <c r="BG840" s="1">
        <v>31.5</v>
      </c>
      <c r="BH840" s="1" t="s">
        <v>1512</v>
      </c>
    </row>
    <row r="841">
      <c r="A841" s="1">
        <v>19103.0</v>
      </c>
      <c r="B841" s="2" t="str">
        <f>IFERROR(__xludf.DUMMYFUNCTION("TO_TEXT(A841)"),"19103")</f>
        <v>19103</v>
      </c>
      <c r="C841" s="1">
        <v>142006.0</v>
      </c>
      <c r="D841" s="1">
        <v>614.033467035263</v>
      </c>
      <c r="E841" s="1" t="s">
        <v>347</v>
      </c>
      <c r="F841" s="1" t="s">
        <v>1513</v>
      </c>
      <c r="G841" s="1">
        <v>231.267524693153</v>
      </c>
      <c r="H841" s="1">
        <v>14.0979206679999</v>
      </c>
      <c r="I841" s="1">
        <v>3.4044148619</v>
      </c>
      <c r="J841" s="1">
        <v>6.717605858</v>
      </c>
      <c r="K841" s="1">
        <v>14.52809202</v>
      </c>
      <c r="L841" s="1">
        <v>26.4</v>
      </c>
      <c r="M841" s="1">
        <v>7.9</v>
      </c>
      <c r="N841" s="1">
        <v>16.8</v>
      </c>
      <c r="O841" s="1">
        <v>93.212206415</v>
      </c>
      <c r="P841" s="1">
        <v>5.5068975685</v>
      </c>
      <c r="Q841" s="1">
        <v>181.62322</v>
      </c>
      <c r="R841" s="1">
        <v>91.536565325</v>
      </c>
      <c r="S841" s="1">
        <v>13.7</v>
      </c>
      <c r="T841" s="1">
        <v>29416.0</v>
      </c>
      <c r="U841" s="1">
        <v>25.1597769919999</v>
      </c>
      <c r="V841" s="1">
        <v>270.93972025</v>
      </c>
      <c r="W841" s="1">
        <v>19.497745159</v>
      </c>
      <c r="X841" s="1">
        <v>17.449846376</v>
      </c>
      <c r="Y841" s="1">
        <v>82.688576793</v>
      </c>
      <c r="Z841" s="1">
        <v>6.0</v>
      </c>
      <c r="AA841" s="1">
        <v>3.3386593282</v>
      </c>
      <c r="AB841" s="1">
        <v>64387.0</v>
      </c>
      <c r="AC841" s="1">
        <v>30.9755966169999</v>
      </c>
      <c r="AD841" s="1">
        <v>59.687430153</v>
      </c>
      <c r="AE841" s="1">
        <v>17.636753665</v>
      </c>
      <c r="AF841" s="1">
        <v>7.0269734232</v>
      </c>
      <c r="AG841" s="1">
        <v>0.3715456829</v>
      </c>
      <c r="AH841" s="1">
        <v>6.83591167529999</v>
      </c>
      <c r="AI841" s="1">
        <v>0.0509057252</v>
      </c>
      <c r="AJ841" s="1">
        <v>5.7986248843</v>
      </c>
      <c r="AK841" s="1">
        <v>77.9664154439999</v>
      </c>
      <c r="AL841" s="1">
        <v>2.542194933</v>
      </c>
      <c r="AM841" s="1">
        <v>50.409229142</v>
      </c>
      <c r="AN841" s="1">
        <v>18.536544368</v>
      </c>
      <c r="AO841" s="1">
        <v>31981.0</v>
      </c>
      <c r="AP841" s="1">
        <v>17.9</v>
      </c>
      <c r="AQ841" s="1">
        <v>3.2</v>
      </c>
      <c r="AR841" s="1">
        <v>5.3</v>
      </c>
      <c r="AS841" s="1">
        <v>9.8</v>
      </c>
      <c r="AT841" s="1">
        <v>20.1</v>
      </c>
      <c r="AU841" s="1">
        <v>7.3</v>
      </c>
      <c r="AV841" s="1">
        <v>19.7</v>
      </c>
      <c r="AW841" s="1">
        <v>2.1</v>
      </c>
      <c r="AX841" s="1">
        <v>0.2474</v>
      </c>
      <c r="AY841" s="1">
        <v>16.0</v>
      </c>
      <c r="AZ841" s="1">
        <v>8.2</v>
      </c>
      <c r="BA841" s="1">
        <v>10.0</v>
      </c>
      <c r="BB841" s="1">
        <v>3.1</v>
      </c>
      <c r="BC841" s="1" t="s">
        <v>1444</v>
      </c>
      <c r="BD841" s="1">
        <v>5.1</v>
      </c>
      <c r="BE841" s="1">
        <v>16.3</v>
      </c>
      <c r="BF841" s="1">
        <v>25.9</v>
      </c>
      <c r="BG841" s="1">
        <v>52.8</v>
      </c>
      <c r="BH841" s="1" t="s">
        <v>1513</v>
      </c>
    </row>
    <row r="842">
      <c r="A842" s="1">
        <v>19105.0</v>
      </c>
      <c r="B842" s="2" t="str">
        <f>IFERROR(__xludf.DUMMYFUNCTION("TO_TEXT(A842)"),"19105")</f>
        <v>19105</v>
      </c>
      <c r="C842" s="1">
        <v>20481.0</v>
      </c>
      <c r="D842" s="1">
        <v>575.620919212798</v>
      </c>
      <c r="E842" s="1" t="s">
        <v>940</v>
      </c>
      <c r="F842" s="1" t="s">
        <v>1514</v>
      </c>
      <c r="G842" s="1">
        <v>35.5807082689232</v>
      </c>
      <c r="H842" s="1">
        <v>12.88609734</v>
      </c>
      <c r="I842" s="1">
        <v>3.4784781168</v>
      </c>
      <c r="J842" s="1">
        <v>6.2670299728</v>
      </c>
      <c r="K842" s="1">
        <v>15.3013911079999</v>
      </c>
      <c r="L842" s="1">
        <v>37.6</v>
      </c>
      <c r="M842" s="1">
        <v>8.2</v>
      </c>
      <c r="N842" s="1">
        <v>29.3</v>
      </c>
      <c r="O842" s="1">
        <v>74.1011725939999</v>
      </c>
      <c r="P842" s="1">
        <v>5.1109963862</v>
      </c>
      <c r="Q842" s="1">
        <v>43.82548</v>
      </c>
      <c r="R842" s="1">
        <v>95.813953488</v>
      </c>
      <c r="S842" s="1">
        <v>13.3</v>
      </c>
      <c r="T842" s="1">
        <v>4414.0</v>
      </c>
      <c r="U842" s="1">
        <v>19.9365654729999</v>
      </c>
      <c r="V842" s="1">
        <v>204.509002055</v>
      </c>
      <c r="W842" s="1">
        <v>9.2177077016</v>
      </c>
      <c r="X842" s="1">
        <v>7.6237018937</v>
      </c>
      <c r="Y842" s="1">
        <v>81.739237292</v>
      </c>
      <c r="Z842" s="1">
        <v>7.7</v>
      </c>
      <c r="AA842" s="1">
        <v>5.3422367113</v>
      </c>
      <c r="AB842" s="1">
        <v>55405.0</v>
      </c>
      <c r="AC842" s="1">
        <v>40.338748704</v>
      </c>
      <c r="AD842" s="1">
        <v>75.646026329</v>
      </c>
      <c r="AE842" s="1">
        <v>9.7922472764</v>
      </c>
      <c r="AF842" s="1">
        <v>2.704396452</v>
      </c>
      <c r="AG842" s="1">
        <v>0.3952950251</v>
      </c>
      <c r="AH842" s="1">
        <v>0.9159274971</v>
      </c>
      <c r="AI842" s="1">
        <v>0.0385653683</v>
      </c>
      <c r="AJ842" s="1">
        <v>2.1162745854</v>
      </c>
      <c r="AK842" s="1">
        <v>93.270343232</v>
      </c>
      <c r="AL842" s="1">
        <v>0.7587409002</v>
      </c>
      <c r="AM842" s="1">
        <v>48.3465098339999</v>
      </c>
      <c r="AN842" s="1">
        <v>57.956197306</v>
      </c>
      <c r="AO842" s="1">
        <v>27891.0</v>
      </c>
      <c r="AP842" s="1">
        <v>10.6</v>
      </c>
      <c r="AQ842" s="1">
        <v>4.5</v>
      </c>
      <c r="AR842" s="1">
        <v>7.9</v>
      </c>
      <c r="AS842" s="1">
        <v>18.6</v>
      </c>
      <c r="AT842" s="1">
        <v>21.7</v>
      </c>
      <c r="AU842" s="1">
        <v>12.8</v>
      </c>
      <c r="AV842" s="1">
        <v>5.4</v>
      </c>
      <c r="AW842" s="1">
        <v>0.2</v>
      </c>
      <c r="AX842" s="1">
        <v>0.1401</v>
      </c>
      <c r="AY842" s="1">
        <v>9.5</v>
      </c>
      <c r="AZ842" s="1">
        <v>8.9</v>
      </c>
      <c r="BA842" s="1">
        <v>13.9</v>
      </c>
      <c r="BB842" s="1">
        <v>2.94</v>
      </c>
      <c r="BC842" s="1" t="s">
        <v>1444</v>
      </c>
      <c r="BD842" s="1">
        <v>7.7</v>
      </c>
      <c r="BE842" s="1">
        <v>39.6</v>
      </c>
      <c r="BF842" s="1">
        <v>33.3</v>
      </c>
      <c r="BG842" s="1">
        <v>19.5</v>
      </c>
      <c r="BH842" s="1" t="s">
        <v>1514</v>
      </c>
    </row>
    <row r="843">
      <c r="A843" s="1">
        <v>19107.0</v>
      </c>
      <c r="B843" s="2" t="str">
        <f>IFERROR(__xludf.DUMMYFUNCTION("TO_TEXT(A843)"),"19107")</f>
        <v>19107</v>
      </c>
      <c r="C843" s="1">
        <v>10234.0</v>
      </c>
      <c r="D843" s="1">
        <v>579.178966517806</v>
      </c>
      <c r="E843" s="1" t="s">
        <v>1515</v>
      </c>
      <c r="F843" s="1" t="s">
        <v>1516</v>
      </c>
      <c r="G843" s="1">
        <v>17.6698405702296</v>
      </c>
      <c r="H843" s="1">
        <v>12.208990842</v>
      </c>
      <c r="I843" s="1">
        <v>3.4930694112</v>
      </c>
      <c r="J843" s="1">
        <v>6.9248826291</v>
      </c>
      <c r="K843" s="1">
        <v>15.326639467</v>
      </c>
      <c r="L843" s="1">
        <v>36.6</v>
      </c>
      <c r="M843" s="1">
        <v>7.9</v>
      </c>
      <c r="N843" s="1">
        <v>26.8</v>
      </c>
      <c r="O843" s="1">
        <v>55.389591856</v>
      </c>
      <c r="P843" s="1">
        <v>6.5766220651</v>
      </c>
      <c r="Q843" s="1">
        <v>9.84931</v>
      </c>
      <c r="R843" s="1">
        <v>95.652173913</v>
      </c>
      <c r="S843" s="1">
        <v>18.1</v>
      </c>
      <c r="T843" s="1">
        <v>2277.0</v>
      </c>
      <c r="U843" s="1">
        <v>21.256038647</v>
      </c>
      <c r="V843" s="1">
        <v>136.19524951</v>
      </c>
      <c r="W843" s="1">
        <v>11.4382785959999</v>
      </c>
      <c r="X843" s="1">
        <v>8.5694698355</v>
      </c>
      <c r="Y843" s="1">
        <v>79.239019977</v>
      </c>
      <c r="Z843" s="1">
        <v>6.5</v>
      </c>
      <c r="AA843" s="1">
        <v>8.3971284228</v>
      </c>
      <c r="AB843" s="1">
        <v>52122.0</v>
      </c>
      <c r="AC843" s="1">
        <v>35.775862069</v>
      </c>
      <c r="AD843" s="1">
        <v>76.870437956</v>
      </c>
      <c r="AE843" s="1">
        <v>9.1829356471</v>
      </c>
      <c r="AF843" s="1">
        <v>0.6161369193</v>
      </c>
      <c r="AG843" s="1">
        <v>0.2151589242</v>
      </c>
      <c r="AH843" s="1">
        <v>0.3227383863</v>
      </c>
      <c r="AI843" s="1">
        <v>0.0</v>
      </c>
      <c r="AJ843" s="1">
        <v>1.8777506112</v>
      </c>
      <c r="AK843" s="1">
        <v>96.1173594129999</v>
      </c>
      <c r="AL843" s="1">
        <v>0.0938281902</v>
      </c>
      <c r="AM843" s="1">
        <v>49.134474328</v>
      </c>
      <c r="AN843" s="1">
        <v>100.0</v>
      </c>
      <c r="AO843" s="1">
        <v>24650.0</v>
      </c>
      <c r="AP843" s="1">
        <v>12.8</v>
      </c>
      <c r="AQ843" s="1">
        <v>5.5</v>
      </c>
      <c r="AR843" s="1">
        <v>8.7</v>
      </c>
      <c r="AS843" s="1">
        <v>20.3</v>
      </c>
      <c r="AT843" s="1">
        <v>23.0</v>
      </c>
      <c r="AU843" s="1">
        <v>15.0</v>
      </c>
      <c r="AV843" s="1">
        <v>3.0</v>
      </c>
      <c r="AW843" s="1">
        <v>0.2</v>
      </c>
      <c r="AX843" s="1">
        <v>0.1254</v>
      </c>
      <c r="AY843" s="1">
        <v>11.4</v>
      </c>
      <c r="AZ843" s="1">
        <v>9.6</v>
      </c>
      <c r="BA843" s="1">
        <v>14.8</v>
      </c>
      <c r="BB843" s="1">
        <v>2.96</v>
      </c>
      <c r="BC843" s="1" t="s">
        <v>1444</v>
      </c>
      <c r="BD843" s="1">
        <v>7.1</v>
      </c>
      <c r="BE843" s="1">
        <v>40.4</v>
      </c>
      <c r="BF843" s="1">
        <v>34.2</v>
      </c>
      <c r="BG843" s="1">
        <v>18.3</v>
      </c>
      <c r="BH843" s="1" t="s">
        <v>1516</v>
      </c>
    </row>
    <row r="844">
      <c r="A844" s="1">
        <v>19109.0</v>
      </c>
      <c r="B844" s="2" t="str">
        <f>IFERROR(__xludf.DUMMYFUNCTION("TO_TEXT(A844)"),"19109")</f>
        <v>19109</v>
      </c>
      <c r="C844" s="1">
        <v>15226.0</v>
      </c>
      <c r="D844" s="1">
        <v>972.730634336824</v>
      </c>
      <c r="E844" s="1" t="s">
        <v>1517</v>
      </c>
      <c r="F844" s="1" t="s">
        <v>1518</v>
      </c>
      <c r="G844" s="1">
        <v>15.6528431022228</v>
      </c>
      <c r="H844" s="1">
        <v>13.5760131609999</v>
      </c>
      <c r="I844" s="1">
        <v>3.5360703141</v>
      </c>
      <c r="J844" s="1">
        <v>5.1948051948</v>
      </c>
      <c r="K844" s="1">
        <v>15.345027535</v>
      </c>
      <c r="L844" s="1">
        <v>35.9</v>
      </c>
      <c r="M844" s="1">
        <v>7.6</v>
      </c>
      <c r="N844" s="1">
        <v>26.5</v>
      </c>
      <c r="O844" s="1">
        <v>64.1060284369999</v>
      </c>
      <c r="P844" s="1">
        <v>5.0017488632</v>
      </c>
      <c r="Q844" s="1">
        <v>53.33689</v>
      </c>
      <c r="R844" s="1">
        <v>93.518518519</v>
      </c>
      <c r="S844" s="1">
        <v>12.1</v>
      </c>
      <c r="T844" s="1">
        <v>3261.0</v>
      </c>
      <c r="U844" s="1">
        <v>28.5801901259999</v>
      </c>
      <c r="V844" s="1">
        <v>158.03509696</v>
      </c>
      <c r="W844" s="1">
        <v>7.9639368896</v>
      </c>
      <c r="X844" s="1">
        <v>6.5658093797</v>
      </c>
      <c r="Y844" s="1">
        <v>82.490888658</v>
      </c>
      <c r="Z844" s="1">
        <v>8.6</v>
      </c>
      <c r="AA844" s="1">
        <v>14.892709348</v>
      </c>
      <c r="AB844" s="1">
        <v>55486.0</v>
      </c>
      <c r="AC844" s="1">
        <v>41.0014873569999</v>
      </c>
      <c r="AD844" s="1">
        <v>76.237623762</v>
      </c>
      <c r="AE844" s="1">
        <v>7.1740486588</v>
      </c>
      <c r="AF844" s="1">
        <v>1.0330024148</v>
      </c>
      <c r="AG844" s="1">
        <v>0.3957606654</v>
      </c>
      <c r="AH844" s="1">
        <v>0.6104105178</v>
      </c>
      <c r="AI844" s="1">
        <v>0.0804936946999999</v>
      </c>
      <c r="AJ844" s="1">
        <v>2.8575261605</v>
      </c>
      <c r="AK844" s="1">
        <v>94.338610142</v>
      </c>
      <c r="AL844" s="1">
        <v>0.3935624429</v>
      </c>
      <c r="AM844" s="1">
        <v>49.644486182</v>
      </c>
      <c r="AN844" s="1">
        <v>65.643698128</v>
      </c>
      <c r="AO844" s="1">
        <v>29086.0</v>
      </c>
      <c r="AP844" s="1">
        <v>9.7</v>
      </c>
      <c r="AQ844" s="1">
        <v>1.8</v>
      </c>
      <c r="AR844" s="1">
        <v>5.7</v>
      </c>
      <c r="AS844" s="1">
        <v>22.1</v>
      </c>
      <c r="AT844" s="1">
        <v>22.2</v>
      </c>
      <c r="AU844" s="1">
        <v>12.9</v>
      </c>
      <c r="AV844" s="1">
        <v>4.3</v>
      </c>
      <c r="AW844" s="1">
        <v>0.3</v>
      </c>
      <c r="AX844" s="1">
        <v>0.0293</v>
      </c>
      <c r="AY844" s="1">
        <v>10.3</v>
      </c>
      <c r="AZ844" s="1">
        <v>9.0</v>
      </c>
      <c r="BA844" s="1">
        <v>13.6</v>
      </c>
      <c r="BB844" s="1">
        <v>3.21</v>
      </c>
      <c r="BC844" s="1" t="s">
        <v>1444</v>
      </c>
      <c r="BD844" s="1">
        <v>6.1</v>
      </c>
      <c r="BE844" s="1">
        <v>37.4</v>
      </c>
      <c r="BF844" s="1">
        <v>39.0</v>
      </c>
      <c r="BG844" s="1">
        <v>17.5</v>
      </c>
      <c r="BH844" s="1" t="s">
        <v>1518</v>
      </c>
    </row>
    <row r="845">
      <c r="A845" s="1">
        <v>19111.0</v>
      </c>
      <c r="B845" s="2" t="str">
        <f>IFERROR(__xludf.DUMMYFUNCTION("TO_TEXT(A845)"),"19111")</f>
        <v>19111</v>
      </c>
      <c r="C845" s="1">
        <v>35172.0</v>
      </c>
      <c r="D845" s="1">
        <v>517.522352809682</v>
      </c>
      <c r="E845" s="1" t="s">
        <v>140</v>
      </c>
      <c r="F845" s="1" t="s">
        <v>1519</v>
      </c>
      <c r="G845" s="1">
        <v>67.9622818397072</v>
      </c>
      <c r="H845" s="1">
        <v>15.698581515</v>
      </c>
      <c r="I845" s="1">
        <v>3.8256931596</v>
      </c>
      <c r="J845" s="1">
        <v>8.1875437369</v>
      </c>
      <c r="K845" s="1">
        <v>18.141968097</v>
      </c>
      <c r="L845" s="1">
        <v>40.3</v>
      </c>
      <c r="M845" s="1">
        <v>7.6</v>
      </c>
      <c r="N845" s="1">
        <v>30.3</v>
      </c>
      <c r="O845" s="1">
        <v>75.04043277</v>
      </c>
      <c r="P845" s="1">
        <v>5.0547695116</v>
      </c>
      <c r="Q845" s="1">
        <v>58.31754</v>
      </c>
      <c r="R845" s="1">
        <v>89.6825396829999</v>
      </c>
      <c r="S845" s="1">
        <v>21.5</v>
      </c>
      <c r="T845" s="1">
        <v>7363.0</v>
      </c>
      <c r="U845" s="1">
        <v>32.975689257</v>
      </c>
      <c r="V845" s="1">
        <v>480.21078279</v>
      </c>
      <c r="W845" s="1">
        <v>10.61452514</v>
      </c>
      <c r="X845" s="1">
        <v>9.2895015907</v>
      </c>
      <c r="Y845" s="1">
        <v>76.585063208</v>
      </c>
      <c r="Z845" s="1">
        <v>13.2</v>
      </c>
      <c r="AA845" s="1">
        <v>7.0265528996</v>
      </c>
      <c r="AB845" s="1">
        <v>48241.0</v>
      </c>
      <c r="AC845" s="1">
        <v>52.869103533</v>
      </c>
      <c r="AD845" s="1">
        <v>74.317556606</v>
      </c>
      <c r="AE845" s="1">
        <v>9.2972816657</v>
      </c>
      <c r="AF845" s="1">
        <v>3.0480105711</v>
      </c>
      <c r="AG845" s="1">
        <v>0.3200704742</v>
      </c>
      <c r="AH845" s="1">
        <v>0.660695933</v>
      </c>
      <c r="AI845" s="1">
        <v>0.0264278373</v>
      </c>
      <c r="AJ845" s="1">
        <v>3.6147408604</v>
      </c>
      <c r="AK845" s="1">
        <v>90.668036999</v>
      </c>
      <c r="AL845" s="1">
        <v>0.2494840915</v>
      </c>
      <c r="AM845" s="1">
        <v>49.60798708</v>
      </c>
      <c r="AN845" s="1">
        <v>40.616808878</v>
      </c>
      <c r="AO845" s="1">
        <v>23470.0</v>
      </c>
      <c r="AP845" s="1">
        <v>16.4</v>
      </c>
      <c r="AQ845" s="1">
        <v>7.9</v>
      </c>
      <c r="AR845" s="1">
        <v>8.2</v>
      </c>
      <c r="AS845" s="1">
        <v>18.8</v>
      </c>
      <c r="AT845" s="1">
        <v>21.6</v>
      </c>
      <c r="AU845" s="1">
        <v>17.2</v>
      </c>
      <c r="AV845" s="1">
        <v>9.0</v>
      </c>
      <c r="AW845" s="1">
        <v>0.1</v>
      </c>
      <c r="AX845" s="1">
        <v>0.4565</v>
      </c>
      <c r="AY845" s="1">
        <v>15.0</v>
      </c>
      <c r="AZ845" s="1">
        <v>11.9</v>
      </c>
      <c r="BA845" s="1">
        <v>19.6</v>
      </c>
      <c r="BB845" s="1">
        <v>2.55</v>
      </c>
      <c r="BC845" s="1" t="s">
        <v>1444</v>
      </c>
      <c r="BD845" s="1">
        <v>7.0</v>
      </c>
      <c r="BE845" s="1">
        <v>40.8</v>
      </c>
      <c r="BF845" s="1">
        <v>35.7</v>
      </c>
      <c r="BG845" s="1">
        <v>16.4</v>
      </c>
      <c r="BH845" s="1" t="s">
        <v>1519</v>
      </c>
    </row>
    <row r="846">
      <c r="A846" s="1">
        <v>19113.0</v>
      </c>
      <c r="B846" s="2" t="str">
        <f>IFERROR(__xludf.DUMMYFUNCTION("TO_TEXT(A846)"),"19113")</f>
        <v>19113</v>
      </c>
      <c r="C846" s="1">
        <v>218076.0</v>
      </c>
      <c r="D846" s="1">
        <v>716.898322105086</v>
      </c>
      <c r="E846" s="1" t="s">
        <v>1520</v>
      </c>
      <c r="F846" s="1" t="s">
        <v>1521</v>
      </c>
      <c r="G846" s="1">
        <v>304.193765385928</v>
      </c>
      <c r="H846" s="1">
        <v>11.822601873</v>
      </c>
      <c r="I846" s="1">
        <v>3.4648277924</v>
      </c>
      <c r="J846" s="1">
        <v>6.767265798</v>
      </c>
      <c r="K846" s="1">
        <v>16.37223578</v>
      </c>
      <c r="L846" s="1">
        <v>34.4</v>
      </c>
      <c r="M846" s="1">
        <v>8.3</v>
      </c>
      <c r="N846" s="1">
        <v>22.5</v>
      </c>
      <c r="O846" s="1">
        <v>91.796937877</v>
      </c>
      <c r="P846" s="1">
        <v>4.1683444199</v>
      </c>
      <c r="Q846" s="1">
        <v>60.23693</v>
      </c>
      <c r="R846" s="1">
        <v>89.028910304</v>
      </c>
      <c r="S846" s="1">
        <v>11.4</v>
      </c>
      <c r="T846" s="1">
        <v>51630.0</v>
      </c>
      <c r="U846" s="1">
        <v>31.011040093</v>
      </c>
      <c r="V846" s="1">
        <v>225.77117601</v>
      </c>
      <c r="W846" s="1">
        <v>10.363047554</v>
      </c>
      <c r="X846" s="1">
        <v>8.7484255124</v>
      </c>
      <c r="Y846" s="1">
        <v>80.221422816</v>
      </c>
      <c r="Z846" s="1">
        <v>9.3</v>
      </c>
      <c r="AA846" s="1">
        <v>4.6070974115</v>
      </c>
      <c r="AB846" s="1">
        <v>64878.0</v>
      </c>
      <c r="AC846" s="1">
        <v>36.166969729</v>
      </c>
      <c r="AD846" s="1">
        <v>74.395091697</v>
      </c>
      <c r="AE846" s="1">
        <v>9.2249920825</v>
      </c>
      <c r="AF846" s="1">
        <v>5.72000230179999</v>
      </c>
      <c r="AG846" s="1">
        <v>0.2704628855</v>
      </c>
      <c r="AH846" s="1">
        <v>2.5926368582</v>
      </c>
      <c r="AI846" s="1">
        <v>0.1226157435</v>
      </c>
      <c r="AJ846" s="1">
        <v>3.3517920933</v>
      </c>
      <c r="AK846" s="1">
        <v>85.535768827</v>
      </c>
      <c r="AL846" s="1">
        <v>0.9928921227</v>
      </c>
      <c r="AM846" s="1">
        <v>50.747424848</v>
      </c>
      <c r="AN846" s="1">
        <v>12.747957164</v>
      </c>
      <c r="AO846" s="1">
        <v>31854.0</v>
      </c>
      <c r="AP846" s="1">
        <v>9.4</v>
      </c>
      <c r="AQ846" s="1">
        <v>4.2</v>
      </c>
      <c r="AR846" s="1">
        <v>5.4</v>
      </c>
      <c r="AS846" s="1">
        <v>14.3</v>
      </c>
      <c r="AT846" s="1">
        <v>23.9</v>
      </c>
      <c r="AU846" s="1">
        <v>10.3</v>
      </c>
      <c r="AV846" s="1">
        <v>12.3</v>
      </c>
      <c r="AW846" s="1">
        <v>0.8</v>
      </c>
      <c r="AX846" s="1">
        <v>0.1474</v>
      </c>
      <c r="AY846" s="1">
        <v>11.1</v>
      </c>
      <c r="AZ846" s="1">
        <v>8.1</v>
      </c>
      <c r="BA846" s="1">
        <v>12.3</v>
      </c>
      <c r="BB846" s="1">
        <v>2.95</v>
      </c>
      <c r="BC846" s="1" t="s">
        <v>1444</v>
      </c>
      <c r="BD846" s="1">
        <v>5.5</v>
      </c>
      <c r="BE846" s="1">
        <v>27.0</v>
      </c>
      <c r="BF846" s="1">
        <v>34.3</v>
      </c>
      <c r="BG846" s="1">
        <v>33.1</v>
      </c>
      <c r="BH846" s="1" t="s">
        <v>1521</v>
      </c>
    </row>
    <row r="847">
      <c r="A847" s="1">
        <v>19115.0</v>
      </c>
      <c r="B847" s="2" t="str">
        <f>IFERROR(__xludf.DUMMYFUNCTION("TO_TEXT(A847)"),"19115")</f>
        <v>19115</v>
      </c>
      <c r="C847" s="1">
        <v>11251.0</v>
      </c>
      <c r="D847" s="1">
        <v>401.771212215179</v>
      </c>
      <c r="E847" s="1" t="s">
        <v>1522</v>
      </c>
      <c r="F847" s="1" t="s">
        <v>1523</v>
      </c>
      <c r="G847" s="1">
        <v>28.0034996483875</v>
      </c>
      <c r="H847" s="1">
        <v>14.836947129</v>
      </c>
      <c r="I847" s="1">
        <v>3.4899220882</v>
      </c>
      <c r="J847" s="1">
        <v>7.12074303409999</v>
      </c>
      <c r="K847" s="1">
        <v>16.194528616</v>
      </c>
      <c r="L847" s="1">
        <v>37.2</v>
      </c>
      <c r="M847" s="1">
        <v>9.1</v>
      </c>
      <c r="N847" s="1">
        <v>31.2</v>
      </c>
      <c r="O847" s="1">
        <v>67.498024063</v>
      </c>
      <c r="P847" s="1">
        <v>8.92034233049999</v>
      </c>
      <c r="Q847" s="1">
        <v>8.94134</v>
      </c>
      <c r="R847" s="1">
        <v>88.172043011</v>
      </c>
      <c r="S847" s="1">
        <v>13.8</v>
      </c>
      <c r="T847" s="1">
        <v>2570.0</v>
      </c>
      <c r="U847" s="1">
        <v>23.385214008</v>
      </c>
      <c r="V847" s="1">
        <v>156.14543832</v>
      </c>
      <c r="W847" s="1">
        <v>9.9656357388</v>
      </c>
      <c r="X847" s="1">
        <v>6.89734717419999</v>
      </c>
      <c r="Y847" s="1">
        <v>78.28348307</v>
      </c>
      <c r="Z847" s="1">
        <v>8.9</v>
      </c>
      <c r="AA847" s="1">
        <v>0.3210547033</v>
      </c>
      <c r="AB847" s="1">
        <v>49585.0</v>
      </c>
      <c r="AC847" s="1">
        <v>47.400085948</v>
      </c>
      <c r="AD847" s="1">
        <v>76.721160488</v>
      </c>
      <c r="AE847" s="1">
        <v>9.3028846154</v>
      </c>
      <c r="AF847" s="1">
        <v>0.8953353031</v>
      </c>
      <c r="AG847" s="1">
        <v>0.4655743576</v>
      </c>
      <c r="AH847" s="1">
        <v>4.0200555108</v>
      </c>
      <c r="AI847" s="1">
        <v>0.0984868833</v>
      </c>
      <c r="AJ847" s="1">
        <v>16.169755573</v>
      </c>
      <c r="AK847" s="1">
        <v>77.804637837</v>
      </c>
      <c r="AL847" s="1">
        <v>5.8540723982</v>
      </c>
      <c r="AM847" s="1">
        <v>48.965887725</v>
      </c>
      <c r="AN847" s="1">
        <v>100.0</v>
      </c>
      <c r="AO847" s="1">
        <v>26093.0</v>
      </c>
      <c r="AP847" s="1">
        <v>12.6</v>
      </c>
      <c r="AQ847" s="1">
        <v>4.3</v>
      </c>
      <c r="AR847" s="1">
        <v>17.3</v>
      </c>
      <c r="AS847" s="1">
        <v>16.3</v>
      </c>
      <c r="AT847" s="1">
        <v>23.7</v>
      </c>
      <c r="AU847" s="1">
        <v>12.2</v>
      </c>
      <c r="AV847" s="1">
        <v>21.0</v>
      </c>
      <c r="AW847" s="1">
        <v>5.7</v>
      </c>
      <c r="AX847" s="1">
        <v>0.4075</v>
      </c>
      <c r="AY847" s="1">
        <v>9.2</v>
      </c>
      <c r="AZ847" s="1">
        <v>8.3</v>
      </c>
      <c r="BA847" s="1">
        <v>12.6</v>
      </c>
      <c r="BB847" s="1">
        <v>2.93</v>
      </c>
      <c r="BC847" s="1" t="s">
        <v>1444</v>
      </c>
      <c r="BD847" s="1">
        <v>15.9</v>
      </c>
      <c r="BE847" s="1">
        <v>37.7</v>
      </c>
      <c r="BF847" s="1">
        <v>31.5</v>
      </c>
      <c r="BG847" s="1">
        <v>14.9</v>
      </c>
      <c r="BH847" s="1" t="s">
        <v>1523</v>
      </c>
    </row>
    <row r="848">
      <c r="A848" s="1">
        <v>19117.0</v>
      </c>
      <c r="B848" s="2" t="str">
        <f>IFERROR(__xludf.DUMMYFUNCTION("TO_TEXT(A848)"),"19117")</f>
        <v>19117</v>
      </c>
      <c r="C848" s="1">
        <v>8700.0</v>
      </c>
      <c r="D848" s="1">
        <v>430.603206863688</v>
      </c>
      <c r="E848" s="1" t="s">
        <v>1524</v>
      </c>
      <c r="F848" s="1" t="s">
        <v>1525</v>
      </c>
      <c r="G848" s="1">
        <v>20.2042155314326</v>
      </c>
      <c r="H848" s="1">
        <v>12.5592893259999</v>
      </c>
      <c r="I848" s="1">
        <v>3.406305932</v>
      </c>
      <c r="J848" s="1">
        <v>6.1452513966</v>
      </c>
      <c r="K848" s="1">
        <v>15.313481207</v>
      </c>
      <c r="L848" s="1">
        <v>31.5</v>
      </c>
      <c r="M848" s="1">
        <v>8.0</v>
      </c>
      <c r="N848" s="1">
        <v>29.6</v>
      </c>
      <c r="O848" s="1">
        <v>72.937738818</v>
      </c>
      <c r="P848" s="1">
        <v>5.5773881499</v>
      </c>
      <c r="Q848" s="1">
        <v>70.3070099999999</v>
      </c>
      <c r="R848" s="1">
        <v>100.0</v>
      </c>
      <c r="S848" s="1">
        <v>24.1</v>
      </c>
      <c r="T848" s="1">
        <v>1933.0</v>
      </c>
      <c r="U848" s="1">
        <v>27.4702534919999</v>
      </c>
      <c r="V848" s="1">
        <v>184.40615456</v>
      </c>
      <c r="W848" s="1">
        <v>12.364130435</v>
      </c>
      <c r="X848" s="1">
        <v>8.23691460059999</v>
      </c>
      <c r="Y848" s="1">
        <v>78.510097953</v>
      </c>
      <c r="Z848" s="1">
        <v>17.6</v>
      </c>
      <c r="AA848" s="1">
        <v>8.1702327977</v>
      </c>
      <c r="AB848" s="1">
        <v>49956.0</v>
      </c>
      <c r="AC848" s="1">
        <v>53.177257525</v>
      </c>
      <c r="AD848" s="1">
        <v>77.237781439</v>
      </c>
      <c r="AE848" s="1">
        <v>7.51010976309999</v>
      </c>
      <c r="AF848" s="1">
        <v>0.3470213997</v>
      </c>
      <c r="AG848" s="1">
        <v>0.3007518797</v>
      </c>
      <c r="AH848" s="1">
        <v>0.3470213997</v>
      </c>
      <c r="AI848" s="1">
        <v>0.0694042799</v>
      </c>
      <c r="AJ848" s="1">
        <v>2.2093695778</v>
      </c>
      <c r="AK848" s="1">
        <v>96.090225564</v>
      </c>
      <c r="AL848" s="1">
        <v>1.21092301989999</v>
      </c>
      <c r="AM848" s="1">
        <v>49.034123771</v>
      </c>
      <c r="AN848" s="1">
        <v>56.24859519</v>
      </c>
      <c r="AO848" s="1">
        <v>26119.0</v>
      </c>
      <c r="AP848" s="1">
        <v>10.6</v>
      </c>
      <c r="AQ848" s="1">
        <v>5.1</v>
      </c>
      <c r="AR848" s="1">
        <v>8.2</v>
      </c>
      <c r="AS848" s="1">
        <v>21.6</v>
      </c>
      <c r="AT848" s="1">
        <v>22.6</v>
      </c>
      <c r="AU848" s="1">
        <v>15.5</v>
      </c>
      <c r="AV848" s="1">
        <v>2.7</v>
      </c>
      <c r="AW848" s="1">
        <v>1.2</v>
      </c>
      <c r="AX848" s="1">
        <v>0.2974</v>
      </c>
      <c r="AY848" s="1">
        <v>14.9</v>
      </c>
      <c r="AZ848" s="1">
        <v>10.1</v>
      </c>
      <c r="BA848" s="1">
        <v>14.8</v>
      </c>
      <c r="BB848" s="1">
        <v>2.85</v>
      </c>
      <c r="BC848" s="1" t="s">
        <v>1444</v>
      </c>
      <c r="BD848" s="1">
        <v>7.9</v>
      </c>
      <c r="BE848" s="1">
        <v>41.3</v>
      </c>
      <c r="BF848" s="1">
        <v>33.8</v>
      </c>
      <c r="BG848" s="1">
        <v>17.0</v>
      </c>
      <c r="BH848" s="1" t="s">
        <v>1525</v>
      </c>
    </row>
    <row r="849">
      <c r="A849" s="1">
        <v>19119.0</v>
      </c>
      <c r="B849" s="2" t="str">
        <f>IFERROR(__xludf.DUMMYFUNCTION("TO_TEXT(A849)"),"19119")</f>
        <v>19119</v>
      </c>
      <c r="C849" s="1">
        <v>11730.0</v>
      </c>
      <c r="D849" s="1">
        <v>587.649974513344</v>
      </c>
      <c r="E849" s="1" t="s">
        <v>1526</v>
      </c>
      <c r="F849" s="1" t="s">
        <v>1527</v>
      </c>
      <c r="G849" s="1">
        <v>19.9608619224633</v>
      </c>
      <c r="H849" s="1">
        <v>11.839806971</v>
      </c>
      <c r="I849" s="1">
        <v>3.2550268439</v>
      </c>
      <c r="J849" s="1">
        <v>6.0884070058</v>
      </c>
      <c r="K849" s="1">
        <v>14.317676523</v>
      </c>
      <c r="L849" s="1">
        <v>39.0</v>
      </c>
      <c r="M849" s="1">
        <v>9.1</v>
      </c>
      <c r="N849" s="1">
        <v>27.3</v>
      </c>
      <c r="O849" s="1">
        <v>68.042483378</v>
      </c>
      <c r="P849" s="1">
        <v>6.3342318059</v>
      </c>
      <c r="Q849" s="1">
        <v>33.9213</v>
      </c>
      <c r="R849" s="1">
        <v>94.326241135</v>
      </c>
      <c r="S849" s="1">
        <v>9.5</v>
      </c>
      <c r="T849" s="1">
        <v>3330.0</v>
      </c>
      <c r="U849" s="1">
        <v>11.801801802</v>
      </c>
      <c r="V849" s="1">
        <v>133.83681468</v>
      </c>
      <c r="W849" s="1">
        <v>7.1269487751</v>
      </c>
      <c r="X849" s="1">
        <v>4.9158249158</v>
      </c>
      <c r="Y849" s="1">
        <v>81.154892701</v>
      </c>
      <c r="Z849" s="1">
        <v>15.7</v>
      </c>
      <c r="AA849" s="1">
        <v>3.2136827571</v>
      </c>
      <c r="AB849" s="1">
        <v>69048.0</v>
      </c>
      <c r="AC849" s="1">
        <v>24.896073903</v>
      </c>
      <c r="AD849" s="1">
        <v>83.402945702</v>
      </c>
      <c r="AE849" s="1">
        <v>5.235482396</v>
      </c>
      <c r="AF849" s="1">
        <v>0.3217339768</v>
      </c>
      <c r="AG849" s="1">
        <v>0.3217339768</v>
      </c>
      <c r="AH849" s="1">
        <v>0.3556007112</v>
      </c>
      <c r="AI849" s="1">
        <v>0.1524003048</v>
      </c>
      <c r="AJ849" s="1">
        <v>2.624671916</v>
      </c>
      <c r="AK849" s="1">
        <v>95.385657438</v>
      </c>
      <c r="AL849" s="1">
        <v>0.7161219243</v>
      </c>
      <c r="AM849" s="1">
        <v>49.250698501</v>
      </c>
      <c r="AN849" s="1">
        <v>100.0</v>
      </c>
      <c r="AO849" s="1">
        <v>27874.0</v>
      </c>
      <c r="AP849" s="1">
        <v>5.8</v>
      </c>
      <c r="AQ849" s="1">
        <v>1.9</v>
      </c>
      <c r="AR849" s="1">
        <v>9.4</v>
      </c>
      <c r="AS849" s="1">
        <v>17.0</v>
      </c>
      <c r="AT849" s="1">
        <v>28.2</v>
      </c>
      <c r="AU849" s="1">
        <v>11.1</v>
      </c>
      <c r="AV849" s="1">
        <v>3.8</v>
      </c>
      <c r="AW849" s="1">
        <v>0.4</v>
      </c>
      <c r="AX849" s="1">
        <v>0.0309</v>
      </c>
      <c r="AY849" s="1">
        <v>7.4</v>
      </c>
      <c r="AZ849" s="1">
        <v>5.7</v>
      </c>
      <c r="BA849" s="1">
        <v>9.4</v>
      </c>
      <c r="BB849" s="1">
        <v>2.93</v>
      </c>
      <c r="BC849" s="1" t="s">
        <v>1444</v>
      </c>
      <c r="BD849" s="1">
        <v>9.4</v>
      </c>
      <c r="BE849" s="1">
        <v>37.1</v>
      </c>
      <c r="BF849" s="1">
        <v>32.8</v>
      </c>
      <c r="BG849" s="1">
        <v>20.7</v>
      </c>
      <c r="BH849" s="1" t="s">
        <v>1527</v>
      </c>
    </row>
    <row r="850">
      <c r="A850" s="1">
        <v>19121.0</v>
      </c>
      <c r="B850" s="2" t="str">
        <f>IFERROR(__xludf.DUMMYFUNCTION("TO_TEXT(A850)"),"19121")</f>
        <v>19121</v>
      </c>
      <c r="C850" s="1">
        <v>15661.0</v>
      </c>
      <c r="D850" s="1">
        <v>561.005898276706</v>
      </c>
      <c r="E850" s="1" t="s">
        <v>148</v>
      </c>
      <c r="F850" s="1" t="s">
        <v>1528</v>
      </c>
      <c r="G850" s="1">
        <v>27.9159275296523</v>
      </c>
      <c r="H850" s="1">
        <v>11.382984282</v>
      </c>
      <c r="I850" s="1">
        <v>3.2831524214</v>
      </c>
      <c r="J850" s="1">
        <v>5.6472632493</v>
      </c>
      <c r="K850" s="1">
        <v>14.640956812</v>
      </c>
      <c r="L850" s="1">
        <v>36.8</v>
      </c>
      <c r="M850" s="1">
        <v>8.6</v>
      </c>
      <c r="N850" s="1">
        <v>25.5</v>
      </c>
      <c r="O850" s="1">
        <v>66.56036737</v>
      </c>
      <c r="P850" s="1">
        <v>4.7518955033</v>
      </c>
      <c r="Q850" s="1">
        <v>56.20433</v>
      </c>
      <c r="R850" s="1">
        <v>98.775510204</v>
      </c>
      <c r="S850" s="1">
        <v>7.8</v>
      </c>
      <c r="T850" s="1">
        <v>4061.0</v>
      </c>
      <c r="U850" s="1">
        <v>20.241319872</v>
      </c>
      <c r="V850" s="1">
        <v>112.38119702</v>
      </c>
      <c r="W850" s="1">
        <v>8.8658146965</v>
      </c>
      <c r="X850" s="1">
        <v>7.2873194222</v>
      </c>
      <c r="Y850" s="1">
        <v>79.281923755</v>
      </c>
      <c r="Z850" s="1">
        <v>11.7</v>
      </c>
      <c r="AA850" s="1">
        <v>3.2628991164</v>
      </c>
      <c r="AB850" s="1">
        <v>74794.0</v>
      </c>
      <c r="AC850" s="1">
        <v>25.7160647569999</v>
      </c>
      <c r="AD850" s="1">
        <v>78.5068949119999</v>
      </c>
      <c r="AE850" s="1">
        <v>7.90803848039999</v>
      </c>
      <c r="AF850" s="1">
        <v>0.5292633393</v>
      </c>
      <c r="AG850" s="1">
        <v>0.393870392</v>
      </c>
      <c r="AH850" s="1">
        <v>0.7754323343</v>
      </c>
      <c r="AI850" s="1">
        <v>0.0061542249</v>
      </c>
      <c r="AJ850" s="1">
        <v>2.3386054526</v>
      </c>
      <c r="AK850" s="1">
        <v>94.8981475779999</v>
      </c>
      <c r="AL850" s="1">
        <v>0.4882616547</v>
      </c>
      <c r="AM850" s="1">
        <v>50.064619361</v>
      </c>
      <c r="AN850" s="1">
        <v>67.835958926</v>
      </c>
      <c r="AO850" s="1">
        <v>29430.0</v>
      </c>
      <c r="AP850" s="1">
        <v>6.8</v>
      </c>
      <c r="AQ850" s="1">
        <v>4.8</v>
      </c>
      <c r="AR850" s="1">
        <v>5.6</v>
      </c>
      <c r="AS850" s="1">
        <v>16.0</v>
      </c>
      <c r="AT850" s="1">
        <v>26.0</v>
      </c>
      <c r="AU850" s="1">
        <v>12.3</v>
      </c>
      <c r="AV850" s="1">
        <v>3.6</v>
      </c>
      <c r="AW850" s="1">
        <v>0.6</v>
      </c>
      <c r="AX850" s="1">
        <v>0.0398</v>
      </c>
      <c r="AY850" s="1">
        <v>6.9</v>
      </c>
      <c r="AZ850" s="1">
        <v>8.0</v>
      </c>
      <c r="BA850" s="1">
        <v>11.7</v>
      </c>
      <c r="BB850" s="1">
        <v>3.1</v>
      </c>
      <c r="BC850" s="1" t="s">
        <v>1444</v>
      </c>
      <c r="BD850" s="1">
        <v>5.8</v>
      </c>
      <c r="BE850" s="1">
        <v>36.6</v>
      </c>
      <c r="BF850" s="1">
        <v>33.2</v>
      </c>
      <c r="BG850" s="1">
        <v>24.5</v>
      </c>
      <c r="BH850" s="1" t="s">
        <v>1528</v>
      </c>
    </row>
    <row r="851">
      <c r="A851" s="1">
        <v>19123.0</v>
      </c>
      <c r="B851" s="2" t="str">
        <f>IFERROR(__xludf.DUMMYFUNCTION("TO_TEXT(A851)"),"19123")</f>
        <v>19123</v>
      </c>
      <c r="C851" s="1">
        <v>22324.0</v>
      </c>
      <c r="D851" s="1">
        <v>570.862561871209</v>
      </c>
      <c r="E851" s="1" t="s">
        <v>1529</v>
      </c>
      <c r="F851" s="1" t="s">
        <v>1530</v>
      </c>
      <c r="G851" s="1">
        <v>39.1057348844614</v>
      </c>
      <c r="H851" s="1">
        <v>14.300364234</v>
      </c>
      <c r="I851" s="1">
        <v>3.6642759775</v>
      </c>
      <c r="J851" s="1">
        <v>5.9247810407</v>
      </c>
      <c r="K851" s="1">
        <v>16.839749533</v>
      </c>
      <c r="L851" s="1">
        <v>33.2</v>
      </c>
      <c r="M851" s="1">
        <v>7.7</v>
      </c>
      <c r="N851" s="1">
        <v>26.9</v>
      </c>
      <c r="O851" s="1">
        <v>79.36642688</v>
      </c>
      <c r="P851" s="1">
        <v>5.0501069699</v>
      </c>
      <c r="Q851" s="1">
        <v>58.46638</v>
      </c>
      <c r="R851" s="1">
        <v>90.995260664</v>
      </c>
      <c r="S851" s="1">
        <v>15.5</v>
      </c>
      <c r="T851" s="1">
        <v>5301.0</v>
      </c>
      <c r="U851" s="1">
        <v>29.352952273</v>
      </c>
      <c r="V851" s="1">
        <v>268.20437173</v>
      </c>
      <c r="W851" s="1">
        <v>12.85475793</v>
      </c>
      <c r="X851" s="1">
        <v>10.986547085</v>
      </c>
      <c r="Y851" s="1">
        <v>79.007468358</v>
      </c>
      <c r="Z851" s="1">
        <v>12.4</v>
      </c>
      <c r="AA851" s="1">
        <v>8.0629210645</v>
      </c>
      <c r="AB851" s="1">
        <v>56492.0</v>
      </c>
      <c r="AC851" s="1">
        <v>46.264073695</v>
      </c>
      <c r="AD851" s="1">
        <v>71.174538453</v>
      </c>
      <c r="AE851" s="1">
        <v>10.905493482</v>
      </c>
      <c r="AF851" s="1">
        <v>1.6681818182</v>
      </c>
      <c r="AG851" s="1">
        <v>0.4409090909</v>
      </c>
      <c r="AH851" s="1">
        <v>1.61818181819999</v>
      </c>
      <c r="AI851" s="1">
        <v>0.05</v>
      </c>
      <c r="AJ851" s="1">
        <v>2.4045454545</v>
      </c>
      <c r="AK851" s="1">
        <v>92.786363636</v>
      </c>
      <c r="AL851" s="1">
        <v>0.655484866</v>
      </c>
      <c r="AM851" s="1">
        <v>49.35</v>
      </c>
      <c r="AN851" s="1">
        <v>43.9479916</v>
      </c>
      <c r="AO851" s="1">
        <v>25823.0</v>
      </c>
      <c r="AP851" s="1">
        <v>13.9</v>
      </c>
      <c r="AQ851" s="1">
        <v>6.3</v>
      </c>
      <c r="AR851" s="1">
        <v>8.9</v>
      </c>
      <c r="AS851" s="1">
        <v>17.1</v>
      </c>
      <c r="AT851" s="1">
        <v>23.6</v>
      </c>
      <c r="AU851" s="1">
        <v>13.7</v>
      </c>
      <c r="AV851" s="1">
        <v>5.7</v>
      </c>
      <c r="AW851" s="1">
        <v>0.7</v>
      </c>
      <c r="AX851" s="1">
        <v>0.3384</v>
      </c>
      <c r="AY851" s="1">
        <v>10.8</v>
      </c>
      <c r="AZ851" s="1">
        <v>10.2</v>
      </c>
      <c r="BA851" s="1">
        <v>15.4</v>
      </c>
      <c r="BB851" s="1">
        <v>2.86</v>
      </c>
      <c r="BC851" s="1" t="s">
        <v>1444</v>
      </c>
      <c r="BD851" s="1">
        <v>7.8</v>
      </c>
      <c r="BE851" s="1">
        <v>39.6</v>
      </c>
      <c r="BF851" s="1">
        <v>30.6</v>
      </c>
      <c r="BG851" s="1">
        <v>22.0</v>
      </c>
      <c r="BH851" s="1" t="s">
        <v>1530</v>
      </c>
    </row>
    <row r="852">
      <c r="A852" s="1">
        <v>19125.0</v>
      </c>
      <c r="B852" s="2" t="str">
        <f>IFERROR(__xludf.DUMMYFUNCTION("TO_TEXT(A852)"),"19125")</f>
        <v>19125</v>
      </c>
      <c r="C852" s="1">
        <v>33197.0</v>
      </c>
      <c r="D852" s="1">
        <v>554.490419304666</v>
      </c>
      <c r="E852" s="1" t="s">
        <v>152</v>
      </c>
      <c r="F852" s="1" t="s">
        <v>1531</v>
      </c>
      <c r="G852" s="1">
        <v>59.8693842927516</v>
      </c>
      <c r="H852" s="1">
        <v>12.549900679</v>
      </c>
      <c r="I852" s="1">
        <v>3.345119251</v>
      </c>
      <c r="J852" s="1">
        <v>6.4818430301</v>
      </c>
      <c r="K852" s="1">
        <v>15.02656275</v>
      </c>
      <c r="L852" s="1">
        <v>33.7</v>
      </c>
      <c r="M852" s="1">
        <v>8.5</v>
      </c>
      <c r="N852" s="1">
        <v>25.5</v>
      </c>
      <c r="O852" s="1">
        <v>86.168903299</v>
      </c>
      <c r="P852" s="1">
        <v>4.19965576589999</v>
      </c>
      <c r="Q852" s="1">
        <v>96.66214</v>
      </c>
      <c r="R852" s="1">
        <v>95.595854922</v>
      </c>
      <c r="S852" s="1">
        <v>9.8</v>
      </c>
      <c r="T852" s="1">
        <v>7891.0</v>
      </c>
      <c r="U852" s="1">
        <v>21.8096565709999</v>
      </c>
      <c r="V852" s="1">
        <v>273.7552073</v>
      </c>
      <c r="W852" s="1">
        <v>10.518234165</v>
      </c>
      <c r="X852" s="1">
        <v>9.1014269186</v>
      </c>
      <c r="Y852" s="1">
        <v>79.1700055589999</v>
      </c>
      <c r="Z852" s="1">
        <v>10.5</v>
      </c>
      <c r="AA852" s="1">
        <v>2.6633777807</v>
      </c>
      <c r="AB852" s="1">
        <v>63491.0</v>
      </c>
      <c r="AC852" s="1">
        <v>27.397749598</v>
      </c>
      <c r="AD852" s="1">
        <v>70.527264534</v>
      </c>
      <c r="AE852" s="1">
        <v>9.0804421247</v>
      </c>
      <c r="AF852" s="1">
        <v>0.8381476936</v>
      </c>
      <c r="AG852" s="1">
        <v>0.236477385</v>
      </c>
      <c r="AH852" s="1">
        <v>1.3979106175</v>
      </c>
      <c r="AI852" s="1">
        <v>0.0419073847</v>
      </c>
      <c r="AJ852" s="1">
        <v>1.9965875415</v>
      </c>
      <c r="AK852" s="1">
        <v>94.387403838</v>
      </c>
      <c r="AL852" s="1">
        <v>0.2560245784</v>
      </c>
      <c r="AM852" s="1">
        <v>49.995509923</v>
      </c>
      <c r="AN852" s="1">
        <v>48.689543367</v>
      </c>
      <c r="AO852" s="1">
        <v>27020.0</v>
      </c>
      <c r="AP852" s="1">
        <v>9.9</v>
      </c>
      <c r="AQ852" s="1">
        <v>3.9</v>
      </c>
      <c r="AR852" s="1">
        <v>7.1</v>
      </c>
      <c r="AS852" s="1">
        <v>16.6</v>
      </c>
      <c r="AT852" s="1">
        <v>24.1</v>
      </c>
      <c r="AU852" s="1">
        <v>13.4</v>
      </c>
      <c r="AV852" s="1">
        <v>5.1</v>
      </c>
      <c r="AW852" s="1">
        <v>0.3</v>
      </c>
      <c r="AX852" s="1">
        <v>0.1289</v>
      </c>
      <c r="AY852" s="1">
        <v>8.2</v>
      </c>
      <c r="AZ852" s="1">
        <v>9.0</v>
      </c>
      <c r="BA852" s="1">
        <v>12.9</v>
      </c>
      <c r="BB852" s="1">
        <v>3.0</v>
      </c>
      <c r="BC852" s="1" t="s">
        <v>1444</v>
      </c>
      <c r="BD852" s="1">
        <v>6.7</v>
      </c>
      <c r="BE852" s="1">
        <v>34.1</v>
      </c>
      <c r="BF852" s="1">
        <v>30.4</v>
      </c>
      <c r="BG852" s="1">
        <v>28.8</v>
      </c>
      <c r="BH852" s="1" t="s">
        <v>1531</v>
      </c>
    </row>
    <row r="853">
      <c r="A853" s="1">
        <v>19127.0</v>
      </c>
      <c r="B853" s="2" t="str">
        <f>IFERROR(__xludf.DUMMYFUNCTION("TO_TEXT(A853)"),"19127")</f>
        <v>19127</v>
      </c>
      <c r="C853" s="1">
        <v>40735.0</v>
      </c>
      <c r="D853" s="1">
        <v>572.50280617914</v>
      </c>
      <c r="E853" s="1" t="s">
        <v>154</v>
      </c>
      <c r="F853" s="1" t="s">
        <v>1532</v>
      </c>
      <c r="G853" s="1">
        <v>71.1524896652712</v>
      </c>
      <c r="H853" s="1">
        <v>16.0031475459999</v>
      </c>
      <c r="I853" s="1">
        <v>3.4570143861</v>
      </c>
      <c r="J853" s="1">
        <v>6.4300960512</v>
      </c>
      <c r="K853" s="1">
        <v>14.816550722</v>
      </c>
      <c r="L853" s="1">
        <v>34.6</v>
      </c>
      <c r="M853" s="1">
        <v>8.5</v>
      </c>
      <c r="N853" s="1">
        <v>26.6</v>
      </c>
      <c r="O853" s="1">
        <v>81.418519976</v>
      </c>
      <c r="P853" s="1">
        <v>8.1398244413</v>
      </c>
      <c r="Q853" s="1">
        <v>52.1247</v>
      </c>
      <c r="R853" s="1">
        <v>89.980732177</v>
      </c>
      <c r="S853" s="1">
        <v>14.6</v>
      </c>
      <c r="T853" s="1">
        <v>9965.0</v>
      </c>
      <c r="U853" s="1">
        <v>28.6201705969999</v>
      </c>
      <c r="V853" s="1">
        <v>452.05747239</v>
      </c>
      <c r="W853" s="1">
        <v>9.9051977771</v>
      </c>
      <c r="X853" s="1">
        <v>6.223246625</v>
      </c>
      <c r="Y853" s="1">
        <v>77.897274613</v>
      </c>
      <c r="Z853" s="1">
        <v>11.7</v>
      </c>
      <c r="AA853" s="1">
        <v>5.1359984502</v>
      </c>
      <c r="AB853" s="1">
        <v>59552.0</v>
      </c>
      <c r="AC853" s="1">
        <v>56.613828915</v>
      </c>
      <c r="AD853" s="1">
        <v>71.208762551</v>
      </c>
      <c r="AE853" s="1">
        <v>6.5924426451</v>
      </c>
      <c r="AF853" s="1">
        <v>1.9959480753</v>
      </c>
      <c r="AG853" s="1">
        <v>0.8829193867</v>
      </c>
      <c r="AH853" s="1">
        <v>3.8268177384</v>
      </c>
      <c r="AI853" s="1">
        <v>0.1750831645</v>
      </c>
      <c r="AJ853" s="1">
        <v>22.4481628769999</v>
      </c>
      <c r="AK853" s="1">
        <v>69.963232535</v>
      </c>
      <c r="AL853" s="1">
        <v>7.73635153129999</v>
      </c>
      <c r="AM853" s="1">
        <v>49.398464271</v>
      </c>
      <c r="AN853" s="1">
        <v>33.925408384</v>
      </c>
      <c r="AO853" s="1">
        <v>25197.0</v>
      </c>
      <c r="AP853" s="1">
        <v>10.7</v>
      </c>
      <c r="AQ853" s="1">
        <v>5.9</v>
      </c>
      <c r="AR853" s="1">
        <v>15.3</v>
      </c>
      <c r="AS853" s="1">
        <v>17.3</v>
      </c>
      <c r="AT853" s="1">
        <v>25.0</v>
      </c>
      <c r="AU853" s="1">
        <v>12.6</v>
      </c>
      <c r="AV853" s="1">
        <v>26.4</v>
      </c>
      <c r="AW853" s="1">
        <v>7.4</v>
      </c>
      <c r="AX853" s="1">
        <v>0.609</v>
      </c>
      <c r="AY853" s="1">
        <v>13.0</v>
      </c>
      <c r="AZ853" s="1">
        <v>9.2</v>
      </c>
      <c r="BA853" s="1">
        <v>13.7</v>
      </c>
      <c r="BB853" s="1">
        <v>2.68</v>
      </c>
      <c r="BC853" s="1" t="s">
        <v>1444</v>
      </c>
      <c r="BD853" s="1">
        <v>16.2</v>
      </c>
      <c r="BE853" s="1">
        <v>34.2</v>
      </c>
      <c r="BF853" s="1">
        <v>30.8</v>
      </c>
      <c r="BG853" s="1">
        <v>18.8</v>
      </c>
      <c r="BH853" s="1" t="s">
        <v>1532</v>
      </c>
    </row>
    <row r="854">
      <c r="A854" s="1">
        <v>19129.0</v>
      </c>
      <c r="B854" s="2" t="str">
        <f>IFERROR(__xludf.DUMMYFUNCTION("TO_TEXT(A854)"),"19129")</f>
        <v>19129</v>
      </c>
      <c r="C854" s="1">
        <v>14841.0</v>
      </c>
      <c r="D854" s="1">
        <v>437.434385610946</v>
      </c>
      <c r="E854" s="1" t="s">
        <v>1533</v>
      </c>
      <c r="F854" s="1" t="s">
        <v>1534</v>
      </c>
      <c r="G854" s="1">
        <v>33.9273739975247</v>
      </c>
      <c r="H854" s="1">
        <v>11.230851817</v>
      </c>
      <c r="I854" s="1">
        <v>3.361461581</v>
      </c>
      <c r="J854" s="1">
        <v>7.641509434</v>
      </c>
      <c r="K854" s="1">
        <v>14.452349708</v>
      </c>
      <c r="L854" s="1">
        <v>32.8</v>
      </c>
      <c r="M854" s="1">
        <v>8.7</v>
      </c>
      <c r="N854" s="1">
        <v>29.8</v>
      </c>
      <c r="O854" s="1">
        <v>59.725081347</v>
      </c>
      <c r="P854" s="1">
        <v>4.4411177645</v>
      </c>
      <c r="Q854" s="1">
        <v>59.72923</v>
      </c>
      <c r="R854" s="1">
        <v>94.936708861</v>
      </c>
      <c r="S854" s="1">
        <v>10.5</v>
      </c>
      <c r="T854" s="1">
        <v>3525.0</v>
      </c>
      <c r="U854" s="1">
        <v>22.524822695</v>
      </c>
      <c r="V854" s="1">
        <v>286.57159233</v>
      </c>
      <c r="W854" s="1">
        <v>9.18273645549999</v>
      </c>
      <c r="X854" s="1">
        <v>7.9175105874</v>
      </c>
      <c r="Y854" s="1">
        <v>80.172005156</v>
      </c>
      <c r="Z854" s="1">
        <v>6.7</v>
      </c>
      <c r="AA854" s="1">
        <v>2.9773507545</v>
      </c>
      <c r="AB854" s="1">
        <v>64271.0</v>
      </c>
      <c r="AC854" s="1">
        <v>37.4364986319999</v>
      </c>
      <c r="AD854" s="1">
        <v>77.984607124</v>
      </c>
      <c r="AE854" s="1">
        <v>9.1009174312</v>
      </c>
      <c r="AF854" s="1">
        <v>0.6506008099</v>
      </c>
      <c r="AG854" s="1">
        <v>0.677155945</v>
      </c>
      <c r="AH854" s="1">
        <v>0.4049658103</v>
      </c>
      <c r="AI854" s="1">
        <v>0.0929429728</v>
      </c>
      <c r="AJ854" s="1">
        <v>3.3127531036</v>
      </c>
      <c r="AK854" s="1">
        <v>93.925512846</v>
      </c>
      <c r="AL854" s="1">
        <v>0.3610363868</v>
      </c>
      <c r="AM854" s="1">
        <v>49.678018987</v>
      </c>
      <c r="AN854" s="1">
        <v>59.572348762</v>
      </c>
      <c r="AO854" s="1">
        <v>29492.0</v>
      </c>
      <c r="AP854" s="1">
        <v>8.2</v>
      </c>
      <c r="AQ854" s="1">
        <v>3.9</v>
      </c>
      <c r="AR854" s="1">
        <v>6.7</v>
      </c>
      <c r="AS854" s="1">
        <v>15.6</v>
      </c>
      <c r="AT854" s="1">
        <v>23.9</v>
      </c>
      <c r="AU854" s="1">
        <v>17.0</v>
      </c>
      <c r="AV854" s="1">
        <v>5.3</v>
      </c>
      <c r="AW854" s="1">
        <v>0.5</v>
      </c>
      <c r="AX854" s="1">
        <v>0.1022</v>
      </c>
      <c r="AY854" s="1">
        <v>8.8</v>
      </c>
      <c r="AZ854" s="1">
        <v>8.4</v>
      </c>
      <c r="BA854" s="1">
        <v>12.2</v>
      </c>
      <c r="BB854" s="1">
        <v>3.0</v>
      </c>
      <c r="BC854" s="1" t="s">
        <v>1444</v>
      </c>
      <c r="BD854" s="1">
        <v>7.2</v>
      </c>
      <c r="BE854" s="1">
        <v>34.1</v>
      </c>
      <c r="BF854" s="1">
        <v>34.6</v>
      </c>
      <c r="BG854" s="1">
        <v>24.1</v>
      </c>
      <c r="BH854" s="1" t="s">
        <v>1534</v>
      </c>
    </row>
    <row r="855">
      <c r="A855" s="1">
        <v>19131.0</v>
      </c>
      <c r="B855" s="2" t="str">
        <f>IFERROR(__xludf.DUMMYFUNCTION("TO_TEXT(A855)"),"19131")</f>
        <v>19131</v>
      </c>
      <c r="C855" s="1">
        <v>10757.0</v>
      </c>
      <c r="D855" s="1">
        <v>469.13286444208</v>
      </c>
      <c r="E855" s="1" t="s">
        <v>965</v>
      </c>
      <c r="F855" s="1" t="s">
        <v>1535</v>
      </c>
      <c r="G855" s="1">
        <v>22.9295383362085</v>
      </c>
      <c r="H855" s="1">
        <v>12.9586019559999</v>
      </c>
      <c r="I855" s="1">
        <v>3.5220909308</v>
      </c>
      <c r="J855" s="1">
        <v>4.7785547786</v>
      </c>
      <c r="K855" s="1">
        <v>15.152313692</v>
      </c>
      <c r="L855" s="1">
        <v>32.0</v>
      </c>
      <c r="M855" s="1">
        <v>8.4</v>
      </c>
      <c r="N855" s="1">
        <v>19.6</v>
      </c>
      <c r="O855" s="1">
        <v>70.3043801039999</v>
      </c>
      <c r="P855" s="1">
        <v>7.0048309179</v>
      </c>
      <c r="Q855" s="1">
        <v>28.21936</v>
      </c>
      <c r="R855" s="1">
        <v>100.0</v>
      </c>
      <c r="S855" s="1">
        <v>12.3</v>
      </c>
      <c r="T855" s="1">
        <v>2514.0</v>
      </c>
      <c r="U855" s="1">
        <v>19.053301512</v>
      </c>
      <c r="V855" s="1">
        <v>73.561865529</v>
      </c>
      <c r="W855" s="1">
        <v>7.0601851852</v>
      </c>
      <c r="X855" s="1">
        <v>5.6963496861</v>
      </c>
      <c r="Y855" s="1">
        <v>80.351574153</v>
      </c>
      <c r="Z855" s="1">
        <v>7.9</v>
      </c>
      <c r="AA855" s="1">
        <v>7.5372502292</v>
      </c>
      <c r="AB855" s="1">
        <v>59558.0</v>
      </c>
      <c r="AC855" s="1">
        <v>30.088495575</v>
      </c>
      <c r="AD855" s="1">
        <v>82.670002274</v>
      </c>
      <c r="AE855" s="1">
        <v>6.2073830237</v>
      </c>
      <c r="AF855" s="1">
        <v>0.605544517</v>
      </c>
      <c r="AG855" s="1">
        <v>0.1986942946</v>
      </c>
      <c r="AH855" s="1">
        <v>0.4446967547</v>
      </c>
      <c r="AI855" s="1">
        <v>0.0473081654</v>
      </c>
      <c r="AJ855" s="1">
        <v>1.4097833286</v>
      </c>
      <c r="AK855" s="1">
        <v>96.67896679</v>
      </c>
      <c r="AL855" s="1">
        <v>0.3490575446</v>
      </c>
      <c r="AM855" s="1">
        <v>50.156116946</v>
      </c>
      <c r="AN855" s="1">
        <v>67.195619896</v>
      </c>
      <c r="AO855" s="1">
        <v>25990.0</v>
      </c>
      <c r="AP855" s="1">
        <v>9.2</v>
      </c>
      <c r="AQ855" s="1">
        <v>3.6</v>
      </c>
      <c r="AR855" s="1">
        <v>8.8</v>
      </c>
      <c r="AS855" s="1">
        <v>21.6</v>
      </c>
      <c r="AT855" s="1">
        <v>24.3</v>
      </c>
      <c r="AU855" s="1">
        <v>10.3</v>
      </c>
      <c r="AV855" s="1">
        <v>3.3</v>
      </c>
      <c r="AW855" s="1">
        <v>0.7</v>
      </c>
      <c r="AX855" s="1">
        <v>0.0624</v>
      </c>
      <c r="AY855" s="1">
        <v>9.3</v>
      </c>
      <c r="AZ855" s="1">
        <v>7.9</v>
      </c>
      <c r="BA855" s="1">
        <v>13.1</v>
      </c>
      <c r="BB855" s="1">
        <v>2.96</v>
      </c>
      <c r="BC855" s="1" t="s">
        <v>1444</v>
      </c>
      <c r="BD855" s="1">
        <v>8.2</v>
      </c>
      <c r="BE855" s="1">
        <v>38.4</v>
      </c>
      <c r="BF855" s="1">
        <v>34.3</v>
      </c>
      <c r="BG855" s="1">
        <v>19.0</v>
      </c>
      <c r="BH855" s="1" t="s">
        <v>1535</v>
      </c>
    </row>
    <row r="856">
      <c r="A856" s="1">
        <v>19133.0</v>
      </c>
      <c r="B856" s="2" t="str">
        <f>IFERROR(__xludf.DUMMYFUNCTION("TO_TEXT(A856)"),"19133")</f>
        <v>19133</v>
      </c>
      <c r="C856" s="1">
        <v>9013.0</v>
      </c>
      <c r="D856" s="1">
        <v>694.071578427148</v>
      </c>
      <c r="E856" s="1" t="s">
        <v>1536</v>
      </c>
      <c r="F856" s="1" t="s">
        <v>1537</v>
      </c>
      <c r="G856" s="1">
        <v>12.9856923696898</v>
      </c>
      <c r="H856" s="1">
        <v>14.546930217</v>
      </c>
      <c r="I856" s="1">
        <v>3.6955048387</v>
      </c>
      <c r="J856" s="1">
        <v>5.76</v>
      </c>
      <c r="K856" s="1">
        <v>16.765591379</v>
      </c>
      <c r="L856" s="1">
        <v>37.9</v>
      </c>
      <c r="M856" s="1">
        <v>7.9</v>
      </c>
      <c r="N856" s="1">
        <v>30.8</v>
      </c>
      <c r="O856" s="1">
        <v>68.787190306</v>
      </c>
      <c r="P856" s="1">
        <v>6.46492434659999</v>
      </c>
      <c r="Q856" s="1">
        <v>80.09153</v>
      </c>
      <c r="R856" s="1">
        <v>91.346153846</v>
      </c>
      <c r="S856" s="1">
        <v>18.5</v>
      </c>
      <c r="T856" s="1">
        <v>1790.0</v>
      </c>
      <c r="U856" s="1">
        <v>32.402234637</v>
      </c>
      <c r="V856" s="1">
        <v>142.70032931</v>
      </c>
      <c r="W856" s="1">
        <v>9.840098401</v>
      </c>
      <c r="X856" s="1">
        <v>9.2441140025</v>
      </c>
      <c r="Y856" s="1">
        <v>77.28480916</v>
      </c>
      <c r="Z856" s="1">
        <v>14.6</v>
      </c>
      <c r="AA856" s="1">
        <v>4.325629413</v>
      </c>
      <c r="AB856" s="1">
        <v>50530.0</v>
      </c>
      <c r="AC856" s="1">
        <v>49.722442506</v>
      </c>
      <c r="AD856" s="1">
        <v>71.0584752039999</v>
      </c>
      <c r="AE856" s="1">
        <v>10.739299611</v>
      </c>
      <c r="AF856" s="1">
        <v>0.5761032377</v>
      </c>
      <c r="AG856" s="1">
        <v>1.3711257057</v>
      </c>
      <c r="AH856" s="1">
        <v>0.2995736836</v>
      </c>
      <c r="AI856" s="1">
        <v>0.046088259</v>
      </c>
      <c r="AJ856" s="1">
        <v>2.2237584975</v>
      </c>
      <c r="AK856" s="1">
        <v>94.354188271</v>
      </c>
      <c r="AL856" s="1">
        <v>0.0956823346</v>
      </c>
      <c r="AM856" s="1">
        <v>51.204055767</v>
      </c>
      <c r="AN856" s="1">
        <v>71.199826896</v>
      </c>
      <c r="AO856" s="1">
        <v>26394.0</v>
      </c>
      <c r="AP856" s="1">
        <v>14.5</v>
      </c>
      <c r="AQ856" s="1">
        <v>4.1</v>
      </c>
      <c r="AR856" s="1">
        <v>9.5</v>
      </c>
      <c r="AS856" s="1">
        <v>24.5</v>
      </c>
      <c r="AT856" s="1">
        <v>19.9</v>
      </c>
      <c r="AU856" s="1">
        <v>14.0</v>
      </c>
      <c r="AV856" s="1">
        <v>4.6</v>
      </c>
      <c r="AW856" s="1">
        <v>0.2</v>
      </c>
      <c r="AX856" s="1">
        <v>0.1407</v>
      </c>
      <c r="AY856" s="1">
        <v>12.3</v>
      </c>
      <c r="AZ856" s="1">
        <v>11.5</v>
      </c>
      <c r="BA856" s="1">
        <v>17.2</v>
      </c>
      <c r="BB856" s="1">
        <v>2.93</v>
      </c>
      <c r="BC856" s="1" t="s">
        <v>1444</v>
      </c>
      <c r="BD856" s="1">
        <v>7.7</v>
      </c>
      <c r="BE856" s="1">
        <v>38.3</v>
      </c>
      <c r="BF856" s="1">
        <v>38.7</v>
      </c>
      <c r="BG856" s="1">
        <v>15.3</v>
      </c>
      <c r="BH856" s="1" t="s">
        <v>1537</v>
      </c>
    </row>
    <row r="857">
      <c r="A857" s="1">
        <v>19135.0</v>
      </c>
      <c r="B857" s="2" t="str">
        <f>IFERROR(__xludf.DUMMYFUNCTION("TO_TEXT(A857)"),"19135")</f>
        <v>19135</v>
      </c>
      <c r="C857" s="1">
        <v>7964.0</v>
      </c>
      <c r="D857" s="1">
        <v>433.715028751358</v>
      </c>
      <c r="E857" s="1" t="s">
        <v>158</v>
      </c>
      <c r="F857" s="1" t="s">
        <v>1538</v>
      </c>
      <c r="G857" s="1">
        <v>18.3622873824039</v>
      </c>
      <c r="H857" s="1">
        <v>14.167702935</v>
      </c>
      <c r="I857" s="1">
        <v>3.6074925356</v>
      </c>
      <c r="J857" s="1">
        <v>7.0116861436</v>
      </c>
      <c r="K857" s="1">
        <v>17.532521829</v>
      </c>
      <c r="L857" s="1">
        <v>33.5</v>
      </c>
      <c r="M857" s="1">
        <v>7.9</v>
      </c>
      <c r="N857" s="1">
        <v>26.4</v>
      </c>
      <c r="O857" s="1">
        <v>71.856963614</v>
      </c>
      <c r="P857" s="1">
        <v>5.7954727886</v>
      </c>
      <c r="Q857" s="1">
        <v>50.98789</v>
      </c>
      <c r="R857" s="1">
        <v>98.611111111</v>
      </c>
      <c r="S857" s="1">
        <v>16.6</v>
      </c>
      <c r="T857" s="1">
        <v>1970.0</v>
      </c>
      <c r="U857" s="1">
        <v>23.045685279</v>
      </c>
      <c r="V857" s="1">
        <v>81.28048018</v>
      </c>
      <c r="W857" s="1">
        <v>11.641791045</v>
      </c>
      <c r="X857" s="1">
        <v>9.14285714289999</v>
      </c>
      <c r="Y857" s="1">
        <v>76.086012251</v>
      </c>
      <c r="Z857" s="1">
        <v>12.6</v>
      </c>
      <c r="AA857" s="1">
        <v>8.4693246644</v>
      </c>
      <c r="AB857" s="1">
        <v>56541.0</v>
      </c>
      <c r="AC857" s="1">
        <v>35.773710483</v>
      </c>
      <c r="AD857" s="1">
        <v>78.04145389</v>
      </c>
      <c r="AE857" s="1">
        <v>8.2286432161</v>
      </c>
      <c r="AF857" s="1">
        <v>0.6675224647</v>
      </c>
      <c r="AG857" s="1">
        <v>0.243902439</v>
      </c>
      <c r="AH857" s="1">
        <v>0.4236200257</v>
      </c>
      <c r="AI857" s="1">
        <v>0.0128369705</v>
      </c>
      <c r="AJ857" s="1">
        <v>2.7984595635</v>
      </c>
      <c r="AK857" s="1">
        <v>94.890885751</v>
      </c>
      <c r="AL857" s="1">
        <v>0.2158079309</v>
      </c>
      <c r="AM857" s="1">
        <v>50.474967908</v>
      </c>
      <c r="AN857" s="1">
        <v>55.1693851939999</v>
      </c>
      <c r="AO857" s="1">
        <v>25233.0</v>
      </c>
      <c r="AP857" s="1">
        <v>13.2</v>
      </c>
      <c r="AQ857" s="1">
        <v>5.9</v>
      </c>
      <c r="AR857" s="1">
        <v>11.9</v>
      </c>
      <c r="AS857" s="1">
        <v>19.0</v>
      </c>
      <c r="AT857" s="1">
        <v>24.0</v>
      </c>
      <c r="AU857" s="1">
        <v>14.0</v>
      </c>
      <c r="AV857" s="1">
        <v>4.8</v>
      </c>
      <c r="AW857" s="1">
        <v>0.4</v>
      </c>
      <c r="AX857" s="1">
        <v>0.355</v>
      </c>
      <c r="AY857" s="1">
        <v>10.7</v>
      </c>
      <c r="AZ857" s="1">
        <v>9.4</v>
      </c>
      <c r="BA857" s="1">
        <v>13.7</v>
      </c>
      <c r="BB857" s="1">
        <v>2.7</v>
      </c>
      <c r="BC857" s="1" t="s">
        <v>1444</v>
      </c>
      <c r="BD857" s="1">
        <v>12.3</v>
      </c>
      <c r="BE857" s="1">
        <v>39.1</v>
      </c>
      <c r="BF857" s="1">
        <v>31.3</v>
      </c>
      <c r="BG857" s="1">
        <v>17.4</v>
      </c>
      <c r="BH857" s="1" t="s">
        <v>1538</v>
      </c>
    </row>
    <row r="858">
      <c r="A858" s="1">
        <v>19137.0</v>
      </c>
      <c r="B858" s="2" t="str">
        <f>IFERROR(__xludf.DUMMYFUNCTION("TO_TEXT(A858)"),"19137")</f>
        <v>19137</v>
      </c>
      <c r="C858" s="1">
        <v>10380.0</v>
      </c>
      <c r="D858" s="1">
        <v>424.096646075644</v>
      </c>
      <c r="E858" s="1" t="s">
        <v>160</v>
      </c>
      <c r="F858" s="1" t="s">
        <v>1539</v>
      </c>
      <c r="G858" s="1">
        <v>24.4755531458473</v>
      </c>
      <c r="H858" s="1">
        <v>16.148820107</v>
      </c>
      <c r="I858" s="1">
        <v>3.7800742209</v>
      </c>
      <c r="J858" s="1">
        <v>6.5138721351</v>
      </c>
      <c r="K858" s="1">
        <v>17.451325938</v>
      </c>
      <c r="L858" s="1">
        <v>26.1</v>
      </c>
      <c r="M858" s="1">
        <v>7.6</v>
      </c>
      <c r="N858" s="1">
        <v>24.0</v>
      </c>
      <c r="O858" s="1">
        <v>82.132216015</v>
      </c>
      <c r="P858" s="1">
        <v>6.5704519559</v>
      </c>
      <c r="Q858" s="1">
        <v>59.18911</v>
      </c>
      <c r="R858" s="1">
        <v>91.304347826</v>
      </c>
      <c r="S858" s="1">
        <v>21.9</v>
      </c>
      <c r="T858" s="1">
        <v>2314.0</v>
      </c>
      <c r="U858" s="1">
        <v>39.714779602</v>
      </c>
      <c r="V858" s="1">
        <v>424.04129794</v>
      </c>
      <c r="W858" s="1">
        <v>11.1834962</v>
      </c>
      <c r="X858" s="1">
        <v>8.99447513809999</v>
      </c>
      <c r="Y858" s="1">
        <v>77.023725777</v>
      </c>
      <c r="Z858" s="1">
        <v>13.9</v>
      </c>
      <c r="AA858" s="1">
        <v>7.9066947002</v>
      </c>
      <c r="AB858" s="1">
        <v>49966.0</v>
      </c>
      <c r="AC858" s="1">
        <v>53.917585607</v>
      </c>
      <c r="AD858" s="1">
        <v>68.628733377</v>
      </c>
      <c r="AE858" s="1">
        <v>8.5317919075</v>
      </c>
      <c r="AF858" s="1">
        <v>0.5298410477</v>
      </c>
      <c r="AG858" s="1">
        <v>0.5398380486</v>
      </c>
      <c r="AH858" s="1">
        <v>0.3898830351</v>
      </c>
      <c r="AI858" s="1">
        <v>0.0499850045</v>
      </c>
      <c r="AJ858" s="1">
        <v>4.1687493752</v>
      </c>
      <c r="AK858" s="1">
        <v>93.322003399</v>
      </c>
      <c r="AL858" s="1">
        <v>0.7759253434</v>
      </c>
      <c r="AM858" s="1">
        <v>51.254623613</v>
      </c>
      <c r="AN858" s="1">
        <v>47.8864059589999</v>
      </c>
      <c r="AO858" s="1">
        <v>23626.0</v>
      </c>
      <c r="AP858" s="1">
        <v>15.1</v>
      </c>
      <c r="AQ858" s="1">
        <v>8.4</v>
      </c>
      <c r="AR858" s="1">
        <v>10.9</v>
      </c>
      <c r="AS858" s="1">
        <v>20.9</v>
      </c>
      <c r="AT858" s="1">
        <v>22.3</v>
      </c>
      <c r="AU858" s="1">
        <v>17.7</v>
      </c>
      <c r="AV858" s="1">
        <v>5.6</v>
      </c>
      <c r="AW858" s="1">
        <v>0.9</v>
      </c>
      <c r="AX858" s="1">
        <v>0.5578</v>
      </c>
      <c r="AY858" s="1">
        <v>13.2</v>
      </c>
      <c r="AZ858" s="1">
        <v>11.3</v>
      </c>
      <c r="BA858" s="1">
        <v>18.9</v>
      </c>
      <c r="BB858" s="1">
        <v>2.86</v>
      </c>
      <c r="BC858" s="1" t="s">
        <v>1444</v>
      </c>
      <c r="BD858" s="1">
        <v>9.6</v>
      </c>
      <c r="BE858" s="1">
        <v>35.2</v>
      </c>
      <c r="BF858" s="1">
        <v>36.8</v>
      </c>
      <c r="BG858" s="1">
        <v>18.5</v>
      </c>
      <c r="BH858" s="1" t="s">
        <v>1539</v>
      </c>
    </row>
    <row r="859">
      <c r="A859" s="1">
        <v>19139.0</v>
      </c>
      <c r="B859" s="2" t="str">
        <f>IFERROR(__xludf.DUMMYFUNCTION("TO_TEXT(A859)"),"19139")</f>
        <v>19139</v>
      </c>
      <c r="C859" s="1">
        <v>42949.0</v>
      </c>
      <c r="D859" s="1">
        <v>437.444760171686</v>
      </c>
      <c r="E859" s="1" t="s">
        <v>1540</v>
      </c>
      <c r="F859" s="1" t="s">
        <v>1541</v>
      </c>
      <c r="G859" s="1">
        <v>98.1815395003099</v>
      </c>
      <c r="H859" s="1">
        <v>14.952958519</v>
      </c>
      <c r="I859" s="1">
        <v>3.4330826423</v>
      </c>
      <c r="J859" s="1">
        <v>7.3292907988</v>
      </c>
      <c r="K859" s="1">
        <v>15.29947467</v>
      </c>
      <c r="L859" s="1">
        <v>36.5</v>
      </c>
      <c r="M859" s="1">
        <v>8.5</v>
      </c>
      <c r="N859" s="1">
        <v>25.9</v>
      </c>
      <c r="O859" s="1">
        <v>80.678441923</v>
      </c>
      <c r="P859" s="1">
        <v>5.1694007554</v>
      </c>
      <c r="Q859" s="1">
        <v>46.64179</v>
      </c>
      <c r="R859" s="1">
        <v>87.8192534379999</v>
      </c>
      <c r="S859" s="1">
        <v>16.0</v>
      </c>
      <c r="T859" s="1">
        <v>10701.0</v>
      </c>
      <c r="U859" s="1">
        <v>34.538828147</v>
      </c>
      <c r="V859" s="1">
        <v>429.36433134</v>
      </c>
      <c r="W859" s="1">
        <v>11.928004881</v>
      </c>
      <c r="X859" s="1">
        <v>9.7499228157</v>
      </c>
      <c r="Y859" s="1">
        <v>78.786364187</v>
      </c>
      <c r="Z859" s="1">
        <v>8.2</v>
      </c>
      <c r="AA859" s="1">
        <v>5.8182420654</v>
      </c>
      <c r="AB859" s="1">
        <v>58465.0</v>
      </c>
      <c r="AC859" s="1">
        <v>51.3315854839999</v>
      </c>
      <c r="AD859" s="1">
        <v>72.889453314</v>
      </c>
      <c r="AE859" s="1">
        <v>10.003143666</v>
      </c>
      <c r="AF859" s="1">
        <v>2.5204407277</v>
      </c>
      <c r="AG859" s="1">
        <v>0.724452002099999</v>
      </c>
      <c r="AH859" s="1">
        <v>1.1460784085</v>
      </c>
      <c r="AI859" s="1">
        <v>0.1630599362</v>
      </c>
      <c r="AJ859" s="1">
        <v>18.318619115</v>
      </c>
      <c r="AK859" s="1">
        <v>76.435509795</v>
      </c>
      <c r="AL859" s="1">
        <v>2.8419978598</v>
      </c>
      <c r="AM859" s="1">
        <v>50.029117846</v>
      </c>
      <c r="AN859" s="1">
        <v>25.551526494</v>
      </c>
      <c r="AO859" s="1">
        <v>27029.0</v>
      </c>
      <c r="AP859" s="1">
        <v>11.4</v>
      </c>
      <c r="AQ859" s="1">
        <v>4.5</v>
      </c>
      <c r="AR859" s="1">
        <v>13.1</v>
      </c>
      <c r="AS859" s="1">
        <v>15.2</v>
      </c>
      <c r="AT859" s="1">
        <v>25.4</v>
      </c>
      <c r="AU859" s="1">
        <v>10.8</v>
      </c>
      <c r="AV859" s="1">
        <v>21.5</v>
      </c>
      <c r="AW859" s="1">
        <v>2.8</v>
      </c>
      <c r="AX859" s="1">
        <v>0.3798</v>
      </c>
      <c r="AY859" s="1">
        <v>10.1</v>
      </c>
      <c r="AZ859" s="1">
        <v>7.8</v>
      </c>
      <c r="BA859" s="1">
        <v>11.9</v>
      </c>
      <c r="BB859" s="1">
        <v>2.66</v>
      </c>
      <c r="BC859" s="1" t="s">
        <v>1444</v>
      </c>
      <c r="BD859" s="1">
        <v>11.0</v>
      </c>
      <c r="BE859" s="1">
        <v>35.3</v>
      </c>
      <c r="BF859" s="1">
        <v>32.2</v>
      </c>
      <c r="BG859" s="1">
        <v>21.5</v>
      </c>
      <c r="BH859" s="1" t="s">
        <v>1541</v>
      </c>
    </row>
    <row r="860">
      <c r="A860" s="1">
        <v>19141.0</v>
      </c>
      <c r="B860" s="2" t="str">
        <f>IFERROR(__xludf.DUMMYFUNCTION("TO_TEXT(A860)"),"19141")</f>
        <v>19141</v>
      </c>
      <c r="C860" s="1">
        <v>14055.0</v>
      </c>
      <c r="D860" s="1">
        <v>573.03489141483</v>
      </c>
      <c r="E860" s="1" t="s">
        <v>1542</v>
      </c>
      <c r="F860" s="1" t="s">
        <v>1543</v>
      </c>
      <c r="G860" s="1">
        <v>24.5273022822363</v>
      </c>
      <c r="H860" s="1">
        <v>13.302664434</v>
      </c>
      <c r="I860" s="1">
        <v>3.4471479834</v>
      </c>
      <c r="J860" s="1">
        <v>4.8903878583</v>
      </c>
      <c r="K860" s="1">
        <v>15.167175422</v>
      </c>
      <c r="L860" s="1">
        <v>28.5</v>
      </c>
      <c r="M860" s="1">
        <v>8.1</v>
      </c>
      <c r="N860" s="1">
        <v>26.7</v>
      </c>
      <c r="O860" s="1">
        <v>80.900125017</v>
      </c>
      <c r="P860" s="1">
        <v>5.6210836712</v>
      </c>
      <c r="Q860" s="1">
        <v>65.2126699999999</v>
      </c>
      <c r="R860" s="1">
        <v>86.857142857</v>
      </c>
      <c r="S860" s="1">
        <v>10.5</v>
      </c>
      <c r="T860" s="1">
        <v>3208.0</v>
      </c>
      <c r="U860" s="1">
        <v>21.3840399</v>
      </c>
      <c r="V860" s="1">
        <v>218.90475849</v>
      </c>
      <c r="W860" s="1">
        <v>9.2333058533</v>
      </c>
      <c r="X860" s="1">
        <v>7.3166666667</v>
      </c>
      <c r="Y860" s="1">
        <v>79.163384122</v>
      </c>
      <c r="Z860" s="1">
        <v>8.6</v>
      </c>
      <c r="AA860" s="1">
        <v>8.6563059479</v>
      </c>
      <c r="AB860" s="1">
        <v>53147.0</v>
      </c>
      <c r="AC860" s="1">
        <v>39.806252752</v>
      </c>
      <c r="AD860" s="1">
        <v>71.91178909</v>
      </c>
      <c r="AE860" s="1">
        <v>8.6129367001</v>
      </c>
      <c r="AF860" s="1">
        <v>0.9465317919</v>
      </c>
      <c r="AG860" s="1">
        <v>0.3684971098</v>
      </c>
      <c r="AH860" s="1">
        <v>0.8526011561</v>
      </c>
      <c r="AI860" s="1">
        <v>0.0216763006</v>
      </c>
      <c r="AJ860" s="1">
        <v>5.1083815029</v>
      </c>
      <c r="AK860" s="1">
        <v>92.080924855</v>
      </c>
      <c r="AL860" s="1">
        <v>0.7189292543</v>
      </c>
      <c r="AM860" s="1">
        <v>49.949421965</v>
      </c>
      <c r="AN860" s="1">
        <v>66.273093485</v>
      </c>
      <c r="AO860" s="1">
        <v>30933.0</v>
      </c>
      <c r="AP860" s="1">
        <v>9.3</v>
      </c>
      <c r="AQ860" s="1">
        <v>2.7</v>
      </c>
      <c r="AR860" s="1">
        <v>7.9</v>
      </c>
      <c r="AS860" s="1">
        <v>20.6</v>
      </c>
      <c r="AT860" s="1">
        <v>23.3</v>
      </c>
      <c r="AU860" s="1">
        <v>12.5</v>
      </c>
      <c r="AV860" s="1">
        <v>6.6</v>
      </c>
      <c r="AW860" s="1">
        <v>0.8</v>
      </c>
      <c r="AX860" s="1">
        <v>0.1417</v>
      </c>
      <c r="AY860" s="1">
        <v>10.1</v>
      </c>
      <c r="AZ860" s="1">
        <v>8.6</v>
      </c>
      <c r="BA860" s="1">
        <v>12.9</v>
      </c>
      <c r="BB860" s="1">
        <v>3.0</v>
      </c>
      <c r="BC860" s="1" t="s">
        <v>1444</v>
      </c>
      <c r="BD860" s="1">
        <v>7.9</v>
      </c>
      <c r="BE860" s="1">
        <v>39.9</v>
      </c>
      <c r="BF860" s="1">
        <v>33.5</v>
      </c>
      <c r="BG860" s="1">
        <v>18.8</v>
      </c>
      <c r="BH860" s="1" t="s">
        <v>1543</v>
      </c>
    </row>
    <row r="861">
      <c r="A861" s="1">
        <v>19143.0</v>
      </c>
      <c r="B861" s="2" t="str">
        <f>IFERROR(__xludf.DUMMYFUNCTION("TO_TEXT(A861)"),"19143")</f>
        <v>19143</v>
      </c>
      <c r="C861" s="1">
        <v>6154.0</v>
      </c>
      <c r="D861" s="1">
        <v>398.68655453372</v>
      </c>
      <c r="E861" s="1" t="s">
        <v>762</v>
      </c>
      <c r="F861" s="1" t="s">
        <v>1544</v>
      </c>
      <c r="G861" s="1">
        <v>15.4356848256329</v>
      </c>
      <c r="H861" s="1">
        <v>14.201520813</v>
      </c>
      <c r="I861" s="1">
        <v>3.4929057252</v>
      </c>
      <c r="J861" s="1">
        <v>4.1420118343</v>
      </c>
      <c r="K861" s="1">
        <v>15.741509647</v>
      </c>
      <c r="L861" s="1">
        <v>32.0</v>
      </c>
      <c r="M861" s="1">
        <v>8.6</v>
      </c>
      <c r="N861" s="1">
        <v>22.0</v>
      </c>
      <c r="O861" s="1">
        <v>61.9622407919999</v>
      </c>
      <c r="P861" s="1">
        <v>7.5802364865</v>
      </c>
      <c r="Q861" s="1">
        <v>33.08519</v>
      </c>
      <c r="R861" s="1">
        <v>93.75</v>
      </c>
      <c r="S861" s="1">
        <v>13.3</v>
      </c>
      <c r="T861" s="1">
        <v>1400.0</v>
      </c>
      <c r="U861" s="1">
        <v>23.214285714</v>
      </c>
      <c r="V861" s="1">
        <v>89.781260202</v>
      </c>
      <c r="W861" s="1">
        <v>10.114503817</v>
      </c>
      <c r="X861" s="1">
        <v>7.9632465544</v>
      </c>
      <c r="Y861" s="1">
        <v>79.099662696</v>
      </c>
      <c r="Z861" s="1">
        <v>7.4</v>
      </c>
      <c r="AA861" s="1">
        <v>3.8438178708</v>
      </c>
      <c r="AB861" s="1">
        <v>60627.0</v>
      </c>
      <c r="AC861" s="1">
        <v>44.06779661</v>
      </c>
      <c r="AD861" s="1">
        <v>75.833014171</v>
      </c>
      <c r="AE861" s="1">
        <v>8.986083499</v>
      </c>
      <c r="AF861" s="1">
        <v>0.4966887417</v>
      </c>
      <c r="AG861" s="1">
        <v>0.5629139073</v>
      </c>
      <c r="AH861" s="1">
        <v>0.9933774834</v>
      </c>
      <c r="AI861" s="1">
        <v>0.132450331099999</v>
      </c>
      <c r="AJ861" s="1">
        <v>8.5264900662</v>
      </c>
      <c r="AK861" s="1">
        <v>88.294701987</v>
      </c>
      <c r="AL861" s="1">
        <v>2.5627615063</v>
      </c>
      <c r="AM861" s="1">
        <v>48.973509934</v>
      </c>
      <c r="AN861" s="1">
        <v>58.372021046</v>
      </c>
      <c r="AO861" s="1">
        <v>25936.0</v>
      </c>
      <c r="AP861" s="1">
        <v>10.4</v>
      </c>
      <c r="AQ861" s="1">
        <v>2.7</v>
      </c>
      <c r="AR861" s="1">
        <v>12.4</v>
      </c>
      <c r="AS861" s="1">
        <v>20.2</v>
      </c>
      <c r="AT861" s="1">
        <v>22.9</v>
      </c>
      <c r="AU861" s="1">
        <v>13.5</v>
      </c>
      <c r="AV861" s="1">
        <v>9.0</v>
      </c>
      <c r="AW861" s="1">
        <v>1.8</v>
      </c>
      <c r="AX861" s="1">
        <v>0.2404</v>
      </c>
      <c r="AY861" s="1">
        <v>9.3</v>
      </c>
      <c r="AZ861" s="1">
        <v>8.7</v>
      </c>
      <c r="BA861" s="1">
        <v>14.5</v>
      </c>
      <c r="BB861" s="1">
        <v>3.02</v>
      </c>
      <c r="BC861" s="1" t="s">
        <v>1444</v>
      </c>
      <c r="BD861" s="1">
        <v>11.6</v>
      </c>
      <c r="BE861" s="1">
        <v>36.6</v>
      </c>
      <c r="BF861" s="1">
        <v>34.0</v>
      </c>
      <c r="BG861" s="1">
        <v>17.9</v>
      </c>
      <c r="BH861" s="1" t="s">
        <v>1544</v>
      </c>
    </row>
    <row r="862">
      <c r="A862" s="1">
        <v>19145.0</v>
      </c>
      <c r="B862" s="2" t="str">
        <f>IFERROR(__xludf.DUMMYFUNCTION("TO_TEXT(A862)"),"19145")</f>
        <v>19145</v>
      </c>
      <c r="C862" s="1">
        <v>15552.0</v>
      </c>
      <c r="D862" s="1">
        <v>534.943372733488</v>
      </c>
      <c r="E862" s="1" t="s">
        <v>1545</v>
      </c>
      <c r="F862" s="1" t="s">
        <v>1546</v>
      </c>
      <c r="G862" s="1">
        <v>29.0722360397352</v>
      </c>
      <c r="H862" s="1">
        <v>15.290048727</v>
      </c>
      <c r="I862" s="1">
        <v>3.6120290887</v>
      </c>
      <c r="J862" s="1">
        <v>6.40913081649999</v>
      </c>
      <c r="K862" s="1">
        <v>16.584559529</v>
      </c>
      <c r="L862" s="1">
        <v>44.2</v>
      </c>
      <c r="M862" s="1">
        <v>7.3</v>
      </c>
      <c r="N862" s="1">
        <v>27.1</v>
      </c>
      <c r="O862" s="1">
        <v>80.68666834</v>
      </c>
      <c r="P862" s="1">
        <v>6.1992061992</v>
      </c>
      <c r="Q862" s="1">
        <v>59.11718</v>
      </c>
      <c r="R862" s="1">
        <v>96.825396825</v>
      </c>
      <c r="S862" s="1">
        <v>19.5</v>
      </c>
      <c r="T862" s="1">
        <v>2871.0</v>
      </c>
      <c r="U862" s="1">
        <v>27.272727273</v>
      </c>
      <c r="V862" s="1">
        <v>265.85397484</v>
      </c>
      <c r="W862" s="1">
        <v>12.910798122</v>
      </c>
      <c r="X862" s="1">
        <v>10.173775671</v>
      </c>
      <c r="Y862" s="1">
        <v>78.5016771689999</v>
      </c>
      <c r="Z862" s="1">
        <v>15.5</v>
      </c>
      <c r="AA862" s="1">
        <v>13.083233825</v>
      </c>
      <c r="AB862" s="1">
        <v>54313.0</v>
      </c>
      <c r="AC862" s="1">
        <v>45.823665893</v>
      </c>
      <c r="AD862" s="1">
        <v>72.465601771</v>
      </c>
      <c r="AE862" s="1">
        <v>8.21515892419999</v>
      </c>
      <c r="AF862" s="1">
        <v>2.6624696701</v>
      </c>
      <c r="AG862" s="1">
        <v>0.7803790412</v>
      </c>
      <c r="AH862" s="1">
        <v>0.9377664109</v>
      </c>
      <c r="AI862" s="1">
        <v>0.0590202636</v>
      </c>
      <c r="AJ862" s="1">
        <v>3.5805626598</v>
      </c>
      <c r="AK862" s="1">
        <v>90.7600498389999</v>
      </c>
      <c r="AL862" s="1">
        <v>1.0163439088</v>
      </c>
      <c r="AM862" s="1">
        <v>47.203095285</v>
      </c>
      <c r="AN862" s="1">
        <v>33.354255586</v>
      </c>
      <c r="AO862" s="1">
        <v>25461.0</v>
      </c>
      <c r="AP862" s="1">
        <v>14.9</v>
      </c>
      <c r="AQ862" s="1">
        <v>4.3</v>
      </c>
      <c r="AR862" s="1">
        <v>11.6</v>
      </c>
      <c r="AS862" s="1">
        <v>20.3</v>
      </c>
      <c r="AT862" s="1">
        <v>21.1</v>
      </c>
      <c r="AU862" s="1">
        <v>16.4</v>
      </c>
      <c r="AV862" s="1">
        <v>8.2</v>
      </c>
      <c r="AW862" s="1">
        <v>1.1</v>
      </c>
      <c r="AX862" s="1">
        <v>0.4833</v>
      </c>
      <c r="AY862" s="1">
        <v>14.9</v>
      </c>
      <c r="AZ862" s="1">
        <v>10.1</v>
      </c>
      <c r="BA862" s="1">
        <v>15.6</v>
      </c>
      <c r="BB862" s="1">
        <v>3.03</v>
      </c>
      <c r="BC862" s="1" t="s">
        <v>1444</v>
      </c>
      <c r="BD862" s="1">
        <v>8.5</v>
      </c>
      <c r="BE862" s="1">
        <v>36.5</v>
      </c>
      <c r="BF862" s="1">
        <v>34.8</v>
      </c>
      <c r="BG862" s="1">
        <v>20.2</v>
      </c>
      <c r="BH862" s="1" t="s">
        <v>1546</v>
      </c>
    </row>
    <row r="863">
      <c r="A863" s="1">
        <v>19147.0</v>
      </c>
      <c r="B863" s="2" t="str">
        <f>IFERROR(__xludf.DUMMYFUNCTION("TO_TEXT(A863)"),"19147")</f>
        <v>19147</v>
      </c>
      <c r="C863" s="1">
        <v>9155.0</v>
      </c>
      <c r="D863" s="1">
        <v>563.86014070932</v>
      </c>
      <c r="E863" s="1" t="s">
        <v>1547</v>
      </c>
      <c r="F863" s="1" t="s">
        <v>1548</v>
      </c>
      <c r="G863" s="1">
        <v>16.2362957390164</v>
      </c>
      <c r="H863" s="1">
        <v>12.958729695</v>
      </c>
      <c r="I863" s="1">
        <v>3.4575751937</v>
      </c>
      <c r="J863" s="1">
        <v>6.064690027</v>
      </c>
      <c r="K863" s="1">
        <v>14.456613479</v>
      </c>
      <c r="L863" s="1">
        <v>31.6</v>
      </c>
      <c r="M863" s="1">
        <v>8.2</v>
      </c>
      <c r="N863" s="1">
        <v>26.7</v>
      </c>
      <c r="O863" s="1">
        <v>81.615539752</v>
      </c>
      <c r="P863" s="1">
        <v>4.6805455851</v>
      </c>
      <c r="Q863" s="1">
        <v>32.99604</v>
      </c>
      <c r="R863" s="1">
        <v>91.596638655</v>
      </c>
      <c r="S863" s="1">
        <v>14.1</v>
      </c>
      <c r="T863" s="1">
        <v>2005.0</v>
      </c>
      <c r="U863" s="1">
        <v>18.25436409</v>
      </c>
      <c r="V863" s="1">
        <v>290.90509907</v>
      </c>
      <c r="W863" s="1">
        <v>9.935483871</v>
      </c>
      <c r="X863" s="1">
        <v>8.5062240664</v>
      </c>
      <c r="Y863" s="1">
        <v>78.063073093</v>
      </c>
      <c r="Z863" s="1">
        <v>13.2</v>
      </c>
      <c r="AA863" s="1">
        <v>7.9419411859</v>
      </c>
      <c r="AB863" s="1">
        <v>55322.0</v>
      </c>
      <c r="AC863" s="1">
        <v>39.545758183</v>
      </c>
      <c r="AD863" s="1">
        <v>74.291710388</v>
      </c>
      <c r="AE863" s="1">
        <v>6.9049553209</v>
      </c>
      <c r="AF863" s="1">
        <v>1.7247172136</v>
      </c>
      <c r="AG863" s="1">
        <v>0.4927763467</v>
      </c>
      <c r="AH863" s="1">
        <v>0.8959569941</v>
      </c>
      <c r="AI863" s="1">
        <v>0.0671967746</v>
      </c>
      <c r="AJ863" s="1">
        <v>3.1358494792</v>
      </c>
      <c r="AK863" s="1">
        <v>92.854742972</v>
      </c>
      <c r="AL863" s="1">
        <v>1.2808460635</v>
      </c>
      <c r="AM863" s="1">
        <v>50.173591668</v>
      </c>
      <c r="AN863" s="1">
        <v>61.490287655</v>
      </c>
      <c r="AO863" s="1">
        <v>26776.0</v>
      </c>
      <c r="AP863" s="1">
        <v>9.1</v>
      </c>
      <c r="AQ863" s="1">
        <v>2.0</v>
      </c>
      <c r="AR863" s="1">
        <v>6.4</v>
      </c>
      <c r="AS863" s="1">
        <v>21.1</v>
      </c>
      <c r="AT863" s="1">
        <v>22.6</v>
      </c>
      <c r="AU863" s="1">
        <v>15.3</v>
      </c>
      <c r="AV863" s="1">
        <v>5.1</v>
      </c>
      <c r="AW863" s="1">
        <v>0.4</v>
      </c>
      <c r="AX863" s="1">
        <v>0.1159</v>
      </c>
      <c r="AY863" s="1">
        <v>11.1</v>
      </c>
      <c r="AZ863" s="1">
        <v>8.1</v>
      </c>
      <c r="BA863" s="1">
        <v>12.6</v>
      </c>
      <c r="BB863" s="1">
        <v>3.11</v>
      </c>
      <c r="BC863" s="1" t="s">
        <v>1444</v>
      </c>
      <c r="BD863" s="1">
        <v>7.3</v>
      </c>
      <c r="BE863" s="1">
        <v>29.2</v>
      </c>
      <c r="BF863" s="1">
        <v>38.0</v>
      </c>
      <c r="BG863" s="1">
        <v>25.5</v>
      </c>
      <c r="BH863" s="1" t="s">
        <v>1548</v>
      </c>
    </row>
    <row r="864">
      <c r="A864" s="1">
        <v>19149.0</v>
      </c>
      <c r="B864" s="2" t="str">
        <f>IFERROR(__xludf.DUMMYFUNCTION("TO_TEXT(A864)"),"19149")</f>
        <v>19149</v>
      </c>
      <c r="C864" s="1">
        <v>24972.0</v>
      </c>
      <c r="D864" s="1">
        <v>862.828005061584</v>
      </c>
      <c r="E864" s="1" t="s">
        <v>1549</v>
      </c>
      <c r="F864" s="1" t="s">
        <v>1550</v>
      </c>
      <c r="G864" s="1">
        <v>28.9420369453789</v>
      </c>
      <c r="H864" s="1">
        <v>12.633583859</v>
      </c>
      <c r="I864" s="1">
        <v>3.3753742666</v>
      </c>
      <c r="J864" s="1">
        <v>6.75</v>
      </c>
      <c r="K864" s="1">
        <v>14.903399724</v>
      </c>
      <c r="L864" s="1">
        <v>32.1</v>
      </c>
      <c r="M864" s="1">
        <v>9.0</v>
      </c>
      <c r="N864" s="1">
        <v>28.7</v>
      </c>
      <c r="O864" s="1">
        <v>75.634355239</v>
      </c>
      <c r="P864" s="1">
        <v>5.1970191418</v>
      </c>
      <c r="Q864" s="1">
        <v>43.61618</v>
      </c>
      <c r="R864" s="1">
        <v>96.885813149</v>
      </c>
      <c r="S864" s="1">
        <v>9.4</v>
      </c>
      <c r="T864" s="1">
        <v>6120.0</v>
      </c>
      <c r="U864" s="1">
        <v>27.320261438</v>
      </c>
      <c r="V864" s="1">
        <v>102.54966621</v>
      </c>
      <c r="W864" s="1">
        <v>7.4925074925</v>
      </c>
      <c r="X864" s="1">
        <v>6.61306532659999</v>
      </c>
      <c r="Y864" s="1">
        <v>80.022086081</v>
      </c>
      <c r="Z864" s="1">
        <v>10.4</v>
      </c>
      <c r="AA864" s="1">
        <v>0.6375469313</v>
      </c>
      <c r="AB864" s="1">
        <v>66360.0</v>
      </c>
      <c r="AC864" s="1">
        <v>28.743379875</v>
      </c>
      <c r="AD864" s="1">
        <v>78.685121107</v>
      </c>
      <c r="AE864" s="1">
        <v>6.10179885529999</v>
      </c>
      <c r="AF864" s="1">
        <v>0.8647140865</v>
      </c>
      <c r="AG864" s="1">
        <v>1.059972106</v>
      </c>
      <c r="AH864" s="1">
        <v>0.6973500697</v>
      </c>
      <c r="AI864" s="1">
        <v>0.1593943017</v>
      </c>
      <c r="AJ864" s="1">
        <v>5.6545128512</v>
      </c>
      <c r="AK864" s="1">
        <v>91.189479976</v>
      </c>
      <c r="AL864" s="1">
        <v>1.0601158038</v>
      </c>
      <c r="AM864" s="1">
        <v>50.069735007</v>
      </c>
      <c r="AN864" s="1">
        <v>62.939245978</v>
      </c>
      <c r="AO864" s="1">
        <v>28975.0</v>
      </c>
      <c r="AP864" s="1">
        <v>8.6</v>
      </c>
      <c r="AQ864" s="1">
        <v>3.6</v>
      </c>
      <c r="AR864" s="1">
        <v>7.9</v>
      </c>
      <c r="AS864" s="1">
        <v>17.7</v>
      </c>
      <c r="AT864" s="1">
        <v>25.1</v>
      </c>
      <c r="AU864" s="1">
        <v>12.1</v>
      </c>
      <c r="AV864" s="1">
        <v>6.6</v>
      </c>
      <c r="AW864" s="1">
        <v>1.4</v>
      </c>
      <c r="AX864" s="1">
        <v>0.1324</v>
      </c>
      <c r="AY864" s="1">
        <v>7.2</v>
      </c>
      <c r="AZ864" s="1">
        <v>7.5</v>
      </c>
      <c r="BA864" s="1">
        <v>12.5</v>
      </c>
      <c r="BB864" s="1">
        <v>3.06</v>
      </c>
      <c r="BC864" s="1" t="s">
        <v>1444</v>
      </c>
      <c r="BD864" s="1">
        <v>6.9</v>
      </c>
      <c r="BE864" s="1">
        <v>33.9</v>
      </c>
      <c r="BF864" s="1">
        <v>36.1</v>
      </c>
      <c r="BG864" s="1">
        <v>23.2</v>
      </c>
      <c r="BH864" s="1" t="s">
        <v>1550</v>
      </c>
    </row>
    <row r="865">
      <c r="A865" s="1">
        <v>19151.0</v>
      </c>
      <c r="B865" s="2" t="str">
        <f>IFERROR(__xludf.DUMMYFUNCTION("TO_TEXT(A865)"),"19151")</f>
        <v>19151</v>
      </c>
      <c r="C865" s="1">
        <v>7061.0</v>
      </c>
      <c r="D865" s="1">
        <v>577.240691620484</v>
      </c>
      <c r="E865" s="1" t="s">
        <v>1551</v>
      </c>
      <c r="F865" s="1" t="s">
        <v>1552</v>
      </c>
      <c r="G865" s="1">
        <v>12.2323323745208</v>
      </c>
      <c r="H865" s="1">
        <v>14.446304139</v>
      </c>
      <c r="I865" s="1">
        <v>3.7006281208</v>
      </c>
      <c r="J865" s="1">
        <v>6.8773234201</v>
      </c>
      <c r="K865" s="1">
        <v>16.199204921</v>
      </c>
      <c r="L865" s="1">
        <v>37.7</v>
      </c>
      <c r="M865" s="1">
        <v>8.0</v>
      </c>
      <c r="N865" s="1">
        <v>28.9</v>
      </c>
      <c r="O865" s="1">
        <v>71.491108071</v>
      </c>
      <c r="P865" s="1">
        <v>5.9475999235</v>
      </c>
      <c r="Q865" s="1">
        <v>29.21414</v>
      </c>
      <c r="R865" s="1">
        <v>89.795918367</v>
      </c>
      <c r="S865" s="1">
        <v>17.5</v>
      </c>
      <c r="T865" s="1">
        <v>1480.0</v>
      </c>
      <c r="U865" s="1">
        <v>20.472972973</v>
      </c>
      <c r="V865" s="1">
        <v>113.62829345</v>
      </c>
      <c r="W865" s="1">
        <v>7.1428571429</v>
      </c>
      <c r="X865" s="1">
        <v>5.8712715856</v>
      </c>
      <c r="Y865" s="1">
        <v>77.815350192</v>
      </c>
      <c r="Z865" s="1">
        <v>10.1</v>
      </c>
      <c r="AA865" s="1">
        <v>6.9454295939</v>
      </c>
      <c r="AB865" s="1">
        <v>55865.0</v>
      </c>
      <c r="AC865" s="1">
        <v>53.394706559</v>
      </c>
      <c r="AD865" s="1">
        <v>77.347893916</v>
      </c>
      <c r="AE865" s="1">
        <v>6.6885245902</v>
      </c>
      <c r="AF865" s="1">
        <v>0.9050445104</v>
      </c>
      <c r="AG865" s="1">
        <v>0.534124629099999</v>
      </c>
      <c r="AH865" s="1">
        <v>0.4896142433</v>
      </c>
      <c r="AI865" s="1">
        <v>0.3264094955</v>
      </c>
      <c r="AJ865" s="1">
        <v>3.8872403561</v>
      </c>
      <c r="AK865" s="1">
        <v>92.818991098</v>
      </c>
      <c r="AL865" s="1">
        <v>0.9966268016</v>
      </c>
      <c r="AM865" s="1">
        <v>50.237388724</v>
      </c>
      <c r="AN865" s="1">
        <v>100.0</v>
      </c>
      <c r="AO865" s="1">
        <v>27599.0</v>
      </c>
      <c r="AP865" s="1">
        <v>12.8</v>
      </c>
      <c r="AQ865" s="1">
        <v>4.8</v>
      </c>
      <c r="AR865" s="1">
        <v>6.8</v>
      </c>
      <c r="AS865" s="1">
        <v>22.4</v>
      </c>
      <c r="AT865" s="1">
        <v>22.4</v>
      </c>
      <c r="AU865" s="1">
        <v>13.0</v>
      </c>
      <c r="AV865" s="1">
        <v>6.1</v>
      </c>
      <c r="AW865" s="1">
        <v>0.7</v>
      </c>
      <c r="AX865" s="1">
        <v>0.0965</v>
      </c>
      <c r="AY865" s="1">
        <v>10.1</v>
      </c>
      <c r="AZ865" s="1">
        <v>9.4</v>
      </c>
      <c r="BA865" s="1">
        <v>13.9</v>
      </c>
      <c r="BB865" s="1">
        <v>2.89</v>
      </c>
      <c r="BC865" s="1" t="s">
        <v>1444</v>
      </c>
      <c r="BD865" s="1">
        <v>7.8</v>
      </c>
      <c r="BE865" s="1">
        <v>39.4</v>
      </c>
      <c r="BF865" s="1">
        <v>37.8</v>
      </c>
      <c r="BG865" s="1">
        <v>15.0</v>
      </c>
      <c r="BH865" s="1" t="s">
        <v>1552</v>
      </c>
    </row>
    <row r="866">
      <c r="A866" s="1">
        <v>19153.0</v>
      </c>
      <c r="B866" s="2" t="str">
        <f>IFERROR(__xludf.DUMMYFUNCTION("TO_TEXT(A866)"),"19153")</f>
        <v>19153</v>
      </c>
      <c r="C866" s="1">
        <v>459159.0</v>
      </c>
      <c r="D866" s="1">
        <v>573.68438254668</v>
      </c>
      <c r="E866" s="1" t="s">
        <v>381</v>
      </c>
      <c r="F866" s="1" t="s">
        <v>1553</v>
      </c>
      <c r="G866" s="1">
        <v>800.368659090417</v>
      </c>
      <c r="H866" s="1">
        <v>13.380160112</v>
      </c>
      <c r="I866" s="1">
        <v>3.5246490608</v>
      </c>
      <c r="J866" s="1">
        <v>7.16161574049999</v>
      </c>
      <c r="K866" s="1">
        <v>14.989667142</v>
      </c>
      <c r="L866" s="1">
        <v>31.9</v>
      </c>
      <c r="M866" s="1">
        <v>8.3</v>
      </c>
      <c r="N866" s="1">
        <v>19.5</v>
      </c>
      <c r="O866" s="1">
        <v>93.493637377</v>
      </c>
      <c r="P866" s="1">
        <v>5.5104902531</v>
      </c>
      <c r="Q866" s="1">
        <v>98.99757</v>
      </c>
      <c r="R866" s="1">
        <v>88.880397402</v>
      </c>
      <c r="S866" s="1">
        <v>11.7</v>
      </c>
      <c r="T866" s="1">
        <v>117841.0</v>
      </c>
      <c r="U866" s="1">
        <v>32.604102138</v>
      </c>
      <c r="V866" s="1">
        <v>391.85600472</v>
      </c>
      <c r="W866" s="1">
        <v>14.415751737</v>
      </c>
      <c r="X866" s="1">
        <v>11.564971751</v>
      </c>
      <c r="Y866" s="1">
        <v>79.06821534</v>
      </c>
      <c r="Z866" s="1">
        <v>8.3</v>
      </c>
      <c r="AA866" s="1">
        <v>3.6209880366</v>
      </c>
      <c r="AB866" s="1">
        <v>68479.0</v>
      </c>
      <c r="AC866" s="1">
        <v>46.347396427</v>
      </c>
      <c r="AD866" s="1">
        <v>67.172236644</v>
      </c>
      <c r="AE866" s="1">
        <v>11.38131218</v>
      </c>
      <c r="AF866" s="1">
        <v>6.8745330498</v>
      </c>
      <c r="AG866" s="1">
        <v>0.3862858269</v>
      </c>
      <c r="AH866" s="1">
        <v>5.0775445193</v>
      </c>
      <c r="AI866" s="1">
        <v>0.0751225359</v>
      </c>
      <c r="AJ866" s="1">
        <v>8.5268183348</v>
      </c>
      <c r="AK866" s="1">
        <v>77.185737391</v>
      </c>
      <c r="AL866" s="1">
        <v>2.8626925349</v>
      </c>
      <c r="AM866" s="1">
        <v>50.689033752</v>
      </c>
      <c r="AN866" s="1">
        <v>4.9087404793</v>
      </c>
      <c r="AO866" s="1">
        <v>32232.0</v>
      </c>
      <c r="AP866" s="1">
        <v>12.4</v>
      </c>
      <c r="AQ866" s="1">
        <v>5.2</v>
      </c>
      <c r="AR866" s="1">
        <v>8.3</v>
      </c>
      <c r="AS866" s="1">
        <v>11.7</v>
      </c>
      <c r="AT866" s="1">
        <v>25.3</v>
      </c>
      <c r="AU866" s="1">
        <v>10.9</v>
      </c>
      <c r="AV866" s="1">
        <v>20.9</v>
      </c>
      <c r="AW866" s="1">
        <v>2.9</v>
      </c>
      <c r="AX866" s="1">
        <v>0.3785</v>
      </c>
      <c r="AY866" s="1">
        <v>10.1</v>
      </c>
      <c r="AZ866" s="1">
        <v>8.8</v>
      </c>
      <c r="BA866" s="1">
        <v>12.6</v>
      </c>
      <c r="BB866" s="1">
        <v>3.09</v>
      </c>
      <c r="BC866" s="1" t="s">
        <v>1444</v>
      </c>
      <c r="BD866" s="1">
        <v>8.5</v>
      </c>
      <c r="BE866" s="1">
        <v>24.5</v>
      </c>
      <c r="BF866" s="1">
        <v>30.3</v>
      </c>
      <c r="BG866" s="1">
        <v>36.7</v>
      </c>
      <c r="BH866" s="1" t="s">
        <v>1553</v>
      </c>
    </row>
    <row r="867">
      <c r="A867" s="1">
        <v>19155.0</v>
      </c>
      <c r="B867" s="2" t="str">
        <f>IFERROR(__xludf.DUMMYFUNCTION("TO_TEXT(A867)"),"19155")</f>
        <v>19155</v>
      </c>
      <c r="C867" s="1">
        <v>93198.0</v>
      </c>
      <c r="D867" s="1">
        <v>950.561362132974</v>
      </c>
      <c r="E867" s="1" t="s">
        <v>1554</v>
      </c>
      <c r="F867" s="1" t="s">
        <v>1555</v>
      </c>
      <c r="G867" s="1">
        <v>98.045222236755</v>
      </c>
      <c r="H867" s="1">
        <v>15.4670714509999</v>
      </c>
      <c r="I867" s="1">
        <v>3.5896302969</v>
      </c>
      <c r="J867" s="1">
        <v>7.5904785038</v>
      </c>
      <c r="K867" s="1">
        <v>17.173376509</v>
      </c>
      <c r="L867" s="1">
        <v>41.1</v>
      </c>
      <c r="M867" s="1">
        <v>7.7</v>
      </c>
      <c r="N867" s="1">
        <v>25.8</v>
      </c>
      <c r="O867" s="1">
        <v>85.59866034</v>
      </c>
      <c r="P867" s="1">
        <v>5.58909393539999</v>
      </c>
      <c r="Q867" s="1">
        <v>46.04545</v>
      </c>
      <c r="R867" s="1">
        <v>90.45045045</v>
      </c>
      <c r="S867" s="1">
        <v>15.1</v>
      </c>
      <c r="T867" s="1">
        <v>21878.0</v>
      </c>
      <c r="U867" s="1">
        <v>33.929061157</v>
      </c>
      <c r="V867" s="1">
        <v>372.99214838</v>
      </c>
      <c r="W867" s="1">
        <v>13.017993457</v>
      </c>
      <c r="X867" s="1">
        <v>10.697610547</v>
      </c>
      <c r="Y867" s="1">
        <v>77.77982174</v>
      </c>
      <c r="Z867" s="1">
        <v>11.8</v>
      </c>
      <c r="AA867" s="1">
        <v>11.23800599</v>
      </c>
      <c r="AB867" s="1">
        <v>56337.0</v>
      </c>
      <c r="AC867" s="1">
        <v>45.184621241</v>
      </c>
      <c r="AD867" s="1">
        <v>68.205851251</v>
      </c>
      <c r="AE867" s="1">
        <v>10.617894766</v>
      </c>
      <c r="AF867" s="1">
        <v>1.62830231039999</v>
      </c>
      <c r="AG867" s="1">
        <v>0.7580212331</v>
      </c>
      <c r="AH867" s="1">
        <v>0.935498701</v>
      </c>
      <c r="AI867" s="1">
        <v>0.1026375718</v>
      </c>
      <c r="AJ867" s="1">
        <v>7.8464285332</v>
      </c>
      <c r="AK867" s="1">
        <v>87.45148771</v>
      </c>
      <c r="AL867" s="1">
        <v>1.3524009686</v>
      </c>
      <c r="AM867" s="1">
        <v>50.787422621</v>
      </c>
      <c r="AN867" s="1">
        <v>26.419631164</v>
      </c>
      <c r="AO867" s="1">
        <v>27948.0</v>
      </c>
      <c r="AP867" s="1">
        <v>11.8</v>
      </c>
      <c r="AQ867" s="1">
        <v>4.9</v>
      </c>
      <c r="AR867" s="1">
        <v>10.0</v>
      </c>
      <c r="AS867" s="1">
        <v>15.7</v>
      </c>
      <c r="AT867" s="1">
        <v>23.7</v>
      </c>
      <c r="AU867" s="1">
        <v>14.6</v>
      </c>
      <c r="AV867" s="1">
        <v>11.3</v>
      </c>
      <c r="AW867" s="1">
        <v>1.5</v>
      </c>
      <c r="AX867" s="1">
        <v>0.4152</v>
      </c>
      <c r="AY867" s="1">
        <v>11.0</v>
      </c>
      <c r="AZ867" s="1">
        <v>9.4</v>
      </c>
      <c r="BA867" s="1">
        <v>13.9</v>
      </c>
      <c r="BB867" s="1">
        <v>2.82</v>
      </c>
      <c r="BC867" s="1" t="s">
        <v>1444</v>
      </c>
      <c r="BD867" s="1">
        <v>10.5</v>
      </c>
      <c r="BE867" s="1">
        <v>32.7</v>
      </c>
      <c r="BF867" s="1">
        <v>35.3</v>
      </c>
      <c r="BG867" s="1">
        <v>21.5</v>
      </c>
      <c r="BH867" s="1" t="s">
        <v>1555</v>
      </c>
    </row>
    <row r="868">
      <c r="A868" s="1">
        <v>19157.0</v>
      </c>
      <c r="B868" s="2" t="str">
        <f>IFERROR(__xludf.DUMMYFUNCTION("TO_TEXT(A868)"),"19157")</f>
        <v>19157</v>
      </c>
      <c r="C868" s="1">
        <v>18622.0</v>
      </c>
      <c r="D868" s="1">
        <v>584.917309036796</v>
      </c>
      <c r="E868" s="1" t="s">
        <v>1556</v>
      </c>
      <c r="F868" s="1" t="s">
        <v>1557</v>
      </c>
      <c r="G868" s="1">
        <v>31.8369788554651</v>
      </c>
      <c r="H868" s="1">
        <v>12.816370993</v>
      </c>
      <c r="I868" s="1">
        <v>3.6369575865</v>
      </c>
      <c r="J868" s="1">
        <v>7.0306038048</v>
      </c>
      <c r="K868" s="1">
        <v>14.864329215</v>
      </c>
      <c r="L868" s="1">
        <v>31.3</v>
      </c>
      <c r="M868" s="1">
        <v>8.1</v>
      </c>
      <c r="N868" s="1">
        <v>23.7</v>
      </c>
      <c r="O868" s="1">
        <v>74.151422227</v>
      </c>
      <c r="P868" s="1">
        <v>5.5134807634</v>
      </c>
      <c r="Q868" s="1">
        <v>92.82516</v>
      </c>
      <c r="R868" s="1">
        <v>93.103448276</v>
      </c>
      <c r="S868" s="1">
        <v>12.3</v>
      </c>
      <c r="T868" s="1">
        <v>3585.0</v>
      </c>
      <c r="U868" s="1">
        <v>24.184100418</v>
      </c>
      <c r="V868" s="1">
        <v>199.29975761</v>
      </c>
      <c r="W868" s="1">
        <v>9.4365241005</v>
      </c>
      <c r="X868" s="1">
        <v>8.8721804511</v>
      </c>
      <c r="Y868" s="1">
        <v>79.431113135</v>
      </c>
      <c r="Z868" s="1">
        <v>8.8</v>
      </c>
      <c r="AA868" s="1">
        <v>5.1474738413</v>
      </c>
      <c r="AB868" s="1">
        <v>56170.0</v>
      </c>
      <c r="AC868" s="1">
        <v>29.558610709</v>
      </c>
      <c r="AD868" s="1">
        <v>69.300872282</v>
      </c>
      <c r="AE868" s="1">
        <v>10.434434968</v>
      </c>
      <c r="AF868" s="1">
        <v>1.54553719449999</v>
      </c>
      <c r="AG868" s="1">
        <v>0.4545697631</v>
      </c>
      <c r="AH868" s="1">
        <v>2.0535857532</v>
      </c>
      <c r="AI868" s="1">
        <v>0.1443927483</v>
      </c>
      <c r="AJ868" s="1">
        <v>3.4279908016</v>
      </c>
      <c r="AK868" s="1">
        <v>91.106476282</v>
      </c>
      <c r="AL868" s="1">
        <v>0.7180414994</v>
      </c>
      <c r="AM868" s="1">
        <v>51.542863255</v>
      </c>
      <c r="AN868" s="1">
        <v>51.993232526</v>
      </c>
      <c r="AO868" s="1">
        <v>26583.0</v>
      </c>
      <c r="AP868" s="1">
        <v>10.0</v>
      </c>
      <c r="AQ868" s="1">
        <v>4.3</v>
      </c>
      <c r="AR868" s="1">
        <v>6.6</v>
      </c>
      <c r="AS868" s="1">
        <v>19.3</v>
      </c>
      <c r="AT868" s="1">
        <v>20.2</v>
      </c>
      <c r="AU868" s="1">
        <v>11.6</v>
      </c>
      <c r="AV868" s="1">
        <v>7.8</v>
      </c>
      <c r="AW868" s="1">
        <v>0.7</v>
      </c>
      <c r="AX868" s="1">
        <v>0.135</v>
      </c>
      <c r="AY868" s="1">
        <v>11.6</v>
      </c>
      <c r="AZ868" s="1">
        <v>8.1</v>
      </c>
      <c r="BA868" s="1">
        <v>11.3</v>
      </c>
      <c r="BB868" s="1">
        <v>2.82</v>
      </c>
      <c r="BC868" s="1" t="s">
        <v>1444</v>
      </c>
      <c r="BD868" s="1">
        <v>6.1</v>
      </c>
      <c r="BE868" s="1">
        <v>37.9</v>
      </c>
      <c r="BF868" s="1">
        <v>29.9</v>
      </c>
      <c r="BG868" s="1">
        <v>26.1</v>
      </c>
      <c r="BH868" s="1" t="s">
        <v>1557</v>
      </c>
    </row>
    <row r="869">
      <c r="A869" s="1">
        <v>19159.0</v>
      </c>
      <c r="B869" s="2" t="str">
        <f>IFERROR(__xludf.DUMMYFUNCTION("TO_TEXT(A869)"),"19159")</f>
        <v>19159</v>
      </c>
      <c r="C869" s="1">
        <v>5054.0</v>
      </c>
      <c r="D869" s="1">
        <v>535.500523324916</v>
      </c>
      <c r="E869" s="1" t="s">
        <v>1558</v>
      </c>
      <c r="F869" s="1" t="s">
        <v>1559</v>
      </c>
      <c r="G869" s="1">
        <v>9.43789927341206</v>
      </c>
      <c r="H869" s="1">
        <v>13.097253379</v>
      </c>
      <c r="I869" s="1">
        <v>3.6092408982</v>
      </c>
      <c r="J869" s="1">
        <v>5.637254902</v>
      </c>
      <c r="K869" s="1">
        <v>15.491939943</v>
      </c>
      <c r="L869" s="1">
        <v>32.7</v>
      </c>
      <c r="M869" s="1">
        <v>8.4</v>
      </c>
      <c r="N869" s="1">
        <v>26.3</v>
      </c>
      <c r="O869" s="1">
        <v>61.8008185539999</v>
      </c>
      <c r="P869" s="1">
        <v>7.57855822549999</v>
      </c>
      <c r="Q869" s="1">
        <v>119.18951</v>
      </c>
      <c r="R869" s="1">
        <v>97.916666667</v>
      </c>
      <c r="S869" s="1">
        <v>23.1</v>
      </c>
      <c r="T869" s="1">
        <v>1178.0</v>
      </c>
      <c r="U869" s="1">
        <v>23.344651952</v>
      </c>
      <c r="V869" s="1">
        <v>59.31198102</v>
      </c>
      <c r="W869" s="1">
        <v>10.37037037</v>
      </c>
      <c r="X869" s="1">
        <v>9.5952023988</v>
      </c>
      <c r="Y869" s="1">
        <v>77.845249036</v>
      </c>
      <c r="Z869" s="1">
        <v>9.2</v>
      </c>
      <c r="AA869" s="1">
        <v>3.4186922919</v>
      </c>
      <c r="AB869" s="1">
        <v>48754.0</v>
      </c>
      <c r="AC869" s="1">
        <v>43.27563249</v>
      </c>
      <c r="AD869" s="1">
        <v>77.265898848</v>
      </c>
      <c r="AE869" s="1">
        <v>10.599571734</v>
      </c>
      <c r="AF869" s="1">
        <v>0.7850241546</v>
      </c>
      <c r="AG869" s="1">
        <v>0.2818035427</v>
      </c>
      <c r="AH869" s="1">
        <v>0.5233494364</v>
      </c>
      <c r="AI869" s="1">
        <v>0.0603864734</v>
      </c>
      <c r="AJ869" s="1">
        <v>2.7777777778</v>
      </c>
      <c r="AK869" s="1">
        <v>94.847020934</v>
      </c>
      <c r="AL869" s="1">
        <v>0.1069061364</v>
      </c>
      <c r="AM869" s="1">
        <v>50.603864734</v>
      </c>
      <c r="AN869" s="1">
        <v>100.0</v>
      </c>
      <c r="AO869" s="1">
        <v>26175.0</v>
      </c>
      <c r="AP869" s="1">
        <v>11.0</v>
      </c>
      <c r="AQ869" s="1">
        <v>5.3</v>
      </c>
      <c r="AR869" s="1">
        <v>9.2</v>
      </c>
      <c r="AS869" s="1">
        <v>24.9</v>
      </c>
      <c r="AT869" s="1">
        <v>24.1</v>
      </c>
      <c r="AU869" s="1">
        <v>15.6</v>
      </c>
      <c r="AV869" s="1">
        <v>3.8</v>
      </c>
      <c r="AW869" s="1">
        <v>0.0</v>
      </c>
      <c r="AX869" s="1">
        <v>0.2159</v>
      </c>
      <c r="AY869" s="1">
        <v>15.1</v>
      </c>
      <c r="AZ869" s="1">
        <v>9.3</v>
      </c>
      <c r="BA869" s="1">
        <v>13.0</v>
      </c>
      <c r="BB869" s="1">
        <v>2.78</v>
      </c>
      <c r="BC869" s="1" t="s">
        <v>1444</v>
      </c>
      <c r="BD869" s="1">
        <v>7.3</v>
      </c>
      <c r="BE869" s="1">
        <v>36.9</v>
      </c>
      <c r="BF869" s="1">
        <v>34.5</v>
      </c>
      <c r="BG869" s="1">
        <v>21.4</v>
      </c>
      <c r="BH869" s="1" t="s">
        <v>1559</v>
      </c>
    </row>
    <row r="870">
      <c r="A870" s="1">
        <v>19161.0</v>
      </c>
      <c r="B870" s="2" t="str">
        <f>IFERROR(__xludf.DUMMYFUNCTION("TO_TEXT(A870)"),"19161")</f>
        <v>19161</v>
      </c>
      <c r="C870" s="1">
        <v>10034.0</v>
      </c>
      <c r="D870" s="1">
        <v>575.021778484462</v>
      </c>
      <c r="E870" s="1" t="s">
        <v>1560</v>
      </c>
      <c r="F870" s="1" t="s">
        <v>1561</v>
      </c>
      <c r="G870" s="1">
        <v>17.4497738615149</v>
      </c>
      <c r="H870" s="1">
        <v>12.3873028659999</v>
      </c>
      <c r="I870" s="1">
        <v>3.3534447449</v>
      </c>
      <c r="J870" s="1">
        <v>6.887755102</v>
      </c>
      <c r="K870" s="1">
        <v>15.087674421</v>
      </c>
      <c r="L870" s="1">
        <v>30.6</v>
      </c>
      <c r="M870" s="1">
        <v>7.8</v>
      </c>
      <c r="N870" s="1">
        <v>26.2</v>
      </c>
      <c r="O870" s="1">
        <v>79.410628019</v>
      </c>
      <c r="P870" s="1">
        <v>5.9832469087</v>
      </c>
      <c r="Q870" s="1">
        <v>61.11847</v>
      </c>
      <c r="R870" s="1">
        <v>97.826086957</v>
      </c>
      <c r="S870" s="1">
        <v>14.6</v>
      </c>
      <c r="T870" s="1">
        <v>2170.0</v>
      </c>
      <c r="U870" s="1">
        <v>30.414746544</v>
      </c>
      <c r="V870" s="1">
        <v>50.462573591</v>
      </c>
      <c r="W870" s="1">
        <v>7.560137457</v>
      </c>
      <c r="X870" s="1">
        <v>6.087962963</v>
      </c>
      <c r="Y870" s="1">
        <v>78.286777597</v>
      </c>
      <c r="Z870" s="1">
        <v>9.4</v>
      </c>
      <c r="AA870" s="1">
        <v>11.5661388609999</v>
      </c>
      <c r="AB870" s="1">
        <v>56698.0</v>
      </c>
      <c r="AC870" s="1">
        <v>42.37695078</v>
      </c>
      <c r="AD870" s="1">
        <v>79.093198992</v>
      </c>
      <c r="AE870" s="1">
        <v>5.47251687559999</v>
      </c>
      <c r="AF870" s="1">
        <v>0.2983846075</v>
      </c>
      <c r="AG870" s="1">
        <v>0.1749151147</v>
      </c>
      <c r="AH870" s="1">
        <v>0.4732997222</v>
      </c>
      <c r="AI870" s="1">
        <v>0.1234694927</v>
      </c>
      <c r="AJ870" s="1">
        <v>3.2822306822</v>
      </c>
      <c r="AK870" s="1">
        <v>94.670233563</v>
      </c>
      <c r="AL870" s="1">
        <v>0.9559613319</v>
      </c>
      <c r="AM870" s="1">
        <v>50.704805021</v>
      </c>
      <c r="AN870" s="1">
        <v>100.0</v>
      </c>
      <c r="AO870" s="1">
        <v>27088.0</v>
      </c>
      <c r="AP870" s="1">
        <v>10.2</v>
      </c>
      <c r="AQ870" s="1">
        <v>3.9</v>
      </c>
      <c r="AR870" s="1">
        <v>8.3</v>
      </c>
      <c r="AS870" s="1">
        <v>22.5</v>
      </c>
      <c r="AT870" s="1">
        <v>22.3</v>
      </c>
      <c r="AU870" s="1">
        <v>12.0</v>
      </c>
      <c r="AV870" s="1">
        <v>4.3</v>
      </c>
      <c r="AW870" s="1">
        <v>0.7</v>
      </c>
      <c r="AX870" s="1">
        <v>0.0669</v>
      </c>
      <c r="AY870" s="1">
        <v>9.5</v>
      </c>
      <c r="AZ870" s="1">
        <v>8.1</v>
      </c>
      <c r="BA870" s="1">
        <v>13.2</v>
      </c>
      <c r="BB870" s="1">
        <v>2.93</v>
      </c>
      <c r="BC870" s="1" t="s">
        <v>1444</v>
      </c>
      <c r="BD870" s="1">
        <v>7.2</v>
      </c>
      <c r="BE870" s="1">
        <v>36.9</v>
      </c>
      <c r="BF870" s="1">
        <v>35.9</v>
      </c>
      <c r="BG870" s="1">
        <v>20.0</v>
      </c>
      <c r="BH870" s="1" t="s">
        <v>1561</v>
      </c>
    </row>
    <row r="871">
      <c r="A871" s="1">
        <v>19163.0</v>
      </c>
      <c r="B871" s="2" t="str">
        <f>IFERROR(__xludf.DUMMYFUNCTION("TO_TEXT(A871)"),"19163")</f>
        <v>19163</v>
      </c>
      <c r="C871" s="1">
        <v>171116.0</v>
      </c>
      <c r="D871" s="1">
        <v>458.0889611359</v>
      </c>
      <c r="E871" s="1" t="s">
        <v>394</v>
      </c>
      <c r="F871" s="1" t="s">
        <v>1562</v>
      </c>
      <c r="G871" s="1">
        <v>373.543164139324</v>
      </c>
      <c r="H871" s="1">
        <v>14.554302186</v>
      </c>
      <c r="I871" s="1">
        <v>3.5354558528</v>
      </c>
      <c r="J871" s="1">
        <v>7.3710871542</v>
      </c>
      <c r="K871" s="1">
        <v>17.1481120409999</v>
      </c>
      <c r="L871" s="1">
        <v>33.1</v>
      </c>
      <c r="M871" s="1">
        <v>8.2</v>
      </c>
      <c r="N871" s="1">
        <v>24.5</v>
      </c>
      <c r="O871" s="1">
        <v>92.854548976</v>
      </c>
      <c r="P871" s="1">
        <v>5.0253118532</v>
      </c>
      <c r="Q871" s="1">
        <v>87.5316699999999</v>
      </c>
      <c r="R871" s="1">
        <v>88.317983519</v>
      </c>
      <c r="S871" s="1">
        <v>17.8</v>
      </c>
      <c r="T871" s="1">
        <v>40836.0</v>
      </c>
      <c r="U871" s="1">
        <v>33.9700264469999</v>
      </c>
      <c r="V871" s="1">
        <v>494.45160689</v>
      </c>
      <c r="W871" s="1">
        <v>12.977494818</v>
      </c>
      <c r="X871" s="1">
        <v>11.6825587509999</v>
      </c>
      <c r="Y871" s="1">
        <v>78.93016558</v>
      </c>
      <c r="Z871" s="1">
        <v>11.1</v>
      </c>
      <c r="AA871" s="1">
        <v>2.8239946364</v>
      </c>
      <c r="AB871" s="1">
        <v>59865.0</v>
      </c>
      <c r="AC871" s="1">
        <v>43.201445348</v>
      </c>
      <c r="AD871" s="1">
        <v>69.465124953</v>
      </c>
      <c r="AE871" s="1">
        <v>11.7870315109999</v>
      </c>
      <c r="AF871" s="1">
        <v>7.4865970695</v>
      </c>
      <c r="AG871" s="1">
        <v>0.3895361922</v>
      </c>
      <c r="AH871" s="1">
        <v>3.0412677528</v>
      </c>
      <c r="AI871" s="1">
        <v>0.0709821506</v>
      </c>
      <c r="AJ871" s="1">
        <v>6.8552598928</v>
      </c>
      <c r="AK871" s="1">
        <v>79.650629317</v>
      </c>
      <c r="AL871" s="1">
        <v>1.2147508116</v>
      </c>
      <c r="AM871" s="1">
        <v>50.962298667</v>
      </c>
      <c r="AN871" s="1">
        <v>13.510749044</v>
      </c>
      <c r="AO871" s="1">
        <v>30037.0</v>
      </c>
      <c r="AP871" s="1">
        <v>12.2</v>
      </c>
      <c r="AQ871" s="1">
        <v>4.9</v>
      </c>
      <c r="AR871" s="1">
        <v>7.0</v>
      </c>
      <c r="AS871" s="1">
        <v>14.4</v>
      </c>
      <c r="AT871" s="1">
        <v>24.1</v>
      </c>
      <c r="AU871" s="1">
        <v>10.4</v>
      </c>
      <c r="AV871" s="1">
        <v>19.0</v>
      </c>
      <c r="AW871" s="1">
        <v>1.0</v>
      </c>
      <c r="AX871" s="1">
        <v>0.2353</v>
      </c>
      <c r="AY871" s="1">
        <v>11.8</v>
      </c>
      <c r="AZ871" s="1">
        <v>9.2</v>
      </c>
      <c r="BA871" s="1">
        <v>13.7</v>
      </c>
      <c r="BB871" s="1">
        <v>2.97</v>
      </c>
      <c r="BC871" s="1" t="s">
        <v>1444</v>
      </c>
      <c r="BD871" s="1">
        <v>7.2</v>
      </c>
      <c r="BE871" s="1">
        <v>29.6</v>
      </c>
      <c r="BF871" s="1">
        <v>31.4</v>
      </c>
      <c r="BG871" s="1">
        <v>31.8</v>
      </c>
      <c r="BH871" s="1" t="s">
        <v>1562</v>
      </c>
    </row>
    <row r="872">
      <c r="A872" s="1">
        <v>19165.0</v>
      </c>
      <c r="B872" s="2" t="str">
        <f>IFERROR(__xludf.DUMMYFUNCTION("TO_TEXT(A872)"),"19165")</f>
        <v>19165</v>
      </c>
      <c r="C872" s="1">
        <v>11944.0</v>
      </c>
      <c r="D872" s="1">
        <v>590.778745120508</v>
      </c>
      <c r="E872" s="1" t="s">
        <v>176</v>
      </c>
      <c r="F872" s="1" t="s">
        <v>1563</v>
      </c>
      <c r="G872" s="1">
        <v>20.2173827319459</v>
      </c>
      <c r="H872" s="1">
        <v>12.66870764</v>
      </c>
      <c r="I872" s="1">
        <v>3.4255760153</v>
      </c>
      <c r="J872" s="1">
        <v>5.748502994</v>
      </c>
      <c r="K872" s="1">
        <v>14.905633336</v>
      </c>
      <c r="L872" s="1">
        <v>34.6</v>
      </c>
      <c r="M872" s="1">
        <v>8.2</v>
      </c>
      <c r="N872" s="1">
        <v>25.4</v>
      </c>
      <c r="O872" s="1">
        <v>62.201035588</v>
      </c>
      <c r="P872" s="1">
        <v>5.1510759282</v>
      </c>
      <c r="Q872" s="1">
        <v>51.59959</v>
      </c>
      <c r="R872" s="1">
        <v>98.80952381</v>
      </c>
      <c r="S872" s="1">
        <v>9.9</v>
      </c>
      <c r="T872" s="1">
        <v>2633.0</v>
      </c>
      <c r="U872" s="1">
        <v>20.50892518</v>
      </c>
      <c r="V872" s="1">
        <v>204.509002055</v>
      </c>
      <c r="W872" s="1">
        <v>9.4861660079</v>
      </c>
      <c r="X872" s="1">
        <v>8.1754735793</v>
      </c>
      <c r="Y872" s="1">
        <v>80.910508562</v>
      </c>
      <c r="Z872" s="1">
        <v>13.2</v>
      </c>
      <c r="AA872" s="1">
        <v>8.8646438312</v>
      </c>
      <c r="AB872" s="1">
        <v>58862.0</v>
      </c>
      <c r="AC872" s="1">
        <v>34.11122145</v>
      </c>
      <c r="AD872" s="1">
        <v>77.506936187</v>
      </c>
      <c r="AE872" s="1">
        <v>7.5306122449</v>
      </c>
      <c r="AF872" s="1">
        <v>0.8032475384</v>
      </c>
      <c r="AG872" s="1">
        <v>0.4750388668</v>
      </c>
      <c r="AH872" s="1">
        <v>0.535498359</v>
      </c>
      <c r="AI872" s="1">
        <v>0.0777336328</v>
      </c>
      <c r="AJ872" s="1">
        <v>3.0143375367</v>
      </c>
      <c r="AK872" s="1">
        <v>94.282259458</v>
      </c>
      <c r="AL872" s="1">
        <v>0.586483804</v>
      </c>
      <c r="AM872" s="1">
        <v>50.5527725</v>
      </c>
      <c r="AN872" s="1">
        <v>59.447686365</v>
      </c>
      <c r="AO872" s="1">
        <v>28178.0</v>
      </c>
      <c r="AP872" s="1">
        <v>10.0</v>
      </c>
      <c r="AQ872" s="1">
        <v>3.3</v>
      </c>
      <c r="AR872" s="1">
        <v>8.7</v>
      </c>
      <c r="AS872" s="1">
        <v>22.3</v>
      </c>
      <c r="AT872" s="1">
        <v>22.6</v>
      </c>
      <c r="AU872" s="1">
        <v>15.1</v>
      </c>
      <c r="AV872" s="1">
        <v>4.9</v>
      </c>
      <c r="AW872" s="1">
        <v>1.4</v>
      </c>
      <c r="AX872" s="1">
        <v>0.1108</v>
      </c>
      <c r="AY872" s="1">
        <v>8.7</v>
      </c>
      <c r="AZ872" s="1">
        <v>8.2</v>
      </c>
      <c r="BA872" s="1">
        <v>12.9</v>
      </c>
      <c r="BB872" s="1">
        <v>2.87</v>
      </c>
      <c r="BC872" s="1" t="s">
        <v>1444</v>
      </c>
      <c r="BD872" s="1">
        <v>7.6</v>
      </c>
      <c r="BE872" s="1">
        <v>35.3</v>
      </c>
      <c r="BF872" s="1">
        <v>34.9</v>
      </c>
      <c r="BG872" s="1">
        <v>22.2</v>
      </c>
      <c r="BH872" s="1" t="s">
        <v>1563</v>
      </c>
    </row>
    <row r="873">
      <c r="A873" s="1">
        <v>19167.0</v>
      </c>
      <c r="B873" s="2" t="str">
        <f>IFERROR(__xludf.DUMMYFUNCTION("TO_TEXT(A873)"),"19167")</f>
        <v>19167</v>
      </c>
      <c r="C873" s="1">
        <v>34621.0</v>
      </c>
      <c r="D873" s="1">
        <v>767.865008117916</v>
      </c>
      <c r="E873" s="1" t="s">
        <v>1564</v>
      </c>
      <c r="F873" s="1" t="s">
        <v>1565</v>
      </c>
      <c r="G873" s="1">
        <v>45.0873521178652</v>
      </c>
      <c r="H873" s="1">
        <v>12.5201103659999</v>
      </c>
      <c r="I873" s="1">
        <v>3.1902867118</v>
      </c>
      <c r="J873" s="1">
        <v>5.0113250283</v>
      </c>
      <c r="K873" s="1">
        <v>13.9902070079999</v>
      </c>
      <c r="L873" s="1">
        <v>28.5</v>
      </c>
      <c r="M873" s="1">
        <v>9.2</v>
      </c>
      <c r="N873" s="1">
        <v>18.9</v>
      </c>
      <c r="O873" s="1">
        <v>82.512461429</v>
      </c>
      <c r="P873" s="1">
        <v>6.676877074</v>
      </c>
      <c r="Q873" s="1">
        <v>80.32129</v>
      </c>
      <c r="R873" s="1">
        <v>89.253731343</v>
      </c>
      <c r="S873" s="1">
        <v>7.2</v>
      </c>
      <c r="T873" s="1">
        <v>9184.0</v>
      </c>
      <c r="U873" s="1">
        <v>14.198606272</v>
      </c>
      <c r="V873" s="1">
        <v>42.700979276</v>
      </c>
      <c r="W873" s="1">
        <v>9.338358459</v>
      </c>
      <c r="X873" s="1">
        <v>6.1318773625</v>
      </c>
      <c r="Y873" s="1">
        <v>83.169637157</v>
      </c>
      <c r="Z873" s="1">
        <v>6.8</v>
      </c>
      <c r="AA873" s="1">
        <v>1.0727515607</v>
      </c>
      <c r="AB873" s="1">
        <v>70162.0</v>
      </c>
      <c r="AC873" s="1">
        <v>37.04866562</v>
      </c>
      <c r="AD873" s="1">
        <v>79.771494328</v>
      </c>
      <c r="AE873" s="1">
        <v>5.98843143929999</v>
      </c>
      <c r="AF873" s="1">
        <v>0.610157839</v>
      </c>
      <c r="AG873" s="1">
        <v>0.5156263428</v>
      </c>
      <c r="AH873" s="1">
        <v>0.9882838237</v>
      </c>
      <c r="AI873" s="1">
        <v>0.0658855882</v>
      </c>
      <c r="AJ873" s="1">
        <v>11.106018505</v>
      </c>
      <c r="AK873" s="1">
        <v>86.427568822</v>
      </c>
      <c r="AL873" s="1">
        <v>2.130562878</v>
      </c>
      <c r="AM873" s="1">
        <v>49.6548168089999</v>
      </c>
      <c r="AN873" s="1">
        <v>50.824827914</v>
      </c>
      <c r="AO873" s="1">
        <v>27037.0</v>
      </c>
      <c r="AP873" s="1">
        <v>7.6</v>
      </c>
      <c r="AQ873" s="1">
        <v>1.8</v>
      </c>
      <c r="AR873" s="1">
        <v>10.1</v>
      </c>
      <c r="AS873" s="1">
        <v>14.5</v>
      </c>
      <c r="AT873" s="1">
        <v>27.0</v>
      </c>
      <c r="AU873" s="1">
        <v>7.9</v>
      </c>
      <c r="AV873" s="1">
        <v>12.0</v>
      </c>
      <c r="AW873" s="1">
        <v>2.3</v>
      </c>
      <c r="AX873" s="1">
        <v>0.2289</v>
      </c>
      <c r="AY873" s="1">
        <v>7.0</v>
      </c>
      <c r="AZ873" s="1">
        <v>5.9</v>
      </c>
      <c r="BA873" s="1">
        <v>8.8</v>
      </c>
      <c r="BB873" s="1">
        <v>3.01</v>
      </c>
      <c r="BC873" s="1" t="s">
        <v>1444</v>
      </c>
      <c r="BD873" s="1">
        <v>9.8</v>
      </c>
      <c r="BE873" s="1">
        <v>30.2</v>
      </c>
      <c r="BF873" s="1">
        <v>31.0</v>
      </c>
      <c r="BG873" s="1">
        <v>29.1</v>
      </c>
      <c r="BH873" s="1" t="s">
        <v>1565</v>
      </c>
    </row>
    <row r="874">
      <c r="A874" s="1">
        <v>19169.0</v>
      </c>
      <c r="B874" s="2" t="str">
        <f>IFERROR(__xludf.DUMMYFUNCTION("TO_TEXT(A874)"),"19169")</f>
        <v>19169</v>
      </c>
      <c r="C874" s="1">
        <v>94834.0</v>
      </c>
      <c r="D874" s="1">
        <v>572.680101128724</v>
      </c>
      <c r="E874" s="1" t="s">
        <v>1566</v>
      </c>
      <c r="F874" s="1" t="s">
        <v>1567</v>
      </c>
      <c r="G874" s="1">
        <v>165.596813671519</v>
      </c>
      <c r="H874" s="1">
        <v>12.527634337</v>
      </c>
      <c r="I874" s="1">
        <v>3.5250523857</v>
      </c>
      <c r="J874" s="1">
        <v>5.912961211</v>
      </c>
      <c r="K874" s="1">
        <v>14.9288420959999</v>
      </c>
      <c r="L874" s="1">
        <v>26.2</v>
      </c>
      <c r="M874" s="1">
        <v>7.0</v>
      </c>
      <c r="N874" s="1">
        <v>17.2</v>
      </c>
      <c r="O874" s="1">
        <v>93.136181903</v>
      </c>
      <c r="P874" s="1">
        <v>5.2973744368</v>
      </c>
      <c r="Q874" s="1">
        <v>67.6909199999999</v>
      </c>
      <c r="R874" s="1">
        <v>97.533908755</v>
      </c>
      <c r="S874" s="1">
        <v>8.3</v>
      </c>
      <c r="T874" s="1">
        <v>16028.0</v>
      </c>
      <c r="U874" s="1">
        <v>22.51684552</v>
      </c>
      <c r="V874" s="1">
        <v>142.44853199</v>
      </c>
      <c r="W874" s="1">
        <v>20.125872212</v>
      </c>
      <c r="X874" s="1">
        <v>18.570037557</v>
      </c>
      <c r="Y874" s="1">
        <v>81.981474267</v>
      </c>
      <c r="Z874" s="1">
        <v>5.6</v>
      </c>
      <c r="AA874" s="1">
        <v>9.7243099867</v>
      </c>
      <c r="AB874" s="1">
        <v>57464.0</v>
      </c>
      <c r="AC874" s="1">
        <v>23.8977912519999</v>
      </c>
      <c r="AD874" s="1">
        <v>52.763373546</v>
      </c>
      <c r="AE874" s="1">
        <v>19.175160647</v>
      </c>
      <c r="AF874" s="1">
        <v>2.7419601447</v>
      </c>
      <c r="AG874" s="1">
        <v>0.2680801182</v>
      </c>
      <c r="AH874" s="1">
        <v>8.5744865195</v>
      </c>
      <c r="AI874" s="1">
        <v>0.026502217</v>
      </c>
      <c r="AJ874" s="1">
        <v>3.5533357117</v>
      </c>
      <c r="AK874" s="1">
        <v>83.341317976</v>
      </c>
      <c r="AL874" s="1">
        <v>1.3347333781</v>
      </c>
      <c r="AM874" s="1">
        <v>47.783497273</v>
      </c>
      <c r="AN874" s="1">
        <v>16.935069576</v>
      </c>
      <c r="AO874" s="1">
        <v>26032.0</v>
      </c>
      <c r="AP874" s="1">
        <v>22.3</v>
      </c>
      <c r="AQ874" s="1">
        <v>5.2</v>
      </c>
      <c r="AR874" s="1">
        <v>3.7</v>
      </c>
      <c r="AS874" s="1">
        <v>10.8</v>
      </c>
      <c r="AT874" s="1">
        <v>17.1</v>
      </c>
      <c r="AU874" s="1">
        <v>7.1</v>
      </c>
      <c r="AV874" s="1">
        <v>15.0</v>
      </c>
      <c r="AW874" s="1">
        <v>1.0</v>
      </c>
      <c r="AX874" s="1">
        <v>0.2171</v>
      </c>
      <c r="AY874" s="1">
        <v>15.8</v>
      </c>
      <c r="AZ874" s="1">
        <v>8.2</v>
      </c>
      <c r="BA874" s="1">
        <v>9.3</v>
      </c>
      <c r="BB874" s="1">
        <v>3.09</v>
      </c>
      <c r="BC874" s="1" t="s">
        <v>1444</v>
      </c>
      <c r="BD874" s="1">
        <v>2.8</v>
      </c>
      <c r="BE874" s="1">
        <v>17.4</v>
      </c>
      <c r="BF874" s="1">
        <v>28.1</v>
      </c>
      <c r="BG874" s="1">
        <v>51.6</v>
      </c>
      <c r="BH874" s="1" t="s">
        <v>1567</v>
      </c>
    </row>
    <row r="875">
      <c r="A875" s="1">
        <v>19171.0</v>
      </c>
      <c r="B875" s="2" t="str">
        <f>IFERROR(__xludf.DUMMYFUNCTION("TO_TEXT(A875)"),"19171")</f>
        <v>19171</v>
      </c>
      <c r="C875" s="1">
        <v>17423.0</v>
      </c>
      <c r="D875" s="1">
        <v>721.011178678994</v>
      </c>
      <c r="E875" s="1" t="s">
        <v>1568</v>
      </c>
      <c r="F875" s="1" t="s">
        <v>1569</v>
      </c>
      <c r="G875" s="1">
        <v>24.1646738846985</v>
      </c>
      <c r="H875" s="1">
        <v>14.680910158</v>
      </c>
      <c r="I875" s="1">
        <v>3.5081497076</v>
      </c>
      <c r="J875" s="1">
        <v>7.3977936405</v>
      </c>
      <c r="K875" s="1">
        <v>17.3005332159999</v>
      </c>
      <c r="L875" s="1">
        <v>35.4</v>
      </c>
      <c r="M875" s="1">
        <v>8.3</v>
      </c>
      <c r="N875" s="1">
        <v>27.2</v>
      </c>
      <c r="O875" s="1">
        <v>76.788427984</v>
      </c>
      <c r="P875" s="1">
        <v>7.6917425801</v>
      </c>
      <c r="Q875" s="1">
        <v>23.44941</v>
      </c>
      <c r="R875" s="1">
        <v>96.7741935479999</v>
      </c>
      <c r="S875" s="1">
        <v>15.2</v>
      </c>
      <c r="T875" s="1">
        <v>3979.0</v>
      </c>
      <c r="U875" s="1">
        <v>29.655692385</v>
      </c>
      <c r="V875" s="1">
        <v>322.15688728</v>
      </c>
      <c r="W875" s="1">
        <v>10.4677060129999</v>
      </c>
      <c r="X875" s="1">
        <v>7.7269317329</v>
      </c>
      <c r="Y875" s="1">
        <v>76.902288904</v>
      </c>
      <c r="Z875" s="1">
        <v>9.3</v>
      </c>
      <c r="AA875" s="1">
        <v>6.0846246025</v>
      </c>
      <c r="AB875" s="1">
        <v>56954.0</v>
      </c>
      <c r="AC875" s="1">
        <v>47.160586687</v>
      </c>
      <c r="AD875" s="1">
        <v>76.284233901</v>
      </c>
      <c r="AE875" s="1">
        <v>8.8806809057</v>
      </c>
      <c r="AF875" s="1">
        <v>0.8104590629</v>
      </c>
      <c r="AG875" s="1">
        <v>8.4122101278</v>
      </c>
      <c r="AH875" s="1">
        <v>0.5205868434</v>
      </c>
      <c r="AI875" s="1">
        <v>0.1301467108</v>
      </c>
      <c r="AJ875" s="1">
        <v>10.293421675</v>
      </c>
      <c r="AK875" s="1">
        <v>80.158542357</v>
      </c>
      <c r="AL875" s="1">
        <v>2.3665690976</v>
      </c>
      <c r="AM875" s="1">
        <v>49.887600568</v>
      </c>
      <c r="AN875" s="1">
        <v>72.3982664489999</v>
      </c>
      <c r="AO875" s="1">
        <v>26144.0</v>
      </c>
      <c r="AP875" s="1">
        <v>13.0</v>
      </c>
      <c r="AQ875" s="1">
        <v>5.7</v>
      </c>
      <c r="AR875" s="1">
        <v>9.4</v>
      </c>
      <c r="AS875" s="1">
        <v>19.3</v>
      </c>
      <c r="AT875" s="1">
        <v>24.2</v>
      </c>
      <c r="AU875" s="1">
        <v>12.5</v>
      </c>
      <c r="AV875" s="1">
        <v>17.1</v>
      </c>
      <c r="AW875" s="1">
        <v>2.1</v>
      </c>
      <c r="AX875" s="1">
        <v>0.3512</v>
      </c>
      <c r="AY875" s="1">
        <v>13.1</v>
      </c>
      <c r="AZ875" s="1">
        <v>8.9</v>
      </c>
      <c r="BA875" s="1">
        <v>14.6</v>
      </c>
      <c r="BB875" s="1">
        <v>2.86</v>
      </c>
      <c r="BC875" s="1" t="s">
        <v>1444</v>
      </c>
      <c r="BD875" s="1">
        <v>8.7</v>
      </c>
      <c r="BE875" s="1">
        <v>40.0</v>
      </c>
      <c r="BF875" s="1">
        <v>35.5</v>
      </c>
      <c r="BG875" s="1">
        <v>15.8</v>
      </c>
      <c r="BH875" s="1" t="s">
        <v>1569</v>
      </c>
    </row>
    <row r="876">
      <c r="A876" s="1">
        <v>19173.0</v>
      </c>
      <c r="B876" s="2" t="str">
        <f>IFERROR(__xludf.DUMMYFUNCTION("TO_TEXT(A876)"),"19173")</f>
        <v>19173</v>
      </c>
      <c r="C876" s="1">
        <v>6209.0</v>
      </c>
      <c r="D876" s="1">
        <v>531.901402103046</v>
      </c>
      <c r="E876" s="1" t="s">
        <v>786</v>
      </c>
      <c r="F876" s="1" t="s">
        <v>1570</v>
      </c>
      <c r="G876" s="1">
        <v>11.6732160799928</v>
      </c>
      <c r="H876" s="1">
        <v>14.659098397</v>
      </c>
      <c r="I876" s="1">
        <v>3.6803847859</v>
      </c>
      <c r="J876" s="1">
        <v>5.7835820896</v>
      </c>
      <c r="K876" s="1">
        <v>16.471293774</v>
      </c>
      <c r="L876" s="1">
        <v>32.2</v>
      </c>
      <c r="M876" s="1">
        <v>8.8</v>
      </c>
      <c r="N876" s="1">
        <v>26.2</v>
      </c>
      <c r="O876" s="1">
        <v>63.938578439</v>
      </c>
      <c r="P876" s="1">
        <v>6.9133192389</v>
      </c>
      <c r="Q876" s="1">
        <v>16.18647</v>
      </c>
      <c r="R876" s="1">
        <v>97.014925373</v>
      </c>
      <c r="S876" s="1">
        <v>15.6</v>
      </c>
      <c r="T876" s="1">
        <v>1428.0</v>
      </c>
      <c r="U876" s="1">
        <v>26.610644258</v>
      </c>
      <c r="V876" s="1">
        <v>40.61738424</v>
      </c>
      <c r="W876" s="1">
        <v>9.9447513812</v>
      </c>
      <c r="X876" s="1">
        <v>7.7066269546</v>
      </c>
      <c r="Y876" s="1">
        <v>78.829633397</v>
      </c>
      <c r="Z876" s="1">
        <v>11.7</v>
      </c>
      <c r="AA876" s="1">
        <v>1.1307245671</v>
      </c>
      <c r="AB876" s="1">
        <v>47781.0</v>
      </c>
      <c r="AC876" s="1">
        <v>44.648318043</v>
      </c>
      <c r="AD876" s="1">
        <v>76.528301887</v>
      </c>
      <c r="AE876" s="1">
        <v>7.3027090695</v>
      </c>
      <c r="AF876" s="1">
        <v>0.3553545469</v>
      </c>
      <c r="AG876" s="1">
        <v>0.3068971087</v>
      </c>
      <c r="AH876" s="1">
        <v>0.4684219028</v>
      </c>
      <c r="AI876" s="1">
        <v>0.1453723147</v>
      </c>
      <c r="AJ876" s="1">
        <v>8.1731545792</v>
      </c>
      <c r="AK876" s="1">
        <v>89.888547892</v>
      </c>
      <c r="AL876" s="1">
        <v>2.9863481229</v>
      </c>
      <c r="AM876" s="1">
        <v>49.265062187</v>
      </c>
      <c r="AN876" s="1">
        <v>100.0</v>
      </c>
      <c r="AO876" s="1">
        <v>26188.0</v>
      </c>
      <c r="AP876" s="1">
        <v>13.2</v>
      </c>
      <c r="AQ876" s="1">
        <v>3.3</v>
      </c>
      <c r="AR876" s="1">
        <v>9.1</v>
      </c>
      <c r="AS876" s="1">
        <v>20.8</v>
      </c>
      <c r="AT876" s="1">
        <v>23.4</v>
      </c>
      <c r="AU876" s="1">
        <v>14.1</v>
      </c>
      <c r="AV876" s="1">
        <v>9.1</v>
      </c>
      <c r="AW876" s="1">
        <v>2.3</v>
      </c>
      <c r="AX876" s="1">
        <v>0.2372</v>
      </c>
      <c r="AY876" s="1">
        <v>12.5</v>
      </c>
      <c r="AZ876" s="1">
        <v>8.9</v>
      </c>
      <c r="BA876" s="1">
        <v>12.6</v>
      </c>
      <c r="BB876" s="1">
        <v>2.94</v>
      </c>
      <c r="BC876" s="1" t="s">
        <v>1444</v>
      </c>
      <c r="BD876" s="1">
        <v>9.8</v>
      </c>
      <c r="BE876" s="1">
        <v>38.5</v>
      </c>
      <c r="BF876" s="1">
        <v>37.2</v>
      </c>
      <c r="BG876" s="1">
        <v>14.5</v>
      </c>
      <c r="BH876" s="1" t="s">
        <v>1570</v>
      </c>
    </row>
    <row r="877">
      <c r="A877" s="1">
        <v>19175.0</v>
      </c>
      <c r="B877" s="2" t="str">
        <f>IFERROR(__xludf.DUMMYFUNCTION("TO_TEXT(A877)"),"19175")</f>
        <v>19175</v>
      </c>
      <c r="C877" s="1">
        <v>12539.0</v>
      </c>
      <c r="D877" s="1">
        <v>423.64492333803</v>
      </c>
      <c r="E877" s="1" t="s">
        <v>406</v>
      </c>
      <c r="F877" s="1" t="s">
        <v>1571</v>
      </c>
      <c r="G877" s="1">
        <v>29.5978998195028</v>
      </c>
      <c r="H877" s="1">
        <v>14.450552562</v>
      </c>
      <c r="I877" s="1">
        <v>3.708023547</v>
      </c>
      <c r="J877" s="1">
        <v>5.1391862955</v>
      </c>
      <c r="K877" s="1">
        <v>16.191578729</v>
      </c>
      <c r="L877" s="1">
        <v>40.6</v>
      </c>
      <c r="M877" s="1">
        <v>7.9</v>
      </c>
      <c r="N877" s="1">
        <v>25.0</v>
      </c>
      <c r="O877" s="1">
        <v>87.1469602679999</v>
      </c>
      <c r="P877" s="1">
        <v>5.9634930512</v>
      </c>
      <c r="Q877" s="1">
        <v>80.32129</v>
      </c>
      <c r="R877" s="1">
        <v>92.857142857</v>
      </c>
      <c r="S877" s="1">
        <v>17.7</v>
      </c>
      <c r="T877" s="1">
        <v>2756.0</v>
      </c>
      <c r="U877" s="1">
        <v>28.447024673</v>
      </c>
      <c r="V877" s="1">
        <v>219.4119759</v>
      </c>
      <c r="W877" s="1">
        <v>9.8513011152</v>
      </c>
      <c r="X877" s="1">
        <v>9.0364826941</v>
      </c>
      <c r="Y877" s="1">
        <v>77.559290605</v>
      </c>
      <c r="Z877" s="1">
        <v>18.3</v>
      </c>
      <c r="AA877" s="1">
        <v>6.2629064736</v>
      </c>
      <c r="AB877" s="1">
        <v>49887.0</v>
      </c>
      <c r="AC877" s="1">
        <v>53.834355828</v>
      </c>
      <c r="AD877" s="1">
        <v>70.773969965</v>
      </c>
      <c r="AE877" s="1">
        <v>8.826420287</v>
      </c>
      <c r="AF877" s="1">
        <v>1.1489602719</v>
      </c>
      <c r="AG877" s="1">
        <v>0.4450198236</v>
      </c>
      <c r="AH877" s="1">
        <v>0.784853143499999</v>
      </c>
      <c r="AI877" s="1">
        <v>0.016182539</v>
      </c>
      <c r="AJ877" s="1">
        <v>3.1555951129</v>
      </c>
      <c r="AK877" s="1">
        <v>93.7616312</v>
      </c>
      <c r="AL877" s="1">
        <v>1.2188885101</v>
      </c>
      <c r="AM877" s="1">
        <v>51.525204305</v>
      </c>
      <c r="AN877" s="1">
        <v>39.229296314</v>
      </c>
      <c r="AO877" s="1">
        <v>25140.0</v>
      </c>
      <c r="AP877" s="1">
        <v>12.9</v>
      </c>
      <c r="AQ877" s="1">
        <v>4.1</v>
      </c>
      <c r="AR877" s="1">
        <v>8.1</v>
      </c>
      <c r="AS877" s="1">
        <v>19.0</v>
      </c>
      <c r="AT877" s="1">
        <v>23.2</v>
      </c>
      <c r="AU877" s="1">
        <v>15.4</v>
      </c>
      <c r="AV877" s="1">
        <v>5.2</v>
      </c>
      <c r="AW877" s="1">
        <v>0.6</v>
      </c>
      <c r="AX877" s="1">
        <v>0.2518</v>
      </c>
      <c r="AY877" s="1">
        <v>12.1</v>
      </c>
      <c r="AZ877" s="1">
        <v>11.7</v>
      </c>
      <c r="BA877" s="1">
        <v>16.9</v>
      </c>
      <c r="BB877" s="1">
        <v>2.91</v>
      </c>
      <c r="BC877" s="1" t="s">
        <v>1444</v>
      </c>
      <c r="BD877" s="1">
        <v>9.7</v>
      </c>
      <c r="BE877" s="1">
        <v>35.5</v>
      </c>
      <c r="BF877" s="1">
        <v>36.7</v>
      </c>
      <c r="BG877" s="1">
        <v>18.0</v>
      </c>
      <c r="BH877" s="1" t="s">
        <v>1571</v>
      </c>
    </row>
    <row r="878">
      <c r="A878" s="1">
        <v>19177.0</v>
      </c>
      <c r="B878" s="2" t="str">
        <f>IFERROR(__xludf.DUMMYFUNCTION("TO_TEXT(A878)"),"19177")</f>
        <v>19177</v>
      </c>
      <c r="C878" s="1">
        <v>7380.0</v>
      </c>
      <c r="D878" s="1">
        <v>484.788658454454</v>
      </c>
      <c r="E878" s="1" t="s">
        <v>408</v>
      </c>
      <c r="F878" s="1" t="s">
        <v>1572</v>
      </c>
      <c r="G878" s="1">
        <v>15.2231284113124</v>
      </c>
      <c r="H878" s="1">
        <v>13.35931021</v>
      </c>
      <c r="I878" s="1">
        <v>3.508120827</v>
      </c>
      <c r="J878" s="1">
        <v>3.2761310452</v>
      </c>
      <c r="K878" s="1">
        <v>15.8611681479999</v>
      </c>
      <c r="L878" s="1">
        <v>32.9</v>
      </c>
      <c r="M878" s="1">
        <v>6.7</v>
      </c>
      <c r="N878" s="1">
        <v>23.1</v>
      </c>
      <c r="O878" s="1">
        <v>59.27344782</v>
      </c>
      <c r="P878" s="1">
        <v>7.9108234448</v>
      </c>
      <c r="Q878" s="1">
        <v>97.80634</v>
      </c>
      <c r="R878" s="1">
        <v>95.52238806</v>
      </c>
      <c r="S878" s="1">
        <v>20.9</v>
      </c>
      <c r="T878" s="1">
        <v>1724.0</v>
      </c>
      <c r="U878" s="1">
        <v>17.807424594</v>
      </c>
      <c r="V878" s="1">
        <v>115.55978519</v>
      </c>
      <c r="W878" s="1">
        <v>8.0479452055</v>
      </c>
      <c r="X878" s="1">
        <v>5.4589707928</v>
      </c>
      <c r="Y878" s="1">
        <v>76.451134436</v>
      </c>
      <c r="Z878" s="1">
        <v>3.1</v>
      </c>
      <c r="AA878" s="1">
        <v>21.7199803469999</v>
      </c>
      <c r="AB878" s="1">
        <v>47905.0</v>
      </c>
      <c r="AC878" s="1">
        <v>49.942857143</v>
      </c>
      <c r="AD878" s="1">
        <v>81.8023052739999</v>
      </c>
      <c r="AE878" s="1">
        <v>5.63176895309999</v>
      </c>
      <c r="AF878" s="1">
        <v>0.2991452991</v>
      </c>
      <c r="AG878" s="1">
        <v>0.2421652422</v>
      </c>
      <c r="AH878" s="1">
        <v>0.5555555556</v>
      </c>
      <c r="AI878" s="1">
        <v>0.0142450142</v>
      </c>
      <c r="AJ878" s="1">
        <v>1.6951566952</v>
      </c>
      <c r="AK878" s="1">
        <v>95.911680912</v>
      </c>
      <c r="AL878" s="1">
        <v>0.618921308599999</v>
      </c>
      <c r="AM878" s="1">
        <v>48.532763533</v>
      </c>
      <c r="AN878" s="1">
        <v>100.0</v>
      </c>
      <c r="AO878" s="1">
        <v>23765.0</v>
      </c>
      <c r="AP878" s="1">
        <v>14.5</v>
      </c>
      <c r="AQ878" s="1">
        <v>3.7</v>
      </c>
      <c r="AR878" s="1">
        <v>11.7</v>
      </c>
      <c r="AS878" s="1">
        <v>20.6</v>
      </c>
      <c r="AT878" s="1">
        <v>23.4</v>
      </c>
      <c r="AU878" s="1">
        <v>13.1</v>
      </c>
      <c r="AV878" s="1">
        <v>3.1</v>
      </c>
      <c r="AW878" s="1">
        <v>0.5</v>
      </c>
      <c r="AX878" s="1">
        <v>0.1738</v>
      </c>
      <c r="AY878" s="1">
        <v>12.8</v>
      </c>
      <c r="AZ878" s="1">
        <v>9.8</v>
      </c>
      <c r="BA878" s="1">
        <v>17.0</v>
      </c>
      <c r="BB878" s="1">
        <v>2.61</v>
      </c>
      <c r="BC878" s="1" t="s">
        <v>1444</v>
      </c>
      <c r="BD878" s="1">
        <v>10.8</v>
      </c>
      <c r="BE878" s="1">
        <v>38.9</v>
      </c>
      <c r="BF878" s="1">
        <v>35.8</v>
      </c>
      <c r="BG878" s="1">
        <v>14.4</v>
      </c>
      <c r="BH878" s="1" t="s">
        <v>1572</v>
      </c>
    </row>
    <row r="879">
      <c r="A879" s="1">
        <v>19179.0</v>
      </c>
      <c r="B879" s="2" t="str">
        <f>IFERROR(__xludf.DUMMYFUNCTION("TO_TEXT(A879)"),"19179")</f>
        <v>19179</v>
      </c>
      <c r="C879" s="1">
        <v>35242.0</v>
      </c>
      <c r="D879" s="1">
        <v>431.839763383824</v>
      </c>
      <c r="E879" s="1" t="s">
        <v>1573</v>
      </c>
      <c r="F879" s="1" t="s">
        <v>1574</v>
      </c>
      <c r="G879" s="1">
        <v>81.6089739486924</v>
      </c>
      <c r="H879" s="1">
        <v>16.901472651</v>
      </c>
      <c r="I879" s="1">
        <v>3.8328050719</v>
      </c>
      <c r="J879" s="1">
        <v>7.2104404568</v>
      </c>
      <c r="K879" s="1">
        <v>19.853594219</v>
      </c>
      <c r="L879" s="1">
        <v>32.3</v>
      </c>
      <c r="M879" s="1">
        <v>6.4</v>
      </c>
      <c r="N879" s="1">
        <v>26.6</v>
      </c>
      <c r="O879" s="1">
        <v>74.599298246</v>
      </c>
      <c r="P879" s="1">
        <v>6.7945500179</v>
      </c>
      <c r="Q879" s="1">
        <v>57.07111</v>
      </c>
      <c r="R879" s="1">
        <v>91.73126615</v>
      </c>
      <c r="S879" s="1">
        <v>19.8</v>
      </c>
      <c r="T879" s="1">
        <v>7845.0</v>
      </c>
      <c r="U879" s="1">
        <v>35.997450605</v>
      </c>
      <c r="V879" s="1">
        <v>315.24687238</v>
      </c>
      <c r="W879" s="1">
        <v>15.946039433</v>
      </c>
      <c r="X879" s="1">
        <v>12.80252543</v>
      </c>
      <c r="Y879" s="1">
        <v>76.485774186</v>
      </c>
      <c r="Z879" s="1">
        <v>16.3</v>
      </c>
      <c r="AA879" s="1">
        <v>21.8081413219999</v>
      </c>
      <c r="AB879" s="1">
        <v>48226.0</v>
      </c>
      <c r="AC879" s="1">
        <v>42.714444268</v>
      </c>
      <c r="AD879" s="1">
        <v>72.27770842</v>
      </c>
      <c r="AE879" s="1">
        <v>12.3507409009999</v>
      </c>
      <c r="AF879" s="1">
        <v>3.7182218435</v>
      </c>
      <c r="AG879" s="1">
        <v>0.8294276381</v>
      </c>
      <c r="AH879" s="1">
        <v>1.4458173555</v>
      </c>
      <c r="AI879" s="1">
        <v>0.9260048289</v>
      </c>
      <c r="AJ879" s="1">
        <v>10.930265587</v>
      </c>
      <c r="AK879" s="1">
        <v>81.451498367</v>
      </c>
      <c r="AL879" s="1">
        <v>3.2575551731</v>
      </c>
      <c r="AM879" s="1">
        <v>50.180372106</v>
      </c>
      <c r="AN879" s="1">
        <v>30.467368421</v>
      </c>
      <c r="AO879" s="1">
        <v>23116.0</v>
      </c>
      <c r="AP879" s="1">
        <v>17.5</v>
      </c>
      <c r="AQ879" s="1">
        <v>7.0</v>
      </c>
      <c r="AR879" s="1">
        <v>13.7</v>
      </c>
      <c r="AS879" s="1">
        <v>16.7</v>
      </c>
      <c r="AT879" s="1">
        <v>22.4</v>
      </c>
      <c r="AU879" s="1">
        <v>14.2</v>
      </c>
      <c r="AV879" s="1">
        <v>15.4</v>
      </c>
      <c r="AW879" s="1">
        <v>3.7</v>
      </c>
      <c r="AX879" s="1">
        <v>0.7326</v>
      </c>
      <c r="AY879" s="1">
        <v>14.2</v>
      </c>
      <c r="AZ879" s="1">
        <v>11.0</v>
      </c>
      <c r="BA879" s="1">
        <v>16.6</v>
      </c>
      <c r="BB879" s="1">
        <v>2.56</v>
      </c>
      <c r="BC879" s="1" t="s">
        <v>1444</v>
      </c>
      <c r="BD879" s="1">
        <v>11.9</v>
      </c>
      <c r="BE879" s="1">
        <v>34.9</v>
      </c>
      <c r="BF879" s="1">
        <v>34.4</v>
      </c>
      <c r="BG879" s="1">
        <v>18.8</v>
      </c>
      <c r="BH879" s="1" t="s">
        <v>1574</v>
      </c>
    </row>
    <row r="880">
      <c r="A880" s="1">
        <v>19181.0</v>
      </c>
      <c r="B880" s="2" t="str">
        <f>IFERROR(__xludf.DUMMYFUNCTION("TO_TEXT(A880)"),"19181")</f>
        <v>19181</v>
      </c>
      <c r="C880" s="1">
        <v>48170.0</v>
      </c>
      <c r="D880" s="1">
        <v>569.829644040118</v>
      </c>
      <c r="E880" s="1" t="s">
        <v>1045</v>
      </c>
      <c r="F880" s="1" t="s">
        <v>1575</v>
      </c>
      <c r="G880" s="1">
        <v>84.5340366262319</v>
      </c>
      <c r="H880" s="1">
        <v>11.069199283</v>
      </c>
      <c r="I880" s="1">
        <v>3.2347625509</v>
      </c>
      <c r="J880" s="1">
        <v>6.7609254499</v>
      </c>
      <c r="K880" s="1">
        <v>14.398997612</v>
      </c>
      <c r="L880" s="1">
        <v>34.0</v>
      </c>
      <c r="M880" s="1">
        <v>8.8</v>
      </c>
      <c r="N880" s="1">
        <v>17.5</v>
      </c>
      <c r="O880" s="1">
        <v>72.6057328289999</v>
      </c>
      <c r="P880" s="1">
        <v>3.8548039951</v>
      </c>
      <c r="Q880" s="1">
        <v>57.81153</v>
      </c>
      <c r="R880" s="1">
        <v>96.132596685</v>
      </c>
      <c r="S880" s="1">
        <v>7.2</v>
      </c>
      <c r="T880" s="1">
        <v>12281.0</v>
      </c>
      <c r="U880" s="1">
        <v>22.148033548</v>
      </c>
      <c r="V880" s="1">
        <v>337.09026988</v>
      </c>
      <c r="W880" s="1">
        <v>9.2704333516</v>
      </c>
      <c r="X880" s="1">
        <v>8.0275862069</v>
      </c>
      <c r="Y880" s="1">
        <v>79.569314306</v>
      </c>
      <c r="Z880" s="1">
        <v>10.0</v>
      </c>
      <c r="AA880" s="1">
        <v>2.876099641</v>
      </c>
      <c r="AB880" s="1">
        <v>78192.0</v>
      </c>
      <c r="AC880" s="1">
        <v>20.300674985</v>
      </c>
      <c r="AD880" s="1">
        <v>77.878580094</v>
      </c>
      <c r="AE880" s="1">
        <v>9.4603276582</v>
      </c>
      <c r="AF880" s="1">
        <v>0.8578815418</v>
      </c>
      <c r="AG880" s="1">
        <v>0.3270918207</v>
      </c>
      <c r="AH880" s="1">
        <v>0.683563146299999</v>
      </c>
      <c r="AI880" s="1">
        <v>0.1508147916</v>
      </c>
      <c r="AJ880" s="1">
        <v>2.9516609213</v>
      </c>
      <c r="AK880" s="1">
        <v>93.9536979</v>
      </c>
      <c r="AL880" s="1">
        <v>0.2455943815</v>
      </c>
      <c r="AM880" s="1">
        <v>50.695314948</v>
      </c>
      <c r="AN880" s="1">
        <v>41.955651704</v>
      </c>
      <c r="AO880" s="1">
        <v>31525.0</v>
      </c>
      <c r="AP880" s="1">
        <v>7.3</v>
      </c>
      <c r="AQ880" s="1">
        <v>5.2</v>
      </c>
      <c r="AR880" s="1">
        <v>4.4</v>
      </c>
      <c r="AS880" s="1">
        <v>14.9</v>
      </c>
      <c r="AT880" s="1">
        <v>25.2</v>
      </c>
      <c r="AU880" s="1">
        <v>11.3</v>
      </c>
      <c r="AV880" s="1">
        <v>5.1</v>
      </c>
      <c r="AW880" s="1">
        <v>0.2</v>
      </c>
      <c r="AX880" s="1">
        <v>0.1111</v>
      </c>
      <c r="AY880" s="1">
        <v>7.3</v>
      </c>
      <c r="AZ880" s="1">
        <v>7.1</v>
      </c>
      <c r="BA880" s="1">
        <v>10.9</v>
      </c>
      <c r="BB880" s="1">
        <v>3.17</v>
      </c>
      <c r="BC880" s="1" t="s">
        <v>1444</v>
      </c>
      <c r="BD880" s="1">
        <v>4.6</v>
      </c>
      <c r="BE880" s="1">
        <v>30.8</v>
      </c>
      <c r="BF880" s="1">
        <v>32.7</v>
      </c>
      <c r="BG880" s="1">
        <v>31.9</v>
      </c>
      <c r="BH880" s="1" t="s">
        <v>1575</v>
      </c>
    </row>
    <row r="881">
      <c r="A881" s="1">
        <v>19183.0</v>
      </c>
      <c r="B881" s="2" t="str">
        <f>IFERROR(__xludf.DUMMYFUNCTION("TO_TEXT(A881)"),"19183")</f>
        <v>19183</v>
      </c>
      <c r="C881" s="1">
        <v>22115.0</v>
      </c>
      <c r="D881" s="1">
        <v>568.852823354708</v>
      </c>
      <c r="E881" s="1" t="s">
        <v>188</v>
      </c>
      <c r="F881" s="1" t="s">
        <v>1576</v>
      </c>
      <c r="G881" s="1">
        <v>38.8764880687077</v>
      </c>
      <c r="H881" s="1">
        <v>13.441470174</v>
      </c>
      <c r="I881" s="1">
        <v>3.4693248416</v>
      </c>
      <c r="J881" s="1">
        <v>7.0463320463</v>
      </c>
      <c r="K881" s="1">
        <v>15.2801191</v>
      </c>
      <c r="L881" s="1">
        <v>34.2</v>
      </c>
      <c r="M881" s="1">
        <v>8.8</v>
      </c>
      <c r="N881" s="1">
        <v>21.4</v>
      </c>
      <c r="O881" s="1">
        <v>78.317360855</v>
      </c>
      <c r="P881" s="1">
        <v>5.9128110907</v>
      </c>
      <c r="Q881" s="1">
        <v>67.32193</v>
      </c>
      <c r="R881" s="1">
        <v>91.007194245</v>
      </c>
      <c r="S881" s="1">
        <v>11.6</v>
      </c>
      <c r="T881" s="1">
        <v>5485.0</v>
      </c>
      <c r="U881" s="1">
        <v>25.451230629</v>
      </c>
      <c r="V881" s="1">
        <v>321.61572543</v>
      </c>
      <c r="W881" s="1">
        <v>7.82410051399999</v>
      </c>
      <c r="X881" s="1">
        <v>6.4441887227</v>
      </c>
      <c r="Y881" s="1">
        <v>78.745596978</v>
      </c>
      <c r="Z881" s="1">
        <v>11.9</v>
      </c>
      <c r="AA881" s="1">
        <v>1.5107263014</v>
      </c>
      <c r="AB881" s="1">
        <v>65849.0</v>
      </c>
      <c r="AC881" s="1">
        <v>30.906460945</v>
      </c>
      <c r="AD881" s="1">
        <v>70.802752294</v>
      </c>
      <c r="AE881" s="1">
        <v>7.4144713315</v>
      </c>
      <c r="AF881" s="1">
        <v>1.0433133101</v>
      </c>
      <c r="AG881" s="1">
        <v>0.3387380877</v>
      </c>
      <c r="AH881" s="1">
        <v>0.6006955422</v>
      </c>
      <c r="AI881" s="1">
        <v>0.1038796802</v>
      </c>
      <c r="AJ881" s="1">
        <v>6.4676392214</v>
      </c>
      <c r="AK881" s="1">
        <v>90.542432591</v>
      </c>
      <c r="AL881" s="1">
        <v>1.70592226419999</v>
      </c>
      <c r="AM881" s="1">
        <v>50.59392078</v>
      </c>
      <c r="AN881" s="1">
        <v>69.46185035</v>
      </c>
      <c r="AO881" s="1">
        <v>27933.0</v>
      </c>
      <c r="AP881" s="1">
        <v>9.0</v>
      </c>
      <c r="AQ881" s="1">
        <v>4.2</v>
      </c>
      <c r="AR881" s="1">
        <v>9.2</v>
      </c>
      <c r="AS881" s="1">
        <v>18.5</v>
      </c>
      <c r="AT881" s="1">
        <v>24.8</v>
      </c>
      <c r="AU881" s="1">
        <v>13.3</v>
      </c>
      <c r="AV881" s="1">
        <v>8.2</v>
      </c>
      <c r="AW881" s="1">
        <v>1.5</v>
      </c>
      <c r="AX881" s="1">
        <v>0.2251</v>
      </c>
      <c r="AY881" s="1">
        <v>9.1</v>
      </c>
      <c r="AZ881" s="1">
        <v>8.1</v>
      </c>
      <c r="BA881" s="1">
        <v>12.4</v>
      </c>
      <c r="BB881" s="1">
        <v>2.88</v>
      </c>
      <c r="BC881" s="1" t="s">
        <v>1444</v>
      </c>
      <c r="BD881" s="1">
        <v>8.6</v>
      </c>
      <c r="BE881" s="1">
        <v>39.3</v>
      </c>
      <c r="BF881" s="1">
        <v>30.3</v>
      </c>
      <c r="BG881" s="1">
        <v>21.8</v>
      </c>
      <c r="BH881" s="1" t="s">
        <v>1576</v>
      </c>
    </row>
    <row r="882">
      <c r="A882" s="1">
        <v>19185.0</v>
      </c>
      <c r="B882" s="2" t="str">
        <f>IFERROR(__xludf.DUMMYFUNCTION("TO_TEXT(A882)"),"19185")</f>
        <v>19185</v>
      </c>
      <c r="C882" s="1">
        <v>6403.0</v>
      </c>
      <c r="D882" s="1">
        <v>525.46182576488</v>
      </c>
      <c r="E882" s="1" t="s">
        <v>1048</v>
      </c>
      <c r="F882" s="1" t="s">
        <v>1577</v>
      </c>
      <c r="G882" s="1">
        <v>12.1854713055122</v>
      </c>
      <c r="H882" s="1">
        <v>14.969245662</v>
      </c>
      <c r="I882" s="1">
        <v>3.8389088561</v>
      </c>
      <c r="J882" s="1">
        <v>5.4574638844</v>
      </c>
      <c r="K882" s="1">
        <v>16.933845142</v>
      </c>
      <c r="L882" s="1">
        <v>39.1</v>
      </c>
      <c r="M882" s="1">
        <v>7.0</v>
      </c>
      <c r="N882" s="1">
        <v>31.3</v>
      </c>
      <c r="O882" s="1">
        <v>54.521318132</v>
      </c>
      <c r="P882" s="1">
        <v>7.416315895</v>
      </c>
      <c r="Q882" s="1">
        <v>61.7665199999999</v>
      </c>
      <c r="R882" s="1">
        <v>97.297297297</v>
      </c>
      <c r="S882" s="1">
        <v>22.2</v>
      </c>
      <c r="T882" s="1">
        <v>1601.0</v>
      </c>
      <c r="U882" s="1">
        <v>27.607745159</v>
      </c>
      <c r="V882" s="1">
        <v>117.28829463</v>
      </c>
      <c r="W882" s="1">
        <v>12.233009709</v>
      </c>
      <c r="X882" s="1">
        <v>7.9452054795</v>
      </c>
      <c r="Y882" s="1">
        <v>77.900858758</v>
      </c>
      <c r="Z882" s="1">
        <v>21.2</v>
      </c>
      <c r="AA882" s="1">
        <v>16.660614284</v>
      </c>
      <c r="AB882" s="1">
        <v>46725.0</v>
      </c>
      <c r="AC882" s="1">
        <v>52.767175573</v>
      </c>
      <c r="AD882" s="1">
        <v>81.603596853</v>
      </c>
      <c r="AE882" s="1">
        <v>9.9451840251</v>
      </c>
      <c r="AF882" s="1">
        <v>0.4530542103</v>
      </c>
      <c r="AG882" s="1">
        <v>0.2343383846</v>
      </c>
      <c r="AH882" s="1">
        <v>0.5467895641</v>
      </c>
      <c r="AI882" s="1">
        <v>0.015622559</v>
      </c>
      <c r="AJ882" s="1">
        <v>1.6403686924</v>
      </c>
      <c r="AK882" s="1">
        <v>95.9850023429999</v>
      </c>
      <c r="AL882" s="1">
        <v>0.7060010086</v>
      </c>
      <c r="AM882" s="1">
        <v>50.851429464</v>
      </c>
      <c r="AN882" s="1">
        <v>100.0</v>
      </c>
      <c r="AO882" s="1">
        <v>22461.0</v>
      </c>
      <c r="AP882" s="1">
        <v>14.7</v>
      </c>
      <c r="AQ882" s="1">
        <v>3.0</v>
      </c>
      <c r="AR882" s="1">
        <v>10.8</v>
      </c>
      <c r="AS882" s="1">
        <v>22.4</v>
      </c>
      <c r="AT882" s="1">
        <v>24.2</v>
      </c>
      <c r="AU882" s="1">
        <v>17.1</v>
      </c>
      <c r="AV882" s="1">
        <v>3.4</v>
      </c>
      <c r="AW882" s="1">
        <v>0.6</v>
      </c>
      <c r="AX882" s="1">
        <v>0.3951</v>
      </c>
      <c r="AY882" s="1">
        <v>19.1</v>
      </c>
      <c r="AZ882" s="1">
        <v>10.8</v>
      </c>
      <c r="BA882" s="1">
        <v>18.6</v>
      </c>
      <c r="BB882" s="1">
        <v>2.63</v>
      </c>
      <c r="BC882" s="1" t="s">
        <v>1444</v>
      </c>
      <c r="BD882" s="1">
        <v>12.1</v>
      </c>
      <c r="BE882" s="1">
        <v>44.4</v>
      </c>
      <c r="BF882" s="1">
        <v>30.9</v>
      </c>
      <c r="BG882" s="1">
        <v>12.7</v>
      </c>
      <c r="BH882" s="1" t="s">
        <v>1577</v>
      </c>
    </row>
    <row r="883">
      <c r="A883" s="1">
        <v>19187.0</v>
      </c>
      <c r="B883" s="2" t="str">
        <f>IFERROR(__xludf.DUMMYFUNCTION("TO_TEXT(A883)"),"19187")</f>
        <v>19187</v>
      </c>
      <c r="C883" s="1">
        <v>37050.0</v>
      </c>
      <c r="D883" s="1">
        <v>715.61832138791</v>
      </c>
      <c r="E883" s="1" t="s">
        <v>1050</v>
      </c>
      <c r="F883" s="1" t="s">
        <v>1578</v>
      </c>
      <c r="G883" s="1">
        <v>51.7734089425536</v>
      </c>
      <c r="H883" s="1">
        <v>15.135353095</v>
      </c>
      <c r="I883" s="1">
        <v>3.5753282335</v>
      </c>
      <c r="J883" s="1">
        <v>6.3836681789</v>
      </c>
      <c r="K883" s="1">
        <v>17.004108752</v>
      </c>
      <c r="L883" s="1">
        <v>37.5</v>
      </c>
      <c r="M883" s="1">
        <v>7.5</v>
      </c>
      <c r="N883" s="1">
        <v>25.0</v>
      </c>
      <c r="O883" s="1">
        <v>75.187435877</v>
      </c>
      <c r="P883" s="1">
        <v>5.8596452893</v>
      </c>
      <c r="Q883" s="1">
        <v>51.90548</v>
      </c>
      <c r="R883" s="1">
        <v>88.352272727</v>
      </c>
      <c r="S883" s="1">
        <v>18.5</v>
      </c>
      <c r="T883" s="1">
        <v>7614.0</v>
      </c>
      <c r="U883" s="1">
        <v>39.085894405</v>
      </c>
      <c r="V883" s="1">
        <v>469.03170709</v>
      </c>
      <c r="W883" s="1">
        <v>11.475953566</v>
      </c>
      <c r="X883" s="1">
        <v>11.051574012</v>
      </c>
      <c r="Y883" s="1">
        <v>76.939794372</v>
      </c>
      <c r="Z883" s="1">
        <v>11.1</v>
      </c>
      <c r="AA883" s="1">
        <v>7.81122482309999</v>
      </c>
      <c r="AB883" s="1">
        <v>52093.0</v>
      </c>
      <c r="AC883" s="1">
        <v>53.916423712</v>
      </c>
      <c r="AD883" s="1">
        <v>67.464492372</v>
      </c>
      <c r="AE883" s="1">
        <v>11.153531497</v>
      </c>
      <c r="AF883" s="1">
        <v>4.4518565482</v>
      </c>
      <c r="AG883" s="1">
        <v>0.5127215591</v>
      </c>
      <c r="AH883" s="1">
        <v>1.2432119525</v>
      </c>
      <c r="AI883" s="1">
        <v>0.0551313504</v>
      </c>
      <c r="AJ883" s="1">
        <v>5.1409984288</v>
      </c>
      <c r="AK883" s="1">
        <v>86.903547702</v>
      </c>
      <c r="AL883" s="1">
        <v>0.4683840749</v>
      </c>
      <c r="AM883" s="1">
        <v>48.234418502</v>
      </c>
      <c r="AN883" s="1">
        <v>33.912082709</v>
      </c>
      <c r="AO883" s="1">
        <v>23921.0</v>
      </c>
      <c r="AP883" s="1">
        <v>15.7</v>
      </c>
      <c r="AQ883" s="1">
        <v>6.6</v>
      </c>
      <c r="AR883" s="1">
        <v>9.4</v>
      </c>
      <c r="AS883" s="1">
        <v>17.0</v>
      </c>
      <c r="AT883" s="1">
        <v>21.5</v>
      </c>
      <c r="AU883" s="1">
        <v>14.1</v>
      </c>
      <c r="AV883" s="1">
        <v>11.4</v>
      </c>
      <c r="AW883" s="1">
        <v>0.5</v>
      </c>
      <c r="AX883" s="1">
        <v>0.368</v>
      </c>
      <c r="AY883" s="1">
        <v>12.1</v>
      </c>
      <c r="AZ883" s="1">
        <v>11.2</v>
      </c>
      <c r="BA883" s="1">
        <v>16.6</v>
      </c>
      <c r="BB883" s="1">
        <v>2.69</v>
      </c>
      <c r="BC883" s="1" t="s">
        <v>1444</v>
      </c>
      <c r="BD883" s="1">
        <v>9.5</v>
      </c>
      <c r="BE883" s="1">
        <v>33.9</v>
      </c>
      <c r="BF883" s="1">
        <v>36.7</v>
      </c>
      <c r="BG883" s="1">
        <v>19.9</v>
      </c>
      <c r="BH883" s="1" t="s">
        <v>1578</v>
      </c>
    </row>
    <row r="884">
      <c r="A884" s="1">
        <v>19189.0</v>
      </c>
      <c r="B884" s="2" t="str">
        <f>IFERROR(__xludf.DUMMYFUNCTION("TO_TEXT(A884)"),"19189")</f>
        <v>19189</v>
      </c>
      <c r="C884" s="1">
        <v>10580.0</v>
      </c>
      <c r="D884" s="1">
        <v>400.488911874492</v>
      </c>
      <c r="E884" s="1" t="s">
        <v>1304</v>
      </c>
      <c r="F884" s="1" t="s">
        <v>1579</v>
      </c>
      <c r="G884" s="1">
        <v>26.4177101695031</v>
      </c>
      <c r="H884" s="1">
        <v>13.291848477</v>
      </c>
      <c r="I884" s="1">
        <v>3.4148960681</v>
      </c>
      <c r="J884" s="1">
        <v>6.9269521411</v>
      </c>
      <c r="K884" s="1">
        <v>15.165127173</v>
      </c>
      <c r="L884" s="1">
        <v>39.8</v>
      </c>
      <c r="M884" s="1">
        <v>8.3</v>
      </c>
      <c r="N884" s="1">
        <v>28.4</v>
      </c>
      <c r="O884" s="1">
        <v>86.8949015279999</v>
      </c>
      <c r="P884" s="1">
        <v>5.0822122571</v>
      </c>
      <c r="Q884" s="1">
        <v>47.22773</v>
      </c>
      <c r="R884" s="1">
        <v>94.02173913</v>
      </c>
      <c r="S884" s="1">
        <v>13.5</v>
      </c>
      <c r="T884" s="1">
        <v>2290.0</v>
      </c>
      <c r="U884" s="1">
        <v>27.379912664</v>
      </c>
      <c r="V884" s="1">
        <v>114.20957457</v>
      </c>
      <c r="W884" s="1">
        <v>7.5907590759</v>
      </c>
      <c r="X884" s="1">
        <v>6.57748049049999</v>
      </c>
      <c r="Y884" s="1">
        <v>79.9466773589999</v>
      </c>
      <c r="Z884" s="1">
        <v>7.2</v>
      </c>
      <c r="AA884" s="1">
        <v>5.4530535905</v>
      </c>
      <c r="AB884" s="1">
        <v>54433.0</v>
      </c>
      <c r="AC884" s="1">
        <v>36.835389196</v>
      </c>
      <c r="AD884" s="1">
        <v>73.528773073</v>
      </c>
      <c r="AE884" s="1">
        <v>6.1860258122</v>
      </c>
      <c r="AF884" s="1">
        <v>1.4736641947</v>
      </c>
      <c r="AG884" s="1">
        <v>0.3803004373</v>
      </c>
      <c r="AH884" s="1">
        <v>1.0648412246</v>
      </c>
      <c r="AI884" s="1">
        <v>0.0190150219</v>
      </c>
      <c r="AJ884" s="1">
        <v>4.58262027</v>
      </c>
      <c r="AK884" s="1">
        <v>91.319642518</v>
      </c>
      <c r="AL884" s="1">
        <v>0.679524332999999</v>
      </c>
      <c r="AM884" s="1">
        <v>50.7035558089999</v>
      </c>
      <c r="AN884" s="1">
        <v>66.12368857</v>
      </c>
      <c r="AO884" s="1">
        <v>25917.0</v>
      </c>
      <c r="AP884" s="1">
        <v>10.2</v>
      </c>
      <c r="AQ884" s="1">
        <v>6.6</v>
      </c>
      <c r="AR884" s="1">
        <v>9.0</v>
      </c>
      <c r="AS884" s="1">
        <v>20.3</v>
      </c>
      <c r="AT884" s="1">
        <v>21.5</v>
      </c>
      <c r="AU884" s="1">
        <v>14.5</v>
      </c>
      <c r="AV884" s="1">
        <v>7.2</v>
      </c>
      <c r="AW884" s="1">
        <v>0.6</v>
      </c>
      <c r="AX884" s="1">
        <v>0.1646</v>
      </c>
      <c r="AY884" s="1">
        <v>10.2</v>
      </c>
      <c r="AZ884" s="1">
        <v>9.0</v>
      </c>
      <c r="BA884" s="1">
        <v>13.8</v>
      </c>
      <c r="BB884" s="1">
        <v>3.06</v>
      </c>
      <c r="BC884" s="1" t="s">
        <v>1444</v>
      </c>
      <c r="BD884" s="1">
        <v>7.6</v>
      </c>
      <c r="BE884" s="1">
        <v>34.1</v>
      </c>
      <c r="BF884" s="1">
        <v>36.6</v>
      </c>
      <c r="BG884" s="1">
        <v>21.8</v>
      </c>
      <c r="BH884" s="1" t="s">
        <v>1579</v>
      </c>
    </row>
    <row r="885">
      <c r="A885" s="1">
        <v>19191.0</v>
      </c>
      <c r="B885" s="2" t="str">
        <f>IFERROR(__xludf.DUMMYFUNCTION("TO_TEXT(A885)"),"19191")</f>
        <v>19191</v>
      </c>
      <c r="C885" s="1">
        <v>20789.0</v>
      </c>
      <c r="D885" s="1">
        <v>689.853763113356</v>
      </c>
      <c r="E885" s="1" t="s">
        <v>1580</v>
      </c>
      <c r="F885" s="1" t="s">
        <v>1581</v>
      </c>
      <c r="G885" s="1">
        <v>30.1353723232267</v>
      </c>
      <c r="H885" s="1">
        <v>12.040660765</v>
      </c>
      <c r="I885" s="1">
        <v>3.3406912943</v>
      </c>
      <c r="J885" s="1">
        <v>5.5780113177</v>
      </c>
      <c r="K885" s="1">
        <v>14.016352085</v>
      </c>
      <c r="L885" s="1">
        <v>33.2</v>
      </c>
      <c r="M885" s="1">
        <v>8.6</v>
      </c>
      <c r="N885" s="1">
        <v>27.4</v>
      </c>
      <c r="O885" s="1">
        <v>77.540843465</v>
      </c>
      <c r="P885" s="1">
        <v>4.650509308</v>
      </c>
      <c r="Q885" s="1">
        <v>108.9055</v>
      </c>
      <c r="R885" s="1">
        <v>97.222222222</v>
      </c>
      <c r="S885" s="1">
        <v>9.9</v>
      </c>
      <c r="T885" s="1">
        <v>3749.0</v>
      </c>
      <c r="U885" s="1">
        <v>16.884502534</v>
      </c>
      <c r="V885" s="1">
        <v>43.243243243</v>
      </c>
      <c r="W885" s="1">
        <v>7.9829372334</v>
      </c>
      <c r="X885" s="1">
        <v>6.8417837508</v>
      </c>
      <c r="Y885" s="1">
        <v>82.718996361</v>
      </c>
      <c r="Z885" s="1">
        <v>5.7</v>
      </c>
      <c r="AA885" s="1">
        <v>3.4044401644</v>
      </c>
      <c r="AB885" s="1">
        <v>61807.0</v>
      </c>
      <c r="AC885" s="1">
        <v>23.9080459769999</v>
      </c>
      <c r="AD885" s="1">
        <v>79.14686167</v>
      </c>
      <c r="AE885" s="1">
        <v>9.2608749844</v>
      </c>
      <c r="AF885" s="1">
        <v>0.7938489191</v>
      </c>
      <c r="AG885" s="1">
        <v>0.129811772899999</v>
      </c>
      <c r="AH885" s="1">
        <v>1.1782914774</v>
      </c>
      <c r="AI885" s="1">
        <v>0.019971042</v>
      </c>
      <c r="AJ885" s="1">
        <v>2.2367567028</v>
      </c>
      <c r="AK885" s="1">
        <v>95.007239503</v>
      </c>
      <c r="AL885" s="1">
        <v>0.1590069758</v>
      </c>
      <c r="AM885" s="1">
        <v>50.107344351</v>
      </c>
      <c r="AN885" s="1">
        <v>58.98081307</v>
      </c>
      <c r="AO885" s="1">
        <v>27240.0</v>
      </c>
      <c r="AP885" s="1">
        <v>8.0</v>
      </c>
      <c r="AQ885" s="1">
        <v>2.5</v>
      </c>
      <c r="AR885" s="1">
        <v>5.6</v>
      </c>
      <c r="AS885" s="1">
        <v>18.1</v>
      </c>
      <c r="AT885" s="1">
        <v>18.8</v>
      </c>
      <c r="AU885" s="1">
        <v>8.6</v>
      </c>
      <c r="AV885" s="1">
        <v>4.7</v>
      </c>
      <c r="AW885" s="1">
        <v>0.1</v>
      </c>
      <c r="AX885" s="1">
        <v>0.0102</v>
      </c>
      <c r="AY885" s="1">
        <v>8.6</v>
      </c>
      <c r="AZ885" s="1">
        <v>7.6</v>
      </c>
      <c r="BA885" s="1">
        <v>12.4</v>
      </c>
      <c r="BB885" s="1">
        <v>3.09</v>
      </c>
      <c r="BC885" s="1" t="s">
        <v>1444</v>
      </c>
      <c r="BD885" s="1">
        <v>4.8</v>
      </c>
      <c r="BE885" s="1">
        <v>33.0</v>
      </c>
      <c r="BF885" s="1">
        <v>31.6</v>
      </c>
      <c r="BG885" s="1">
        <v>30.6</v>
      </c>
      <c r="BH885" s="1" t="s">
        <v>1581</v>
      </c>
    </row>
    <row r="886">
      <c r="A886" s="1">
        <v>19193.0</v>
      </c>
      <c r="B886" s="2" t="str">
        <f>IFERROR(__xludf.DUMMYFUNCTION("TO_TEXT(A886)"),"19193")</f>
        <v>19193</v>
      </c>
      <c r="C886" s="1">
        <v>102426.0</v>
      </c>
      <c r="D886" s="1">
        <v>872.895918187756</v>
      </c>
      <c r="E886" s="1" t="s">
        <v>1582</v>
      </c>
      <c r="F886" s="1" t="s">
        <v>1583</v>
      </c>
      <c r="G886" s="1">
        <v>117.340450179501</v>
      </c>
      <c r="H886" s="1">
        <v>19.210765305</v>
      </c>
      <c r="I886" s="1">
        <v>3.7354260753</v>
      </c>
      <c r="J886" s="1">
        <v>6.9789674952</v>
      </c>
      <c r="K886" s="1">
        <v>18.502301039</v>
      </c>
      <c r="L886" s="1">
        <v>35.4</v>
      </c>
      <c r="M886" s="1">
        <v>7.9</v>
      </c>
      <c r="N886" s="1">
        <v>26.4</v>
      </c>
      <c r="O886" s="1">
        <v>94.492620287</v>
      </c>
      <c r="P886" s="1">
        <v>8.1299273184</v>
      </c>
      <c r="Q886" s="1">
        <v>66.38745</v>
      </c>
      <c r="R886" s="1">
        <v>88.4116693679999</v>
      </c>
      <c r="S886" s="1">
        <v>19.8</v>
      </c>
      <c r="T886" s="1">
        <v>26491.0</v>
      </c>
      <c r="U886" s="1">
        <v>40.300479408</v>
      </c>
      <c r="V886" s="1">
        <v>355.14793765</v>
      </c>
      <c r="W886" s="1">
        <v>12.404307772</v>
      </c>
      <c r="X886" s="1">
        <v>9.7938821058</v>
      </c>
      <c r="Y886" s="1">
        <v>77.695047588</v>
      </c>
      <c r="Z886" s="1">
        <v>9.2</v>
      </c>
      <c r="AA886" s="1">
        <v>9.6064421287</v>
      </c>
      <c r="AB886" s="1">
        <v>60059.0</v>
      </c>
      <c r="AC886" s="1">
        <v>53.594277073</v>
      </c>
      <c r="AD886" s="1">
        <v>65.636946761</v>
      </c>
      <c r="AE886" s="1">
        <v>9.4921514312</v>
      </c>
      <c r="AF886" s="1">
        <v>3.7117584529</v>
      </c>
      <c r="AG886" s="1">
        <v>2.8428207804</v>
      </c>
      <c r="AH886" s="1">
        <v>2.9852056291</v>
      </c>
      <c r="AI886" s="1">
        <v>0.2759925492</v>
      </c>
      <c r="AJ886" s="1">
        <v>16.975979871</v>
      </c>
      <c r="AK886" s="1">
        <v>72.326626942</v>
      </c>
      <c r="AL886" s="1">
        <v>3.86908524</v>
      </c>
      <c r="AM886" s="1">
        <v>50.4432459839999</v>
      </c>
      <c r="AN886" s="1">
        <v>17.45683749</v>
      </c>
      <c r="AO886" s="1">
        <v>24469.0</v>
      </c>
      <c r="AP886" s="1">
        <v>14.2</v>
      </c>
      <c r="AQ886" s="1">
        <v>5.0</v>
      </c>
      <c r="AR886" s="1">
        <v>14.3</v>
      </c>
      <c r="AS886" s="1">
        <v>13.7</v>
      </c>
      <c r="AT886" s="1">
        <v>26.3</v>
      </c>
      <c r="AU886" s="1">
        <v>12.5</v>
      </c>
      <c r="AV886" s="1">
        <v>24.8</v>
      </c>
      <c r="AW886" s="1">
        <v>4.0</v>
      </c>
      <c r="AX886" s="1">
        <v>0.6441</v>
      </c>
      <c r="AY886" s="1">
        <v>12.8</v>
      </c>
      <c r="AZ886" s="1">
        <v>9.5</v>
      </c>
      <c r="BA886" s="1">
        <v>13.6</v>
      </c>
      <c r="BB886" s="1">
        <v>2.97</v>
      </c>
      <c r="BC886" s="1" t="s">
        <v>1444</v>
      </c>
      <c r="BD886" s="1">
        <v>12.9</v>
      </c>
      <c r="BE886" s="1">
        <v>32.2</v>
      </c>
      <c r="BF886" s="1">
        <v>31.8</v>
      </c>
      <c r="BG886" s="1">
        <v>23.1</v>
      </c>
      <c r="BH886" s="1" t="s">
        <v>1583</v>
      </c>
    </row>
    <row r="887">
      <c r="A887" s="1">
        <v>19195.0</v>
      </c>
      <c r="B887" s="2" t="str">
        <f>IFERROR(__xludf.DUMMYFUNCTION("TO_TEXT(A887)"),"19195")</f>
        <v>19195</v>
      </c>
      <c r="C887" s="1">
        <v>7562.0</v>
      </c>
      <c r="D887" s="1">
        <v>400.123265944553</v>
      </c>
      <c r="E887" s="1" t="s">
        <v>1062</v>
      </c>
      <c r="F887" s="1" t="s">
        <v>1584</v>
      </c>
      <c r="G887" s="1">
        <v>18.8991759380668</v>
      </c>
      <c r="H887" s="1">
        <v>12.7833745</v>
      </c>
      <c r="I887" s="1">
        <v>3.4392516519</v>
      </c>
      <c r="J887" s="1">
        <v>7.3608617594</v>
      </c>
      <c r="K887" s="1">
        <v>14.871467552</v>
      </c>
      <c r="L887" s="1">
        <v>32.6</v>
      </c>
      <c r="M887" s="1">
        <v>8.6</v>
      </c>
      <c r="N887" s="1">
        <v>26.8</v>
      </c>
      <c r="O887" s="1">
        <v>68.439062911</v>
      </c>
      <c r="P887" s="1">
        <v>5.7478991597</v>
      </c>
      <c r="Q887" s="1">
        <v>26.77735</v>
      </c>
      <c r="R887" s="1">
        <v>98.969072165</v>
      </c>
      <c r="S887" s="1">
        <v>15.4</v>
      </c>
      <c r="T887" s="1">
        <v>1565.0</v>
      </c>
      <c r="U887" s="1">
        <v>39.424920128</v>
      </c>
      <c r="V887" s="1">
        <v>92.709092113</v>
      </c>
      <c r="W887" s="1">
        <v>7.3131955485</v>
      </c>
      <c r="X887" s="1">
        <v>5.4281098546</v>
      </c>
      <c r="Y887" s="1">
        <v>78.492526125</v>
      </c>
      <c r="Z887" s="1">
        <v>17.0</v>
      </c>
      <c r="AA887" s="1">
        <v>2.570527732</v>
      </c>
      <c r="AB887" s="1">
        <v>58587.0</v>
      </c>
      <c r="AC887" s="1">
        <v>32.567849687</v>
      </c>
      <c r="AD887" s="1">
        <v>77.287066246</v>
      </c>
      <c r="AE887" s="1">
        <v>5.2124833997</v>
      </c>
      <c r="AF887" s="1">
        <v>0.8184623641</v>
      </c>
      <c r="AG887" s="1">
        <v>0.3488528109</v>
      </c>
      <c r="AH887" s="1">
        <v>0.6306185429</v>
      </c>
      <c r="AI887" s="1">
        <v>0.0268348316</v>
      </c>
      <c r="AJ887" s="1">
        <v>3.0725882195</v>
      </c>
      <c r="AK887" s="1">
        <v>94.230511204</v>
      </c>
      <c r="AL887" s="1">
        <v>0.338123415</v>
      </c>
      <c r="AM887" s="1">
        <v>49.45659466</v>
      </c>
      <c r="AN887" s="1">
        <v>100.0</v>
      </c>
      <c r="AO887" s="1">
        <v>25661.0</v>
      </c>
      <c r="AP887" s="1">
        <v>10.5</v>
      </c>
      <c r="AQ887" s="1">
        <v>6.3</v>
      </c>
      <c r="AR887" s="1">
        <v>7.7</v>
      </c>
      <c r="AS887" s="1">
        <v>19.8</v>
      </c>
      <c r="AT887" s="1">
        <v>21.5</v>
      </c>
      <c r="AU887" s="1">
        <v>13.5</v>
      </c>
      <c r="AV887" s="1">
        <v>5.0</v>
      </c>
      <c r="AW887" s="1">
        <v>0.4</v>
      </c>
      <c r="AX887" s="1">
        <v>0.0895</v>
      </c>
      <c r="AY887" s="1">
        <v>9.8</v>
      </c>
      <c r="AZ887" s="1">
        <v>9.0</v>
      </c>
      <c r="BA887" s="1">
        <v>14.4</v>
      </c>
      <c r="BB887" s="1">
        <v>2.95</v>
      </c>
      <c r="BC887" s="1" t="s">
        <v>1444</v>
      </c>
      <c r="BD887" s="1">
        <v>6.7</v>
      </c>
      <c r="BE887" s="1">
        <v>36.4</v>
      </c>
      <c r="BF887" s="1">
        <v>39.4</v>
      </c>
      <c r="BG887" s="1">
        <v>17.5</v>
      </c>
      <c r="BH887" s="1" t="s">
        <v>1584</v>
      </c>
    </row>
    <row r="888">
      <c r="A888" s="1">
        <v>19197.0</v>
      </c>
      <c r="B888" s="2" t="str">
        <f>IFERROR(__xludf.DUMMYFUNCTION("TO_TEXT(A888)"),"19197")</f>
        <v>19197</v>
      </c>
      <c r="C888" s="1">
        <v>12891.0</v>
      </c>
      <c r="D888" s="1">
        <v>580.42209217737</v>
      </c>
      <c r="E888" s="1" t="s">
        <v>1585</v>
      </c>
      <c r="F888" s="1" t="s">
        <v>1586</v>
      </c>
      <c r="G888" s="1">
        <v>22.2096990685542</v>
      </c>
      <c r="H888" s="1">
        <v>15.5485908159999</v>
      </c>
      <c r="I888" s="1">
        <v>3.5525210161</v>
      </c>
      <c r="J888" s="1">
        <v>6.57276995309999</v>
      </c>
      <c r="K888" s="1">
        <v>16.05251113</v>
      </c>
      <c r="L888" s="1">
        <v>36.5</v>
      </c>
      <c r="M888" s="1">
        <v>8.6</v>
      </c>
      <c r="N888" s="1">
        <v>27.7</v>
      </c>
      <c r="O888" s="1">
        <v>74.722201225</v>
      </c>
      <c r="P888" s="1">
        <v>7.0080587575</v>
      </c>
      <c r="Q888" s="1">
        <v>39.11139</v>
      </c>
      <c r="R888" s="1">
        <v>92.17877095</v>
      </c>
      <c r="S888" s="1">
        <v>17.0</v>
      </c>
      <c r="T888" s="1">
        <v>2961.0</v>
      </c>
      <c r="U888" s="1">
        <v>35.224586288</v>
      </c>
      <c r="V888" s="1">
        <v>74.1752879169999</v>
      </c>
      <c r="W888" s="1">
        <v>10.307414105</v>
      </c>
      <c r="X888" s="1">
        <v>8.4025854109</v>
      </c>
      <c r="Y888" s="1">
        <v>79.766022106</v>
      </c>
      <c r="Z888" s="1">
        <v>7.1</v>
      </c>
      <c r="AA888" s="1">
        <v>2.2460637155</v>
      </c>
      <c r="AB888" s="1">
        <v>54802.0</v>
      </c>
      <c r="AC888" s="1">
        <v>55.598012992</v>
      </c>
      <c r="AD888" s="1">
        <v>71.528998243</v>
      </c>
      <c r="AE888" s="1">
        <v>8.0051057622</v>
      </c>
      <c r="AF888" s="1">
        <v>0.6934594169</v>
      </c>
      <c r="AG888" s="1">
        <v>0.4964539007</v>
      </c>
      <c r="AH888" s="1">
        <v>0.5043341214</v>
      </c>
      <c r="AI888" s="1">
        <v>0.2285263987</v>
      </c>
      <c r="AJ888" s="1">
        <v>12.718676123</v>
      </c>
      <c r="AK888" s="1">
        <v>84.893617021</v>
      </c>
      <c r="AL888" s="1">
        <v>2.5711205109</v>
      </c>
      <c r="AM888" s="1">
        <v>49.732072498</v>
      </c>
      <c r="AN888" s="1">
        <v>56.799455741</v>
      </c>
      <c r="AO888" s="1">
        <v>27111.0</v>
      </c>
      <c r="AP888" s="1">
        <v>12.8</v>
      </c>
      <c r="AQ888" s="1">
        <v>6.2</v>
      </c>
      <c r="AR888" s="1">
        <v>10.0</v>
      </c>
      <c r="AS888" s="1">
        <v>21.1</v>
      </c>
      <c r="AT888" s="1">
        <v>23.3</v>
      </c>
      <c r="AU888" s="1">
        <v>13.3</v>
      </c>
      <c r="AV888" s="1">
        <v>12.7</v>
      </c>
      <c r="AW888" s="1">
        <v>3.4</v>
      </c>
      <c r="AX888" s="1">
        <v>0.4212</v>
      </c>
      <c r="AY888" s="1">
        <v>11.0</v>
      </c>
      <c r="AZ888" s="1">
        <v>9.6</v>
      </c>
      <c r="BA888" s="1">
        <v>15.6</v>
      </c>
      <c r="BB888" s="1">
        <v>2.92</v>
      </c>
      <c r="BC888" s="1" t="s">
        <v>1444</v>
      </c>
      <c r="BD888" s="1">
        <v>7.6</v>
      </c>
      <c r="BE888" s="1">
        <v>36.9</v>
      </c>
      <c r="BF888" s="1">
        <v>38.2</v>
      </c>
      <c r="BG888" s="1">
        <v>17.2</v>
      </c>
      <c r="BH888" s="1" t="s">
        <v>1586</v>
      </c>
    </row>
    <row r="889">
      <c r="A889" s="1">
        <v>20001.0</v>
      </c>
      <c r="B889" s="2" t="str">
        <f>IFERROR(__xludf.DUMMYFUNCTION("TO_TEXT(A889)"),"20001")</f>
        <v>20001</v>
      </c>
      <c r="C889" s="1">
        <v>12951.0</v>
      </c>
      <c r="D889" s="1">
        <v>500.302831411534</v>
      </c>
      <c r="E889" s="1" t="s">
        <v>1310</v>
      </c>
      <c r="F889" s="1" t="s">
        <v>1587</v>
      </c>
      <c r="G889" s="1">
        <v>25.8863216173704</v>
      </c>
      <c r="H889" s="1">
        <v>17.763332374</v>
      </c>
      <c r="I889" s="1">
        <v>3.9466547464</v>
      </c>
      <c r="J889" s="1">
        <v>6.1895551257</v>
      </c>
      <c r="K889" s="1">
        <v>18.6461719709999</v>
      </c>
      <c r="L889" s="1">
        <v>38.3</v>
      </c>
      <c r="M889" s="1">
        <v>6.3</v>
      </c>
      <c r="N889" s="1">
        <v>30.7</v>
      </c>
      <c r="O889" s="1">
        <v>78.483284721</v>
      </c>
      <c r="P889" s="1">
        <v>9.11913880549999</v>
      </c>
      <c r="Q889" s="1">
        <v>63.9028699999999</v>
      </c>
      <c r="R889" s="1">
        <v>84.7</v>
      </c>
      <c r="S889" s="1">
        <v>26.8</v>
      </c>
      <c r="T889" s="1">
        <v>2790.0</v>
      </c>
      <c r="U889" s="1">
        <v>26.05734767</v>
      </c>
      <c r="V889" s="1">
        <v>318.64961461</v>
      </c>
      <c r="W889" s="1">
        <v>8.9538171536</v>
      </c>
      <c r="X889" s="1">
        <v>7.21767282419999</v>
      </c>
      <c r="Y889" s="1">
        <v>76.567721511</v>
      </c>
      <c r="Z889" s="1">
        <v>17.3</v>
      </c>
      <c r="AA889" s="1">
        <v>19.5036142909999</v>
      </c>
      <c r="AB889" s="1">
        <v>44423.0</v>
      </c>
      <c r="AC889" s="1">
        <v>55.891507337</v>
      </c>
      <c r="AD889" s="1">
        <v>71.109850633</v>
      </c>
      <c r="AE889" s="1">
        <v>9.3979733757</v>
      </c>
      <c r="AF889" s="1">
        <v>1.9768563163</v>
      </c>
      <c r="AG889" s="1">
        <v>0.9803921569</v>
      </c>
      <c r="AH889" s="1">
        <v>0.7634201221</v>
      </c>
      <c r="AI889" s="1">
        <v>0.0321440051</v>
      </c>
      <c r="AJ889" s="1">
        <v>3.7528126005</v>
      </c>
      <c r="AK889" s="1">
        <v>89.9871423979999</v>
      </c>
      <c r="AL889" s="1">
        <v>0.0</v>
      </c>
      <c r="AM889" s="1">
        <v>50.731276117</v>
      </c>
      <c r="AN889" s="1">
        <v>57.153541246</v>
      </c>
      <c r="AO889" s="1">
        <v>21577.0</v>
      </c>
      <c r="AP889" s="1">
        <v>15.4</v>
      </c>
      <c r="AQ889" s="1">
        <v>5.3</v>
      </c>
      <c r="AR889" s="1">
        <v>9.6</v>
      </c>
      <c r="AS889" s="1">
        <v>19.7</v>
      </c>
      <c r="AT889" s="1">
        <v>23.1</v>
      </c>
      <c r="AU889" s="1">
        <v>19.9</v>
      </c>
      <c r="AV889" s="1">
        <v>9.1</v>
      </c>
      <c r="AW889" s="1">
        <v>0.2</v>
      </c>
      <c r="AX889" s="1">
        <v>0.4683</v>
      </c>
      <c r="AY889" s="1">
        <v>17.3</v>
      </c>
      <c r="AZ889" s="1">
        <v>15.2</v>
      </c>
      <c r="BA889" s="1">
        <v>24.0</v>
      </c>
      <c r="BB889" s="1">
        <v>3.06</v>
      </c>
      <c r="BC889" s="1" t="s">
        <v>1588</v>
      </c>
      <c r="BD889" s="1">
        <v>8.1</v>
      </c>
      <c r="BE889" s="1">
        <v>33.1</v>
      </c>
      <c r="BF889" s="1">
        <v>38.5</v>
      </c>
      <c r="BG889" s="1">
        <v>20.3</v>
      </c>
      <c r="BH889" s="1" t="s">
        <v>1587</v>
      </c>
    </row>
    <row r="890">
      <c r="A890" s="1">
        <v>20003.0</v>
      </c>
      <c r="B890" s="2" t="str">
        <f>IFERROR(__xludf.DUMMYFUNCTION("TO_TEXT(A890)"),"20003")</f>
        <v>20003</v>
      </c>
      <c r="C890" s="1">
        <v>7858.0</v>
      </c>
      <c r="D890" s="1">
        <v>579.646130632706</v>
      </c>
      <c r="E890" s="1" t="s">
        <v>1589</v>
      </c>
      <c r="F890" s="1" t="s">
        <v>1590</v>
      </c>
      <c r="G890" s="1">
        <v>13.5565469770715</v>
      </c>
      <c r="H890" s="1">
        <v>16.692746084</v>
      </c>
      <c r="I890" s="1">
        <v>3.7883910723</v>
      </c>
      <c r="J890" s="1">
        <v>5.6686046512</v>
      </c>
      <c r="K890" s="1">
        <v>17.2192151679999</v>
      </c>
      <c r="L890" s="1">
        <v>35.3</v>
      </c>
      <c r="M890" s="1">
        <v>7.4</v>
      </c>
      <c r="N890" s="1">
        <v>26.7</v>
      </c>
      <c r="O890" s="1">
        <v>54.542088373</v>
      </c>
      <c r="P890" s="1">
        <v>10.385756677</v>
      </c>
      <c r="Q890" s="1">
        <v>38.2995</v>
      </c>
      <c r="R890" s="1">
        <v>93.1</v>
      </c>
      <c r="S890" s="1">
        <v>16.7</v>
      </c>
      <c r="T890" s="1">
        <v>2050.0</v>
      </c>
      <c r="U890" s="1">
        <v>17.073170732</v>
      </c>
      <c r="V890" s="1">
        <v>237.48268355</v>
      </c>
      <c r="W890" s="1">
        <v>11.975116641</v>
      </c>
      <c r="X890" s="1">
        <v>10.406811731</v>
      </c>
      <c r="Y890" s="1">
        <v>76.119989166</v>
      </c>
      <c r="Z890" s="1">
        <v>12.2</v>
      </c>
      <c r="AA890" s="1">
        <v>7.7190990834</v>
      </c>
      <c r="AB890" s="1">
        <v>50646.0</v>
      </c>
      <c r="AC890" s="1">
        <v>48.61878453</v>
      </c>
      <c r="AD890" s="1">
        <v>74.1935483869999</v>
      </c>
      <c r="AE890" s="1">
        <v>9.3706293706</v>
      </c>
      <c r="AF890" s="1">
        <v>0.621985275499999</v>
      </c>
      <c r="AG890" s="1">
        <v>0.6854531607</v>
      </c>
      <c r="AH890" s="1">
        <v>0.6854531607</v>
      </c>
      <c r="AI890" s="1">
        <v>0.0126935771</v>
      </c>
      <c r="AJ890" s="1">
        <v>1.9421172887</v>
      </c>
      <c r="AK890" s="1">
        <v>94.529068291</v>
      </c>
      <c r="AL890" s="1">
        <v>0.0135851107</v>
      </c>
      <c r="AM890" s="1">
        <v>50.355420157</v>
      </c>
      <c r="AN890" s="1">
        <v>58.824981486</v>
      </c>
      <c r="AO890" s="1">
        <v>21851.0</v>
      </c>
      <c r="AP890" s="1">
        <v>15.1</v>
      </c>
      <c r="AQ890" s="1">
        <v>3.7</v>
      </c>
      <c r="AR890" s="1">
        <v>9.1</v>
      </c>
      <c r="AS890" s="1">
        <v>20.7</v>
      </c>
      <c r="AT890" s="1">
        <v>25.1</v>
      </c>
      <c r="AU890" s="1">
        <v>13.5</v>
      </c>
      <c r="AV890" s="1">
        <v>4.8</v>
      </c>
      <c r="AW890" s="1">
        <v>0.3</v>
      </c>
      <c r="AX890" s="1">
        <v>0.3021</v>
      </c>
      <c r="AY890" s="1">
        <v>12.7</v>
      </c>
      <c r="AZ890" s="1">
        <v>13.1</v>
      </c>
      <c r="BA890" s="1">
        <v>21.8</v>
      </c>
      <c r="BB890" s="1">
        <v>3.26</v>
      </c>
      <c r="BC890" s="1" t="s">
        <v>1588</v>
      </c>
      <c r="BD890" s="1">
        <v>9.0</v>
      </c>
      <c r="BE890" s="1">
        <v>42.0</v>
      </c>
      <c r="BF890" s="1">
        <v>30.9</v>
      </c>
      <c r="BG890" s="1">
        <v>18.1</v>
      </c>
      <c r="BH890" s="1" t="s">
        <v>1590</v>
      </c>
    </row>
    <row r="891">
      <c r="A891" s="1">
        <v>20005.0</v>
      </c>
      <c r="B891" s="2" t="str">
        <f>IFERROR(__xludf.DUMMYFUNCTION("TO_TEXT(A891)"),"20005")</f>
        <v>20005</v>
      </c>
      <c r="C891" s="1">
        <v>16557.0</v>
      </c>
      <c r="D891" s="1">
        <v>431.17165364133</v>
      </c>
      <c r="E891" s="1" t="s">
        <v>1591</v>
      </c>
      <c r="F891" s="1" t="s">
        <v>1592</v>
      </c>
      <c r="G891" s="1">
        <v>38.4000197141273</v>
      </c>
      <c r="H891" s="1">
        <v>17.3940405279999</v>
      </c>
      <c r="I891" s="1">
        <v>3.9090567442</v>
      </c>
      <c r="J891" s="1">
        <v>6.5693430657</v>
      </c>
      <c r="K891" s="1">
        <v>16.833097032</v>
      </c>
      <c r="L891" s="1">
        <v>43.4</v>
      </c>
      <c r="M891" s="1">
        <v>7.2</v>
      </c>
      <c r="N891" s="1">
        <v>32.7</v>
      </c>
      <c r="O891" s="1">
        <v>74.450484519</v>
      </c>
      <c r="P891" s="1">
        <v>7.4139594725</v>
      </c>
      <c r="Q891" s="1">
        <v>55.10654</v>
      </c>
      <c r="R891" s="1">
        <v>84.9</v>
      </c>
      <c r="S891" s="1">
        <v>18.3</v>
      </c>
      <c r="T891" s="1">
        <v>3742.0</v>
      </c>
      <c r="U891" s="1">
        <v>20.2565473009999</v>
      </c>
      <c r="V891" s="1">
        <v>288.35938686</v>
      </c>
      <c r="W891" s="1">
        <v>12.386457473</v>
      </c>
      <c r="X891" s="1">
        <v>10.2756892229999</v>
      </c>
      <c r="Y891" s="1">
        <v>76.93974274</v>
      </c>
      <c r="Z891" s="1">
        <v>11.3</v>
      </c>
      <c r="AA891" s="1">
        <v>5.7150409935</v>
      </c>
      <c r="AB891" s="1">
        <v>49332.0</v>
      </c>
      <c r="AC891" s="1">
        <v>61.490125673</v>
      </c>
      <c r="AD891" s="1">
        <v>68.3946488289999</v>
      </c>
      <c r="AE891" s="1">
        <v>8.9485055816</v>
      </c>
      <c r="AF891" s="1">
        <v>4.8477737294</v>
      </c>
      <c r="AG891" s="1">
        <v>0.6978323967</v>
      </c>
      <c r="AH891" s="1">
        <v>0.6422528253</v>
      </c>
      <c r="AI891" s="1">
        <v>0.0494040635</v>
      </c>
      <c r="AJ891" s="1">
        <v>3.1001049836</v>
      </c>
      <c r="AK891" s="1">
        <v>88.309763478</v>
      </c>
      <c r="AL891" s="1">
        <v>0.2535431023</v>
      </c>
      <c r="AM891" s="1">
        <v>51.4543321189999</v>
      </c>
      <c r="AN891" s="1">
        <v>34.152682581</v>
      </c>
      <c r="AO891" s="1">
        <v>23151.0</v>
      </c>
      <c r="AP891" s="1">
        <v>19.2</v>
      </c>
      <c r="AQ891" s="1">
        <v>6.7</v>
      </c>
      <c r="AR891" s="1">
        <v>7.4</v>
      </c>
      <c r="AS891" s="1">
        <v>16.1</v>
      </c>
      <c r="AT891" s="1">
        <v>23.4</v>
      </c>
      <c r="AU891" s="1">
        <v>15.7</v>
      </c>
      <c r="AV891" s="1">
        <v>11.5</v>
      </c>
      <c r="AW891" s="1">
        <v>0.2</v>
      </c>
      <c r="AX891" s="1">
        <v>0.4763</v>
      </c>
      <c r="AY891" s="1">
        <v>13.8</v>
      </c>
      <c r="AZ891" s="1">
        <v>14.9</v>
      </c>
      <c r="BA891" s="1">
        <v>23.8</v>
      </c>
      <c r="BB891" s="1">
        <v>3.15</v>
      </c>
      <c r="BC891" s="1" t="s">
        <v>1588</v>
      </c>
      <c r="BD891" s="1">
        <v>7.3</v>
      </c>
      <c r="BE891" s="1">
        <v>38.4</v>
      </c>
      <c r="BF891" s="1">
        <v>32.3</v>
      </c>
      <c r="BG891" s="1">
        <v>22.0</v>
      </c>
      <c r="BH891" s="1" t="s">
        <v>1592</v>
      </c>
    </row>
    <row r="892">
      <c r="A892" s="1">
        <v>20007.0</v>
      </c>
      <c r="B892" s="2" t="str">
        <f>IFERROR(__xludf.DUMMYFUNCTION("TO_TEXT(A892)"),"20007")</f>
        <v>20007</v>
      </c>
      <c r="C892" s="1">
        <v>4831.0</v>
      </c>
      <c r="D892" s="1">
        <v>1134.0786809696</v>
      </c>
      <c r="E892" s="1" t="s">
        <v>1593</v>
      </c>
      <c r="F892" s="1" t="s">
        <v>1594</v>
      </c>
      <c r="G892" s="1">
        <v>4.25984553017927</v>
      </c>
      <c r="H892" s="1">
        <v>15.829654457</v>
      </c>
      <c r="I892" s="1">
        <v>3.8432105706</v>
      </c>
      <c r="J892" s="1">
        <v>6.0096153846</v>
      </c>
      <c r="K892" s="1">
        <v>16.698919432</v>
      </c>
      <c r="L892" s="1">
        <v>27.5</v>
      </c>
      <c r="M892" s="1">
        <v>7.9</v>
      </c>
      <c r="N892" s="1">
        <v>27.2</v>
      </c>
      <c r="O892" s="1">
        <v>54.9269697589999</v>
      </c>
      <c r="P892" s="1">
        <v>13.894380119</v>
      </c>
      <c r="Q892" s="1">
        <v>43.61099</v>
      </c>
      <c r="R892" s="1">
        <v>82.0</v>
      </c>
      <c r="S892" s="1">
        <v>19.9</v>
      </c>
      <c r="T892" s="1">
        <v>1087.0</v>
      </c>
      <c r="U892" s="1">
        <v>28.334866605</v>
      </c>
      <c r="V892" s="1">
        <v>296.80365297</v>
      </c>
      <c r="W892" s="1">
        <v>9.693877551</v>
      </c>
      <c r="X892" s="1">
        <v>8.5007727975</v>
      </c>
      <c r="Y892" s="1">
        <v>76.274491336</v>
      </c>
      <c r="Z892" s="1">
        <v>10.7</v>
      </c>
      <c r="AA892" s="1">
        <v>2.6741712062</v>
      </c>
      <c r="AB892" s="1">
        <v>47634.0</v>
      </c>
      <c r="AC892" s="1">
        <v>50.945945946</v>
      </c>
      <c r="AD892" s="1">
        <v>70.816326531</v>
      </c>
      <c r="AE892" s="1">
        <v>8.3286752376</v>
      </c>
      <c r="AF892" s="1">
        <v>0.8050089445</v>
      </c>
      <c r="AG892" s="1">
        <v>1.3640429338</v>
      </c>
      <c r="AH892" s="1">
        <v>0.5143112701</v>
      </c>
      <c r="AI892" s="1">
        <v>0.0223613596</v>
      </c>
      <c r="AJ892" s="1">
        <v>4.2486583184</v>
      </c>
      <c r="AK892" s="1">
        <v>91.614490161</v>
      </c>
      <c r="AL892" s="1">
        <v>0.704705614899999</v>
      </c>
      <c r="AM892" s="1">
        <v>48.546511628</v>
      </c>
      <c r="AN892" s="1">
        <v>100.0</v>
      </c>
      <c r="AO892" s="1">
        <v>26040.0</v>
      </c>
      <c r="AP892" s="1">
        <v>14.2</v>
      </c>
      <c r="AQ892" s="1">
        <v>3.2</v>
      </c>
      <c r="AR892" s="1">
        <v>7.6</v>
      </c>
      <c r="AS892" s="1">
        <v>21.1</v>
      </c>
      <c r="AT892" s="1">
        <v>22.9</v>
      </c>
      <c r="AU892" s="1">
        <v>14.9</v>
      </c>
      <c r="AV892" s="1">
        <v>7.1</v>
      </c>
      <c r="AW892" s="1">
        <v>0.9</v>
      </c>
      <c r="AX892" s="1">
        <v>0.1751</v>
      </c>
      <c r="AY892" s="1">
        <v>13.6</v>
      </c>
      <c r="AZ892" s="1">
        <v>13.6</v>
      </c>
      <c r="BA892" s="1">
        <v>21.1</v>
      </c>
      <c r="BB892" s="1">
        <v>3.15</v>
      </c>
      <c r="BC892" s="1" t="s">
        <v>1588</v>
      </c>
      <c r="BD892" s="1">
        <v>8.9</v>
      </c>
      <c r="BE892" s="1">
        <v>33.7</v>
      </c>
      <c r="BF892" s="1">
        <v>36.7</v>
      </c>
      <c r="BG892" s="1">
        <v>20.7</v>
      </c>
      <c r="BH892" s="1" t="s">
        <v>1594</v>
      </c>
    </row>
    <row r="893">
      <c r="A893" s="1">
        <v>20009.0</v>
      </c>
      <c r="B893" s="2" t="str">
        <f>IFERROR(__xludf.DUMMYFUNCTION("TO_TEXT(A893)"),"20009")</f>
        <v>20009</v>
      </c>
      <c r="C893" s="1">
        <v>27214.0</v>
      </c>
      <c r="D893" s="1">
        <v>895.400217274638</v>
      </c>
      <c r="E893" s="1" t="s">
        <v>1595</v>
      </c>
      <c r="F893" s="1" t="s">
        <v>1596</v>
      </c>
      <c r="G893" s="1">
        <v>30.3931130180337</v>
      </c>
      <c r="H893" s="1">
        <v>17.4200945</v>
      </c>
      <c r="I893" s="1">
        <v>3.762812652</v>
      </c>
      <c r="J893" s="1">
        <v>6.6499372647</v>
      </c>
      <c r="K893" s="1">
        <v>17.34203224</v>
      </c>
      <c r="L893" s="1">
        <v>39.1</v>
      </c>
      <c r="M893" s="1">
        <v>7.5</v>
      </c>
      <c r="N893" s="1">
        <v>27.5</v>
      </c>
      <c r="O893" s="1">
        <v>74.831972248</v>
      </c>
      <c r="P893" s="1">
        <v>12.891090052</v>
      </c>
      <c r="Q893" s="1">
        <v>52.87808</v>
      </c>
      <c r="R893" s="1">
        <v>84.2</v>
      </c>
      <c r="S893" s="1">
        <v>18.9</v>
      </c>
      <c r="T893" s="1">
        <v>6299.0</v>
      </c>
      <c r="U893" s="1">
        <v>39.72059057</v>
      </c>
      <c r="V893" s="1">
        <v>363.98049065</v>
      </c>
      <c r="W893" s="1">
        <v>11.8613949359999</v>
      </c>
      <c r="X893" s="1">
        <v>8.2099596231</v>
      </c>
      <c r="Y893" s="1">
        <v>78.335384402</v>
      </c>
      <c r="Z893" s="1">
        <v>12.6</v>
      </c>
      <c r="AA893" s="1">
        <v>9.1707246348</v>
      </c>
      <c r="AB893" s="1">
        <v>49991.0</v>
      </c>
      <c r="AC893" s="1">
        <v>64.072140484</v>
      </c>
      <c r="AD893" s="1">
        <v>69.7668013219999</v>
      </c>
      <c r="AE893" s="1">
        <v>9.1700966785</v>
      </c>
      <c r="AF893" s="1">
        <v>1.3442610394</v>
      </c>
      <c r="AG893" s="1">
        <v>0.9076634369</v>
      </c>
      <c r="AH893" s="1">
        <v>0.2604266401</v>
      </c>
      <c r="AI893" s="1">
        <v>0.06510666</v>
      </c>
      <c r="AJ893" s="1">
        <v>15.234958447</v>
      </c>
      <c r="AK893" s="1">
        <v>81.168856038</v>
      </c>
      <c r="AL893" s="1">
        <v>2.0750358451</v>
      </c>
      <c r="AM893" s="1">
        <v>50.599364253</v>
      </c>
      <c r="AN893" s="1">
        <v>31.755438318</v>
      </c>
      <c r="AO893" s="1">
        <v>25474.0</v>
      </c>
      <c r="AP893" s="1">
        <v>15.5</v>
      </c>
      <c r="AQ893" s="1">
        <v>5.5</v>
      </c>
      <c r="AR893" s="1">
        <v>13.2</v>
      </c>
      <c r="AS893" s="1">
        <v>17.5</v>
      </c>
      <c r="AT893" s="1">
        <v>24.4</v>
      </c>
      <c r="AU893" s="1">
        <v>13.3</v>
      </c>
      <c r="AV893" s="1">
        <v>17.7</v>
      </c>
      <c r="AW893" s="1">
        <v>2.3</v>
      </c>
      <c r="AX893" s="1">
        <v>0.5081</v>
      </c>
      <c r="AY893" s="1">
        <v>13.4</v>
      </c>
      <c r="AZ893" s="1">
        <v>13.6</v>
      </c>
      <c r="BA893" s="1">
        <v>21.2</v>
      </c>
      <c r="BB893" s="1">
        <v>2.91</v>
      </c>
      <c r="BC893" s="1" t="s">
        <v>1588</v>
      </c>
      <c r="BD893" s="1">
        <v>10.5</v>
      </c>
      <c r="BE893" s="1">
        <v>32.0</v>
      </c>
      <c r="BF893" s="1">
        <v>36.6</v>
      </c>
      <c r="BG893" s="1">
        <v>20.9</v>
      </c>
      <c r="BH893" s="1" t="s">
        <v>1596</v>
      </c>
    </row>
    <row r="894">
      <c r="A894" s="1">
        <v>20011.0</v>
      </c>
      <c r="B894" s="2" t="str">
        <f>IFERROR(__xludf.DUMMYFUNCTION("TO_TEXT(A894)"),"20011")</f>
        <v>20011</v>
      </c>
      <c r="C894" s="1">
        <v>14751.0</v>
      </c>
      <c r="D894" s="1">
        <v>635.47054814768</v>
      </c>
      <c r="E894" s="1" t="s">
        <v>1597</v>
      </c>
      <c r="F894" s="1" t="s">
        <v>1598</v>
      </c>
      <c r="G894" s="1">
        <v>23.2127201535892</v>
      </c>
      <c r="H894" s="1">
        <v>18.636405492</v>
      </c>
      <c r="I894" s="1">
        <v>4.1377604793</v>
      </c>
      <c r="J894" s="1">
        <v>7.3068893528</v>
      </c>
      <c r="K894" s="1">
        <v>18.779734489</v>
      </c>
      <c r="L894" s="1">
        <v>34.8</v>
      </c>
      <c r="M894" s="1">
        <v>7.1</v>
      </c>
      <c r="N894" s="1">
        <v>31.5</v>
      </c>
      <c r="O894" s="1">
        <v>43.076517498</v>
      </c>
      <c r="P894" s="1">
        <v>10.334662736</v>
      </c>
      <c r="Q894" s="1">
        <v>54.22258</v>
      </c>
      <c r="R894" s="1">
        <v>86.9</v>
      </c>
      <c r="S894" s="1">
        <v>22.5</v>
      </c>
      <c r="T894" s="1">
        <v>3774.0</v>
      </c>
      <c r="U894" s="1">
        <v>27.080021198</v>
      </c>
      <c r="V894" s="1">
        <v>521.65018752</v>
      </c>
      <c r="W894" s="1">
        <v>12.522202487</v>
      </c>
      <c r="X894" s="1">
        <v>9.4414414414</v>
      </c>
      <c r="Y894" s="1">
        <v>75.808180682</v>
      </c>
      <c r="Z894" s="1">
        <v>12.1</v>
      </c>
      <c r="AA894" s="1">
        <v>8.26438559679999</v>
      </c>
      <c r="AB894" s="1">
        <v>41807.0</v>
      </c>
      <c r="AC894" s="1">
        <v>61.381941501</v>
      </c>
      <c r="AD894" s="1">
        <v>69.853198182</v>
      </c>
      <c r="AE894" s="1">
        <v>8.9865111192</v>
      </c>
      <c r="AF894" s="1">
        <v>2.9686753566</v>
      </c>
      <c r="AG894" s="1">
        <v>0.9076639596</v>
      </c>
      <c r="AH894" s="1">
        <v>1.2011192247</v>
      </c>
      <c r="AI894" s="1">
        <v>0.0409472463</v>
      </c>
      <c r="AJ894" s="1">
        <v>2.8526581587</v>
      </c>
      <c r="AK894" s="1">
        <v>89.756363885</v>
      </c>
      <c r="AL894" s="1">
        <v>0.0732278852</v>
      </c>
      <c r="AM894" s="1">
        <v>50.576673719</v>
      </c>
      <c r="AN894" s="1">
        <v>47.966783102</v>
      </c>
      <c r="AO894" s="1">
        <v>21158.0</v>
      </c>
      <c r="AP894" s="1">
        <v>17.4</v>
      </c>
      <c r="AQ894" s="1">
        <v>2.5</v>
      </c>
      <c r="AR894" s="1">
        <v>9.5</v>
      </c>
      <c r="AS894" s="1">
        <v>18.1</v>
      </c>
      <c r="AT894" s="1">
        <v>25.2</v>
      </c>
      <c r="AU894" s="1">
        <v>18.9</v>
      </c>
      <c r="AV894" s="1">
        <v>9.2</v>
      </c>
      <c r="AW894" s="1">
        <v>0.2</v>
      </c>
      <c r="AX894" s="1">
        <v>0.5393</v>
      </c>
      <c r="AY894" s="1">
        <v>15.6</v>
      </c>
      <c r="AZ894" s="1">
        <v>15.9</v>
      </c>
      <c r="BA894" s="1">
        <v>25.4</v>
      </c>
      <c r="BB894" s="1">
        <v>2.96</v>
      </c>
      <c r="BC894" s="1" t="s">
        <v>1588</v>
      </c>
      <c r="BD894" s="1">
        <v>8.7</v>
      </c>
      <c r="BE894" s="1">
        <v>31.5</v>
      </c>
      <c r="BF894" s="1">
        <v>38.2</v>
      </c>
      <c r="BG894" s="1">
        <v>21.7</v>
      </c>
      <c r="BH894" s="1" t="s">
        <v>1598</v>
      </c>
    </row>
    <row r="895">
      <c r="A895" s="1">
        <v>20013.0</v>
      </c>
      <c r="B895" s="2" t="str">
        <f>IFERROR(__xludf.DUMMYFUNCTION("TO_TEXT(A895)"),"20013")</f>
        <v>20013</v>
      </c>
      <c r="C895" s="1">
        <v>9810.0</v>
      </c>
      <c r="D895" s="1">
        <v>570.87216229744</v>
      </c>
      <c r="E895" s="1" t="s">
        <v>1158</v>
      </c>
      <c r="F895" s="1" t="s">
        <v>1599</v>
      </c>
      <c r="G895" s="1">
        <v>17.1842325618406</v>
      </c>
      <c r="H895" s="1">
        <v>16.711036752</v>
      </c>
      <c r="I895" s="1">
        <v>3.8561219376</v>
      </c>
      <c r="J895" s="1">
        <v>5.4384017758</v>
      </c>
      <c r="K895" s="1">
        <v>17.149773376</v>
      </c>
      <c r="L895" s="1">
        <v>36.8</v>
      </c>
      <c r="M895" s="1">
        <v>7.9</v>
      </c>
      <c r="N895" s="1">
        <v>33.4</v>
      </c>
      <c r="O895" s="1">
        <v>56.420272436</v>
      </c>
      <c r="P895" s="1">
        <v>10.511215441</v>
      </c>
      <c r="Q895" s="1">
        <v>103.72368</v>
      </c>
      <c r="R895" s="1">
        <v>84.8</v>
      </c>
      <c r="S895" s="1">
        <v>19.7</v>
      </c>
      <c r="T895" s="1">
        <v>2456.0</v>
      </c>
      <c r="U895" s="1">
        <v>38.395765472</v>
      </c>
      <c r="V895" s="1">
        <v>213.32791548</v>
      </c>
      <c r="W895" s="1">
        <v>8.9440993789</v>
      </c>
      <c r="X895" s="1">
        <v>7.0927318296</v>
      </c>
      <c r="Y895" s="1">
        <v>74.80952443</v>
      </c>
      <c r="Z895" s="1">
        <v>13.5</v>
      </c>
      <c r="AA895" s="1">
        <v>3.5913563721</v>
      </c>
      <c r="AB895" s="1">
        <v>47529.0</v>
      </c>
      <c r="AC895" s="1">
        <v>56.42384106</v>
      </c>
      <c r="AD895" s="1">
        <v>72.976434426</v>
      </c>
      <c r="AE895" s="1">
        <v>9.1981764548</v>
      </c>
      <c r="AF895" s="1">
        <v>1.1877474474</v>
      </c>
      <c r="AG895" s="1">
        <v>9.54365492809999</v>
      </c>
      <c r="AH895" s="1">
        <v>0.4480100021</v>
      </c>
      <c r="AI895" s="1">
        <v>0.0625130235</v>
      </c>
      <c r="AJ895" s="1">
        <v>4.7405709523</v>
      </c>
      <c r="AK895" s="1">
        <v>82.850593874</v>
      </c>
      <c r="AL895" s="1">
        <v>0.1998001998</v>
      </c>
      <c r="AM895" s="1">
        <v>50.64596791</v>
      </c>
      <c r="AN895" s="1">
        <v>68.439503205</v>
      </c>
      <c r="AO895" s="1">
        <v>23247.0</v>
      </c>
      <c r="AP895" s="1">
        <v>14.5</v>
      </c>
      <c r="AQ895" s="1">
        <v>3.9</v>
      </c>
      <c r="AR895" s="1">
        <v>7.1</v>
      </c>
      <c r="AS895" s="1">
        <v>19.0</v>
      </c>
      <c r="AT895" s="1">
        <v>25.1</v>
      </c>
      <c r="AU895" s="1">
        <v>17.2</v>
      </c>
      <c r="AV895" s="1">
        <v>16.5</v>
      </c>
      <c r="AW895" s="1">
        <v>0.2</v>
      </c>
      <c r="AX895" s="1">
        <v>0.2824</v>
      </c>
      <c r="AY895" s="1">
        <v>15.4</v>
      </c>
      <c r="AZ895" s="1">
        <v>13.3</v>
      </c>
      <c r="BA895" s="1">
        <v>22.7</v>
      </c>
      <c r="BB895" s="1">
        <v>2.98</v>
      </c>
      <c r="BC895" s="1" t="s">
        <v>1588</v>
      </c>
      <c r="BD895" s="1">
        <v>6.8</v>
      </c>
      <c r="BE895" s="1">
        <v>37.4</v>
      </c>
      <c r="BF895" s="1">
        <v>34.7</v>
      </c>
      <c r="BG895" s="1">
        <v>21.2</v>
      </c>
      <c r="BH895" s="1" t="s">
        <v>1599</v>
      </c>
    </row>
    <row r="896">
      <c r="A896" s="1">
        <v>20015.0</v>
      </c>
      <c r="B896" s="2" t="str">
        <f>IFERROR(__xludf.DUMMYFUNCTION("TO_TEXT(A896)"),"20015")</f>
        <v>20015</v>
      </c>
      <c r="C896" s="1">
        <v>66264.0</v>
      </c>
      <c r="D896" s="1">
        <v>1429.86621465363</v>
      </c>
      <c r="E896" s="1" t="s">
        <v>72</v>
      </c>
      <c r="F896" s="1" t="s">
        <v>1600</v>
      </c>
      <c r="G896" s="1">
        <v>46.3427971938282</v>
      </c>
      <c r="H896" s="1">
        <v>14.478245742</v>
      </c>
      <c r="I896" s="1">
        <v>4.0108447172</v>
      </c>
      <c r="J896" s="1">
        <v>7.0615034169</v>
      </c>
      <c r="K896" s="1">
        <v>15.82226652</v>
      </c>
      <c r="L896" s="1">
        <v>35.2</v>
      </c>
      <c r="M896" s="1">
        <v>7.9</v>
      </c>
      <c r="N896" s="1">
        <v>27.1</v>
      </c>
      <c r="O896" s="1">
        <v>67.891621129</v>
      </c>
      <c r="P896" s="1">
        <v>7.8949270126</v>
      </c>
      <c r="Q896" s="1">
        <v>62.80092</v>
      </c>
      <c r="R896" s="1">
        <v>88.1</v>
      </c>
      <c r="S896" s="1">
        <v>11.8</v>
      </c>
      <c r="T896" s="1">
        <v>16978.0</v>
      </c>
      <c r="U896" s="1">
        <v>21.45717988</v>
      </c>
      <c r="V896" s="1">
        <v>181.7321055</v>
      </c>
      <c r="W896" s="1">
        <v>11.92339374</v>
      </c>
      <c r="X896" s="1">
        <v>9.0795761479</v>
      </c>
      <c r="Y896" s="1">
        <v>77.507599874</v>
      </c>
      <c r="Z896" s="1">
        <v>10.1</v>
      </c>
      <c r="AA896" s="1">
        <v>6.7657860454</v>
      </c>
      <c r="AB896" s="1">
        <v>65953.0</v>
      </c>
      <c r="AC896" s="1">
        <v>27.321814255</v>
      </c>
      <c r="AD896" s="1">
        <v>73.689371961</v>
      </c>
      <c r="AE896" s="1">
        <v>11.0093669929999</v>
      </c>
      <c r="AF896" s="1">
        <v>2.0025462443</v>
      </c>
      <c r="AG896" s="1">
        <v>1.1038717891</v>
      </c>
      <c r="AH896" s="1">
        <v>1.3360293567</v>
      </c>
      <c r="AI896" s="1">
        <v>0.1003519808</v>
      </c>
      <c r="AJ896" s="1">
        <v>5.0220924137</v>
      </c>
      <c r="AK896" s="1">
        <v>88.499962555</v>
      </c>
      <c r="AL896" s="1">
        <v>0.4128792728</v>
      </c>
      <c r="AM896" s="1">
        <v>49.683217255</v>
      </c>
      <c r="AN896" s="1">
        <v>40.473588342</v>
      </c>
      <c r="AO896" s="1">
        <v>27888.0</v>
      </c>
      <c r="AP896" s="1">
        <v>9.7</v>
      </c>
      <c r="AQ896" s="1">
        <v>5.3</v>
      </c>
      <c r="AR896" s="1">
        <v>7.2</v>
      </c>
      <c r="AS896" s="1">
        <v>13.9</v>
      </c>
      <c r="AT896" s="1">
        <v>26.0</v>
      </c>
      <c r="AU896" s="1">
        <v>12.0</v>
      </c>
      <c r="AV896" s="1">
        <v>10.1</v>
      </c>
      <c r="AW896" s="1">
        <v>0.6</v>
      </c>
      <c r="AX896" s="1">
        <v>0.2763</v>
      </c>
      <c r="AY896" s="1">
        <v>8.5</v>
      </c>
      <c r="AZ896" s="1">
        <v>11.3</v>
      </c>
      <c r="BA896" s="1">
        <v>18.3</v>
      </c>
      <c r="BB896" s="1">
        <v>3.18</v>
      </c>
      <c r="BC896" s="1" t="s">
        <v>1588</v>
      </c>
      <c r="BD896" s="1">
        <v>7.5</v>
      </c>
      <c r="BE896" s="1">
        <v>25.9</v>
      </c>
      <c r="BF896" s="1">
        <v>36.9</v>
      </c>
      <c r="BG896" s="1">
        <v>29.8</v>
      </c>
      <c r="BH896" s="1" t="s">
        <v>1600</v>
      </c>
    </row>
    <row r="897">
      <c r="A897" s="1">
        <v>20017.0</v>
      </c>
      <c r="B897" s="2" t="str">
        <f>IFERROR(__xludf.DUMMYFUNCTION("TO_TEXT(A897)"),"20017")</f>
        <v>20017</v>
      </c>
      <c r="C897" s="1">
        <v>2694.0</v>
      </c>
      <c r="D897" s="1">
        <v>773.05679313995</v>
      </c>
      <c r="E897" s="1" t="s">
        <v>1601</v>
      </c>
      <c r="F897" s="1" t="s">
        <v>1602</v>
      </c>
      <c r="G897" s="1">
        <v>3.4848668608909</v>
      </c>
      <c r="H897" s="1">
        <v>15.733322556</v>
      </c>
      <c r="I897" s="1">
        <v>3.6312588038</v>
      </c>
      <c r="J897" s="1">
        <v>7.80443539465</v>
      </c>
      <c r="K897" s="1">
        <v>15.117832114</v>
      </c>
      <c r="L897" s="1">
        <v>34.5</v>
      </c>
      <c r="M897" s="1">
        <v>5.4</v>
      </c>
      <c r="N897" s="1">
        <v>24.5</v>
      </c>
      <c r="O897" s="1">
        <v>68.315412186</v>
      </c>
      <c r="P897" s="1">
        <v>10.319539026</v>
      </c>
      <c r="Q897" s="1">
        <v>48.31939</v>
      </c>
      <c r="R897" s="1">
        <v>84.6</v>
      </c>
      <c r="S897" s="1">
        <v>12.8</v>
      </c>
      <c r="T897" s="1">
        <v>617.0</v>
      </c>
      <c r="U897" s="1">
        <v>29.82171799</v>
      </c>
      <c r="V897" s="1">
        <v>150.29118918</v>
      </c>
      <c r="W897" s="1">
        <v>9.6774193548</v>
      </c>
      <c r="X897" s="1">
        <v>9.243697479</v>
      </c>
      <c r="Y897" s="1">
        <v>76.61016704</v>
      </c>
      <c r="Z897" s="1">
        <v>10.2</v>
      </c>
      <c r="AA897" s="1">
        <v>34.790876735</v>
      </c>
      <c r="AB897" s="1">
        <v>50981.0</v>
      </c>
      <c r="AC897" s="1">
        <v>32.584269663</v>
      </c>
      <c r="AD897" s="1">
        <v>79.203109815</v>
      </c>
      <c r="AE897" s="1">
        <v>8.5977482088</v>
      </c>
      <c r="AF897" s="1">
        <v>1.2552301255</v>
      </c>
      <c r="AG897" s="1">
        <v>0.6846709776</v>
      </c>
      <c r="AH897" s="1">
        <v>0.3042982122</v>
      </c>
      <c r="AI897" s="1">
        <v>0.0</v>
      </c>
      <c r="AJ897" s="1">
        <v>5.0589577786</v>
      </c>
      <c r="AK897" s="1">
        <v>91.023202739</v>
      </c>
      <c r="AL897" s="1">
        <v>0.3597122302</v>
      </c>
      <c r="AM897" s="1">
        <v>49.106124002</v>
      </c>
      <c r="AN897" s="1">
        <v>100.0</v>
      </c>
      <c r="AO897" s="1">
        <v>24353.0</v>
      </c>
      <c r="AP897" s="1">
        <v>12.5</v>
      </c>
      <c r="AQ897" s="1">
        <v>4.1</v>
      </c>
      <c r="AR897" s="1">
        <v>9.6</v>
      </c>
      <c r="AS897" s="1">
        <v>23.8</v>
      </c>
      <c r="AT897" s="1">
        <v>22.5</v>
      </c>
      <c r="AU897" s="1">
        <v>16.1</v>
      </c>
      <c r="AV897" s="1">
        <v>7.9</v>
      </c>
      <c r="AW897" s="1">
        <v>0.5</v>
      </c>
      <c r="AX897" s="1">
        <v>0.2018</v>
      </c>
      <c r="AY897" s="1">
        <v>11.4</v>
      </c>
      <c r="AZ897" s="1">
        <v>12.3</v>
      </c>
      <c r="BA897" s="1">
        <v>19.9</v>
      </c>
      <c r="BB897" s="1">
        <v>3.02</v>
      </c>
      <c r="BC897" s="1" t="s">
        <v>1588</v>
      </c>
      <c r="BD897" s="1">
        <v>8.2</v>
      </c>
      <c r="BE897" s="1">
        <v>29.1</v>
      </c>
      <c r="BF897" s="1">
        <v>37.3</v>
      </c>
      <c r="BG897" s="1">
        <v>25.5</v>
      </c>
      <c r="BH897" s="1" t="s">
        <v>1602</v>
      </c>
    </row>
    <row r="898">
      <c r="A898" s="1">
        <v>20019.0</v>
      </c>
      <c r="B898" s="2" t="str">
        <f>IFERROR(__xludf.DUMMYFUNCTION("TO_TEXT(A898)"),"20019")</f>
        <v>20019</v>
      </c>
      <c r="C898" s="1">
        <v>3470.0</v>
      </c>
      <c r="D898" s="1">
        <v>638.8806048727</v>
      </c>
      <c r="E898" s="1" t="s">
        <v>1603</v>
      </c>
      <c r="F898" s="1" t="s">
        <v>1604</v>
      </c>
      <c r="G898" s="1">
        <v>5.43137477258588</v>
      </c>
      <c r="H898" s="1">
        <v>16.966240395</v>
      </c>
      <c r="I898" s="1">
        <v>3.8118385271</v>
      </c>
      <c r="J898" s="1">
        <v>5.3719008264</v>
      </c>
      <c r="K898" s="1">
        <v>16.690974349</v>
      </c>
      <c r="L898" s="1">
        <v>31.9</v>
      </c>
      <c r="M898" s="1">
        <v>6.7</v>
      </c>
      <c r="N898" s="1">
        <v>30.8</v>
      </c>
      <c r="O898" s="1">
        <v>17.279912783</v>
      </c>
      <c r="P898" s="1">
        <v>16.294189354</v>
      </c>
      <c r="Q898" s="1">
        <v>29.73536</v>
      </c>
      <c r="R898" s="1">
        <v>94.7</v>
      </c>
      <c r="S898" s="1">
        <v>26.8</v>
      </c>
      <c r="T898" s="1">
        <v>703.0</v>
      </c>
      <c r="U898" s="1">
        <v>36.842105263</v>
      </c>
      <c r="V898" s="1">
        <v>204.509002055</v>
      </c>
      <c r="W898" s="1">
        <v>11.904761905</v>
      </c>
      <c r="X898" s="1">
        <v>8.9655172414</v>
      </c>
      <c r="Y898" s="1">
        <v>74.17197053</v>
      </c>
      <c r="Z898" s="1">
        <v>12.9</v>
      </c>
      <c r="AA898" s="1">
        <v>16.014598114</v>
      </c>
      <c r="AB898" s="1">
        <v>41129.0</v>
      </c>
      <c r="AC898" s="1">
        <v>65.641952984</v>
      </c>
      <c r="AD898" s="1">
        <v>78.551724138</v>
      </c>
      <c r="AE898" s="1">
        <v>8.6457536343</v>
      </c>
      <c r="AF898" s="1">
        <v>0.876397703199999</v>
      </c>
      <c r="AG898" s="1">
        <v>5.8627984285</v>
      </c>
      <c r="AH898" s="1">
        <v>0.0906618314</v>
      </c>
      <c r="AI898" s="1">
        <v>0.0604412209</v>
      </c>
      <c r="AJ898" s="1">
        <v>3.9588999698</v>
      </c>
      <c r="AK898" s="1">
        <v>85.675430644</v>
      </c>
      <c r="AL898" s="1">
        <v>0.0627943485</v>
      </c>
      <c r="AM898" s="1">
        <v>48.534300393</v>
      </c>
      <c r="AN898" s="1">
        <v>100.0</v>
      </c>
      <c r="AO898" s="1">
        <v>23398.0</v>
      </c>
      <c r="AP898" s="1">
        <v>14.8</v>
      </c>
      <c r="AQ898" s="1">
        <v>6.2</v>
      </c>
      <c r="AR898" s="1">
        <v>12.0</v>
      </c>
      <c r="AS898" s="1">
        <v>25.6</v>
      </c>
      <c r="AT898" s="1">
        <v>20.4</v>
      </c>
      <c r="AU898" s="1">
        <v>22.5</v>
      </c>
      <c r="AV898" s="1">
        <v>13.3</v>
      </c>
      <c r="AW898" s="1">
        <v>0.1</v>
      </c>
      <c r="AX898" s="1">
        <v>0.4562</v>
      </c>
      <c r="AY898" s="1">
        <v>16.4</v>
      </c>
      <c r="AZ898" s="1">
        <v>15.9</v>
      </c>
      <c r="BA898" s="1">
        <v>26.8</v>
      </c>
      <c r="BB898" s="1">
        <v>3.04</v>
      </c>
      <c r="BC898" s="1" t="s">
        <v>1588</v>
      </c>
      <c r="BD898" s="1">
        <v>13.4</v>
      </c>
      <c r="BE898" s="1">
        <v>34.8</v>
      </c>
      <c r="BF898" s="1">
        <v>35.9</v>
      </c>
      <c r="BG898" s="1">
        <v>15.9</v>
      </c>
      <c r="BH898" s="1" t="s">
        <v>1604</v>
      </c>
    </row>
    <row r="899">
      <c r="A899" s="1">
        <v>20021.0</v>
      </c>
      <c r="B899" s="2" t="str">
        <f>IFERROR(__xludf.DUMMYFUNCTION("TO_TEXT(A899)"),"20021")</f>
        <v>20021</v>
      </c>
      <c r="C899" s="1">
        <v>20737.0</v>
      </c>
      <c r="D899" s="1">
        <v>587.567537875324</v>
      </c>
      <c r="E899" s="1" t="s">
        <v>78</v>
      </c>
      <c r="F899" s="1" t="s">
        <v>1605</v>
      </c>
      <c r="G899" s="1">
        <v>35.2929640650096</v>
      </c>
      <c r="H899" s="1">
        <v>18.380852281</v>
      </c>
      <c r="I899" s="1">
        <v>3.9941984384</v>
      </c>
      <c r="J899" s="1">
        <v>8.0725907384</v>
      </c>
      <c r="K899" s="1">
        <v>19.3001422</v>
      </c>
      <c r="L899" s="1">
        <v>41.8</v>
      </c>
      <c r="M899" s="1">
        <v>7.7</v>
      </c>
      <c r="N899" s="1">
        <v>31.6</v>
      </c>
      <c r="O899" s="1">
        <v>40.623987409</v>
      </c>
      <c r="P899" s="1">
        <v>10.624729119</v>
      </c>
      <c r="Q899" s="1">
        <v>24.85707</v>
      </c>
      <c r="R899" s="1">
        <v>92.2</v>
      </c>
      <c r="S899" s="1">
        <v>22.5</v>
      </c>
      <c r="T899" s="1">
        <v>4798.0</v>
      </c>
      <c r="U899" s="1">
        <v>29.699874948</v>
      </c>
      <c r="V899" s="1">
        <v>318.18181818</v>
      </c>
      <c r="W899" s="1">
        <v>10.432569975</v>
      </c>
      <c r="X899" s="1">
        <v>9.0815802976</v>
      </c>
      <c r="Y899" s="1">
        <v>74.62719845</v>
      </c>
      <c r="Z899" s="1">
        <v>15.8</v>
      </c>
      <c r="AA899" s="1">
        <v>5.0096505844</v>
      </c>
      <c r="AB899" s="1">
        <v>44475.0</v>
      </c>
      <c r="AC899" s="1">
        <v>60.197808073</v>
      </c>
      <c r="AD899" s="1">
        <v>74.094811497</v>
      </c>
      <c r="AE899" s="1">
        <v>9.2989985694</v>
      </c>
      <c r="AF899" s="1">
        <v>0.7944041969</v>
      </c>
      <c r="AG899" s="1">
        <v>4.241818636</v>
      </c>
      <c r="AH899" s="1">
        <v>0.4896327754</v>
      </c>
      <c r="AI899" s="1">
        <v>0.2598051461</v>
      </c>
      <c r="AJ899" s="1">
        <v>2.7729203098</v>
      </c>
      <c r="AK899" s="1">
        <v>87.669248064</v>
      </c>
      <c r="AL899" s="1">
        <v>0.0104009569</v>
      </c>
      <c r="AM899" s="1">
        <v>50.8168873339999</v>
      </c>
      <c r="AN899" s="1">
        <v>49.06263019</v>
      </c>
      <c r="AO899" s="1">
        <v>20371.0</v>
      </c>
      <c r="AP899" s="1">
        <v>16.2</v>
      </c>
      <c r="AQ899" s="1">
        <v>6.5</v>
      </c>
      <c r="AR899" s="1">
        <v>12.8</v>
      </c>
      <c r="AS899" s="1">
        <v>17.6</v>
      </c>
      <c r="AT899" s="1">
        <v>24.2</v>
      </c>
      <c r="AU899" s="1">
        <v>20.0</v>
      </c>
      <c r="AV899" s="1">
        <v>11.2</v>
      </c>
      <c r="AW899" s="1">
        <v>0.1</v>
      </c>
      <c r="AX899" s="1">
        <v>0.3763</v>
      </c>
      <c r="AY899" s="1">
        <v>15.4</v>
      </c>
      <c r="AZ899" s="1">
        <v>15.0</v>
      </c>
      <c r="BA899" s="1">
        <v>24.2</v>
      </c>
      <c r="BB899" s="1">
        <v>3.04</v>
      </c>
      <c r="BC899" s="1" t="s">
        <v>1588</v>
      </c>
      <c r="BD899" s="1">
        <v>10.1</v>
      </c>
      <c r="BE899" s="1">
        <v>32.7</v>
      </c>
      <c r="BF899" s="1">
        <v>37.5</v>
      </c>
      <c r="BG899" s="1">
        <v>19.6</v>
      </c>
      <c r="BH899" s="1" t="s">
        <v>1605</v>
      </c>
    </row>
    <row r="900">
      <c r="A900" s="1">
        <v>20023.0</v>
      </c>
      <c r="B900" s="2" t="str">
        <f>IFERROR(__xludf.DUMMYFUNCTION("TO_TEXT(A900)"),"20023")</f>
        <v>20023</v>
      </c>
      <c r="C900" s="1">
        <v>2679.0</v>
      </c>
      <c r="D900" s="1">
        <v>1019.88917624635</v>
      </c>
      <c r="E900" s="1" t="s">
        <v>551</v>
      </c>
      <c r="F900" s="1" t="s">
        <v>1606</v>
      </c>
      <c r="G900" s="1">
        <v>2.62675598721414</v>
      </c>
      <c r="H900" s="1">
        <v>16.264187886</v>
      </c>
      <c r="I900" s="1">
        <v>3.6448223418</v>
      </c>
      <c r="J900" s="1">
        <v>7.476635514</v>
      </c>
      <c r="K900" s="1">
        <v>15.718797315</v>
      </c>
      <c r="L900" s="1">
        <v>32.2</v>
      </c>
      <c r="M900" s="1">
        <v>8.4</v>
      </c>
      <c r="N900" s="1">
        <v>27.6</v>
      </c>
      <c r="O900" s="1">
        <v>72.377109318</v>
      </c>
      <c r="P900" s="1">
        <v>13.513513514</v>
      </c>
      <c r="Q900" s="1">
        <v>37.27171</v>
      </c>
      <c r="R900" s="1">
        <v>97.0</v>
      </c>
      <c r="S900" s="1">
        <v>20.0</v>
      </c>
      <c r="T900" s="1">
        <v>572.0</v>
      </c>
      <c r="U900" s="1">
        <v>19.93006993</v>
      </c>
      <c r="V900" s="1">
        <v>150.54572826</v>
      </c>
      <c r="W900" s="1">
        <v>6.4</v>
      </c>
      <c r="X900" s="1">
        <v>5.0970873786</v>
      </c>
      <c r="Y900" s="1">
        <v>82.18053635</v>
      </c>
      <c r="Z900" s="1">
        <v>9.1</v>
      </c>
      <c r="AA900" s="1">
        <v>2.6139995286</v>
      </c>
      <c r="AB900" s="1">
        <v>43274.0</v>
      </c>
      <c r="AC900" s="1">
        <v>48.039215686</v>
      </c>
      <c r="AD900" s="1">
        <v>79.234527687</v>
      </c>
      <c r="AE900" s="1">
        <v>6.3157894737</v>
      </c>
      <c r="AF900" s="1">
        <v>0.3383458647</v>
      </c>
      <c r="AG900" s="1">
        <v>0.3383458647</v>
      </c>
      <c r="AH900" s="1">
        <v>2.0676691729</v>
      </c>
      <c r="AI900" s="1">
        <v>0.0</v>
      </c>
      <c r="AJ900" s="1">
        <v>6.2781954887</v>
      </c>
      <c r="AK900" s="1">
        <v>90.187969925</v>
      </c>
      <c r="AL900" s="1">
        <v>1.4607185156</v>
      </c>
      <c r="AM900" s="1">
        <v>49.323308271</v>
      </c>
      <c r="AN900" s="1">
        <v>100.0</v>
      </c>
      <c r="AO900" s="1">
        <v>27608.0</v>
      </c>
      <c r="AP900" s="1">
        <v>8.9</v>
      </c>
      <c r="AQ900" s="1">
        <v>1.7</v>
      </c>
      <c r="AR900" s="1">
        <v>5.5</v>
      </c>
      <c r="AS900" s="1">
        <v>26.6</v>
      </c>
      <c r="AT900" s="1">
        <v>22.0</v>
      </c>
      <c r="AU900" s="1">
        <v>16.3</v>
      </c>
      <c r="AV900" s="1">
        <v>9.3</v>
      </c>
      <c r="AW900" s="1">
        <v>0.5</v>
      </c>
      <c r="AX900" s="1">
        <v>0.0904</v>
      </c>
      <c r="AY900" s="1">
        <v>11.6</v>
      </c>
      <c r="AZ900" s="1">
        <v>11.0</v>
      </c>
      <c r="BA900" s="1">
        <v>16.6</v>
      </c>
      <c r="BB900" s="1">
        <v>3.16</v>
      </c>
      <c r="BC900" s="1" t="s">
        <v>1588</v>
      </c>
      <c r="BD900" s="1">
        <v>6.4</v>
      </c>
      <c r="BE900" s="1">
        <v>30.9</v>
      </c>
      <c r="BF900" s="1">
        <v>33.8</v>
      </c>
      <c r="BG900" s="1">
        <v>28.9</v>
      </c>
      <c r="BH900" s="1" t="s">
        <v>1606</v>
      </c>
    </row>
    <row r="901">
      <c r="A901" s="1">
        <v>20025.0</v>
      </c>
      <c r="B901" s="2" t="str">
        <f>IFERROR(__xludf.DUMMYFUNCTION("TO_TEXT(A901)"),"20025")</f>
        <v>20025</v>
      </c>
      <c r="C901" s="1">
        <v>2131.0</v>
      </c>
      <c r="D901" s="1">
        <v>974.631963133766</v>
      </c>
      <c r="E901" s="1" t="s">
        <v>302</v>
      </c>
      <c r="F901" s="1" t="s">
        <v>1607</v>
      </c>
      <c r="G901" s="1">
        <v>2.18646635920715</v>
      </c>
      <c r="H901" s="1">
        <v>16.29501756</v>
      </c>
      <c r="I901" s="1">
        <v>3.7617424826</v>
      </c>
      <c r="J901" s="1">
        <v>7.97546012269999</v>
      </c>
      <c r="K901" s="1">
        <v>15.721179904</v>
      </c>
      <c r="L901" s="1">
        <v>32.0</v>
      </c>
      <c r="M901" s="1">
        <v>5.7</v>
      </c>
      <c r="N901" s="1">
        <v>30.4</v>
      </c>
      <c r="O901" s="1">
        <v>41.8510158009999</v>
      </c>
      <c r="P901" s="1">
        <v>12.451612903</v>
      </c>
      <c r="Q901" s="1">
        <v>199.6008</v>
      </c>
      <c r="R901" s="1">
        <v>92.0</v>
      </c>
      <c r="S901" s="1">
        <v>19.5</v>
      </c>
      <c r="T901" s="1">
        <v>506.0</v>
      </c>
      <c r="U901" s="1">
        <v>41.8972332019999</v>
      </c>
      <c r="V901" s="1">
        <v>187.88163457</v>
      </c>
      <c r="W901" s="1">
        <v>15.46961326</v>
      </c>
      <c r="X901" s="1">
        <v>11.460674157</v>
      </c>
      <c r="Y901" s="1">
        <v>74.992780648</v>
      </c>
      <c r="Z901" s="1">
        <v>11.8</v>
      </c>
      <c r="AA901" s="1">
        <v>33.358160529</v>
      </c>
      <c r="AB901" s="1">
        <v>51235.0</v>
      </c>
      <c r="AC901" s="1">
        <v>50.0</v>
      </c>
      <c r="AD901" s="1">
        <v>71.444568869</v>
      </c>
      <c r="AE901" s="1">
        <v>10.011918951</v>
      </c>
      <c r="AF901" s="1">
        <v>0.349127182</v>
      </c>
      <c r="AG901" s="1">
        <v>1.2967581047</v>
      </c>
      <c r="AH901" s="1">
        <v>1.2967581047</v>
      </c>
      <c r="AI901" s="1">
        <v>0.0997506234</v>
      </c>
      <c r="AJ901" s="1">
        <v>10.822942643</v>
      </c>
      <c r="AK901" s="1">
        <v>84.039900249</v>
      </c>
      <c r="AL901" s="1">
        <v>0.5741127349</v>
      </c>
      <c r="AM901" s="1">
        <v>50.374064838</v>
      </c>
      <c r="AN901" s="1">
        <v>100.0</v>
      </c>
      <c r="AO901" s="1">
        <v>24322.0</v>
      </c>
      <c r="AP901" s="1">
        <v>13.6</v>
      </c>
      <c r="AQ901" s="1">
        <v>1.9</v>
      </c>
      <c r="AR901" s="1">
        <v>9.6</v>
      </c>
      <c r="AS901" s="1">
        <v>21.4</v>
      </c>
      <c r="AT901" s="1">
        <v>24.8</v>
      </c>
      <c r="AU901" s="1">
        <v>15.2</v>
      </c>
      <c r="AV901" s="1">
        <v>18.1</v>
      </c>
      <c r="AW901" s="1">
        <v>0.7</v>
      </c>
      <c r="AX901" s="1">
        <v>0.4973</v>
      </c>
      <c r="AY901" s="1">
        <v>12.4</v>
      </c>
      <c r="AZ901" s="1">
        <v>11.5</v>
      </c>
      <c r="BA901" s="1">
        <v>18.5</v>
      </c>
      <c r="BB901" s="1">
        <v>2.85</v>
      </c>
      <c r="BC901" s="1" t="s">
        <v>1588</v>
      </c>
      <c r="BD901" s="1">
        <v>5.2</v>
      </c>
      <c r="BE901" s="1">
        <v>27.2</v>
      </c>
      <c r="BF901" s="1">
        <v>41.5</v>
      </c>
      <c r="BG901" s="1">
        <v>26.1</v>
      </c>
      <c r="BH901" s="1" t="s">
        <v>1607</v>
      </c>
    </row>
    <row r="902">
      <c r="A902" s="1">
        <v>20027.0</v>
      </c>
      <c r="B902" s="2" t="str">
        <f>IFERROR(__xludf.DUMMYFUNCTION("TO_TEXT(A902)"),"20027")</f>
        <v>20027</v>
      </c>
      <c r="C902" s="1">
        <v>8346.0</v>
      </c>
      <c r="D902" s="1">
        <v>645.303181525908</v>
      </c>
      <c r="E902" s="1" t="s">
        <v>86</v>
      </c>
      <c r="F902" s="1" t="s">
        <v>1608</v>
      </c>
      <c r="G902" s="1">
        <v>12.9334555274695</v>
      </c>
      <c r="H902" s="1">
        <v>15.146492173</v>
      </c>
      <c r="I902" s="1">
        <v>3.5614478611</v>
      </c>
      <c r="J902" s="1">
        <v>7.3758865248</v>
      </c>
      <c r="K902" s="1">
        <v>14.437340455</v>
      </c>
      <c r="L902" s="1">
        <v>29.2</v>
      </c>
      <c r="M902" s="1">
        <v>7.9</v>
      </c>
      <c r="N902" s="1">
        <v>28.9</v>
      </c>
      <c r="O902" s="1">
        <v>73.3216168719999</v>
      </c>
      <c r="P902" s="1">
        <v>8.2090775029</v>
      </c>
      <c r="Q902" s="1">
        <v>125.65971</v>
      </c>
      <c r="R902" s="1">
        <v>89.0</v>
      </c>
      <c r="S902" s="1">
        <v>16.8</v>
      </c>
      <c r="T902" s="1">
        <v>1967.0</v>
      </c>
      <c r="U902" s="1">
        <v>24.148449415</v>
      </c>
      <c r="V902" s="1">
        <v>168.27934371</v>
      </c>
      <c r="W902" s="1">
        <v>8.6438152012</v>
      </c>
      <c r="X902" s="1">
        <v>5.3811659193</v>
      </c>
      <c r="Y902" s="1">
        <v>78.937655349</v>
      </c>
      <c r="Z902" s="1">
        <v>10.1</v>
      </c>
      <c r="AA902" s="1">
        <v>7.5175005668</v>
      </c>
      <c r="AB902" s="1">
        <v>52681.0</v>
      </c>
      <c r="AC902" s="1">
        <v>40.573152338</v>
      </c>
      <c r="AD902" s="1">
        <v>76.690182246</v>
      </c>
      <c r="AE902" s="1">
        <v>7.7910174152</v>
      </c>
      <c r="AF902" s="1">
        <v>0.8003001125</v>
      </c>
      <c r="AG902" s="1">
        <v>0.6377391522</v>
      </c>
      <c r="AH902" s="1">
        <v>0.5251969489</v>
      </c>
      <c r="AI902" s="1">
        <v>0.0875328248</v>
      </c>
      <c r="AJ902" s="1">
        <v>2.513442541</v>
      </c>
      <c r="AK902" s="1">
        <v>93.92272102</v>
      </c>
      <c r="AL902" s="1">
        <v>0.0131027254</v>
      </c>
      <c r="AM902" s="1">
        <v>49.968738277</v>
      </c>
      <c r="AN902" s="1">
        <v>49.537199766</v>
      </c>
      <c r="AO902" s="1">
        <v>27715.0</v>
      </c>
      <c r="AP902" s="1">
        <v>9.7</v>
      </c>
      <c r="AQ902" s="1">
        <v>3.1</v>
      </c>
      <c r="AR902" s="1">
        <v>6.2</v>
      </c>
      <c r="AS902" s="1">
        <v>21.7</v>
      </c>
      <c r="AT902" s="1">
        <v>24.6</v>
      </c>
      <c r="AU902" s="1">
        <v>15.0</v>
      </c>
      <c r="AV902" s="1">
        <v>5.3</v>
      </c>
      <c r="AW902" s="1">
        <v>0.0</v>
      </c>
      <c r="AX902" s="1">
        <v>0.0618</v>
      </c>
      <c r="AY902" s="1">
        <v>10.0</v>
      </c>
      <c r="AZ902" s="1">
        <v>11.1</v>
      </c>
      <c r="BA902" s="1">
        <v>17.1</v>
      </c>
      <c r="BB902" s="1">
        <v>3.04</v>
      </c>
      <c r="BC902" s="1" t="s">
        <v>1588</v>
      </c>
      <c r="BD902" s="1">
        <v>7.1</v>
      </c>
      <c r="BE902" s="1">
        <v>35.2</v>
      </c>
      <c r="BF902" s="1">
        <v>31.0</v>
      </c>
      <c r="BG902" s="1">
        <v>26.7</v>
      </c>
      <c r="BH902" s="1" t="s">
        <v>1608</v>
      </c>
    </row>
    <row r="903">
      <c r="A903" s="1">
        <v>20029.0</v>
      </c>
      <c r="B903" s="2" t="str">
        <f>IFERROR(__xludf.DUMMYFUNCTION("TO_TEXT(A903)"),"20029")</f>
        <v>20029</v>
      </c>
      <c r="C903" s="1">
        <v>9302.0</v>
      </c>
      <c r="D903" s="1">
        <v>715.34145343524</v>
      </c>
      <c r="E903" s="1" t="s">
        <v>1609</v>
      </c>
      <c r="F903" s="1" t="s">
        <v>1610</v>
      </c>
      <c r="G903" s="1">
        <v>13.003580255736</v>
      </c>
      <c r="H903" s="1">
        <v>15.708391464</v>
      </c>
      <c r="I903" s="1">
        <v>3.9262999957</v>
      </c>
      <c r="J903" s="1">
        <v>5.5771725032</v>
      </c>
      <c r="K903" s="1">
        <v>17.839037244</v>
      </c>
      <c r="L903" s="1">
        <v>40.4</v>
      </c>
      <c r="M903" s="1">
        <v>7.2</v>
      </c>
      <c r="N903" s="1">
        <v>29.2</v>
      </c>
      <c r="O903" s="1">
        <v>66.3065142139999</v>
      </c>
      <c r="P903" s="1">
        <v>9.2439456586</v>
      </c>
      <c r="Q903" s="1">
        <v>44.48893</v>
      </c>
      <c r="R903" s="1">
        <v>88.8</v>
      </c>
      <c r="S903" s="1">
        <v>18.4</v>
      </c>
      <c r="T903" s="1">
        <v>2081.0</v>
      </c>
      <c r="U903" s="1">
        <v>35.223450264</v>
      </c>
      <c r="V903" s="1">
        <v>403.29173252</v>
      </c>
      <c r="W903" s="1">
        <v>10.627400768</v>
      </c>
      <c r="X903" s="1">
        <v>8.3483638238</v>
      </c>
      <c r="Y903" s="1">
        <v>76.063343836</v>
      </c>
      <c r="Z903" s="1">
        <v>10.2</v>
      </c>
      <c r="AA903" s="1">
        <v>12.1943226979999</v>
      </c>
      <c r="AB903" s="1">
        <v>44467.0</v>
      </c>
      <c r="AC903" s="1">
        <v>50.213371266</v>
      </c>
      <c r="AD903" s="1">
        <v>70.891653707</v>
      </c>
      <c r="AE903" s="1">
        <v>7.745912624</v>
      </c>
      <c r="AF903" s="1">
        <v>0.8019246191</v>
      </c>
      <c r="AG903" s="1">
        <v>0.675907893199999</v>
      </c>
      <c r="AH903" s="1">
        <v>1.3861839844</v>
      </c>
      <c r="AI903" s="1">
        <v>0.0458242639</v>
      </c>
      <c r="AJ903" s="1">
        <v>3.2076984763</v>
      </c>
      <c r="AK903" s="1">
        <v>92.6681177679999</v>
      </c>
      <c r="AL903" s="1">
        <v>0.2484031228</v>
      </c>
      <c r="AM903" s="1">
        <v>50.395234277</v>
      </c>
      <c r="AN903" s="1">
        <v>43.984055387</v>
      </c>
      <c r="AO903" s="1">
        <v>24677.0</v>
      </c>
      <c r="AP903" s="1">
        <v>12.9</v>
      </c>
      <c r="AQ903" s="1">
        <v>5.9</v>
      </c>
      <c r="AR903" s="1">
        <v>8.0</v>
      </c>
      <c r="AS903" s="1">
        <v>20.8</v>
      </c>
      <c r="AT903" s="1">
        <v>22.2</v>
      </c>
      <c r="AU903" s="1">
        <v>15.2</v>
      </c>
      <c r="AV903" s="1">
        <v>6.5</v>
      </c>
      <c r="AW903" s="1">
        <v>0.3</v>
      </c>
      <c r="AX903" s="1">
        <v>0.2646</v>
      </c>
      <c r="AY903" s="1">
        <v>13.5</v>
      </c>
      <c r="AZ903" s="1">
        <v>12.6</v>
      </c>
      <c r="BA903" s="1">
        <v>19.5</v>
      </c>
      <c r="BB903" s="1">
        <v>3.12</v>
      </c>
      <c r="BC903" s="1" t="s">
        <v>1588</v>
      </c>
      <c r="BD903" s="1">
        <v>7.0</v>
      </c>
      <c r="BE903" s="1">
        <v>31.6</v>
      </c>
      <c r="BF903" s="1">
        <v>37.4</v>
      </c>
      <c r="BG903" s="1">
        <v>24.0</v>
      </c>
      <c r="BH903" s="1" t="s">
        <v>1610</v>
      </c>
    </row>
    <row r="904">
      <c r="A904" s="1">
        <v>20031.0</v>
      </c>
      <c r="B904" s="2" t="str">
        <f>IFERROR(__xludf.DUMMYFUNCTION("TO_TEXT(A904)"),"20031")</f>
        <v>20031</v>
      </c>
      <c r="C904" s="1">
        <v>8433.0</v>
      </c>
      <c r="D904" s="1">
        <v>626.887125782638</v>
      </c>
      <c r="E904" s="1" t="s">
        <v>1611</v>
      </c>
      <c r="F904" s="1" t="s">
        <v>1612</v>
      </c>
      <c r="G904" s="1">
        <v>13.4521824634248</v>
      </c>
      <c r="H904" s="1">
        <v>15.291790962</v>
      </c>
      <c r="I904" s="1">
        <v>3.6091839867</v>
      </c>
      <c r="J904" s="1">
        <v>5.8236272879</v>
      </c>
      <c r="K904" s="1">
        <v>15.480070714</v>
      </c>
      <c r="L904" s="1">
        <v>38.3</v>
      </c>
      <c r="M904" s="1">
        <v>7.3</v>
      </c>
      <c r="N904" s="1">
        <v>27.2</v>
      </c>
      <c r="O904" s="1">
        <v>56.481804441</v>
      </c>
      <c r="P904" s="1">
        <v>7.6780758557</v>
      </c>
      <c r="Q904" s="1">
        <v>85.11673</v>
      </c>
      <c r="R904" s="1">
        <v>93.2</v>
      </c>
      <c r="S904" s="1">
        <v>14.8</v>
      </c>
      <c r="T904" s="1">
        <v>1773.0</v>
      </c>
      <c r="U904" s="1">
        <v>30.964467005</v>
      </c>
      <c r="V904" s="1">
        <v>96.494049534</v>
      </c>
      <c r="W904" s="1">
        <v>9.9162011173</v>
      </c>
      <c r="X904" s="1">
        <v>6.5357643759</v>
      </c>
      <c r="Y904" s="1">
        <v>78.777439098</v>
      </c>
      <c r="Z904" s="1">
        <v>11.0</v>
      </c>
      <c r="AA904" s="1">
        <v>10.593628396</v>
      </c>
      <c r="AB904" s="1">
        <v>58371.0</v>
      </c>
      <c r="AC904" s="1">
        <v>40.567282322</v>
      </c>
      <c r="AD904" s="1">
        <v>77.1138669669999</v>
      </c>
      <c r="AE904" s="1">
        <v>7.984678845</v>
      </c>
      <c r="AF904" s="1">
        <v>0.838090610999999</v>
      </c>
      <c r="AG904" s="1">
        <v>1.0081379813</v>
      </c>
      <c r="AH904" s="1">
        <v>0.9474067776</v>
      </c>
      <c r="AI904" s="1">
        <v>0.0121462407</v>
      </c>
      <c r="AJ904" s="1">
        <v>2.8057816106</v>
      </c>
      <c r="AK904" s="1">
        <v>93.003765335</v>
      </c>
      <c r="AL904" s="1">
        <v>0.1021189686</v>
      </c>
      <c r="AM904" s="1">
        <v>50.6376776389999</v>
      </c>
      <c r="AN904" s="1">
        <v>70.898732705</v>
      </c>
      <c r="AO904" s="1">
        <v>30242.0</v>
      </c>
      <c r="AP904" s="1">
        <v>10.7</v>
      </c>
      <c r="AQ904" s="1">
        <v>4.8</v>
      </c>
      <c r="AR904" s="1">
        <v>7.3</v>
      </c>
      <c r="AS904" s="1">
        <v>19.7</v>
      </c>
      <c r="AT904" s="1">
        <v>22.4</v>
      </c>
      <c r="AU904" s="1">
        <v>14.7</v>
      </c>
      <c r="AV904" s="1">
        <v>6.3</v>
      </c>
      <c r="AW904" s="1">
        <v>0.1</v>
      </c>
      <c r="AX904" s="1">
        <v>0.1414</v>
      </c>
      <c r="AY904" s="1">
        <v>11.2</v>
      </c>
      <c r="AZ904" s="1">
        <v>13.3</v>
      </c>
      <c r="BA904" s="1">
        <v>22.3</v>
      </c>
      <c r="BB904" s="1">
        <v>2.95</v>
      </c>
      <c r="BC904" s="1" t="s">
        <v>1588</v>
      </c>
      <c r="BD904" s="1">
        <v>7.3</v>
      </c>
      <c r="BE904" s="1">
        <v>32.1</v>
      </c>
      <c r="BF904" s="1">
        <v>36.1</v>
      </c>
      <c r="BG904" s="1">
        <v>24.5</v>
      </c>
      <c r="BH904" s="1" t="s">
        <v>1612</v>
      </c>
    </row>
    <row r="905">
      <c r="A905" s="1">
        <v>20033.0</v>
      </c>
      <c r="B905" s="2" t="str">
        <f>IFERROR(__xludf.DUMMYFUNCTION("TO_TEXT(A905)"),"20033")</f>
        <v>20033</v>
      </c>
      <c r="C905" s="1">
        <v>1898.0</v>
      </c>
      <c r="D905" s="1">
        <v>788.297166110852</v>
      </c>
      <c r="E905" s="1" t="s">
        <v>1613</v>
      </c>
      <c r="F905" s="1" t="s">
        <v>1614</v>
      </c>
      <c r="G905" s="1">
        <v>2.40772145530344</v>
      </c>
      <c r="H905" s="1">
        <v>14.1008155</v>
      </c>
      <c r="I905" s="1">
        <v>3.4061546288</v>
      </c>
      <c r="J905" s="1">
        <v>7.80443539465</v>
      </c>
      <c r="K905" s="1">
        <v>14.036842685</v>
      </c>
      <c r="L905" s="1">
        <v>26.5</v>
      </c>
      <c r="M905" s="1">
        <v>8.6</v>
      </c>
      <c r="N905" s="1">
        <v>31.4</v>
      </c>
      <c r="O905" s="1">
        <v>55.526176626</v>
      </c>
      <c r="P905" s="1">
        <v>14.525993884</v>
      </c>
      <c r="Q905" s="1">
        <v>111.73184</v>
      </c>
      <c r="R905" s="1">
        <v>87.0</v>
      </c>
      <c r="S905" s="1">
        <v>14.6</v>
      </c>
      <c r="T905" s="1">
        <v>407.0</v>
      </c>
      <c r="U905" s="1">
        <v>29.72972973</v>
      </c>
      <c r="V905" s="1">
        <v>204.509002055</v>
      </c>
      <c r="W905" s="1">
        <v>5.2287581699</v>
      </c>
      <c r="X905" s="1">
        <v>5.6504599212</v>
      </c>
      <c r="Y905" s="1">
        <v>73.881740781</v>
      </c>
      <c r="Z905" s="1">
        <v>8.3</v>
      </c>
      <c r="AA905" s="1">
        <v>3.247771011</v>
      </c>
      <c r="AB905" s="1">
        <v>46818.0</v>
      </c>
      <c r="AC905" s="1">
        <v>43.529411765</v>
      </c>
      <c r="AD905" s="1">
        <v>80.64516129</v>
      </c>
      <c r="AE905" s="1">
        <v>5.772005772</v>
      </c>
      <c r="AF905" s="1">
        <v>0.3432494279</v>
      </c>
      <c r="AG905" s="1">
        <v>1.2013729977</v>
      </c>
      <c r="AH905" s="1">
        <v>0.5148741419</v>
      </c>
      <c r="AI905" s="1">
        <v>0.171624713999999</v>
      </c>
      <c r="AJ905" s="1">
        <v>8.180778032</v>
      </c>
      <c r="AK905" s="1">
        <v>88.8443935929999</v>
      </c>
      <c r="AL905" s="1">
        <v>0.0</v>
      </c>
      <c r="AM905" s="1">
        <v>51.43020595</v>
      </c>
      <c r="AN905" s="1">
        <v>100.0</v>
      </c>
      <c r="AO905" s="1">
        <v>24574.0</v>
      </c>
      <c r="AP905" s="1">
        <v>8.6</v>
      </c>
      <c r="AQ905" s="1">
        <v>4.7</v>
      </c>
      <c r="AR905" s="1">
        <v>6.6</v>
      </c>
      <c r="AS905" s="1">
        <v>24.1</v>
      </c>
      <c r="AT905" s="1">
        <v>23.3</v>
      </c>
      <c r="AU905" s="1">
        <v>14.1</v>
      </c>
      <c r="AV905" s="1">
        <v>7.5</v>
      </c>
      <c r="AW905" s="1">
        <v>0.4</v>
      </c>
      <c r="AX905" s="1">
        <v>0.1216</v>
      </c>
      <c r="AY905" s="1">
        <v>11.6</v>
      </c>
      <c r="AZ905" s="1">
        <v>9.4</v>
      </c>
      <c r="BA905" s="1">
        <v>14.9</v>
      </c>
      <c r="BB905" s="1">
        <v>3.1</v>
      </c>
      <c r="BC905" s="1" t="s">
        <v>1588</v>
      </c>
      <c r="BD905" s="1">
        <v>6.1</v>
      </c>
      <c r="BE905" s="1">
        <v>34.9</v>
      </c>
      <c r="BF905" s="1">
        <v>43.0</v>
      </c>
      <c r="BG905" s="1">
        <v>16.0</v>
      </c>
      <c r="BH905" s="1" t="s">
        <v>1614</v>
      </c>
    </row>
    <row r="906">
      <c r="A906" s="1">
        <v>20035.0</v>
      </c>
      <c r="B906" s="2" t="str">
        <f>IFERROR(__xludf.DUMMYFUNCTION("TO_TEXT(A906)"),"20035")</f>
        <v>20035</v>
      </c>
      <c r="C906" s="1">
        <v>35977.0</v>
      </c>
      <c r="D906" s="1">
        <v>1125.74099746959</v>
      </c>
      <c r="E906" s="1" t="s">
        <v>1615</v>
      </c>
      <c r="F906" s="1" t="s">
        <v>1616</v>
      </c>
      <c r="G906" s="1">
        <v>31.9585056250666</v>
      </c>
      <c r="H906" s="1">
        <v>18.607261768</v>
      </c>
      <c r="I906" s="1">
        <v>3.7721926514</v>
      </c>
      <c r="J906" s="1">
        <v>7.5415282392</v>
      </c>
      <c r="K906" s="1">
        <v>16.477249677</v>
      </c>
      <c r="L906" s="1">
        <v>38.7</v>
      </c>
      <c r="M906" s="1">
        <v>6.9</v>
      </c>
      <c r="N906" s="1">
        <v>28.1</v>
      </c>
      <c r="O906" s="1">
        <v>70.488281788</v>
      </c>
      <c r="P906" s="1">
        <v>10.396057675</v>
      </c>
      <c r="Q906" s="1">
        <v>50.90354</v>
      </c>
      <c r="R906" s="1">
        <v>87.2</v>
      </c>
      <c r="S906" s="1">
        <v>21.6</v>
      </c>
      <c r="T906" s="1">
        <v>8379.0</v>
      </c>
      <c r="U906" s="1">
        <v>36.04248717</v>
      </c>
      <c r="V906" s="1">
        <v>334.57727448</v>
      </c>
      <c r="W906" s="1">
        <v>12.091503268</v>
      </c>
      <c r="X906" s="1">
        <v>9.657206045</v>
      </c>
      <c r="Y906" s="1">
        <v>75.719611417</v>
      </c>
      <c r="Z906" s="1">
        <v>12.6</v>
      </c>
      <c r="AA906" s="1">
        <v>13.691550879</v>
      </c>
      <c r="AB906" s="1">
        <v>47864.0</v>
      </c>
      <c r="AC906" s="1">
        <v>62.3606107389999</v>
      </c>
      <c r="AD906" s="1">
        <v>66.548724753</v>
      </c>
      <c r="AE906" s="1">
        <v>9.3064293387</v>
      </c>
      <c r="AF906" s="1">
        <v>2.6548923846</v>
      </c>
      <c r="AG906" s="1">
        <v>2.2886024192</v>
      </c>
      <c r="AH906" s="1">
        <v>1.9620648532</v>
      </c>
      <c r="AI906" s="1">
        <v>0.5252995627</v>
      </c>
      <c r="AJ906" s="1">
        <v>11.036969731</v>
      </c>
      <c r="AK906" s="1">
        <v>79.192458402</v>
      </c>
      <c r="AL906" s="1">
        <v>1.58093299</v>
      </c>
      <c r="AM906" s="1">
        <v>49.696178091</v>
      </c>
      <c r="AN906" s="1">
        <v>30.998870866</v>
      </c>
      <c r="AO906" s="1">
        <v>22249.0</v>
      </c>
      <c r="AP906" s="1">
        <v>16.4</v>
      </c>
      <c r="AQ906" s="1">
        <v>6.2</v>
      </c>
      <c r="AR906" s="1">
        <v>10.9</v>
      </c>
      <c r="AS906" s="1">
        <v>17.1</v>
      </c>
      <c r="AT906" s="1">
        <v>24.1</v>
      </c>
      <c r="AU906" s="1">
        <v>16.2</v>
      </c>
      <c r="AV906" s="1">
        <v>19.4</v>
      </c>
      <c r="AW906" s="1">
        <v>1.9</v>
      </c>
      <c r="AX906" s="1">
        <v>0.6944</v>
      </c>
      <c r="AY906" s="1">
        <v>13.5</v>
      </c>
      <c r="AZ906" s="1">
        <v>14.2</v>
      </c>
      <c r="BA906" s="1">
        <v>21.7</v>
      </c>
      <c r="BB906" s="1">
        <v>2.88</v>
      </c>
      <c r="BC906" s="1" t="s">
        <v>1588</v>
      </c>
      <c r="BD906" s="1">
        <v>9.3</v>
      </c>
      <c r="BE906" s="1">
        <v>29.9</v>
      </c>
      <c r="BF906" s="1">
        <v>39.0</v>
      </c>
      <c r="BG906" s="1">
        <v>21.8</v>
      </c>
      <c r="BH906" s="1" t="s">
        <v>1616</v>
      </c>
    </row>
    <row r="907">
      <c r="A907" s="1">
        <v>20037.0</v>
      </c>
      <c r="B907" s="2" t="str">
        <f>IFERROR(__xludf.DUMMYFUNCTION("TO_TEXT(A907)"),"20037")</f>
        <v>20037</v>
      </c>
      <c r="C907" s="1">
        <v>39281.0</v>
      </c>
      <c r="D907" s="1">
        <v>589.756688338676</v>
      </c>
      <c r="E907" s="1" t="s">
        <v>314</v>
      </c>
      <c r="F907" s="1" t="s">
        <v>1617</v>
      </c>
      <c r="G907" s="1">
        <v>66.6054336927542</v>
      </c>
      <c r="H907" s="1">
        <v>19.11985275</v>
      </c>
      <c r="I907" s="1">
        <v>4.197539677</v>
      </c>
      <c r="J907" s="1">
        <v>7.480199472</v>
      </c>
      <c r="K907" s="1">
        <v>18.818417566</v>
      </c>
      <c r="L907" s="1">
        <v>33.6</v>
      </c>
      <c r="M907" s="1">
        <v>6.3</v>
      </c>
      <c r="N907" s="1">
        <v>27.6</v>
      </c>
      <c r="O907" s="1">
        <v>77.336842643</v>
      </c>
      <c r="P907" s="1">
        <v>11.876070273</v>
      </c>
      <c r="Q907" s="1">
        <v>81.97981</v>
      </c>
      <c r="R907" s="1">
        <v>90.5</v>
      </c>
      <c r="S907" s="1">
        <v>21.4</v>
      </c>
      <c r="T907" s="1">
        <v>8328.0</v>
      </c>
      <c r="U907" s="1">
        <v>31.147934678</v>
      </c>
      <c r="V907" s="1">
        <v>312.70509207</v>
      </c>
      <c r="W907" s="1">
        <v>16.237888406</v>
      </c>
      <c r="X907" s="1">
        <v>13.772169168</v>
      </c>
      <c r="Y907" s="1">
        <v>76.23696497</v>
      </c>
      <c r="Z907" s="1">
        <v>11.1</v>
      </c>
      <c r="AA907" s="1">
        <v>14.366278029</v>
      </c>
      <c r="AB907" s="1">
        <v>43852.0</v>
      </c>
      <c r="AC907" s="1">
        <v>56.7554076539999</v>
      </c>
      <c r="AD907" s="1">
        <v>58.42689165</v>
      </c>
      <c r="AE907" s="1">
        <v>14.415357766</v>
      </c>
      <c r="AF907" s="1">
        <v>2.1835516031</v>
      </c>
      <c r="AG907" s="1">
        <v>1.1712242754</v>
      </c>
      <c r="AH907" s="1">
        <v>1.8888233937</v>
      </c>
      <c r="AI907" s="1">
        <v>0.3101053333</v>
      </c>
      <c r="AJ907" s="1">
        <v>5.7869243189</v>
      </c>
      <c r="AK907" s="1">
        <v>86.411748123</v>
      </c>
      <c r="AL907" s="1">
        <v>1.0907706118</v>
      </c>
      <c r="AM907" s="1">
        <v>49.834695917</v>
      </c>
      <c r="AN907" s="1">
        <v>34.928706496</v>
      </c>
      <c r="AO907" s="1">
        <v>20642.0</v>
      </c>
      <c r="AP907" s="1">
        <v>21.8</v>
      </c>
      <c r="AQ907" s="1">
        <v>5.8</v>
      </c>
      <c r="AR907" s="1">
        <v>9.9</v>
      </c>
      <c r="AS907" s="1">
        <v>14.8</v>
      </c>
      <c r="AT907" s="1">
        <v>21.8</v>
      </c>
      <c r="AU907" s="1">
        <v>15.7</v>
      </c>
      <c r="AV907" s="1">
        <v>12.3</v>
      </c>
      <c r="AW907" s="1">
        <v>1.5</v>
      </c>
      <c r="AX907" s="1">
        <v>0.6476</v>
      </c>
      <c r="AY907" s="1">
        <v>18.5</v>
      </c>
      <c r="AZ907" s="1">
        <v>15.7</v>
      </c>
      <c r="BA907" s="1">
        <v>22.8</v>
      </c>
      <c r="BB907" s="1">
        <v>2.78</v>
      </c>
      <c r="BC907" s="1" t="s">
        <v>1588</v>
      </c>
      <c r="BD907" s="1">
        <v>7.9</v>
      </c>
      <c r="BE907" s="1">
        <v>29.3</v>
      </c>
      <c r="BF907" s="1">
        <v>33.0</v>
      </c>
      <c r="BG907" s="1">
        <v>29.9</v>
      </c>
      <c r="BH907" s="1" t="s">
        <v>1617</v>
      </c>
    </row>
    <row r="908">
      <c r="A908" s="1">
        <v>20039.0</v>
      </c>
      <c r="B908" s="2" t="str">
        <f>IFERROR(__xludf.DUMMYFUNCTION("TO_TEXT(A908)"),"20039")</f>
        <v>20039</v>
      </c>
      <c r="C908" s="1">
        <v>2886.0</v>
      </c>
      <c r="D908" s="1">
        <v>893.516982761824</v>
      </c>
      <c r="E908" s="1" t="s">
        <v>870</v>
      </c>
      <c r="F908" s="1" t="s">
        <v>1618</v>
      </c>
      <c r="G908" s="1">
        <v>3.22993301266585</v>
      </c>
      <c r="H908" s="1">
        <v>17.096950789</v>
      </c>
      <c r="I908" s="1">
        <v>4.043903053</v>
      </c>
      <c r="J908" s="1">
        <v>5.98290598289999</v>
      </c>
      <c r="K908" s="1">
        <v>16.071894232</v>
      </c>
      <c r="L908" s="1">
        <v>32.0</v>
      </c>
      <c r="M908" s="1">
        <v>7.1</v>
      </c>
      <c r="N908" s="1">
        <v>34.1</v>
      </c>
      <c r="O908" s="1">
        <v>46.8422830119999</v>
      </c>
      <c r="P908" s="1">
        <v>12.5664572259999</v>
      </c>
      <c r="Q908" s="1">
        <v>34.66205</v>
      </c>
      <c r="R908" s="1">
        <v>85.7</v>
      </c>
      <c r="S908" s="1">
        <v>21.0</v>
      </c>
      <c r="T908" s="1">
        <v>535.0</v>
      </c>
      <c r="U908" s="1">
        <v>23.925233645</v>
      </c>
      <c r="V908" s="1">
        <v>170.64846416</v>
      </c>
      <c r="W908" s="1">
        <v>9.8245614035</v>
      </c>
      <c r="X908" s="1">
        <v>9.5003518649</v>
      </c>
      <c r="Y908" s="1">
        <v>77.118050503</v>
      </c>
      <c r="Z908" s="1">
        <v>12.1</v>
      </c>
      <c r="AA908" s="1">
        <v>10.565339508</v>
      </c>
      <c r="AB908" s="1">
        <v>44774.0</v>
      </c>
      <c r="AC908" s="1">
        <v>46.438746439</v>
      </c>
      <c r="AD908" s="1">
        <v>72.00538358</v>
      </c>
      <c r="AE908" s="1">
        <v>10.6245513279999</v>
      </c>
      <c r="AF908" s="1">
        <v>0.8359456635</v>
      </c>
      <c r="AG908" s="1">
        <v>0.4876349704</v>
      </c>
      <c r="AH908" s="1">
        <v>0.2786485545</v>
      </c>
      <c r="AI908" s="1">
        <v>0.0</v>
      </c>
      <c r="AJ908" s="1">
        <v>3.1347962382</v>
      </c>
      <c r="AK908" s="1">
        <v>93.800069662</v>
      </c>
      <c r="AL908" s="1">
        <v>0.9948415623</v>
      </c>
      <c r="AM908" s="1">
        <v>49.73876698</v>
      </c>
      <c r="AN908" s="1">
        <v>100.0</v>
      </c>
      <c r="AO908" s="1">
        <v>29729.0</v>
      </c>
      <c r="AP908" s="1">
        <v>13.3</v>
      </c>
      <c r="AQ908" s="1">
        <v>2.8</v>
      </c>
      <c r="AR908" s="1">
        <v>8.1</v>
      </c>
      <c r="AS908" s="1">
        <v>27.6</v>
      </c>
      <c r="AT908" s="1">
        <v>19.4</v>
      </c>
      <c r="AU908" s="1">
        <v>20.8</v>
      </c>
      <c r="AV908" s="1">
        <v>4.8</v>
      </c>
      <c r="AW908" s="1">
        <v>0.4</v>
      </c>
      <c r="AX908" s="1">
        <v>0.163999999999999</v>
      </c>
      <c r="AY908" s="1">
        <v>13.2</v>
      </c>
      <c r="AZ908" s="1">
        <v>15.0</v>
      </c>
      <c r="BA908" s="1">
        <v>26.0</v>
      </c>
      <c r="BB908" s="1">
        <v>3.17</v>
      </c>
      <c r="BC908" s="1" t="s">
        <v>1588</v>
      </c>
      <c r="BD908" s="1">
        <v>6.0</v>
      </c>
      <c r="BE908" s="1">
        <v>35.4</v>
      </c>
      <c r="BF908" s="1">
        <v>36.1</v>
      </c>
      <c r="BG908" s="1">
        <v>22.5</v>
      </c>
      <c r="BH908" s="1" t="s">
        <v>1618</v>
      </c>
    </row>
    <row r="909">
      <c r="A909" s="1">
        <v>20041.0</v>
      </c>
      <c r="B909" s="2" t="str">
        <f>IFERROR(__xludf.DUMMYFUNCTION("TO_TEXT(A909)"),"20041")</f>
        <v>20041</v>
      </c>
      <c r="C909" s="1">
        <v>19384.0</v>
      </c>
      <c r="D909" s="1">
        <v>847.066255007859</v>
      </c>
      <c r="E909" s="1" t="s">
        <v>1485</v>
      </c>
      <c r="F909" s="1" t="s">
        <v>1619</v>
      </c>
      <c r="G909" s="1">
        <v>22.8836881240419</v>
      </c>
      <c r="H909" s="1">
        <v>16.287788448</v>
      </c>
      <c r="I909" s="1">
        <v>3.9085388497</v>
      </c>
      <c r="J909" s="1">
        <v>7.7436582109</v>
      </c>
      <c r="K909" s="1">
        <v>17.975540411</v>
      </c>
      <c r="L909" s="1">
        <v>36.0</v>
      </c>
      <c r="M909" s="1">
        <v>8.1</v>
      </c>
      <c r="N909" s="1">
        <v>31.6</v>
      </c>
      <c r="O909" s="1">
        <v>69.818770882</v>
      </c>
      <c r="P909" s="1">
        <v>9.8253275109</v>
      </c>
      <c r="Q909" s="1">
        <v>37.03312</v>
      </c>
      <c r="R909" s="1">
        <v>90.3</v>
      </c>
      <c r="S909" s="1">
        <v>15.4</v>
      </c>
      <c r="T909" s="1">
        <v>4560.0</v>
      </c>
      <c r="U909" s="1">
        <v>23.048245614</v>
      </c>
      <c r="V909" s="1">
        <v>152.55332902</v>
      </c>
      <c r="W909" s="1">
        <v>10.991787745</v>
      </c>
      <c r="X909" s="1">
        <v>8.9315419066</v>
      </c>
      <c r="Y909" s="1">
        <v>78.10752875</v>
      </c>
      <c r="Z909" s="1">
        <v>11.0</v>
      </c>
      <c r="AA909" s="1">
        <v>3.055601822</v>
      </c>
      <c r="AB909" s="1">
        <v>50605.0</v>
      </c>
      <c r="AC909" s="1">
        <v>49.285714286</v>
      </c>
      <c r="AD909" s="1">
        <v>69.760287143</v>
      </c>
      <c r="AE909" s="1">
        <v>10.620413609</v>
      </c>
      <c r="AF909" s="1">
        <v>1.0258054175</v>
      </c>
      <c r="AG909" s="1">
        <v>0.9456643693</v>
      </c>
      <c r="AH909" s="1">
        <v>0.6464711225</v>
      </c>
      <c r="AI909" s="1">
        <v>0.0961692579</v>
      </c>
      <c r="AJ909" s="1">
        <v>4.8565475236</v>
      </c>
      <c r="AK909" s="1">
        <v>90.516642624</v>
      </c>
      <c r="AL909" s="1">
        <v>0.0</v>
      </c>
      <c r="AM909" s="1">
        <v>49.601966127</v>
      </c>
      <c r="AN909" s="1">
        <v>64.290776552</v>
      </c>
      <c r="AO909" s="1">
        <v>24454.0</v>
      </c>
      <c r="AP909" s="1">
        <v>11.2</v>
      </c>
      <c r="AQ909" s="1">
        <v>5.6</v>
      </c>
      <c r="AR909" s="1">
        <v>10.8</v>
      </c>
      <c r="AS909" s="1">
        <v>18.4</v>
      </c>
      <c r="AT909" s="1">
        <v>24.1</v>
      </c>
      <c r="AU909" s="1">
        <v>16.8</v>
      </c>
      <c r="AV909" s="1">
        <v>8.6</v>
      </c>
      <c r="AW909" s="1">
        <v>0.3</v>
      </c>
      <c r="AX909" s="1">
        <v>0.32</v>
      </c>
      <c r="AY909" s="1">
        <v>9.8</v>
      </c>
      <c r="AZ909" s="1">
        <v>13.7</v>
      </c>
      <c r="BA909" s="1">
        <v>20.6</v>
      </c>
      <c r="BB909" s="1">
        <v>3.1</v>
      </c>
      <c r="BC909" s="1" t="s">
        <v>1588</v>
      </c>
      <c r="BD909" s="1">
        <v>8.5</v>
      </c>
      <c r="BE909" s="1">
        <v>33.2</v>
      </c>
      <c r="BF909" s="1">
        <v>35.4</v>
      </c>
      <c r="BG909" s="1">
        <v>22.9</v>
      </c>
      <c r="BH909" s="1" t="s">
        <v>1619</v>
      </c>
    </row>
    <row r="910">
      <c r="A910" s="1">
        <v>20043.0</v>
      </c>
      <c r="B910" s="2" t="str">
        <f>IFERROR(__xludf.DUMMYFUNCTION("TO_TEXT(A910)"),"20043")</f>
        <v>20043</v>
      </c>
      <c r="C910" s="1">
        <v>7793.0</v>
      </c>
      <c r="D910" s="1">
        <v>393.40508651133</v>
      </c>
      <c r="E910" s="1" t="s">
        <v>1620</v>
      </c>
      <c r="F910" s="1" t="s">
        <v>1621</v>
      </c>
      <c r="G910" s="1">
        <v>19.8090982226677</v>
      </c>
      <c r="H910" s="1">
        <v>14.279410105</v>
      </c>
      <c r="I910" s="1">
        <v>3.5243108584</v>
      </c>
      <c r="J910" s="1">
        <v>5.7040998217</v>
      </c>
      <c r="K910" s="1">
        <v>15.7273843609999</v>
      </c>
      <c r="L910" s="1">
        <v>37.5</v>
      </c>
      <c r="M910" s="1">
        <v>6.4</v>
      </c>
      <c r="N910" s="1">
        <v>31.3</v>
      </c>
      <c r="O910" s="1">
        <v>27.501573317</v>
      </c>
      <c r="P910" s="1">
        <v>9.9318568995</v>
      </c>
      <c r="Q910" s="1">
        <v>38.8249</v>
      </c>
      <c r="R910" s="1">
        <v>83.7</v>
      </c>
      <c r="S910" s="1">
        <v>17.8</v>
      </c>
      <c r="T910" s="1">
        <v>1485.0</v>
      </c>
      <c r="U910" s="1">
        <v>22.28956229</v>
      </c>
      <c r="V910" s="1">
        <v>109.28961749</v>
      </c>
      <c r="W910" s="1">
        <v>9.2382495948</v>
      </c>
      <c r="X910" s="1">
        <v>6.2071218556</v>
      </c>
      <c r="Y910" s="1">
        <v>78.674338556</v>
      </c>
      <c r="Z910" s="1">
        <v>11.0</v>
      </c>
      <c r="AA910" s="1">
        <v>19.805293491</v>
      </c>
      <c r="AB910" s="1">
        <v>50949.0</v>
      </c>
      <c r="AC910" s="1">
        <v>45.369705671</v>
      </c>
      <c r="AD910" s="1">
        <v>72.982804233</v>
      </c>
      <c r="AE910" s="1">
        <v>8.5327783559</v>
      </c>
      <c r="AF910" s="1">
        <v>3.2153085134</v>
      </c>
      <c r="AG910" s="1">
        <v>1.3538141109</v>
      </c>
      <c r="AH910" s="1">
        <v>0.4816454048</v>
      </c>
      <c r="AI910" s="1">
        <v>0.0</v>
      </c>
      <c r="AJ910" s="1">
        <v>2.7987503254</v>
      </c>
      <c r="AK910" s="1">
        <v>90.223900026</v>
      </c>
      <c r="AL910" s="1">
        <v>0.0272108844</v>
      </c>
      <c r="AM910" s="1">
        <v>49.713616246</v>
      </c>
      <c r="AN910" s="1">
        <v>70.195091252</v>
      </c>
      <c r="AO910" s="1">
        <v>23986.0</v>
      </c>
      <c r="AP910" s="1">
        <v>12.2</v>
      </c>
      <c r="AQ910" s="1">
        <v>5.1</v>
      </c>
      <c r="AR910" s="1">
        <v>9.3</v>
      </c>
      <c r="AS910" s="1">
        <v>17.4</v>
      </c>
      <c r="AT910" s="1">
        <v>20.4</v>
      </c>
      <c r="AU910" s="1">
        <v>15.0</v>
      </c>
      <c r="AV910" s="1">
        <v>9.7</v>
      </c>
      <c r="AW910" s="1">
        <v>0.0</v>
      </c>
      <c r="AX910" s="1">
        <v>0.2598</v>
      </c>
      <c r="AY910" s="1">
        <v>11.4</v>
      </c>
      <c r="AZ910" s="1">
        <v>13.8</v>
      </c>
      <c r="BA910" s="1">
        <v>22.8</v>
      </c>
      <c r="BB910" s="1">
        <v>2.98</v>
      </c>
      <c r="BC910" s="1" t="s">
        <v>1588</v>
      </c>
      <c r="BD910" s="1">
        <v>9.7</v>
      </c>
      <c r="BE910" s="1">
        <v>36.8</v>
      </c>
      <c r="BF910" s="1">
        <v>32.4</v>
      </c>
      <c r="BG910" s="1">
        <v>21.1</v>
      </c>
      <c r="BH910" s="1" t="s">
        <v>1621</v>
      </c>
    </row>
    <row r="911">
      <c r="A911" s="1">
        <v>20045.0</v>
      </c>
      <c r="B911" s="2" t="str">
        <f>IFERROR(__xludf.DUMMYFUNCTION("TO_TEXT(A911)"),"20045")</f>
        <v>20045</v>
      </c>
      <c r="C911" s="1">
        <v>116352.0</v>
      </c>
      <c r="D911" s="1">
        <v>455.872128703556</v>
      </c>
      <c r="E911" s="1" t="s">
        <v>569</v>
      </c>
      <c r="F911" s="1" t="s">
        <v>1622</v>
      </c>
      <c r="G911" s="1">
        <v>255.229466058587</v>
      </c>
      <c r="H911" s="1">
        <v>14.5252755959999</v>
      </c>
      <c r="I911" s="1">
        <v>3.8816321938</v>
      </c>
      <c r="J911" s="1">
        <v>7.21637288539999</v>
      </c>
      <c r="K911" s="1">
        <v>16.6190312829999</v>
      </c>
      <c r="L911" s="1">
        <v>27.9</v>
      </c>
      <c r="M911" s="1">
        <v>7.3</v>
      </c>
      <c r="N911" s="1">
        <v>17.1</v>
      </c>
      <c r="O911" s="1">
        <v>91.038204032</v>
      </c>
      <c r="P911" s="1">
        <v>9.24404563409999</v>
      </c>
      <c r="Q911" s="1">
        <v>86.92557</v>
      </c>
      <c r="R911" s="1">
        <v>84.3</v>
      </c>
      <c r="S911" s="1">
        <v>12.4</v>
      </c>
      <c r="T911" s="1">
        <v>21914.0</v>
      </c>
      <c r="U911" s="1">
        <v>25.321712147</v>
      </c>
      <c r="V911" s="1">
        <v>224.95136187</v>
      </c>
      <c r="W911" s="1">
        <v>19.950237503</v>
      </c>
      <c r="X911" s="1">
        <v>17.942857143</v>
      </c>
      <c r="Y911" s="1">
        <v>80.361709799</v>
      </c>
      <c r="Z911" s="1">
        <v>6.5</v>
      </c>
      <c r="AA911" s="1">
        <v>4.4694837263</v>
      </c>
      <c r="AB911" s="1">
        <v>57120.0</v>
      </c>
      <c r="AC911" s="1">
        <v>35.286005122</v>
      </c>
      <c r="AD911" s="1">
        <v>51.844731499</v>
      </c>
      <c r="AE911" s="1">
        <v>17.471249145</v>
      </c>
      <c r="AF911" s="1">
        <v>4.3833788992</v>
      </c>
      <c r="AG911" s="1">
        <v>2.6639546757</v>
      </c>
      <c r="AH911" s="1">
        <v>4.9911064264</v>
      </c>
      <c r="AI911" s="1">
        <v>0.0930531309</v>
      </c>
      <c r="AJ911" s="1">
        <v>6.3737277249</v>
      </c>
      <c r="AK911" s="1">
        <v>78.326031819</v>
      </c>
      <c r="AL911" s="1">
        <v>0.886865025</v>
      </c>
      <c r="AM911" s="1">
        <v>50.163048849</v>
      </c>
      <c r="AN911" s="1">
        <v>11.012758739</v>
      </c>
      <c r="AO911" s="1">
        <v>28302.0</v>
      </c>
      <c r="AP911" s="1">
        <v>19.2</v>
      </c>
      <c r="AQ911" s="1">
        <v>5.3</v>
      </c>
      <c r="AR911" s="1">
        <v>5.0</v>
      </c>
      <c r="AS911" s="1">
        <v>10.4</v>
      </c>
      <c r="AT911" s="1">
        <v>18.9</v>
      </c>
      <c r="AU911" s="1">
        <v>10.1</v>
      </c>
      <c r="AV911" s="1">
        <v>20.2</v>
      </c>
      <c r="AW911" s="1">
        <v>1.1</v>
      </c>
      <c r="AX911" s="1">
        <v>0.2426</v>
      </c>
      <c r="AY911" s="1">
        <v>15.1</v>
      </c>
      <c r="AZ911" s="1">
        <v>12.8</v>
      </c>
      <c r="BA911" s="1">
        <v>16.4</v>
      </c>
      <c r="BB911" s="1">
        <v>3.36</v>
      </c>
      <c r="BC911" s="1" t="s">
        <v>1588</v>
      </c>
      <c r="BD911" s="1">
        <v>4.6</v>
      </c>
      <c r="BE911" s="1">
        <v>18.4</v>
      </c>
      <c r="BF911" s="1">
        <v>27.4</v>
      </c>
      <c r="BG911" s="1">
        <v>49.6</v>
      </c>
      <c r="BH911" s="1" t="s">
        <v>1622</v>
      </c>
    </row>
    <row r="912">
      <c r="A912" s="1">
        <v>20047.0</v>
      </c>
      <c r="B912" s="2" t="str">
        <f>IFERROR(__xludf.DUMMYFUNCTION("TO_TEXT(A912)"),"20047")</f>
        <v>20047</v>
      </c>
      <c r="C912" s="1">
        <v>2975.0</v>
      </c>
      <c r="D912" s="1">
        <v>621.894200279092</v>
      </c>
      <c r="E912" s="1" t="s">
        <v>1188</v>
      </c>
      <c r="F912" s="1" t="s">
        <v>1623</v>
      </c>
      <c r="G912" s="1">
        <v>4.7837718998905</v>
      </c>
      <c r="H912" s="1">
        <v>17.69417157</v>
      </c>
      <c r="I912" s="1">
        <v>3.6230676987</v>
      </c>
      <c r="J912" s="1">
        <v>8.4444444444</v>
      </c>
      <c r="K912" s="1">
        <v>15.338361267</v>
      </c>
      <c r="L912" s="1">
        <v>38.0</v>
      </c>
      <c r="M912" s="1">
        <v>8.5</v>
      </c>
      <c r="N912" s="1">
        <v>28.3</v>
      </c>
      <c r="O912" s="1">
        <v>71.287454725</v>
      </c>
      <c r="P912" s="1">
        <v>17.076382792</v>
      </c>
      <c r="Q912" s="1">
        <v>34.56619</v>
      </c>
      <c r="R912" s="1">
        <v>81.3</v>
      </c>
      <c r="S912" s="1">
        <v>16.5</v>
      </c>
      <c r="T912" s="1">
        <v>676.0</v>
      </c>
      <c r="U912" s="1">
        <v>19.674556213</v>
      </c>
      <c r="V912" s="1">
        <v>128.9847061</v>
      </c>
      <c r="W912" s="1">
        <v>6.374501992</v>
      </c>
      <c r="X912" s="1">
        <v>4.5124899275</v>
      </c>
      <c r="Y912" s="1">
        <v>71.587422116</v>
      </c>
      <c r="Z912" s="1">
        <v>15.0</v>
      </c>
      <c r="AA912" s="1">
        <v>5.4607890372</v>
      </c>
      <c r="AB912" s="1">
        <v>46962.0</v>
      </c>
      <c r="AC912" s="1">
        <v>58.354114713</v>
      </c>
      <c r="AD912" s="1">
        <v>78.648233487</v>
      </c>
      <c r="AE912" s="1">
        <v>2.9975020816</v>
      </c>
      <c r="AF912" s="1">
        <v>0.6318006318</v>
      </c>
      <c r="AG912" s="1">
        <v>2.3868023868</v>
      </c>
      <c r="AH912" s="1">
        <v>0.2457002457</v>
      </c>
      <c r="AI912" s="1">
        <v>0.0</v>
      </c>
      <c r="AJ912" s="1">
        <v>20.358020358</v>
      </c>
      <c r="AK912" s="1">
        <v>75.991575992</v>
      </c>
      <c r="AL912" s="1">
        <v>4.8</v>
      </c>
      <c r="AM912" s="1">
        <v>49.14004914</v>
      </c>
      <c r="AN912" s="1">
        <v>100.0</v>
      </c>
      <c r="AO912" s="1">
        <v>26567.0</v>
      </c>
      <c r="AP912" s="1">
        <v>11.1</v>
      </c>
      <c r="AQ912" s="1">
        <v>1.6</v>
      </c>
      <c r="AR912" s="1">
        <v>16.8</v>
      </c>
      <c r="AS912" s="1">
        <v>20.8</v>
      </c>
      <c r="AT912" s="1">
        <v>22.9</v>
      </c>
      <c r="AU912" s="1">
        <v>15.8</v>
      </c>
      <c r="AV912" s="1">
        <v>22.3</v>
      </c>
      <c r="AW912" s="1">
        <v>4.3</v>
      </c>
      <c r="AX912" s="1">
        <v>0.433</v>
      </c>
      <c r="AY912" s="1">
        <v>11.7</v>
      </c>
      <c r="AZ912" s="1">
        <v>10.0</v>
      </c>
      <c r="BA912" s="1">
        <v>14.4</v>
      </c>
      <c r="BB912" s="1">
        <v>2.91</v>
      </c>
      <c r="BC912" s="1" t="s">
        <v>1588</v>
      </c>
      <c r="BD912" s="1">
        <v>14.6</v>
      </c>
      <c r="BE912" s="1">
        <v>28.2</v>
      </c>
      <c r="BF912" s="1">
        <v>39.1</v>
      </c>
      <c r="BG912" s="1">
        <v>18.1</v>
      </c>
      <c r="BH912" s="1" t="s">
        <v>1623</v>
      </c>
    </row>
    <row r="913">
      <c r="A913" s="1">
        <v>20049.0</v>
      </c>
      <c r="B913" s="2" t="str">
        <f>IFERROR(__xludf.DUMMYFUNCTION("TO_TEXT(A913)"),"20049")</f>
        <v>20049</v>
      </c>
      <c r="C913" s="1">
        <v>2635.0</v>
      </c>
      <c r="D913" s="1">
        <v>644.264089151632</v>
      </c>
      <c r="E913" s="1" t="s">
        <v>1624</v>
      </c>
      <c r="F913" s="1" t="s">
        <v>1625</v>
      </c>
      <c r="G913" s="1">
        <v>4.0899377202131</v>
      </c>
      <c r="H913" s="1">
        <v>16.79154764</v>
      </c>
      <c r="I913" s="1">
        <v>4.0065078294</v>
      </c>
      <c r="J913" s="1">
        <v>7.8534031414</v>
      </c>
      <c r="K913" s="1">
        <v>16.109538193</v>
      </c>
      <c r="L913" s="1">
        <v>33.3</v>
      </c>
      <c r="M913" s="1">
        <v>4.6</v>
      </c>
      <c r="N913" s="1">
        <v>33.2</v>
      </c>
      <c r="O913" s="1">
        <v>29.042331714</v>
      </c>
      <c r="P913" s="1">
        <v>14.073226545</v>
      </c>
      <c r="Q913" s="1">
        <v>40.03203</v>
      </c>
      <c r="R913" s="1">
        <v>93.5</v>
      </c>
      <c r="S913" s="1">
        <v>27.8</v>
      </c>
      <c r="T913" s="1">
        <v>542.0</v>
      </c>
      <c r="U913" s="1">
        <v>19.188191882</v>
      </c>
      <c r="V913" s="1">
        <v>0.0</v>
      </c>
      <c r="W913" s="1">
        <v>9.2369477912</v>
      </c>
      <c r="X913" s="1">
        <v>6.74248578389999</v>
      </c>
      <c r="Y913" s="1">
        <v>71.519095892</v>
      </c>
      <c r="Z913" s="1">
        <v>23.2</v>
      </c>
      <c r="AA913" s="1">
        <v>42.1020317659999</v>
      </c>
      <c r="AB913" s="1">
        <v>37360.0</v>
      </c>
      <c r="AC913" s="1">
        <v>66.805845511</v>
      </c>
      <c r="AD913" s="1">
        <v>79.856759176</v>
      </c>
      <c r="AE913" s="1">
        <v>5.95463138</v>
      </c>
      <c r="AF913" s="1">
        <v>0.1196172249</v>
      </c>
      <c r="AG913" s="1">
        <v>1.9936204147</v>
      </c>
      <c r="AH913" s="1">
        <v>0.5183413078</v>
      </c>
      <c r="AI913" s="1">
        <v>0.0797448166</v>
      </c>
      <c r="AJ913" s="1">
        <v>4.5853269537</v>
      </c>
      <c r="AK913" s="1">
        <v>89.752791069</v>
      </c>
      <c r="AL913" s="1">
        <v>0.0</v>
      </c>
      <c r="AM913" s="1">
        <v>49.4816586919999</v>
      </c>
      <c r="AN913" s="1">
        <v>100.0</v>
      </c>
      <c r="AO913" s="1">
        <v>22040.0</v>
      </c>
      <c r="AP913" s="1">
        <v>17.4</v>
      </c>
      <c r="AQ913" s="1">
        <v>5.8</v>
      </c>
      <c r="AR913" s="1">
        <v>9.6</v>
      </c>
      <c r="AS913" s="1">
        <v>27.8</v>
      </c>
      <c r="AT913" s="1">
        <v>20.3</v>
      </c>
      <c r="AU913" s="1">
        <v>21.8</v>
      </c>
      <c r="AV913" s="1">
        <v>8.7</v>
      </c>
      <c r="AW913" s="1">
        <v>0.7</v>
      </c>
      <c r="AX913" s="1">
        <v>0.3948</v>
      </c>
      <c r="AY913" s="1">
        <v>19.4</v>
      </c>
      <c r="AZ913" s="1">
        <v>15.4</v>
      </c>
      <c r="BA913" s="1">
        <v>23.4</v>
      </c>
      <c r="BB913" s="1">
        <v>3.08</v>
      </c>
      <c r="BC913" s="1" t="s">
        <v>1588</v>
      </c>
      <c r="BD913" s="1">
        <v>11.5</v>
      </c>
      <c r="BE913" s="1">
        <v>42.6</v>
      </c>
      <c r="BF913" s="1">
        <v>30.3</v>
      </c>
      <c r="BG913" s="1">
        <v>15.6</v>
      </c>
      <c r="BH913" s="1" t="s">
        <v>1625</v>
      </c>
    </row>
    <row r="914">
      <c r="A914" s="1">
        <v>20051.0</v>
      </c>
      <c r="B914" s="2" t="str">
        <f>IFERROR(__xludf.DUMMYFUNCTION("TO_TEXT(A914)"),"20051")</f>
        <v>20051</v>
      </c>
      <c r="C914" s="1">
        <v>29032.0</v>
      </c>
      <c r="D914" s="1">
        <v>899.911971268825</v>
      </c>
      <c r="E914" s="1" t="s">
        <v>1626</v>
      </c>
      <c r="F914" s="1" t="s">
        <v>1627</v>
      </c>
      <c r="G914" s="1">
        <v>32.2609332100188</v>
      </c>
      <c r="H914" s="1">
        <v>15.408966892</v>
      </c>
      <c r="I914" s="1">
        <v>3.4188965718</v>
      </c>
      <c r="J914" s="1">
        <v>6.157635468</v>
      </c>
      <c r="K914" s="1">
        <v>15.891592955</v>
      </c>
      <c r="L914" s="1">
        <v>30.0</v>
      </c>
      <c r="M914" s="1">
        <v>7.5</v>
      </c>
      <c r="N914" s="1">
        <v>26.5</v>
      </c>
      <c r="O914" s="1">
        <v>89.8882328129999</v>
      </c>
      <c r="P914" s="1">
        <v>8.8145768158</v>
      </c>
      <c r="Q914" s="1">
        <v>66.22747</v>
      </c>
      <c r="R914" s="1">
        <v>90.5</v>
      </c>
      <c r="S914" s="1">
        <v>12.2</v>
      </c>
      <c r="T914" s="1">
        <v>6229.0</v>
      </c>
      <c r="U914" s="1">
        <v>33.2798201959999</v>
      </c>
      <c r="V914" s="1">
        <v>293.70845571</v>
      </c>
      <c r="W914" s="1">
        <v>13.741438356</v>
      </c>
      <c r="X914" s="1">
        <v>11.6760017229999</v>
      </c>
      <c r="Y914" s="1">
        <v>79.25375041</v>
      </c>
      <c r="Z914" s="1">
        <v>7.4</v>
      </c>
      <c r="AA914" s="1">
        <v>6.4708668853</v>
      </c>
      <c r="AB914" s="1">
        <v>53840.0</v>
      </c>
      <c r="AC914" s="1">
        <v>38.251225174</v>
      </c>
      <c r="AD914" s="1">
        <v>61.264139539</v>
      </c>
      <c r="AE914" s="1">
        <v>11.124933357</v>
      </c>
      <c r="AF914" s="1">
        <v>1.1285266458</v>
      </c>
      <c r="AG914" s="1">
        <v>0.4458376872</v>
      </c>
      <c r="AH914" s="1">
        <v>1.8564959944</v>
      </c>
      <c r="AI914" s="1">
        <v>0.0592128178</v>
      </c>
      <c r="AJ914" s="1">
        <v>5.8969000348</v>
      </c>
      <c r="AK914" s="1">
        <v>89.3382096829999</v>
      </c>
      <c r="AL914" s="1">
        <v>0.8578295434</v>
      </c>
      <c r="AM914" s="1">
        <v>49.641239986</v>
      </c>
      <c r="AN914" s="1">
        <v>25.558835934</v>
      </c>
      <c r="AO914" s="1">
        <v>27103.0</v>
      </c>
      <c r="AP914" s="1">
        <v>14.4</v>
      </c>
      <c r="AQ914" s="1">
        <v>3.4</v>
      </c>
      <c r="AR914" s="1">
        <v>6.7</v>
      </c>
      <c r="AS914" s="1">
        <v>14.1</v>
      </c>
      <c r="AT914" s="1">
        <v>21.4</v>
      </c>
      <c r="AU914" s="1">
        <v>11.2</v>
      </c>
      <c r="AV914" s="1">
        <v>9.5</v>
      </c>
      <c r="AW914" s="1">
        <v>0.5</v>
      </c>
      <c r="AX914" s="1">
        <v>0.1063</v>
      </c>
      <c r="AY914" s="1">
        <v>13.1</v>
      </c>
      <c r="AZ914" s="1">
        <v>11.8</v>
      </c>
      <c r="BA914" s="1">
        <v>16.2</v>
      </c>
      <c r="BB914" s="1">
        <v>3.04</v>
      </c>
      <c r="BC914" s="1" t="s">
        <v>1588</v>
      </c>
      <c r="BD914" s="1">
        <v>6.7</v>
      </c>
      <c r="BE914" s="1">
        <v>26.9</v>
      </c>
      <c r="BF914" s="1">
        <v>30.1</v>
      </c>
      <c r="BG914" s="1">
        <v>36.3</v>
      </c>
      <c r="BH914" s="1" t="s">
        <v>1627</v>
      </c>
    </row>
    <row r="915">
      <c r="A915" s="1">
        <v>20053.0</v>
      </c>
      <c r="B915" s="2" t="str">
        <f>IFERROR(__xludf.DUMMYFUNCTION("TO_TEXT(A915)"),"20053")</f>
        <v>20053</v>
      </c>
      <c r="C915" s="1">
        <v>6375.0</v>
      </c>
      <c r="D915" s="1">
        <v>715.844986814132</v>
      </c>
      <c r="E915" s="1" t="s">
        <v>1628</v>
      </c>
      <c r="F915" s="1" t="s">
        <v>1629</v>
      </c>
      <c r="G915" s="1">
        <v>8.90555932838468</v>
      </c>
      <c r="H915" s="1">
        <v>15.857439494</v>
      </c>
      <c r="I915" s="1">
        <v>3.6852298519</v>
      </c>
      <c r="J915" s="1">
        <v>6.5375302663</v>
      </c>
      <c r="K915" s="1">
        <v>15.133026262</v>
      </c>
      <c r="L915" s="1">
        <v>36.6</v>
      </c>
      <c r="M915" s="1">
        <v>7.6</v>
      </c>
      <c r="N915" s="1">
        <v>29.0</v>
      </c>
      <c r="O915" s="1">
        <v>63.6293674</v>
      </c>
      <c r="P915" s="1">
        <v>8.618199326</v>
      </c>
      <c r="Q915" s="1">
        <v>63.19115</v>
      </c>
      <c r="R915" s="1">
        <v>82.2</v>
      </c>
      <c r="S915" s="1">
        <v>14.2</v>
      </c>
      <c r="T915" s="1">
        <v>1160.0</v>
      </c>
      <c r="U915" s="1">
        <v>29.74137931</v>
      </c>
      <c r="V915" s="1">
        <v>98.212531919</v>
      </c>
      <c r="W915" s="1">
        <v>9.5427435388</v>
      </c>
      <c r="X915" s="1">
        <v>7.1887550201</v>
      </c>
      <c r="Y915" s="1">
        <v>77.7818686</v>
      </c>
      <c r="Z915" s="1">
        <v>11.4</v>
      </c>
      <c r="AA915" s="1">
        <v>10.079200377</v>
      </c>
      <c r="AB915" s="1">
        <v>50261.0</v>
      </c>
      <c r="AC915" s="1">
        <v>41.3402061859999</v>
      </c>
      <c r="AD915" s="1">
        <v>75.101543461</v>
      </c>
      <c r="AE915" s="1">
        <v>7.4280807213</v>
      </c>
      <c r="AF915" s="1">
        <v>5.245319561</v>
      </c>
      <c r="AG915" s="1">
        <v>0.806972240199999</v>
      </c>
      <c r="AH915" s="1">
        <v>0.6132989025</v>
      </c>
      <c r="AI915" s="1">
        <v>0.0</v>
      </c>
      <c r="AJ915" s="1">
        <v>6.0361523564</v>
      </c>
      <c r="AK915" s="1">
        <v>85.813428018</v>
      </c>
      <c r="AL915" s="1">
        <v>0.4870675176</v>
      </c>
      <c r="AM915" s="1">
        <v>43.463524855</v>
      </c>
      <c r="AN915" s="1">
        <v>54.101893181</v>
      </c>
      <c r="AO915" s="1">
        <v>23851.0</v>
      </c>
      <c r="AP915" s="1">
        <v>8.5</v>
      </c>
      <c r="AQ915" s="1">
        <v>3.4</v>
      </c>
      <c r="AR915" s="1">
        <v>9.3</v>
      </c>
      <c r="AS915" s="1">
        <v>20.3</v>
      </c>
      <c r="AT915" s="1">
        <v>19.0</v>
      </c>
      <c r="AU915" s="1">
        <v>16.2</v>
      </c>
      <c r="AV915" s="1">
        <v>13.6</v>
      </c>
      <c r="AW915" s="1">
        <v>0.6</v>
      </c>
      <c r="AX915" s="1">
        <v>0.3005</v>
      </c>
      <c r="AY915" s="1">
        <v>9.6</v>
      </c>
      <c r="AZ915" s="1">
        <v>12.5</v>
      </c>
      <c r="BA915" s="1">
        <v>19.2</v>
      </c>
      <c r="BB915" s="1">
        <v>2.89</v>
      </c>
      <c r="BC915" s="1" t="s">
        <v>1588</v>
      </c>
      <c r="BD915" s="1">
        <v>8.4</v>
      </c>
      <c r="BE915" s="1">
        <v>34.3</v>
      </c>
      <c r="BF915" s="1">
        <v>37.8</v>
      </c>
      <c r="BG915" s="1">
        <v>19.5</v>
      </c>
      <c r="BH915" s="1" t="s">
        <v>1629</v>
      </c>
    </row>
    <row r="916">
      <c r="A916" s="1">
        <v>20055.0</v>
      </c>
      <c r="B916" s="2" t="str">
        <f>IFERROR(__xludf.DUMMYFUNCTION("TO_TEXT(A916)"),"20055")</f>
        <v>20055</v>
      </c>
      <c r="C916" s="1">
        <v>36983.0</v>
      </c>
      <c r="D916" s="1">
        <v>1301.9616398603</v>
      </c>
      <c r="E916" s="1" t="s">
        <v>1630</v>
      </c>
      <c r="F916" s="1" t="s">
        <v>1631</v>
      </c>
      <c r="G916" s="1">
        <v>28.4055988039465</v>
      </c>
      <c r="H916" s="1">
        <v>19.928398984</v>
      </c>
      <c r="I916" s="1">
        <v>3.4982934072</v>
      </c>
      <c r="J916" s="1">
        <v>7.4176998717</v>
      </c>
      <c r="K916" s="1">
        <v>17.0835346999999</v>
      </c>
      <c r="L916" s="1">
        <v>36.3</v>
      </c>
      <c r="M916" s="1">
        <v>8.4</v>
      </c>
      <c r="N916" s="1">
        <v>28.3</v>
      </c>
      <c r="O916" s="1">
        <v>75.046225799</v>
      </c>
      <c r="P916" s="1">
        <v>14.915914431</v>
      </c>
      <c r="Q916" s="1">
        <v>62.02136</v>
      </c>
      <c r="R916" s="1">
        <v>81.8</v>
      </c>
      <c r="S916" s="1">
        <v>17.5</v>
      </c>
      <c r="T916" s="1">
        <v>11371.0</v>
      </c>
      <c r="U916" s="1">
        <v>35.678480345</v>
      </c>
      <c r="V916" s="1">
        <v>495.26996937</v>
      </c>
      <c r="W916" s="1">
        <v>15.789473684</v>
      </c>
      <c r="X916" s="1">
        <v>8.4164339848</v>
      </c>
      <c r="Y916" s="1">
        <v>80.260360878</v>
      </c>
      <c r="Z916" s="1">
        <v>9.3</v>
      </c>
      <c r="AA916" s="1">
        <v>9.37113729309999</v>
      </c>
      <c r="AB916" s="1">
        <v>56206.0</v>
      </c>
      <c r="AC916" s="1">
        <v>68.917809825</v>
      </c>
      <c r="AD916" s="1">
        <v>62.514989208</v>
      </c>
      <c r="AE916" s="1">
        <v>9.8104700676</v>
      </c>
      <c r="AF916" s="1">
        <v>3.3760345251</v>
      </c>
      <c r="AG916" s="1">
        <v>1.3083499495</v>
      </c>
      <c r="AH916" s="1">
        <v>4.4849908497</v>
      </c>
      <c r="AI916" s="1">
        <v>0.1365709759</v>
      </c>
      <c r="AJ916" s="1">
        <v>50.531261096</v>
      </c>
      <c r="AK916" s="1">
        <v>40.386769004</v>
      </c>
      <c r="AL916" s="1">
        <v>12.595124851</v>
      </c>
      <c r="AM916" s="1">
        <v>48.529130589</v>
      </c>
      <c r="AN916" s="1">
        <v>18.582771373</v>
      </c>
      <c r="AO916" s="1">
        <v>22551.0</v>
      </c>
      <c r="AP916" s="1">
        <v>15.9</v>
      </c>
      <c r="AQ916" s="1">
        <v>4.8</v>
      </c>
      <c r="AR916" s="1">
        <v>27.9</v>
      </c>
      <c r="AS916" s="1">
        <v>9.5</v>
      </c>
      <c r="AT916" s="1">
        <v>31.3</v>
      </c>
      <c r="AU916" s="1">
        <v>10.2</v>
      </c>
      <c r="AV916" s="1">
        <v>56.5</v>
      </c>
      <c r="AW916" s="1">
        <v>12.2</v>
      </c>
      <c r="AX916" s="1">
        <v>0.774</v>
      </c>
      <c r="AY916" s="1">
        <v>13.0</v>
      </c>
      <c r="AZ916" s="1">
        <v>10.6</v>
      </c>
      <c r="BA916" s="1">
        <v>14.9</v>
      </c>
      <c r="BB916" s="1">
        <v>2.73</v>
      </c>
      <c r="BC916" s="1" t="s">
        <v>1588</v>
      </c>
      <c r="BD916" s="1">
        <v>29.0</v>
      </c>
      <c r="BE916" s="1">
        <v>22.2</v>
      </c>
      <c r="BF916" s="1">
        <v>31.8</v>
      </c>
      <c r="BG916" s="1">
        <v>17.1</v>
      </c>
      <c r="BH916" s="1" t="s">
        <v>1631</v>
      </c>
    </row>
    <row r="917">
      <c r="A917" s="1">
        <v>20057.0</v>
      </c>
      <c r="B917" s="2" t="str">
        <f>IFERROR(__xludf.DUMMYFUNCTION("TO_TEXT(A917)"),"20057")</f>
        <v>20057</v>
      </c>
      <c r="C917" s="1">
        <v>34492.0</v>
      </c>
      <c r="D917" s="1">
        <v>1098.27032163879</v>
      </c>
      <c r="E917" s="1" t="s">
        <v>1192</v>
      </c>
      <c r="F917" s="1" t="s">
        <v>1632</v>
      </c>
      <c r="G917" s="1">
        <v>31.4057471283869</v>
      </c>
      <c r="H917" s="1">
        <v>19.642222465</v>
      </c>
      <c r="I917" s="1">
        <v>3.4540011299</v>
      </c>
      <c r="J917" s="1">
        <v>6.77246312029999</v>
      </c>
      <c r="K917" s="1">
        <v>16.954345208</v>
      </c>
      <c r="L917" s="1">
        <v>30.9</v>
      </c>
      <c r="M917" s="1">
        <v>8.7</v>
      </c>
      <c r="N917" s="1">
        <v>27.1</v>
      </c>
      <c r="O917" s="1">
        <v>77.797801938</v>
      </c>
      <c r="P917" s="1">
        <v>18.024873454</v>
      </c>
      <c r="Q917" s="1">
        <v>40.72017</v>
      </c>
      <c r="R917" s="1">
        <v>91.4</v>
      </c>
      <c r="S917" s="1">
        <v>15.8</v>
      </c>
      <c r="T917" s="1">
        <v>10376.0</v>
      </c>
      <c r="U917" s="1">
        <v>32.9028527369999</v>
      </c>
      <c r="V917" s="1">
        <v>367.01737216</v>
      </c>
      <c r="W917" s="1">
        <v>15.946547884</v>
      </c>
      <c r="X917" s="1">
        <v>9.6266306793</v>
      </c>
      <c r="Y917" s="1">
        <v>78.974899072</v>
      </c>
      <c r="Z917" s="1">
        <v>9.0</v>
      </c>
      <c r="AA917" s="1">
        <v>7.7505756821</v>
      </c>
      <c r="AB917" s="1">
        <v>56052.0</v>
      </c>
      <c r="AC917" s="1">
        <v>77.97833935</v>
      </c>
      <c r="AD917" s="1">
        <v>62.355863048</v>
      </c>
      <c r="AE917" s="1">
        <v>8.7727272727</v>
      </c>
      <c r="AF917" s="1">
        <v>2.1866147309</v>
      </c>
      <c r="AG917" s="1">
        <v>1.6170915958</v>
      </c>
      <c r="AH917" s="1">
        <v>1.5521718602</v>
      </c>
      <c r="AI917" s="1">
        <v>0.244924457</v>
      </c>
      <c r="AJ917" s="1">
        <v>55.5860481589999</v>
      </c>
      <c r="AK917" s="1">
        <v>39.320703494</v>
      </c>
      <c r="AL917" s="1">
        <v>15.235563527</v>
      </c>
      <c r="AM917" s="1">
        <v>48.111425873</v>
      </c>
      <c r="AN917" s="1">
        <v>19.298038289</v>
      </c>
      <c r="AO917" s="1">
        <v>20749.0</v>
      </c>
      <c r="AP917" s="1">
        <v>17.4</v>
      </c>
      <c r="AQ917" s="1">
        <v>7.2</v>
      </c>
      <c r="AR917" s="1">
        <v>28.8</v>
      </c>
      <c r="AS917" s="1">
        <v>10.5</v>
      </c>
      <c r="AT917" s="1">
        <v>30.7</v>
      </c>
      <c r="AU917" s="1">
        <v>10.1</v>
      </c>
      <c r="AV917" s="1">
        <v>58.4</v>
      </c>
      <c r="AW917" s="1">
        <v>12.2</v>
      </c>
      <c r="AX917" s="1">
        <v>0.9039</v>
      </c>
      <c r="AY917" s="1">
        <v>13.8</v>
      </c>
      <c r="AZ917" s="1">
        <v>9.9</v>
      </c>
      <c r="BA917" s="1">
        <v>14.8</v>
      </c>
      <c r="BB917" s="1">
        <v>2.86</v>
      </c>
      <c r="BC917" s="1" t="s">
        <v>1588</v>
      </c>
      <c r="BD917" s="1">
        <v>26.4</v>
      </c>
      <c r="BE917" s="1">
        <v>25.3</v>
      </c>
      <c r="BF917" s="1">
        <v>30.6</v>
      </c>
      <c r="BG917" s="1">
        <v>17.7</v>
      </c>
      <c r="BH917" s="1" t="s">
        <v>1632</v>
      </c>
    </row>
    <row r="918">
      <c r="A918" s="1">
        <v>20059.0</v>
      </c>
      <c r="B918" s="2" t="str">
        <f>IFERROR(__xludf.DUMMYFUNCTION("TO_TEXT(A918)"),"20059")</f>
        <v>20059</v>
      </c>
      <c r="C918" s="1">
        <v>25663.0</v>
      </c>
      <c r="D918" s="1">
        <v>571.762307330972</v>
      </c>
      <c r="E918" s="1" t="s">
        <v>118</v>
      </c>
      <c r="F918" s="1" t="s">
        <v>1633</v>
      </c>
      <c r="G918" s="1">
        <v>44.8840360250342</v>
      </c>
      <c r="H918" s="1">
        <v>15.021732316</v>
      </c>
      <c r="I918" s="1">
        <v>3.620695842</v>
      </c>
      <c r="J918" s="1">
        <v>7.1689497717</v>
      </c>
      <c r="K918" s="1">
        <v>18.459273897</v>
      </c>
      <c r="L918" s="1">
        <v>32.6</v>
      </c>
      <c r="M918" s="1">
        <v>6.7</v>
      </c>
      <c r="N918" s="1">
        <v>25.5</v>
      </c>
      <c r="O918" s="1">
        <v>61.584333641</v>
      </c>
      <c r="P918" s="1">
        <v>8.0352907694</v>
      </c>
      <c r="Q918" s="1">
        <v>42.74667</v>
      </c>
      <c r="R918" s="1">
        <v>85.7</v>
      </c>
      <c r="S918" s="1">
        <v>13.6</v>
      </c>
      <c r="T918" s="1">
        <v>6052.0</v>
      </c>
      <c r="U918" s="1">
        <v>26.966292135</v>
      </c>
      <c r="V918" s="1">
        <v>311.30080664</v>
      </c>
      <c r="W918" s="1">
        <v>13.034623218</v>
      </c>
      <c r="X918" s="1">
        <v>10.580380072</v>
      </c>
      <c r="Y918" s="1">
        <v>77.3159608019999</v>
      </c>
      <c r="Z918" s="1">
        <v>9.5</v>
      </c>
      <c r="AA918" s="1">
        <v>17.659321164</v>
      </c>
      <c r="AB918" s="1">
        <v>58033.0</v>
      </c>
      <c r="AC918" s="1">
        <v>51.201977084</v>
      </c>
      <c r="AD918" s="1">
        <v>71.18813865</v>
      </c>
      <c r="AE918" s="1">
        <v>8.1390593047</v>
      </c>
      <c r="AF918" s="1">
        <v>1.2562912099</v>
      </c>
      <c r="AG918" s="1">
        <v>0.9324645937</v>
      </c>
      <c r="AH918" s="1">
        <v>0.5228044165</v>
      </c>
      <c r="AI918" s="1">
        <v>0.007803051</v>
      </c>
      <c r="AJ918" s="1">
        <v>4.3150871991</v>
      </c>
      <c r="AK918" s="1">
        <v>91.0264913579999</v>
      </c>
      <c r="AL918" s="1">
        <v>0.3990688394</v>
      </c>
      <c r="AM918" s="1">
        <v>50.118996528</v>
      </c>
      <c r="AN918" s="1">
        <v>52.100646353</v>
      </c>
      <c r="AO918" s="1">
        <v>24597.0</v>
      </c>
      <c r="AP918" s="1">
        <v>13.5</v>
      </c>
      <c r="AQ918" s="1">
        <v>6.0</v>
      </c>
      <c r="AR918" s="1">
        <v>8.1</v>
      </c>
      <c r="AS918" s="1">
        <v>15.7</v>
      </c>
      <c r="AT918" s="1">
        <v>24.9</v>
      </c>
      <c r="AU918" s="1">
        <v>14.2</v>
      </c>
      <c r="AV918" s="1">
        <v>8.8</v>
      </c>
      <c r="AW918" s="1">
        <v>0.5</v>
      </c>
      <c r="AX918" s="1">
        <v>0.262</v>
      </c>
      <c r="AY918" s="1">
        <v>10.4</v>
      </c>
      <c r="AZ918" s="1">
        <v>12.0</v>
      </c>
      <c r="BA918" s="1">
        <v>19.5</v>
      </c>
      <c r="BB918" s="1">
        <v>3.21</v>
      </c>
      <c r="BC918" s="1" t="s">
        <v>1588</v>
      </c>
      <c r="BD918" s="1">
        <v>7.8</v>
      </c>
      <c r="BE918" s="1">
        <v>37.6</v>
      </c>
      <c r="BF918" s="1">
        <v>34.2</v>
      </c>
      <c r="BG918" s="1">
        <v>20.4</v>
      </c>
      <c r="BH918" s="1" t="s">
        <v>1633</v>
      </c>
    </row>
    <row r="919">
      <c r="A919" s="1">
        <v>20061.0</v>
      </c>
      <c r="B919" s="2" t="str">
        <f>IFERROR(__xludf.DUMMYFUNCTION("TO_TEXT(A919)"),"20061")</f>
        <v>20061</v>
      </c>
      <c r="C919" s="1">
        <v>36818.0</v>
      </c>
      <c r="D919" s="1">
        <v>384.62040500387</v>
      </c>
      <c r="E919" s="1" t="s">
        <v>1634</v>
      </c>
      <c r="F919" s="1" t="s">
        <v>1635</v>
      </c>
      <c r="G919" s="1">
        <v>95.7255504934262</v>
      </c>
      <c r="H919" s="1">
        <v>20.495285464</v>
      </c>
      <c r="I919" s="1">
        <v>3.8159658398</v>
      </c>
      <c r="J919" s="1">
        <v>6.7647891311</v>
      </c>
      <c r="K919" s="1">
        <v>22.3192077609999</v>
      </c>
      <c r="L919" s="1">
        <v>38.7</v>
      </c>
      <c r="M919" s="1">
        <v>6.3</v>
      </c>
      <c r="N919" s="1">
        <v>23.2</v>
      </c>
      <c r="O919" s="1">
        <v>79.8905767999999</v>
      </c>
      <c r="P919" s="1">
        <v>7.8964034532</v>
      </c>
      <c r="Q919" s="1">
        <v>35.44528</v>
      </c>
      <c r="R919" s="1">
        <v>86.5</v>
      </c>
      <c r="S919" s="1">
        <v>16.0</v>
      </c>
      <c r="T919" s="1">
        <v>10717.0</v>
      </c>
      <c r="U919" s="1">
        <v>26.257348138</v>
      </c>
      <c r="V919" s="1">
        <v>484.20996621</v>
      </c>
      <c r="W919" s="1">
        <v>17.921568627</v>
      </c>
      <c r="X919" s="1">
        <v>13.910969793</v>
      </c>
      <c r="Y919" s="1">
        <v>75.72012302</v>
      </c>
      <c r="Z919" s="1">
        <v>9.6</v>
      </c>
      <c r="AA919" s="1">
        <v>12.741331869</v>
      </c>
      <c r="AB919" s="1">
        <v>50856.0</v>
      </c>
      <c r="AC919" s="1">
        <v>59.8413631019999</v>
      </c>
      <c r="AD919" s="1">
        <v>37.290261879</v>
      </c>
      <c r="AE919" s="1">
        <v>14.3636511679999</v>
      </c>
      <c r="AF919" s="1">
        <v>17.199484568</v>
      </c>
      <c r="AG919" s="1">
        <v>1.3346014604</v>
      </c>
      <c r="AH919" s="1">
        <v>3.4668957477</v>
      </c>
      <c r="AI919" s="1">
        <v>1.156654599</v>
      </c>
      <c r="AJ919" s="1">
        <v>16.552126158</v>
      </c>
      <c r="AK919" s="1">
        <v>56.059397435</v>
      </c>
      <c r="AL919" s="1">
        <v>1.6681356707</v>
      </c>
      <c r="AM919" s="1">
        <v>47.180462662</v>
      </c>
      <c r="AN919" s="1">
        <v>11.672778069</v>
      </c>
      <c r="AO919" s="1">
        <v>21309.0</v>
      </c>
      <c r="AP919" s="1">
        <v>12.4</v>
      </c>
      <c r="AQ919" s="1">
        <v>9.2</v>
      </c>
      <c r="AR919" s="1">
        <v>8.7</v>
      </c>
      <c r="AS919" s="1">
        <v>7.6</v>
      </c>
      <c r="AT919" s="1">
        <v>31.0</v>
      </c>
      <c r="AU919" s="1">
        <v>11.9</v>
      </c>
      <c r="AV919" s="1">
        <v>41.8</v>
      </c>
      <c r="AW919" s="1">
        <v>1.8</v>
      </c>
      <c r="AX919" s="1">
        <v>0.6753</v>
      </c>
      <c r="AY919" s="1">
        <v>11.7</v>
      </c>
      <c r="AZ919" s="1">
        <v>14.7</v>
      </c>
      <c r="BA919" s="1">
        <v>20.6</v>
      </c>
      <c r="BB919" s="1">
        <v>3.13</v>
      </c>
      <c r="BC919" s="1" t="s">
        <v>1588</v>
      </c>
      <c r="BD919" s="1">
        <v>6.2</v>
      </c>
      <c r="BE919" s="1">
        <v>25.0</v>
      </c>
      <c r="BF919" s="1">
        <v>45.6</v>
      </c>
      <c r="BG919" s="1">
        <v>23.2</v>
      </c>
      <c r="BH919" s="1" t="s">
        <v>1635</v>
      </c>
    </row>
    <row r="920">
      <c r="A920" s="1">
        <v>20063.0</v>
      </c>
      <c r="B920" s="2" t="str">
        <f>IFERROR(__xludf.DUMMYFUNCTION("TO_TEXT(A920)"),"20063")</f>
        <v>20063</v>
      </c>
      <c r="C920" s="1">
        <v>2682.0</v>
      </c>
      <c r="D920" s="1">
        <v>1071.6643826272</v>
      </c>
      <c r="E920" s="1" t="s">
        <v>1636</v>
      </c>
      <c r="F920" s="1" t="s">
        <v>1637</v>
      </c>
      <c r="G920" s="1">
        <v>2.50264919080826</v>
      </c>
      <c r="H920" s="1">
        <v>13.648377466</v>
      </c>
      <c r="I920" s="1">
        <v>3.4163843566</v>
      </c>
      <c r="J920" s="1">
        <v>7.80443539465</v>
      </c>
      <c r="K920" s="1">
        <v>14.420125399</v>
      </c>
      <c r="L920" s="1">
        <v>28.7</v>
      </c>
      <c r="M920" s="1">
        <v>7.4</v>
      </c>
      <c r="N920" s="1">
        <v>30.1</v>
      </c>
      <c r="O920" s="1">
        <v>58.589981447</v>
      </c>
      <c r="P920" s="1">
        <v>15.784114053</v>
      </c>
      <c r="Q920" s="1">
        <v>152.03345</v>
      </c>
      <c r="R920" s="1">
        <v>90.3</v>
      </c>
      <c r="S920" s="1">
        <v>17.5</v>
      </c>
      <c r="T920" s="1">
        <v>552.0</v>
      </c>
      <c r="U920" s="1">
        <v>15.9420289859999</v>
      </c>
      <c r="V920" s="1">
        <v>204.509002055</v>
      </c>
      <c r="W920" s="1">
        <v>10.041841004</v>
      </c>
      <c r="X920" s="1">
        <v>7.47271200669999</v>
      </c>
      <c r="Y920" s="1">
        <v>80.195816839</v>
      </c>
      <c r="Z920" s="1">
        <v>14.1</v>
      </c>
      <c r="AA920" s="1">
        <v>14.304410096</v>
      </c>
      <c r="AB920" s="1">
        <v>49626.0</v>
      </c>
      <c r="AC920" s="1">
        <v>34.426229508</v>
      </c>
      <c r="AD920" s="1">
        <v>77.126341866</v>
      </c>
      <c r="AE920" s="1">
        <v>9.1474245115</v>
      </c>
      <c r="AF920" s="1">
        <v>0.4211332312</v>
      </c>
      <c r="AG920" s="1">
        <v>0.1148545176</v>
      </c>
      <c r="AH920" s="1">
        <v>0.8805513017</v>
      </c>
      <c r="AI920" s="1">
        <v>0.0382848392</v>
      </c>
      <c r="AJ920" s="1">
        <v>2.6799387443</v>
      </c>
      <c r="AK920" s="1">
        <v>94.5635528329999</v>
      </c>
      <c r="AL920" s="1">
        <v>0.2824858757</v>
      </c>
      <c r="AM920" s="1">
        <v>49.655436447</v>
      </c>
      <c r="AN920" s="1">
        <v>100.0</v>
      </c>
      <c r="AO920" s="1">
        <v>26746.0</v>
      </c>
      <c r="AP920" s="1">
        <v>9.2</v>
      </c>
      <c r="AQ920" s="1">
        <v>1.8</v>
      </c>
      <c r="AR920" s="1">
        <v>8.1</v>
      </c>
      <c r="AS920" s="1">
        <v>24.4</v>
      </c>
      <c r="AT920" s="1">
        <v>22.3</v>
      </c>
      <c r="AU920" s="1">
        <v>14.1</v>
      </c>
      <c r="AV920" s="1">
        <v>6.9</v>
      </c>
      <c r="AW920" s="1">
        <v>0.3</v>
      </c>
      <c r="AX920" s="1">
        <v>0.064</v>
      </c>
      <c r="AY920" s="1">
        <v>9.6</v>
      </c>
      <c r="AZ920" s="1">
        <v>11.9</v>
      </c>
      <c r="BA920" s="1">
        <v>18.0</v>
      </c>
      <c r="BB920" s="1">
        <v>3.22</v>
      </c>
      <c r="BC920" s="1" t="s">
        <v>1588</v>
      </c>
      <c r="BD920" s="1">
        <v>7.9</v>
      </c>
      <c r="BE920" s="1">
        <v>36.3</v>
      </c>
      <c r="BF920" s="1">
        <v>36.1</v>
      </c>
      <c r="BG920" s="1">
        <v>19.7</v>
      </c>
      <c r="BH920" s="1" t="s">
        <v>1637</v>
      </c>
    </row>
    <row r="921">
      <c r="A921" s="1">
        <v>20065.0</v>
      </c>
      <c r="B921" s="2" t="str">
        <f>IFERROR(__xludf.DUMMYFUNCTION("TO_TEXT(A921)"),"20065")</f>
        <v>20065</v>
      </c>
      <c r="C921" s="1">
        <v>2577.0</v>
      </c>
      <c r="D921" s="1">
        <v>898.526350032937</v>
      </c>
      <c r="E921" s="1" t="s">
        <v>262</v>
      </c>
      <c r="F921" s="1" t="s">
        <v>1638</v>
      </c>
      <c r="G921" s="1">
        <v>2.86802941272176</v>
      </c>
      <c r="H921" s="1">
        <v>14.113659162</v>
      </c>
      <c r="I921" s="1">
        <v>3.6099929943</v>
      </c>
      <c r="J921" s="1">
        <v>6.7484662577</v>
      </c>
      <c r="K921" s="1">
        <v>15.174018209</v>
      </c>
      <c r="L921" s="1">
        <v>30.3</v>
      </c>
      <c r="M921" s="1">
        <v>7.7</v>
      </c>
      <c r="N921" s="1">
        <v>34.3</v>
      </c>
      <c r="O921" s="1">
        <v>70.465922218</v>
      </c>
      <c r="P921" s="1">
        <v>11.742006615</v>
      </c>
      <c r="Q921" s="1">
        <v>40.08016</v>
      </c>
      <c r="R921" s="1">
        <v>96.2</v>
      </c>
      <c r="S921" s="1">
        <v>17.2</v>
      </c>
      <c r="T921" s="1">
        <v>492.0</v>
      </c>
      <c r="U921" s="1">
        <v>15.040650407</v>
      </c>
      <c r="V921" s="1">
        <v>115.83011583</v>
      </c>
      <c r="W921" s="1">
        <v>10.12145749</v>
      </c>
      <c r="X921" s="1">
        <v>9.6169519152</v>
      </c>
      <c r="Y921" s="1">
        <v>75.47566198</v>
      </c>
      <c r="Z921" s="1">
        <v>15.2</v>
      </c>
      <c r="AA921" s="1">
        <v>6.5028074758</v>
      </c>
      <c r="AB921" s="1">
        <v>41906.0</v>
      </c>
      <c r="AC921" s="1">
        <v>51.724137931</v>
      </c>
      <c r="AD921" s="1">
        <v>79.358552632</v>
      </c>
      <c r="AE921" s="1">
        <v>10.333048676</v>
      </c>
      <c r="AF921" s="1">
        <v>3.4510433387</v>
      </c>
      <c r="AG921" s="1">
        <v>0.8025682183</v>
      </c>
      <c r="AH921" s="1">
        <v>2.1268057785</v>
      </c>
      <c r="AI921" s="1">
        <v>0.0</v>
      </c>
      <c r="AJ921" s="1">
        <v>3.5313001605</v>
      </c>
      <c r="AK921" s="1">
        <v>87.841091493</v>
      </c>
      <c r="AL921" s="1">
        <v>0.2065262288</v>
      </c>
      <c r="AM921" s="1">
        <v>50.4012841089999</v>
      </c>
      <c r="AN921" s="1">
        <v>100.0</v>
      </c>
      <c r="AO921" s="1">
        <v>27569.0</v>
      </c>
      <c r="AP921" s="1">
        <v>10.3</v>
      </c>
      <c r="AQ921" s="1">
        <v>1.6</v>
      </c>
      <c r="AR921" s="1">
        <v>6.2</v>
      </c>
      <c r="AS921" s="1">
        <v>25.7</v>
      </c>
      <c r="AT921" s="1">
        <v>19.3</v>
      </c>
      <c r="AU921" s="1">
        <v>19.3</v>
      </c>
      <c r="AV921" s="1">
        <v>10.7</v>
      </c>
      <c r="AW921" s="1">
        <v>0.2</v>
      </c>
      <c r="AX921" s="1">
        <v>0.0688</v>
      </c>
      <c r="AY921" s="1">
        <v>11.8</v>
      </c>
      <c r="AZ921" s="1">
        <v>12.4</v>
      </c>
      <c r="BA921" s="1">
        <v>19.3</v>
      </c>
      <c r="BB921" s="1">
        <v>3.08</v>
      </c>
      <c r="BC921" s="1" t="s">
        <v>1588</v>
      </c>
      <c r="BD921" s="1">
        <v>7.4</v>
      </c>
      <c r="BE921" s="1">
        <v>31.9</v>
      </c>
      <c r="BF921" s="1">
        <v>36.0</v>
      </c>
      <c r="BG921" s="1">
        <v>24.7</v>
      </c>
      <c r="BH921" s="1" t="s">
        <v>1638</v>
      </c>
    </row>
    <row r="922">
      <c r="A922" s="1">
        <v>20067.0</v>
      </c>
      <c r="B922" s="2" t="str">
        <f>IFERROR(__xludf.DUMMYFUNCTION("TO_TEXT(A922)"),"20067")</f>
        <v>20067</v>
      </c>
      <c r="C922" s="1">
        <v>7748.0</v>
      </c>
      <c r="D922" s="1">
        <v>574.799656320474</v>
      </c>
      <c r="E922" s="1" t="s">
        <v>332</v>
      </c>
      <c r="F922" s="1" t="s">
        <v>1639</v>
      </c>
      <c r="G922" s="1">
        <v>13.4794791799251</v>
      </c>
      <c r="H922" s="1">
        <v>17.535028542</v>
      </c>
      <c r="I922" s="1">
        <v>3.2002809023</v>
      </c>
      <c r="J922" s="1">
        <v>7.0588235294</v>
      </c>
      <c r="K922" s="1">
        <v>14.9665436979999</v>
      </c>
      <c r="L922" s="1">
        <v>31.6</v>
      </c>
      <c r="M922" s="1">
        <v>9.5</v>
      </c>
      <c r="N922" s="1">
        <v>28.6</v>
      </c>
      <c r="O922" s="1">
        <v>80.980968195</v>
      </c>
      <c r="P922" s="1">
        <v>17.015341702</v>
      </c>
      <c r="Q922" s="1">
        <v>53.14908</v>
      </c>
      <c r="R922" s="1">
        <v>84.0</v>
      </c>
      <c r="S922" s="1">
        <v>17.0</v>
      </c>
      <c r="T922" s="1">
        <v>2394.0</v>
      </c>
      <c r="U922" s="1">
        <v>14.619883041</v>
      </c>
      <c r="V922" s="1">
        <v>191.68104274</v>
      </c>
      <c r="W922" s="1">
        <v>13.805970149</v>
      </c>
      <c r="X922" s="1">
        <v>9.8859315589</v>
      </c>
      <c r="Y922" s="1">
        <v>78.4449188769999</v>
      </c>
      <c r="Z922" s="1">
        <v>9.1</v>
      </c>
      <c r="AA922" s="1">
        <v>3.4485733052</v>
      </c>
      <c r="AB922" s="1">
        <v>61614.0</v>
      </c>
      <c r="AC922" s="1">
        <v>56.036972848</v>
      </c>
      <c r="AD922" s="1">
        <v>78.047839506</v>
      </c>
      <c r="AE922" s="1">
        <v>5.9240717564</v>
      </c>
      <c r="AF922" s="1">
        <v>0.4225736096</v>
      </c>
      <c r="AG922" s="1">
        <v>2.9171210469</v>
      </c>
      <c r="AH922" s="1">
        <v>0.5316248637</v>
      </c>
      <c r="AI922" s="1">
        <v>0.0</v>
      </c>
      <c r="AJ922" s="1">
        <v>47.873500545</v>
      </c>
      <c r="AK922" s="1">
        <v>49.659214831</v>
      </c>
      <c r="AL922" s="1">
        <v>6.8497068497</v>
      </c>
      <c r="AM922" s="1">
        <v>49.781897492</v>
      </c>
      <c r="AN922" s="1">
        <v>19.798186231</v>
      </c>
      <c r="AO922" s="1">
        <v>24173.0</v>
      </c>
      <c r="AP922" s="1">
        <v>11.3</v>
      </c>
      <c r="AQ922" s="1">
        <v>5.0</v>
      </c>
      <c r="AR922" s="1">
        <v>29.7</v>
      </c>
      <c r="AS922" s="1">
        <v>10.8</v>
      </c>
      <c r="AT922" s="1">
        <v>32.0</v>
      </c>
      <c r="AU922" s="1">
        <v>10.7</v>
      </c>
      <c r="AV922" s="1">
        <v>47.2</v>
      </c>
      <c r="AW922" s="1">
        <v>9.2</v>
      </c>
      <c r="AX922" s="1">
        <v>0.4508</v>
      </c>
      <c r="AY922" s="1">
        <v>10.5</v>
      </c>
      <c r="AZ922" s="1">
        <v>8.0</v>
      </c>
      <c r="BA922" s="1">
        <v>11.5</v>
      </c>
      <c r="BB922" s="1">
        <v>2.72</v>
      </c>
      <c r="BC922" s="1" t="s">
        <v>1588</v>
      </c>
      <c r="BD922" s="1">
        <v>23.0</v>
      </c>
      <c r="BE922" s="1">
        <v>25.9</v>
      </c>
      <c r="BF922" s="1">
        <v>36.2</v>
      </c>
      <c r="BG922" s="1">
        <v>14.9</v>
      </c>
      <c r="BH922" s="1" t="s">
        <v>1639</v>
      </c>
    </row>
    <row r="923">
      <c r="A923" s="1">
        <v>20069.0</v>
      </c>
      <c r="B923" s="2" t="str">
        <f>IFERROR(__xludf.DUMMYFUNCTION("TO_TEXT(A923)"),"20069")</f>
        <v>20069</v>
      </c>
      <c r="C923" s="1">
        <v>6037.0</v>
      </c>
      <c r="D923" s="1">
        <v>868.867017177136</v>
      </c>
      <c r="E923" s="1" t="s">
        <v>1640</v>
      </c>
      <c r="F923" s="1" t="s">
        <v>1641</v>
      </c>
      <c r="G923" s="1">
        <v>6.94812886281909</v>
      </c>
      <c r="H923" s="1">
        <v>14.654595164</v>
      </c>
      <c r="I923" s="1">
        <v>3.2657342532</v>
      </c>
      <c r="J923" s="1">
        <v>4.8013245033</v>
      </c>
      <c r="K923" s="1">
        <v>14.53061465</v>
      </c>
      <c r="L923" s="1">
        <v>31.0</v>
      </c>
      <c r="M923" s="1">
        <v>7.9</v>
      </c>
      <c r="N923" s="1">
        <v>29.8</v>
      </c>
      <c r="O923" s="1">
        <v>45.8541458539999</v>
      </c>
      <c r="P923" s="1">
        <v>17.892447608</v>
      </c>
      <c r="Q923" s="1">
        <v>16.78416</v>
      </c>
      <c r="R923" s="1">
        <v>97.3</v>
      </c>
      <c r="S923" s="1">
        <v>9.3</v>
      </c>
      <c r="T923" s="1">
        <v>1741.0</v>
      </c>
      <c r="U923" s="1">
        <v>19.069500287</v>
      </c>
      <c r="V923" s="1">
        <v>156.64935279</v>
      </c>
      <c r="W923" s="1">
        <v>8.6854460094</v>
      </c>
      <c r="X923" s="1">
        <v>5.3301886792</v>
      </c>
      <c r="Y923" s="1">
        <v>79.406597276</v>
      </c>
      <c r="Z923" s="1">
        <v>9.3</v>
      </c>
      <c r="AA923" s="1">
        <v>13.712831878</v>
      </c>
      <c r="AB923" s="1">
        <v>65771.0</v>
      </c>
      <c r="AC923" s="1">
        <v>41.659464131</v>
      </c>
      <c r="AD923" s="1">
        <v>75.539238183</v>
      </c>
      <c r="AE923" s="1">
        <v>4.6634615385</v>
      </c>
      <c r="AF923" s="1">
        <v>0.6630200564</v>
      </c>
      <c r="AG923" s="1">
        <v>0.6132935521</v>
      </c>
      <c r="AH923" s="1">
        <v>0.447538538</v>
      </c>
      <c r="AI923" s="1">
        <v>0.0331510028</v>
      </c>
      <c r="AJ923" s="1">
        <v>16.393170893</v>
      </c>
      <c r="AK923" s="1">
        <v>81.1702303989999</v>
      </c>
      <c r="AL923" s="1">
        <v>3.0988423865</v>
      </c>
      <c r="AM923" s="1">
        <v>49.660202221</v>
      </c>
      <c r="AN923" s="1">
        <v>100.0</v>
      </c>
      <c r="AO923" s="1">
        <v>26536.0</v>
      </c>
      <c r="AP923" s="1">
        <v>8.3</v>
      </c>
      <c r="AQ923" s="1">
        <v>3.0</v>
      </c>
      <c r="AR923" s="1">
        <v>24.2</v>
      </c>
      <c r="AS923" s="1">
        <v>14.6</v>
      </c>
      <c r="AT923" s="1">
        <v>29.5</v>
      </c>
      <c r="AU923" s="1">
        <v>11.7</v>
      </c>
      <c r="AV923" s="1">
        <v>15.3</v>
      </c>
      <c r="AW923" s="1">
        <v>1.7</v>
      </c>
      <c r="AX923" s="1">
        <v>0.2942</v>
      </c>
      <c r="AY923" s="1">
        <v>7.6</v>
      </c>
      <c r="AZ923" s="1">
        <v>8.6</v>
      </c>
      <c r="BA923" s="1">
        <v>13.3</v>
      </c>
      <c r="BB923" s="1">
        <v>2.77</v>
      </c>
      <c r="BC923" s="1" t="s">
        <v>1588</v>
      </c>
      <c r="BD923" s="1">
        <v>22.6</v>
      </c>
      <c r="BE923" s="1">
        <v>22.5</v>
      </c>
      <c r="BF923" s="1">
        <v>34.6</v>
      </c>
      <c r="BG923" s="1">
        <v>20.2</v>
      </c>
      <c r="BH923" s="1" t="s">
        <v>1641</v>
      </c>
    </row>
    <row r="924">
      <c r="A924" s="1">
        <v>20071.0</v>
      </c>
      <c r="B924" s="2" t="str">
        <f>IFERROR(__xludf.DUMMYFUNCTION("TO_TEXT(A924)"),"20071")</f>
        <v>20071</v>
      </c>
      <c r="C924" s="1">
        <v>1235.0</v>
      </c>
      <c r="D924" s="1">
        <v>778.404019738368</v>
      </c>
      <c r="E924" s="1" t="s">
        <v>1642</v>
      </c>
      <c r="F924" s="1" t="s">
        <v>1643</v>
      </c>
      <c r="G924" s="1">
        <v>1.58657967929701</v>
      </c>
      <c r="H924" s="1">
        <v>17.829844421</v>
      </c>
      <c r="I924" s="1">
        <v>3.6856796804</v>
      </c>
      <c r="J924" s="1">
        <v>7.80443539465</v>
      </c>
      <c r="K924" s="1">
        <v>15.643108966</v>
      </c>
      <c r="L924" s="1">
        <v>28.3</v>
      </c>
      <c r="M924" s="1">
        <v>5.8</v>
      </c>
      <c r="N924" s="1">
        <v>33.9</v>
      </c>
      <c r="O924" s="1">
        <v>0.4009623095</v>
      </c>
      <c r="P924" s="1">
        <v>13.803680982</v>
      </c>
      <c r="Q924" s="1">
        <v>80.06405</v>
      </c>
      <c r="R924" s="1">
        <v>94.4</v>
      </c>
      <c r="S924" s="1">
        <v>18.6</v>
      </c>
      <c r="T924" s="1">
        <v>311.0</v>
      </c>
      <c r="U924" s="1">
        <v>20.257234727</v>
      </c>
      <c r="V924" s="1">
        <v>151.6875237</v>
      </c>
      <c r="W924" s="1">
        <v>12.5</v>
      </c>
      <c r="X924" s="1">
        <v>8.9583333333</v>
      </c>
      <c r="Y924" s="1">
        <v>77.482572377</v>
      </c>
      <c r="Z924" s="1">
        <v>8.9</v>
      </c>
      <c r="AA924" s="1">
        <v>34.612769545</v>
      </c>
      <c r="AB924" s="1">
        <v>51606.0</v>
      </c>
      <c r="AC924" s="1">
        <v>55.23465704</v>
      </c>
      <c r="AD924" s="1">
        <v>62.145748988</v>
      </c>
      <c r="AE924" s="1">
        <v>9.1116173121</v>
      </c>
      <c r="AF924" s="1">
        <v>0.2444987775</v>
      </c>
      <c r="AG924" s="1">
        <v>0.814995925</v>
      </c>
      <c r="AH924" s="1">
        <v>0.32599837</v>
      </c>
      <c r="AI924" s="1">
        <v>0.0</v>
      </c>
      <c r="AJ924" s="1">
        <v>19.88590057</v>
      </c>
      <c r="AK924" s="1">
        <v>78.484107579</v>
      </c>
      <c r="AL924" s="1">
        <v>2.9229406554</v>
      </c>
      <c r="AM924" s="1">
        <v>52.0782396089999</v>
      </c>
      <c r="AN924" s="1">
        <v>100.0</v>
      </c>
      <c r="AO924" s="1">
        <v>26040.0</v>
      </c>
      <c r="AP924" s="1">
        <v>7.1</v>
      </c>
      <c r="AQ924" s="1">
        <v>1.2</v>
      </c>
      <c r="AR924" s="1">
        <v>11.7</v>
      </c>
      <c r="AS924" s="1">
        <v>22.5</v>
      </c>
      <c r="AT924" s="1">
        <v>22.0</v>
      </c>
      <c r="AU924" s="1">
        <v>16.8</v>
      </c>
      <c r="AV924" s="1">
        <v>23.7</v>
      </c>
      <c r="AW924" s="1">
        <v>3.3</v>
      </c>
      <c r="AX924" s="1">
        <v>0.3957</v>
      </c>
      <c r="AY924" s="1">
        <v>10.9</v>
      </c>
      <c r="AZ924" s="1">
        <v>11.7</v>
      </c>
      <c r="BA924" s="1">
        <v>17.3</v>
      </c>
      <c r="BB924" s="1">
        <v>3.29</v>
      </c>
      <c r="BC924" s="1" t="s">
        <v>1588</v>
      </c>
      <c r="BD924" s="1">
        <v>13.0</v>
      </c>
      <c r="BE924" s="1">
        <v>26.9</v>
      </c>
      <c r="BF924" s="1">
        <v>33.0</v>
      </c>
      <c r="BG924" s="1">
        <v>27.2</v>
      </c>
      <c r="BH924" s="1" t="s">
        <v>1643</v>
      </c>
    </row>
    <row r="925">
      <c r="A925" s="1">
        <v>20073.0</v>
      </c>
      <c r="B925" s="2" t="str">
        <f>IFERROR(__xludf.DUMMYFUNCTION("TO_TEXT(A925)"),"20073")</f>
        <v>20073</v>
      </c>
      <c r="C925" s="1">
        <v>6304.0</v>
      </c>
      <c r="D925" s="1">
        <v>1143.29937588261</v>
      </c>
      <c r="E925" s="1" t="s">
        <v>1644</v>
      </c>
      <c r="F925" s="1" t="s">
        <v>1645</v>
      </c>
      <c r="G925" s="1">
        <v>5.51386638791209</v>
      </c>
      <c r="H925" s="1">
        <v>16.2354025259999</v>
      </c>
      <c r="I925" s="1">
        <v>3.9402168428</v>
      </c>
      <c r="J925" s="1">
        <v>7.8341013825</v>
      </c>
      <c r="K925" s="1">
        <v>16.695537678</v>
      </c>
      <c r="L925" s="1">
        <v>36.3</v>
      </c>
      <c r="M925" s="1">
        <v>6.6</v>
      </c>
      <c r="N925" s="1">
        <v>31.8</v>
      </c>
      <c r="O925" s="1">
        <v>59.874420691</v>
      </c>
      <c r="P925" s="1">
        <v>11.101340954</v>
      </c>
      <c r="Q925" s="1">
        <v>48.99559</v>
      </c>
      <c r="R925" s="1">
        <v>97.4</v>
      </c>
      <c r="S925" s="1">
        <v>21.3</v>
      </c>
      <c r="T925" s="1">
        <v>1315.0</v>
      </c>
      <c r="U925" s="1">
        <v>33.003802281</v>
      </c>
      <c r="V925" s="1">
        <v>224.14345181</v>
      </c>
      <c r="W925" s="1">
        <v>10.431654676</v>
      </c>
      <c r="X925" s="1">
        <v>8.1344902386</v>
      </c>
      <c r="Y925" s="1">
        <v>74.273264297</v>
      </c>
      <c r="Z925" s="1">
        <v>12.9</v>
      </c>
      <c r="AA925" s="1">
        <v>18.277432792</v>
      </c>
      <c r="AB925" s="1">
        <v>43083.0</v>
      </c>
      <c r="AC925" s="1">
        <v>58.6419753089999</v>
      </c>
      <c r="AD925" s="1">
        <v>73.712835388</v>
      </c>
      <c r="AE925" s="1">
        <v>7.3899371069</v>
      </c>
      <c r="AF925" s="1">
        <v>0.627580512</v>
      </c>
      <c r="AG925" s="1">
        <v>1.6845582164</v>
      </c>
      <c r="AH925" s="1">
        <v>0.3798513625</v>
      </c>
      <c r="AI925" s="1">
        <v>0.0</v>
      </c>
      <c r="AJ925" s="1">
        <v>4.0462427746</v>
      </c>
      <c r="AK925" s="1">
        <v>91.412056152</v>
      </c>
      <c r="AL925" s="1">
        <v>0.0853096741</v>
      </c>
      <c r="AM925" s="1">
        <v>50.024772915</v>
      </c>
      <c r="AN925" s="1">
        <v>61.264763044</v>
      </c>
      <c r="AO925" s="1">
        <v>23972.0</v>
      </c>
      <c r="AP925" s="1">
        <v>14.4</v>
      </c>
      <c r="AQ925" s="1">
        <v>4.1</v>
      </c>
      <c r="AR925" s="1">
        <v>9.8</v>
      </c>
      <c r="AS925" s="1">
        <v>24.0</v>
      </c>
      <c r="AT925" s="1">
        <v>21.7</v>
      </c>
      <c r="AU925" s="1">
        <v>20.0</v>
      </c>
      <c r="AV925" s="1">
        <v>7.6</v>
      </c>
      <c r="AW925" s="1">
        <v>0.1</v>
      </c>
      <c r="AX925" s="1">
        <v>0.2022</v>
      </c>
      <c r="AY925" s="1">
        <v>14.9</v>
      </c>
      <c r="AZ925" s="1">
        <v>14.2</v>
      </c>
      <c r="BA925" s="1">
        <v>22.0</v>
      </c>
      <c r="BB925" s="1">
        <v>3.01</v>
      </c>
      <c r="BC925" s="1" t="s">
        <v>1588</v>
      </c>
      <c r="BD925" s="1">
        <v>7.6</v>
      </c>
      <c r="BE925" s="1">
        <v>36.3</v>
      </c>
      <c r="BF925" s="1">
        <v>36.2</v>
      </c>
      <c r="BG925" s="1">
        <v>19.9</v>
      </c>
      <c r="BH925" s="1" t="s">
        <v>1645</v>
      </c>
    </row>
    <row r="926">
      <c r="A926" s="1">
        <v>20075.0</v>
      </c>
      <c r="B926" s="2" t="str">
        <f>IFERROR(__xludf.DUMMYFUNCTION("TO_TEXT(A926)"),"20075")</f>
        <v>20075</v>
      </c>
      <c r="C926" s="1">
        <v>2567.0</v>
      </c>
      <c r="D926" s="1">
        <v>996.513178535088</v>
      </c>
      <c r="E926" s="1" t="s">
        <v>719</v>
      </c>
      <c r="F926" s="1" t="s">
        <v>1646</v>
      </c>
      <c r="G926" s="1">
        <v>2.5759819892935</v>
      </c>
      <c r="H926" s="1">
        <v>18.764647762</v>
      </c>
      <c r="I926" s="1">
        <v>3.5961179051</v>
      </c>
      <c r="J926" s="1">
        <v>5.905511811</v>
      </c>
      <c r="K926" s="1">
        <v>16.604811635</v>
      </c>
      <c r="L926" s="1">
        <v>39.0</v>
      </c>
      <c r="M926" s="1">
        <v>5.6</v>
      </c>
      <c r="N926" s="1">
        <v>26.9</v>
      </c>
      <c r="O926" s="1">
        <v>80.260223048</v>
      </c>
      <c r="P926" s="1">
        <v>23.432636727</v>
      </c>
      <c r="Q926" s="1">
        <v>48.31939</v>
      </c>
      <c r="R926" s="1">
        <v>100.0</v>
      </c>
      <c r="S926" s="1">
        <v>19.6</v>
      </c>
      <c r="T926" s="1">
        <v>802.0</v>
      </c>
      <c r="U926" s="1">
        <v>18.827930175</v>
      </c>
      <c r="V926" s="1">
        <v>124.06947891</v>
      </c>
      <c r="W926" s="1">
        <v>9.9447513812</v>
      </c>
      <c r="X926" s="1">
        <v>5.9933407325</v>
      </c>
      <c r="Y926" s="1">
        <v>76.9460394039999</v>
      </c>
      <c r="Z926" s="1">
        <v>18.3</v>
      </c>
      <c r="AA926" s="1">
        <v>41.353742886</v>
      </c>
      <c r="AB926" s="1">
        <v>51559.0</v>
      </c>
      <c r="AC926" s="1">
        <v>66.083916084</v>
      </c>
      <c r="AD926" s="1">
        <v>69.1314553989999</v>
      </c>
      <c r="AE926" s="1">
        <v>5.6164383562</v>
      </c>
      <c r="AF926" s="1">
        <v>0.5370157269</v>
      </c>
      <c r="AG926" s="1">
        <v>2.0329881089</v>
      </c>
      <c r="AH926" s="1">
        <v>0.191791331</v>
      </c>
      <c r="AI926" s="1">
        <v>0.2301495972</v>
      </c>
      <c r="AJ926" s="1">
        <v>36.018411968</v>
      </c>
      <c r="AK926" s="1">
        <v>60.721135405</v>
      </c>
      <c r="AL926" s="1">
        <v>10.570120682</v>
      </c>
      <c r="AM926" s="1">
        <v>48.177982355</v>
      </c>
      <c r="AN926" s="1">
        <v>100.0</v>
      </c>
      <c r="AO926" s="1">
        <v>21863.0</v>
      </c>
      <c r="AP926" s="1">
        <v>11.0</v>
      </c>
      <c r="AQ926" s="1">
        <v>1.8</v>
      </c>
      <c r="AR926" s="1">
        <v>18.8</v>
      </c>
      <c r="AS926" s="1">
        <v>11.8</v>
      </c>
      <c r="AT926" s="1">
        <v>29.8</v>
      </c>
      <c r="AU926" s="1">
        <v>10.1</v>
      </c>
      <c r="AV926" s="1">
        <v>37.1</v>
      </c>
      <c r="AW926" s="1">
        <v>13.1</v>
      </c>
      <c r="AX926" s="1">
        <v>0.248</v>
      </c>
      <c r="AY926" s="1">
        <v>13.1</v>
      </c>
      <c r="AZ926" s="1">
        <v>10.1</v>
      </c>
      <c r="BA926" s="1">
        <v>15.8</v>
      </c>
      <c r="BB926" s="1">
        <v>2.81</v>
      </c>
      <c r="BC926" s="1" t="s">
        <v>1588</v>
      </c>
      <c r="BD926" s="1">
        <v>19.2</v>
      </c>
      <c r="BE926" s="1">
        <v>39.9</v>
      </c>
      <c r="BF926" s="1">
        <v>22.2</v>
      </c>
      <c r="BG926" s="1">
        <v>18.7</v>
      </c>
      <c r="BH926" s="1" t="s">
        <v>1646</v>
      </c>
    </row>
    <row r="927">
      <c r="A927" s="1">
        <v>20077.0</v>
      </c>
      <c r="B927" s="2" t="str">
        <f>IFERROR(__xludf.DUMMYFUNCTION("TO_TEXT(A927)"),"20077")</f>
        <v>20077</v>
      </c>
      <c r="C927" s="1">
        <v>5798.0</v>
      </c>
      <c r="D927" s="1">
        <v>801.268269750688</v>
      </c>
      <c r="E927" s="1" t="s">
        <v>1647</v>
      </c>
      <c r="F927" s="1" t="s">
        <v>1648</v>
      </c>
      <c r="G927" s="1">
        <v>7.23602845499427</v>
      </c>
      <c r="H927" s="1">
        <v>15.931903813</v>
      </c>
      <c r="I927" s="1">
        <v>3.7807093363</v>
      </c>
      <c r="J927" s="1">
        <v>6.2256809339</v>
      </c>
      <c r="K927" s="1">
        <v>16.883657059</v>
      </c>
      <c r="L927" s="1">
        <v>36.4</v>
      </c>
      <c r="M927" s="1">
        <v>7.4</v>
      </c>
      <c r="N927" s="1">
        <v>35.4</v>
      </c>
      <c r="O927" s="1">
        <v>70.285051376</v>
      </c>
      <c r="P927" s="1">
        <v>13.871491533</v>
      </c>
      <c r="Q927" s="1">
        <v>53.66726</v>
      </c>
      <c r="R927" s="1">
        <v>82.2</v>
      </c>
      <c r="S927" s="1">
        <v>20.2</v>
      </c>
      <c r="T927" s="1">
        <v>1389.0</v>
      </c>
      <c r="U927" s="1">
        <v>27.789776818</v>
      </c>
      <c r="V927" s="1">
        <v>386.97928523</v>
      </c>
      <c r="W927" s="1">
        <v>10.647181628</v>
      </c>
      <c r="X927" s="1">
        <v>9.9156118143</v>
      </c>
      <c r="Y927" s="1">
        <v>74.338986501</v>
      </c>
      <c r="Z927" s="1">
        <v>12.5</v>
      </c>
      <c r="AA927" s="1">
        <v>8.5466483946</v>
      </c>
      <c r="AB927" s="1">
        <v>45570.0</v>
      </c>
      <c r="AC927" s="1">
        <v>62.620423892</v>
      </c>
      <c r="AD927" s="1">
        <v>71.723834653</v>
      </c>
      <c r="AE927" s="1">
        <v>10.739191074</v>
      </c>
      <c r="AF927" s="1">
        <v>0.4722121322</v>
      </c>
      <c r="AG927" s="1">
        <v>1.4166363967</v>
      </c>
      <c r="AH927" s="1">
        <v>0.4903741373</v>
      </c>
      <c r="AI927" s="1">
        <v>0.2542680712</v>
      </c>
      <c r="AJ927" s="1">
        <v>6.374863785</v>
      </c>
      <c r="AK927" s="1">
        <v>89.629495096</v>
      </c>
      <c r="AL927" s="1">
        <v>1.2055000942</v>
      </c>
      <c r="AM927" s="1">
        <v>49.92735198</v>
      </c>
      <c r="AN927" s="1">
        <v>100.0</v>
      </c>
      <c r="AO927" s="1">
        <v>25944.0</v>
      </c>
      <c r="AP927" s="1">
        <v>13.7</v>
      </c>
      <c r="AQ927" s="1">
        <v>4.4</v>
      </c>
      <c r="AR927" s="1">
        <v>10.6</v>
      </c>
      <c r="AS927" s="1">
        <v>21.5</v>
      </c>
      <c r="AT927" s="1">
        <v>24.0</v>
      </c>
      <c r="AU927" s="1">
        <v>15.9</v>
      </c>
      <c r="AV927" s="1">
        <v>9.5</v>
      </c>
      <c r="AW927" s="1">
        <v>1.4</v>
      </c>
      <c r="AX927" s="1">
        <v>0.284</v>
      </c>
      <c r="AY927" s="1">
        <v>14.2</v>
      </c>
      <c r="AZ927" s="1">
        <v>13.7</v>
      </c>
      <c r="BA927" s="1">
        <v>20.7</v>
      </c>
      <c r="BB927" s="1">
        <v>2.94</v>
      </c>
      <c r="BC927" s="1" t="s">
        <v>1588</v>
      </c>
      <c r="BD927" s="1">
        <v>10.4</v>
      </c>
      <c r="BE927" s="1">
        <v>39.1</v>
      </c>
      <c r="BF927" s="1">
        <v>34.3</v>
      </c>
      <c r="BG927" s="1">
        <v>16.2</v>
      </c>
      <c r="BH927" s="1" t="s">
        <v>1648</v>
      </c>
    </row>
    <row r="928">
      <c r="A928" s="1">
        <v>20079.0</v>
      </c>
      <c r="B928" s="2" t="str">
        <f>IFERROR(__xludf.DUMMYFUNCTION("TO_TEXT(A928)"),"20079")</f>
        <v>20079</v>
      </c>
      <c r="C928" s="1">
        <v>34814.0</v>
      </c>
      <c r="D928" s="1">
        <v>539.755614084094</v>
      </c>
      <c r="E928" s="1" t="s">
        <v>1649</v>
      </c>
      <c r="F928" s="1" t="s">
        <v>1650</v>
      </c>
      <c r="G928" s="1">
        <v>64.4995607115186</v>
      </c>
      <c r="H928" s="1">
        <v>13.116150183</v>
      </c>
      <c r="I928" s="1">
        <v>3.6991276151</v>
      </c>
      <c r="J928" s="1">
        <v>7.1180555556</v>
      </c>
      <c r="K928" s="1">
        <v>14.805264092</v>
      </c>
      <c r="L928" s="1">
        <v>30.9</v>
      </c>
      <c r="M928" s="1">
        <v>8.1</v>
      </c>
      <c r="N928" s="1">
        <v>25.5</v>
      </c>
      <c r="O928" s="1">
        <v>84.874870257</v>
      </c>
      <c r="P928" s="1">
        <v>10.166925179</v>
      </c>
      <c r="Q928" s="1">
        <v>83.9509</v>
      </c>
      <c r="R928" s="1">
        <v>88.9</v>
      </c>
      <c r="S928" s="1">
        <v>13.7</v>
      </c>
      <c r="T928" s="1">
        <v>8393.0</v>
      </c>
      <c r="U928" s="1">
        <v>20.826879542</v>
      </c>
      <c r="V928" s="1">
        <v>383.60000583</v>
      </c>
      <c r="W928" s="1">
        <v>10.669144981</v>
      </c>
      <c r="X928" s="1">
        <v>9.6218644702</v>
      </c>
      <c r="Y928" s="1">
        <v>78.108272373</v>
      </c>
      <c r="Z928" s="1">
        <v>10.2</v>
      </c>
      <c r="AA928" s="1">
        <v>4.5941602112</v>
      </c>
      <c r="AB928" s="1">
        <v>57934.0</v>
      </c>
      <c r="AC928" s="1">
        <v>49.611719026</v>
      </c>
      <c r="AD928" s="1">
        <v>71.770156168</v>
      </c>
      <c r="AE928" s="1">
        <v>9.412570385</v>
      </c>
      <c r="AF928" s="1">
        <v>1.7071031862</v>
      </c>
      <c r="AG928" s="1">
        <v>0.9500146156</v>
      </c>
      <c r="AH928" s="1">
        <v>0.9967845659</v>
      </c>
      <c r="AI928" s="1">
        <v>0.055539316</v>
      </c>
      <c r="AJ928" s="1">
        <v>12.0841859109999</v>
      </c>
      <c r="AK928" s="1">
        <v>82.496346098</v>
      </c>
      <c r="AL928" s="1">
        <v>1.1951822112</v>
      </c>
      <c r="AM928" s="1">
        <v>50.619701842</v>
      </c>
      <c r="AN928" s="1">
        <v>30.919155807</v>
      </c>
      <c r="AO928" s="1">
        <v>25320.0</v>
      </c>
      <c r="AP928" s="1">
        <v>12.5</v>
      </c>
      <c r="AQ928" s="1">
        <v>3.7</v>
      </c>
      <c r="AR928" s="1">
        <v>9.3</v>
      </c>
      <c r="AS928" s="1">
        <v>18.1</v>
      </c>
      <c r="AT928" s="1">
        <v>25.1</v>
      </c>
      <c r="AU928" s="1">
        <v>13.9</v>
      </c>
      <c r="AV928" s="1">
        <v>16.3</v>
      </c>
      <c r="AW928" s="1">
        <v>1.4</v>
      </c>
      <c r="AX928" s="1">
        <v>0.2792</v>
      </c>
      <c r="AY928" s="1">
        <v>9.3</v>
      </c>
      <c r="AZ928" s="1">
        <v>12.0</v>
      </c>
      <c r="BA928" s="1">
        <v>18.5</v>
      </c>
      <c r="BB928" s="1">
        <v>3.08</v>
      </c>
      <c r="BC928" s="1" t="s">
        <v>1588</v>
      </c>
      <c r="BD928" s="1">
        <v>9.5</v>
      </c>
      <c r="BE928" s="1">
        <v>23.7</v>
      </c>
      <c r="BF928" s="1">
        <v>33.5</v>
      </c>
      <c r="BG928" s="1">
        <v>33.2</v>
      </c>
      <c r="BH928" s="1" t="s">
        <v>1650</v>
      </c>
    </row>
    <row r="929">
      <c r="A929" s="1">
        <v>20081.0</v>
      </c>
      <c r="B929" s="2" t="str">
        <f>IFERROR(__xludf.DUMMYFUNCTION("TO_TEXT(A929)"),"20081")</f>
        <v>20081</v>
      </c>
      <c r="C929" s="1">
        <v>4087.0</v>
      </c>
      <c r="D929" s="1">
        <v>577.520966923304</v>
      </c>
      <c r="E929" s="1" t="s">
        <v>1651</v>
      </c>
      <c r="F929" s="1" t="s">
        <v>1652</v>
      </c>
      <c r="G929" s="1">
        <v>7.07679934422669</v>
      </c>
      <c r="H929" s="1">
        <v>17.769985982</v>
      </c>
      <c r="I929" s="1">
        <v>3.504431137</v>
      </c>
      <c r="J929" s="1">
        <v>6.0209424084</v>
      </c>
      <c r="K929" s="1">
        <v>16.189395108</v>
      </c>
      <c r="L929" s="1">
        <v>33.7</v>
      </c>
      <c r="M929" s="1">
        <v>5.9</v>
      </c>
      <c r="N929" s="1">
        <v>28.9</v>
      </c>
      <c r="O929" s="1">
        <v>44.92481203</v>
      </c>
      <c r="P929" s="1">
        <v>21.913043478</v>
      </c>
      <c r="Q929" s="1">
        <v>24.67308</v>
      </c>
      <c r="R929" s="1">
        <v>92.5</v>
      </c>
      <c r="S929" s="1">
        <v>14.7</v>
      </c>
      <c r="T929" s="1">
        <v>1173.0</v>
      </c>
      <c r="U929" s="1">
        <v>17.391304348</v>
      </c>
      <c r="V929" s="1">
        <v>160.35524855</v>
      </c>
      <c r="W929" s="1">
        <v>12.075471698</v>
      </c>
      <c r="X929" s="1">
        <v>6.7577828398</v>
      </c>
      <c r="Y929" s="1">
        <v>79.4168431189999</v>
      </c>
      <c r="Z929" s="1">
        <v>5.0</v>
      </c>
      <c r="AA929" s="1">
        <v>37.617225064</v>
      </c>
      <c r="AB929" s="1">
        <v>60808.0</v>
      </c>
      <c r="AC929" s="1">
        <v>63.57615894</v>
      </c>
      <c r="AD929" s="1">
        <v>76.072234763</v>
      </c>
      <c r="AE929" s="1">
        <v>9.20716112529999</v>
      </c>
      <c r="AF929" s="1">
        <v>0.350262697</v>
      </c>
      <c r="AG929" s="1">
        <v>1.376032024</v>
      </c>
      <c r="AH929" s="1">
        <v>0.8756567426</v>
      </c>
      <c r="AI929" s="1">
        <v>0.1501125844</v>
      </c>
      <c r="AJ929" s="1">
        <v>31.44858644</v>
      </c>
      <c r="AK929" s="1">
        <v>65.84938704</v>
      </c>
      <c r="AL929" s="1">
        <v>6.6932270916</v>
      </c>
      <c r="AM929" s="1">
        <v>49.762321741</v>
      </c>
      <c r="AN929" s="1">
        <v>100.0</v>
      </c>
      <c r="AO929" s="1">
        <v>22886.0</v>
      </c>
      <c r="AP929" s="1">
        <v>12.9</v>
      </c>
      <c r="AQ929" s="1">
        <v>3.9</v>
      </c>
      <c r="AR929" s="1">
        <v>29.0</v>
      </c>
      <c r="AS929" s="1">
        <v>13.6</v>
      </c>
      <c r="AT929" s="1">
        <v>29.0</v>
      </c>
      <c r="AU929" s="1">
        <v>7.6</v>
      </c>
      <c r="AV929" s="1">
        <v>31.4</v>
      </c>
      <c r="AW929" s="1">
        <v>6.5</v>
      </c>
      <c r="AX929" s="1">
        <v>0.4387</v>
      </c>
      <c r="AY929" s="1">
        <v>9.7</v>
      </c>
      <c r="AZ929" s="1">
        <v>9.1</v>
      </c>
      <c r="BA929" s="1">
        <v>14.2</v>
      </c>
      <c r="BB929" s="1">
        <v>2.75</v>
      </c>
      <c r="BC929" s="1" t="s">
        <v>1588</v>
      </c>
      <c r="BD929" s="1">
        <v>27.6</v>
      </c>
      <c r="BE929" s="1">
        <v>19.3</v>
      </c>
      <c r="BF929" s="1">
        <v>36.0</v>
      </c>
      <c r="BG929" s="1">
        <v>17.1</v>
      </c>
      <c r="BH929" s="1" t="s">
        <v>1652</v>
      </c>
    </row>
    <row r="930">
      <c r="A930" s="1">
        <v>20083.0</v>
      </c>
      <c r="B930" s="2" t="str">
        <f>IFERROR(__xludf.DUMMYFUNCTION("TO_TEXT(A930)"),"20083")</f>
        <v>20083</v>
      </c>
      <c r="C930" s="1">
        <v>1919.0</v>
      </c>
      <c r="D930" s="1">
        <v>859.99168741432</v>
      </c>
      <c r="E930" s="1" t="s">
        <v>1653</v>
      </c>
      <c r="F930" s="1" t="s">
        <v>1654</v>
      </c>
      <c r="G930" s="1">
        <v>2.23141691726083</v>
      </c>
      <c r="H930" s="1">
        <v>13.671414551</v>
      </c>
      <c r="I930" s="1">
        <v>3.3374276287</v>
      </c>
      <c r="J930" s="1">
        <v>7.0422535211</v>
      </c>
      <c r="K930" s="1">
        <v>13.612667233</v>
      </c>
      <c r="L930" s="1">
        <v>34.8</v>
      </c>
      <c r="M930" s="1">
        <v>8.0</v>
      </c>
      <c r="N930" s="1">
        <v>23.8</v>
      </c>
      <c r="O930" s="1">
        <v>53.496868476</v>
      </c>
      <c r="P930" s="1">
        <v>14.175438596</v>
      </c>
      <c r="Q930" s="1">
        <v>162.86645</v>
      </c>
      <c r="R930" s="1">
        <v>92.9</v>
      </c>
      <c r="S930" s="1">
        <v>13.4</v>
      </c>
      <c r="T930" s="1">
        <v>391.0</v>
      </c>
      <c r="U930" s="1">
        <v>18.158567775</v>
      </c>
      <c r="V930" s="1">
        <v>78.104660245</v>
      </c>
      <c r="W930" s="1">
        <v>5.3987730061</v>
      </c>
      <c r="X930" s="1">
        <v>5.7668711656</v>
      </c>
      <c r="Y930" s="1">
        <v>77.840440731</v>
      </c>
      <c r="Z930" s="1">
        <v>14.4</v>
      </c>
      <c r="AA930" s="1">
        <v>8.7386478551</v>
      </c>
      <c r="AB930" s="1">
        <v>54058.0</v>
      </c>
      <c r="AC930" s="1">
        <v>27.960526316</v>
      </c>
      <c r="AD930" s="1">
        <v>77.003942181</v>
      </c>
      <c r="AE930" s="1">
        <v>9.5791001451</v>
      </c>
      <c r="AF930" s="1">
        <v>1.2651265127</v>
      </c>
      <c r="AG930" s="1">
        <v>0.6050605061</v>
      </c>
      <c r="AH930" s="1">
        <v>2.5852585259</v>
      </c>
      <c r="AI930" s="1">
        <v>0.0</v>
      </c>
      <c r="AJ930" s="1">
        <v>6.9856985699</v>
      </c>
      <c r="AK930" s="1">
        <v>87.183718372</v>
      </c>
      <c r="AL930" s="1">
        <v>0.8731082654</v>
      </c>
      <c r="AM930" s="1">
        <v>50.220022002</v>
      </c>
      <c r="AN930" s="1">
        <v>100.0</v>
      </c>
      <c r="AO930" s="1">
        <v>33661.0</v>
      </c>
      <c r="AP930" s="1">
        <v>5.7</v>
      </c>
      <c r="AQ930" s="1">
        <v>1.4</v>
      </c>
      <c r="AR930" s="1">
        <v>6.6</v>
      </c>
      <c r="AS930" s="1">
        <v>23.5</v>
      </c>
      <c r="AT930" s="1">
        <v>21.8</v>
      </c>
      <c r="AU930" s="1">
        <v>15.5</v>
      </c>
      <c r="AV930" s="1">
        <v>10.1</v>
      </c>
      <c r="AW930" s="1">
        <v>0.2</v>
      </c>
      <c r="AX930" s="1">
        <v>0.0115</v>
      </c>
      <c r="AY930" s="1">
        <v>10.4</v>
      </c>
      <c r="AZ930" s="1">
        <v>11.2</v>
      </c>
      <c r="BA930" s="1">
        <v>18.5</v>
      </c>
      <c r="BB930" s="1">
        <v>2.78</v>
      </c>
      <c r="BC930" s="1" t="s">
        <v>1588</v>
      </c>
      <c r="BD930" s="1">
        <v>8.9</v>
      </c>
      <c r="BE930" s="1">
        <v>20.8</v>
      </c>
      <c r="BF930" s="1">
        <v>39.5</v>
      </c>
      <c r="BG930" s="1">
        <v>30.8</v>
      </c>
      <c r="BH930" s="1" t="s">
        <v>1654</v>
      </c>
    </row>
    <row r="931">
      <c r="A931" s="1">
        <v>20085.0</v>
      </c>
      <c r="B931" s="2" t="str">
        <f>IFERROR(__xludf.DUMMYFUNCTION("TO_TEXT(A931)"),"20085")</f>
        <v>20085</v>
      </c>
      <c r="C931" s="1">
        <v>13365.0</v>
      </c>
      <c r="D931" s="1">
        <v>656.219101671638</v>
      </c>
      <c r="E931" s="1" t="s">
        <v>130</v>
      </c>
      <c r="F931" s="1" t="s">
        <v>1655</v>
      </c>
      <c r="G931" s="1">
        <v>20.366673213191</v>
      </c>
      <c r="H931" s="1">
        <v>14.1873596459999</v>
      </c>
      <c r="I931" s="1">
        <v>3.651025928</v>
      </c>
      <c r="J931" s="1">
        <v>6.1769616027</v>
      </c>
      <c r="K931" s="1">
        <v>16.000957754</v>
      </c>
      <c r="L931" s="1">
        <v>37.9</v>
      </c>
      <c r="M931" s="1">
        <v>8.1</v>
      </c>
      <c r="N931" s="1">
        <v>27.9</v>
      </c>
      <c r="O931" s="1">
        <v>49.01946219</v>
      </c>
      <c r="P931" s="1">
        <v>9.7094588323</v>
      </c>
      <c r="Q931" s="1">
        <v>67.57771</v>
      </c>
      <c r="R931" s="1">
        <v>88.2</v>
      </c>
      <c r="S931" s="1">
        <v>14.6</v>
      </c>
      <c r="T931" s="1">
        <v>3281.0</v>
      </c>
      <c r="U931" s="1">
        <v>29.625114294</v>
      </c>
      <c r="V931" s="1">
        <v>176.43756516</v>
      </c>
      <c r="W931" s="1">
        <v>9.7794822627</v>
      </c>
      <c r="X931" s="1">
        <v>8.0716624928</v>
      </c>
      <c r="Y931" s="1">
        <v>77.01063694</v>
      </c>
      <c r="Z931" s="1">
        <v>11.4</v>
      </c>
      <c r="AA931" s="1">
        <v>4.5556414006</v>
      </c>
      <c r="AB931" s="1">
        <v>56330.0</v>
      </c>
      <c r="AC931" s="1">
        <v>41.709183673</v>
      </c>
      <c r="AD931" s="1">
        <v>75.574925816</v>
      </c>
      <c r="AE931" s="1">
        <v>10.967496674</v>
      </c>
      <c r="AF931" s="1">
        <v>0.7605421687</v>
      </c>
      <c r="AG931" s="1">
        <v>8.4563253012</v>
      </c>
      <c r="AH931" s="1">
        <v>0.5798192771</v>
      </c>
      <c r="AI931" s="1">
        <v>0.0376506024</v>
      </c>
      <c r="AJ931" s="1">
        <v>4.6234939759</v>
      </c>
      <c r="AK931" s="1">
        <v>83.825301205</v>
      </c>
      <c r="AL931" s="1">
        <v>0.3607792833</v>
      </c>
      <c r="AM931" s="1">
        <v>49.969879518</v>
      </c>
      <c r="AN931" s="1">
        <v>75.895112168</v>
      </c>
      <c r="AO931" s="1">
        <v>26027.0</v>
      </c>
      <c r="AP931" s="1">
        <v>8.2</v>
      </c>
      <c r="AQ931" s="1">
        <v>5.2</v>
      </c>
      <c r="AR931" s="1">
        <v>5.3</v>
      </c>
      <c r="AS931" s="1">
        <v>17.4</v>
      </c>
      <c r="AT931" s="1">
        <v>25.4</v>
      </c>
      <c r="AU931" s="1">
        <v>16.2</v>
      </c>
      <c r="AV931" s="1">
        <v>15.4</v>
      </c>
      <c r="AW931" s="1">
        <v>0.1</v>
      </c>
      <c r="AX931" s="1">
        <v>0.1757</v>
      </c>
      <c r="AY931" s="1">
        <v>10.9</v>
      </c>
      <c r="AZ931" s="1">
        <v>12.2</v>
      </c>
      <c r="BA931" s="1">
        <v>18.9</v>
      </c>
      <c r="BB931" s="1">
        <v>3.08</v>
      </c>
      <c r="BC931" s="1" t="s">
        <v>1588</v>
      </c>
      <c r="BD931" s="1">
        <v>5.4</v>
      </c>
      <c r="BE931" s="1">
        <v>39.0</v>
      </c>
      <c r="BF931" s="1">
        <v>35.3</v>
      </c>
      <c r="BG931" s="1">
        <v>20.2</v>
      </c>
      <c r="BH931" s="1" t="s">
        <v>1655</v>
      </c>
    </row>
    <row r="932">
      <c r="A932" s="1">
        <v>20087.0</v>
      </c>
      <c r="B932" s="2" t="str">
        <f>IFERROR(__xludf.DUMMYFUNCTION("TO_TEXT(A932)"),"20087")</f>
        <v>20087</v>
      </c>
      <c r="C932" s="1">
        <v>18880.0</v>
      </c>
      <c r="D932" s="1">
        <v>532.574185224148</v>
      </c>
      <c r="E932" s="1" t="s">
        <v>132</v>
      </c>
      <c r="F932" s="1" t="s">
        <v>1656</v>
      </c>
      <c r="G932" s="1">
        <v>35.4504602810477</v>
      </c>
      <c r="H932" s="1">
        <v>12.445147372</v>
      </c>
      <c r="I932" s="1">
        <v>3.2900693979</v>
      </c>
      <c r="J932" s="1">
        <v>4.9429657795</v>
      </c>
      <c r="K932" s="1">
        <v>16.472172357</v>
      </c>
      <c r="L932" s="1">
        <v>34.9</v>
      </c>
      <c r="M932" s="1">
        <v>8.7</v>
      </c>
      <c r="N932" s="1">
        <v>24.5</v>
      </c>
      <c r="O932" s="1">
        <v>53.372372686</v>
      </c>
      <c r="P932" s="1">
        <v>9.1431894546</v>
      </c>
      <c r="Q932" s="1">
        <v>47.37341</v>
      </c>
      <c r="R932" s="1">
        <v>95.7</v>
      </c>
      <c r="S932" s="1">
        <v>10.5</v>
      </c>
      <c r="T932" s="1">
        <v>4323.0</v>
      </c>
      <c r="U932" s="1">
        <v>19.893592413</v>
      </c>
      <c r="V932" s="1">
        <v>198.65026668</v>
      </c>
      <c r="W932" s="1">
        <v>9.6242584047</v>
      </c>
      <c r="X932" s="1">
        <v>7.4751491054</v>
      </c>
      <c r="Y932" s="1">
        <v>79.008715728</v>
      </c>
      <c r="Z932" s="1">
        <v>11.9</v>
      </c>
      <c r="AA932" s="1">
        <v>0.1719940216</v>
      </c>
      <c r="AB932" s="1">
        <v>69246.0</v>
      </c>
      <c r="AC932" s="1">
        <v>38.994278832</v>
      </c>
      <c r="AD932" s="1">
        <v>81.973684211</v>
      </c>
      <c r="AE932" s="1">
        <v>8.285215523</v>
      </c>
      <c r="AF932" s="1">
        <v>0.7009222661</v>
      </c>
      <c r="AG932" s="1">
        <v>1.0013175231</v>
      </c>
      <c r="AH932" s="1">
        <v>0.2529644269</v>
      </c>
      <c r="AI932" s="1">
        <v>0.1054018445</v>
      </c>
      <c r="AJ932" s="1">
        <v>2.882740448</v>
      </c>
      <c r="AK932" s="1">
        <v>93.401844532</v>
      </c>
      <c r="AL932" s="1">
        <v>0.078269134</v>
      </c>
      <c r="AM932" s="1">
        <v>49.085638999</v>
      </c>
      <c r="AN932" s="1">
        <v>98.818362439</v>
      </c>
      <c r="AO932" s="1">
        <v>26328.0</v>
      </c>
      <c r="AP932" s="1">
        <v>9.1</v>
      </c>
      <c r="AQ932" s="1">
        <v>7.1</v>
      </c>
      <c r="AR932" s="1">
        <v>7.7</v>
      </c>
      <c r="AS932" s="1">
        <v>17.5</v>
      </c>
      <c r="AT932" s="1">
        <v>23.5</v>
      </c>
      <c r="AU932" s="1">
        <v>14.3</v>
      </c>
      <c r="AV932" s="1">
        <v>5.8</v>
      </c>
      <c r="AW932" s="1">
        <v>0.2</v>
      </c>
      <c r="AX932" s="1">
        <v>0.1082</v>
      </c>
      <c r="AY932" s="1">
        <v>7.8</v>
      </c>
      <c r="AZ932" s="1">
        <v>10.7</v>
      </c>
      <c r="BA932" s="1">
        <v>18.3</v>
      </c>
      <c r="BB932" s="1">
        <v>3.28</v>
      </c>
      <c r="BC932" s="1" t="s">
        <v>1588</v>
      </c>
      <c r="BD932" s="1">
        <v>6.5</v>
      </c>
      <c r="BE932" s="1">
        <v>39.7</v>
      </c>
      <c r="BF932" s="1">
        <v>30.6</v>
      </c>
      <c r="BG932" s="1">
        <v>23.2</v>
      </c>
      <c r="BH932" s="1" t="s">
        <v>1656</v>
      </c>
    </row>
    <row r="933">
      <c r="A933" s="1">
        <v>20089.0</v>
      </c>
      <c r="B933" s="2" t="str">
        <f>IFERROR(__xludf.DUMMYFUNCTION("TO_TEXT(A933)"),"20089")</f>
        <v>20089</v>
      </c>
      <c r="C933" s="1">
        <v>3003.0</v>
      </c>
      <c r="D933" s="1">
        <v>909.780359236662</v>
      </c>
      <c r="E933" s="1" t="s">
        <v>1657</v>
      </c>
      <c r="F933" s="1" t="s">
        <v>1658</v>
      </c>
      <c r="G933" s="1">
        <v>3.30079669176374</v>
      </c>
      <c r="H933" s="1">
        <v>17.499803537</v>
      </c>
      <c r="I933" s="1">
        <v>3.9051880138</v>
      </c>
      <c r="J933" s="1">
        <v>5.1643192488</v>
      </c>
      <c r="K933" s="1">
        <v>16.622578947</v>
      </c>
      <c r="L933" s="1">
        <v>29.1</v>
      </c>
      <c r="M933" s="1">
        <v>7.5</v>
      </c>
      <c r="N933" s="1">
        <v>24.9</v>
      </c>
      <c r="O933" s="1">
        <v>44.393890153</v>
      </c>
      <c r="P933" s="1">
        <v>12.318477717</v>
      </c>
      <c r="Q933" s="1">
        <v>48.31939</v>
      </c>
      <c r="R933" s="1">
        <v>90.9</v>
      </c>
      <c r="S933" s="1">
        <v>22.9</v>
      </c>
      <c r="T933" s="1">
        <v>546.0</v>
      </c>
      <c r="U933" s="1">
        <v>13.003663004</v>
      </c>
      <c r="V933" s="1">
        <v>204.509002055</v>
      </c>
      <c r="W933" s="1">
        <v>7.5</v>
      </c>
      <c r="X933" s="1">
        <v>7.10144927539999</v>
      </c>
      <c r="Y933" s="1">
        <v>80.017602357</v>
      </c>
      <c r="Z933" s="1">
        <v>13.5</v>
      </c>
      <c r="AA933" s="1">
        <v>9.6898948549</v>
      </c>
      <c r="AB933" s="1">
        <v>44271.0</v>
      </c>
      <c r="AC933" s="1">
        <v>56.5625</v>
      </c>
      <c r="AD933" s="1">
        <v>81.811594203</v>
      </c>
      <c r="AE933" s="1">
        <v>8.4693084693</v>
      </c>
      <c r="AF933" s="1">
        <v>0.3519887364</v>
      </c>
      <c r="AG933" s="1">
        <v>0.668778599099999</v>
      </c>
      <c r="AH933" s="1">
        <v>0.4927842309</v>
      </c>
      <c r="AI933" s="1">
        <v>0.0</v>
      </c>
      <c r="AJ933" s="1">
        <v>2.5343189018</v>
      </c>
      <c r="AK933" s="1">
        <v>95.001759944</v>
      </c>
      <c r="AL933" s="1">
        <v>0.1812250816</v>
      </c>
      <c r="AM933" s="1">
        <v>48.89123548</v>
      </c>
      <c r="AN933" s="1">
        <v>100.0</v>
      </c>
      <c r="AO933" s="1">
        <v>23282.0</v>
      </c>
      <c r="AP933" s="1">
        <v>15.3</v>
      </c>
      <c r="AQ933" s="1">
        <v>2.2</v>
      </c>
      <c r="AR933" s="1">
        <v>5.6</v>
      </c>
      <c r="AS933" s="1">
        <v>27.7</v>
      </c>
      <c r="AT933" s="1">
        <v>19.5</v>
      </c>
      <c r="AU933" s="1">
        <v>16.4</v>
      </c>
      <c r="AV933" s="1">
        <v>4.4</v>
      </c>
      <c r="AW933" s="1">
        <v>0.2</v>
      </c>
      <c r="AX933" s="1">
        <v>0.0392</v>
      </c>
      <c r="AY933" s="1">
        <v>13.0</v>
      </c>
      <c r="AZ933" s="1">
        <v>13.8</v>
      </c>
      <c r="BA933" s="1">
        <v>22.8</v>
      </c>
      <c r="BB933" s="1">
        <v>3.13</v>
      </c>
      <c r="BC933" s="1" t="s">
        <v>1588</v>
      </c>
      <c r="BD933" s="1">
        <v>6.9</v>
      </c>
      <c r="BE933" s="1">
        <v>39.5</v>
      </c>
      <c r="BF933" s="1">
        <v>34.3</v>
      </c>
      <c r="BG933" s="1">
        <v>19.3</v>
      </c>
      <c r="BH933" s="1" t="s">
        <v>1658</v>
      </c>
    </row>
    <row r="934">
      <c r="A934" s="1">
        <v>20091.0</v>
      </c>
      <c r="B934" s="2" t="str">
        <f>IFERROR(__xludf.DUMMYFUNCTION("TO_TEXT(A934)"),"20091")</f>
        <v>20091</v>
      </c>
      <c r="C934" s="1">
        <v>572428.0</v>
      </c>
      <c r="D934" s="1">
        <v>473.456706067786</v>
      </c>
      <c r="E934" s="1" t="s">
        <v>347</v>
      </c>
      <c r="F934" s="1" t="s">
        <v>1659</v>
      </c>
      <c r="G934" s="1">
        <v>1209.0397974383</v>
      </c>
      <c r="H934" s="1">
        <v>9.2719844848</v>
      </c>
      <c r="I934" s="1">
        <v>2.8952137646</v>
      </c>
      <c r="J934" s="1">
        <v>6.5436372122</v>
      </c>
      <c r="K934" s="1">
        <v>10.638545632</v>
      </c>
      <c r="L934" s="1">
        <v>27.1</v>
      </c>
      <c r="M934" s="1">
        <v>8.6</v>
      </c>
      <c r="N934" s="1">
        <v>17.5</v>
      </c>
      <c r="O934" s="1">
        <v>94.644776811</v>
      </c>
      <c r="P934" s="1">
        <v>7.1642662934</v>
      </c>
      <c r="Q934" s="1">
        <v>122.6365</v>
      </c>
      <c r="R934" s="1">
        <v>91.5</v>
      </c>
      <c r="S934" s="1">
        <v>6.0</v>
      </c>
      <c r="T934" s="1">
        <v>144807.0</v>
      </c>
      <c r="U934" s="1">
        <v>20.700656736</v>
      </c>
      <c r="V934" s="1">
        <v>157.02939009</v>
      </c>
      <c r="W934" s="1">
        <v>10.877445793</v>
      </c>
      <c r="X934" s="1">
        <v>9.228746912</v>
      </c>
      <c r="Y934" s="1">
        <v>82.049923175</v>
      </c>
      <c r="Z934" s="1">
        <v>7.7</v>
      </c>
      <c r="AA934" s="1">
        <v>2.4217295079</v>
      </c>
      <c r="AB934" s="1">
        <v>87087.0</v>
      </c>
      <c r="AC934" s="1">
        <v>23.650959283</v>
      </c>
      <c r="AD934" s="1">
        <v>69.123770122</v>
      </c>
      <c r="AE934" s="1">
        <v>9.29824561399999</v>
      </c>
      <c r="AF934" s="1">
        <v>4.7436637632</v>
      </c>
      <c r="AG934" s="1">
        <v>0.3951100735</v>
      </c>
      <c r="AH934" s="1">
        <v>5.1859661454</v>
      </c>
      <c r="AI934" s="1">
        <v>0.0438453364</v>
      </c>
      <c r="AJ934" s="1">
        <v>7.7703307645</v>
      </c>
      <c r="AK934" s="1">
        <v>79.728058505</v>
      </c>
      <c r="AL934" s="1">
        <v>1.8190022434</v>
      </c>
      <c r="AM934" s="1">
        <v>50.929537867</v>
      </c>
      <c r="AN934" s="1">
        <v>3.8336650257</v>
      </c>
      <c r="AO934" s="1">
        <v>41415.0</v>
      </c>
      <c r="AP934" s="1">
        <v>6.0</v>
      </c>
      <c r="AQ934" s="1">
        <v>4.1</v>
      </c>
      <c r="AR934" s="1">
        <v>4.2</v>
      </c>
      <c r="AS934" s="1">
        <v>12.7</v>
      </c>
      <c r="AT934" s="1">
        <v>25.4</v>
      </c>
      <c r="AU934" s="1">
        <v>9.1</v>
      </c>
      <c r="AV934" s="1">
        <v>19.1</v>
      </c>
      <c r="AW934" s="1">
        <v>1.7</v>
      </c>
      <c r="AX934" s="1">
        <v>0.0599</v>
      </c>
      <c r="AY934" s="1">
        <v>5.3</v>
      </c>
      <c r="AZ934" s="1">
        <v>9.0</v>
      </c>
      <c r="BA934" s="1">
        <v>13.3</v>
      </c>
      <c r="BB934" s="1">
        <v>3.42</v>
      </c>
      <c r="BC934" s="1" t="s">
        <v>1588</v>
      </c>
      <c r="BD934" s="1">
        <v>4.0</v>
      </c>
      <c r="BE934" s="1">
        <v>14.5</v>
      </c>
      <c r="BF934" s="1">
        <v>25.5</v>
      </c>
      <c r="BG934" s="1">
        <v>56.0</v>
      </c>
      <c r="BH934" s="1" t="s">
        <v>1659</v>
      </c>
    </row>
    <row r="935">
      <c r="A935" s="1">
        <v>20093.0</v>
      </c>
      <c r="B935" s="2" t="str">
        <f>IFERROR(__xludf.DUMMYFUNCTION("TO_TEXT(A935)"),"20093")</f>
        <v>20093</v>
      </c>
      <c r="C935" s="1">
        <v>3943.0</v>
      </c>
      <c r="D935" s="1">
        <v>870.542901016278</v>
      </c>
      <c r="E935" s="1" t="s">
        <v>1660</v>
      </c>
      <c r="F935" s="1" t="s">
        <v>1661</v>
      </c>
      <c r="G935" s="1">
        <v>4.52935747956466</v>
      </c>
      <c r="H935" s="1">
        <v>17.941664605</v>
      </c>
      <c r="I935" s="1">
        <v>3.5900048691</v>
      </c>
      <c r="J935" s="1">
        <v>7.5688073394</v>
      </c>
      <c r="K935" s="1">
        <v>16.033571628</v>
      </c>
      <c r="L935" s="1">
        <v>34.7</v>
      </c>
      <c r="M935" s="1">
        <v>6.4</v>
      </c>
      <c r="N935" s="1">
        <v>24.1</v>
      </c>
      <c r="O935" s="1">
        <v>63.5152124719999</v>
      </c>
      <c r="P935" s="1">
        <v>17.30941704</v>
      </c>
      <c r="Q935" s="1">
        <v>75.75758</v>
      </c>
      <c r="R935" s="1">
        <v>93.1</v>
      </c>
      <c r="S935" s="1">
        <v>17.6</v>
      </c>
      <c r="T935" s="1">
        <v>1086.0</v>
      </c>
      <c r="U935" s="1">
        <v>26.79558011</v>
      </c>
      <c r="V935" s="1">
        <v>242.47064829</v>
      </c>
      <c r="W935" s="1">
        <v>9.0566037736</v>
      </c>
      <c r="X935" s="1">
        <v>7.49432248299999</v>
      </c>
      <c r="Y935" s="1">
        <v>79.446517847</v>
      </c>
      <c r="Z935" s="1">
        <v>10.1</v>
      </c>
      <c r="AA935" s="1">
        <v>31.7649825619999</v>
      </c>
      <c r="AB935" s="1">
        <v>63248.0</v>
      </c>
      <c r="AC935" s="1">
        <v>60.946094609</v>
      </c>
      <c r="AD935" s="1">
        <v>76.288659794</v>
      </c>
      <c r="AE935" s="1">
        <v>10.611205433</v>
      </c>
      <c r="AF935" s="1">
        <v>0.760841998499999</v>
      </c>
      <c r="AG935" s="1">
        <v>1.7752979964</v>
      </c>
      <c r="AH935" s="1">
        <v>0.6593963987</v>
      </c>
      <c r="AI935" s="1">
        <v>0.1014455998</v>
      </c>
      <c r="AJ935" s="1">
        <v>32.335784935</v>
      </c>
      <c r="AK935" s="1">
        <v>63.0991630739999</v>
      </c>
      <c r="AL935" s="1">
        <v>2.0884858478</v>
      </c>
      <c r="AM935" s="1">
        <v>50.1141263</v>
      </c>
      <c r="AN935" s="1">
        <v>100.0</v>
      </c>
      <c r="AO935" s="1">
        <v>23213.0</v>
      </c>
      <c r="AP935" s="1">
        <v>12.6</v>
      </c>
      <c r="AQ935" s="1">
        <v>2.3</v>
      </c>
      <c r="AR935" s="1">
        <v>22.5</v>
      </c>
      <c r="AS935" s="1">
        <v>14.0</v>
      </c>
      <c r="AT935" s="1">
        <v>29.4</v>
      </c>
      <c r="AU935" s="1">
        <v>11.5</v>
      </c>
      <c r="AV935" s="1">
        <v>34.6</v>
      </c>
      <c r="AW935" s="1">
        <v>5.0</v>
      </c>
      <c r="AX935" s="1">
        <v>0.39</v>
      </c>
      <c r="AY935" s="1">
        <v>10.4</v>
      </c>
      <c r="AZ935" s="1">
        <v>12.5</v>
      </c>
      <c r="BA935" s="1">
        <v>18.4</v>
      </c>
      <c r="BB935" s="1">
        <v>2.75</v>
      </c>
      <c r="BC935" s="1" t="s">
        <v>1588</v>
      </c>
      <c r="BD935" s="1">
        <v>24.1</v>
      </c>
      <c r="BE935" s="1">
        <v>32.4</v>
      </c>
      <c r="BF935" s="1">
        <v>28.8</v>
      </c>
      <c r="BG935" s="1">
        <v>14.7</v>
      </c>
      <c r="BH935" s="1" t="s">
        <v>1661</v>
      </c>
    </row>
    <row r="936">
      <c r="A936" s="1">
        <v>20095.0</v>
      </c>
      <c r="B936" s="2" t="str">
        <f>IFERROR(__xludf.DUMMYFUNCTION("TO_TEXT(A936)"),"20095")</f>
        <v>20095</v>
      </c>
      <c r="C936" s="1">
        <v>7697.0</v>
      </c>
      <c r="D936" s="1">
        <v>863.362510770712</v>
      </c>
      <c r="E936" s="1" t="s">
        <v>1662</v>
      </c>
      <c r="F936" s="1" t="s">
        <v>1663</v>
      </c>
      <c r="G936" s="1">
        <v>8.91514271696717</v>
      </c>
      <c r="H936" s="1">
        <v>13.391389531</v>
      </c>
      <c r="I936" s="1">
        <v>3.3012247228</v>
      </c>
      <c r="J936" s="1">
        <v>6.4864864865</v>
      </c>
      <c r="K936" s="1">
        <v>13.971262524</v>
      </c>
      <c r="L936" s="1">
        <v>31.5</v>
      </c>
      <c r="M936" s="1">
        <v>7.8</v>
      </c>
      <c r="N936" s="1">
        <v>32.5</v>
      </c>
      <c r="O936" s="1">
        <v>52.761516925</v>
      </c>
      <c r="P936" s="1">
        <v>9.2670894996</v>
      </c>
      <c r="Q936" s="1">
        <v>13.58696</v>
      </c>
      <c r="R936" s="1">
        <v>87.6</v>
      </c>
      <c r="S936" s="1">
        <v>18.3</v>
      </c>
      <c r="T936" s="1">
        <v>1645.0</v>
      </c>
      <c r="U936" s="1">
        <v>21.458966565</v>
      </c>
      <c r="V936" s="1">
        <v>179.19911779</v>
      </c>
      <c r="W936" s="1">
        <v>8.5</v>
      </c>
      <c r="X936" s="1">
        <v>5.5147058824</v>
      </c>
      <c r="Y936" s="1">
        <v>68.237655615</v>
      </c>
      <c r="Z936" s="1">
        <v>13.3</v>
      </c>
      <c r="AA936" s="1">
        <v>9.995911474</v>
      </c>
      <c r="AB936" s="1">
        <v>56005.0</v>
      </c>
      <c r="AC936" s="1">
        <v>44.388185654</v>
      </c>
      <c r="AD936" s="1">
        <v>78.744742802</v>
      </c>
      <c r="AE936" s="1">
        <v>4.9158249158</v>
      </c>
      <c r="AF936" s="1">
        <v>0.4240766074</v>
      </c>
      <c r="AG936" s="1">
        <v>0.9302325581</v>
      </c>
      <c r="AH936" s="1">
        <v>0.6155950752</v>
      </c>
      <c r="AI936" s="1">
        <v>0.0273597811</v>
      </c>
      <c r="AJ936" s="1">
        <v>3.8714090287</v>
      </c>
      <c r="AK936" s="1">
        <v>92.749658003</v>
      </c>
      <c r="AL936" s="1">
        <v>0.1691331924</v>
      </c>
      <c r="AM936" s="1">
        <v>49.890560876</v>
      </c>
      <c r="AN936" s="1">
        <v>62.102316111</v>
      </c>
      <c r="AO936" s="1">
        <v>28911.0</v>
      </c>
      <c r="AP936" s="1">
        <v>8.8</v>
      </c>
      <c r="AQ936" s="1">
        <v>5.5</v>
      </c>
      <c r="AR936" s="1">
        <v>8.3</v>
      </c>
      <c r="AS936" s="1">
        <v>21.4</v>
      </c>
      <c r="AT936" s="1">
        <v>22.5</v>
      </c>
      <c r="AU936" s="1">
        <v>16.1</v>
      </c>
      <c r="AV936" s="1">
        <v>5.8</v>
      </c>
      <c r="AW936" s="1">
        <v>0.4</v>
      </c>
      <c r="AX936" s="1">
        <v>0.12</v>
      </c>
      <c r="AY936" s="1">
        <v>11.3</v>
      </c>
      <c r="AZ936" s="1">
        <v>10.7</v>
      </c>
      <c r="BA936" s="1">
        <v>17.8</v>
      </c>
      <c r="BB936" s="1">
        <v>2.97</v>
      </c>
      <c r="BC936" s="1" t="s">
        <v>1588</v>
      </c>
      <c r="BD936" s="1">
        <v>6.4</v>
      </c>
      <c r="BE936" s="1">
        <v>33.0</v>
      </c>
      <c r="BF936" s="1">
        <v>36.2</v>
      </c>
      <c r="BG936" s="1">
        <v>24.4</v>
      </c>
      <c r="BH936" s="1" t="s">
        <v>1663</v>
      </c>
    </row>
    <row r="937">
      <c r="A937" s="1">
        <v>20097.0</v>
      </c>
      <c r="B937" s="2" t="str">
        <f>IFERROR(__xludf.DUMMYFUNCTION("TO_TEXT(A937)"),"20097")</f>
        <v>20097</v>
      </c>
      <c r="C937" s="1">
        <v>2520.0</v>
      </c>
      <c r="D937" s="1">
        <v>722.639226024744</v>
      </c>
      <c r="E937" s="1" t="s">
        <v>593</v>
      </c>
      <c r="F937" s="1" t="s">
        <v>1664</v>
      </c>
      <c r="G937" s="1">
        <v>3.48721728525945</v>
      </c>
      <c r="H937" s="1">
        <v>15.126228867</v>
      </c>
      <c r="I937" s="1">
        <v>3.6412773396</v>
      </c>
      <c r="J937" s="1">
        <v>5.2845528455</v>
      </c>
      <c r="K937" s="1">
        <v>15.441939543</v>
      </c>
      <c r="L937" s="1">
        <v>29.9</v>
      </c>
      <c r="M937" s="1">
        <v>5.3</v>
      </c>
      <c r="N937" s="1">
        <v>29.7</v>
      </c>
      <c r="O937" s="1">
        <v>19.0755973359999</v>
      </c>
      <c r="P937" s="1">
        <v>13.20441989</v>
      </c>
      <c r="Q937" s="1">
        <v>40.24145</v>
      </c>
      <c r="R937" s="1">
        <v>51.1</v>
      </c>
      <c r="S937" s="1">
        <v>16.0</v>
      </c>
      <c r="T937" s="1">
        <v>570.0</v>
      </c>
      <c r="U937" s="1">
        <v>13.50877193</v>
      </c>
      <c r="V937" s="1">
        <v>39.200313603</v>
      </c>
      <c r="W937" s="1">
        <v>13.300492611</v>
      </c>
      <c r="X937" s="1">
        <v>8.7388282026</v>
      </c>
      <c r="Y937" s="1">
        <v>78.517412149</v>
      </c>
      <c r="Z937" s="1">
        <v>10.5</v>
      </c>
      <c r="AA937" s="1">
        <v>36.726156154</v>
      </c>
      <c r="AB937" s="1">
        <v>64399.0</v>
      </c>
      <c r="AC937" s="1">
        <v>28.406909789</v>
      </c>
      <c r="AD937" s="1">
        <v>71.25382263</v>
      </c>
      <c r="AE937" s="1">
        <v>8.1138040042</v>
      </c>
      <c r="AF937" s="1">
        <v>0.9936406995</v>
      </c>
      <c r="AG937" s="1">
        <v>0.755166931599999</v>
      </c>
      <c r="AH937" s="1">
        <v>1.4705882353</v>
      </c>
      <c r="AI937" s="1">
        <v>0.079491256</v>
      </c>
      <c r="AJ937" s="1">
        <v>6.4387917329</v>
      </c>
      <c r="AK937" s="1">
        <v>88.5930047689999</v>
      </c>
      <c r="AL937" s="1">
        <v>0.3810330229</v>
      </c>
      <c r="AM937" s="1">
        <v>50.9538950719999</v>
      </c>
      <c r="AN937" s="1">
        <v>100.0</v>
      </c>
      <c r="AO937" s="1">
        <v>24895.0</v>
      </c>
      <c r="AP937" s="1">
        <v>10.9</v>
      </c>
      <c r="AQ937" s="1">
        <v>3.9</v>
      </c>
      <c r="AR937" s="1">
        <v>8.3</v>
      </c>
      <c r="AS937" s="1">
        <v>19.2</v>
      </c>
      <c r="AT937" s="1">
        <v>22.2</v>
      </c>
      <c r="AU937" s="1">
        <v>14.8</v>
      </c>
      <c r="AV937" s="1">
        <v>10.2</v>
      </c>
      <c r="AW937" s="1">
        <v>0.2</v>
      </c>
      <c r="AX937" s="1">
        <v>0.2662</v>
      </c>
      <c r="AY937" s="1">
        <v>12.1</v>
      </c>
      <c r="AZ937" s="1">
        <v>11.1</v>
      </c>
      <c r="BA937" s="1">
        <v>16.3</v>
      </c>
      <c r="BB937" s="1">
        <v>2.91</v>
      </c>
      <c r="BC937" s="1" t="s">
        <v>1588</v>
      </c>
      <c r="BD937" s="1">
        <v>11.8</v>
      </c>
      <c r="BE937" s="1">
        <v>27.1</v>
      </c>
      <c r="BF937" s="1">
        <v>33.0</v>
      </c>
      <c r="BG937" s="1">
        <v>28.1</v>
      </c>
      <c r="BH937" s="1" t="s">
        <v>1664</v>
      </c>
    </row>
    <row r="938">
      <c r="A938" s="1">
        <v>20099.0</v>
      </c>
      <c r="B938" s="2" t="str">
        <f>IFERROR(__xludf.DUMMYFUNCTION("TO_TEXT(A938)"),"20099")</f>
        <v>20099</v>
      </c>
      <c r="C938" s="1">
        <v>20833.0</v>
      </c>
      <c r="D938" s="1">
        <v>645.294385350144</v>
      </c>
      <c r="E938" s="1" t="s">
        <v>1665</v>
      </c>
      <c r="F938" s="1" t="s">
        <v>1666</v>
      </c>
      <c r="G938" s="1">
        <v>32.2844897971578</v>
      </c>
      <c r="H938" s="1">
        <v>19.905189002</v>
      </c>
      <c r="I938" s="1">
        <v>4.08129719399999</v>
      </c>
      <c r="J938" s="1">
        <v>8.102456874</v>
      </c>
      <c r="K938" s="1">
        <v>19.2347636009999</v>
      </c>
      <c r="L938" s="1">
        <v>37.3</v>
      </c>
      <c r="M938" s="1">
        <v>7.3</v>
      </c>
      <c r="N938" s="1">
        <v>32.8</v>
      </c>
      <c r="O938" s="1">
        <v>63.715462582</v>
      </c>
      <c r="P938" s="1">
        <v>10.494938831</v>
      </c>
      <c r="Q938" s="1">
        <v>69.49615</v>
      </c>
      <c r="R938" s="1">
        <v>94.6</v>
      </c>
      <c r="S938" s="1">
        <v>22.7</v>
      </c>
      <c r="T938" s="1">
        <v>4826.0</v>
      </c>
      <c r="U938" s="1">
        <v>34.832159138</v>
      </c>
      <c r="V938" s="1">
        <v>425.97478036</v>
      </c>
      <c r="W938" s="1">
        <v>14.388059701</v>
      </c>
      <c r="X938" s="1">
        <v>9.7708082027</v>
      </c>
      <c r="Y938" s="1">
        <v>75.840816125</v>
      </c>
      <c r="Z938" s="1">
        <v>13.5</v>
      </c>
      <c r="AA938" s="1">
        <v>6.7576709888</v>
      </c>
      <c r="AB938" s="1">
        <v>44571.0</v>
      </c>
      <c r="AC938" s="1">
        <v>66.994804485</v>
      </c>
      <c r="AD938" s="1">
        <v>70.409560563</v>
      </c>
      <c r="AE938" s="1">
        <v>9.5533980583</v>
      </c>
      <c r="AF938" s="1">
        <v>3.977158886</v>
      </c>
      <c r="AG938" s="1">
        <v>2.359246644</v>
      </c>
      <c r="AH938" s="1">
        <v>0.480865558</v>
      </c>
      <c r="AI938" s="1">
        <v>0.0550991785</v>
      </c>
      <c r="AJ938" s="1">
        <v>4.6583850932</v>
      </c>
      <c r="AK938" s="1">
        <v>85.393708676</v>
      </c>
      <c r="AL938" s="1">
        <v>0.315673173</v>
      </c>
      <c r="AM938" s="1">
        <v>50.255459828</v>
      </c>
      <c r="AN938" s="1">
        <v>52.3395196</v>
      </c>
      <c r="AO938" s="1">
        <v>21648.0</v>
      </c>
      <c r="AP938" s="1">
        <v>18.2</v>
      </c>
      <c r="AQ938" s="1">
        <v>5.3</v>
      </c>
      <c r="AR938" s="1">
        <v>12.5</v>
      </c>
      <c r="AS938" s="1">
        <v>17.9</v>
      </c>
      <c r="AT938" s="1">
        <v>23.7</v>
      </c>
      <c r="AU938" s="1">
        <v>18.3</v>
      </c>
      <c r="AV938" s="1">
        <v>14.6</v>
      </c>
      <c r="AW938" s="1">
        <v>0.6</v>
      </c>
      <c r="AX938" s="1">
        <v>0.7316</v>
      </c>
      <c r="AY938" s="1">
        <v>15.8</v>
      </c>
      <c r="AZ938" s="1">
        <v>15.7</v>
      </c>
      <c r="BA938" s="1">
        <v>25.3</v>
      </c>
      <c r="BB938" s="1">
        <v>3.08</v>
      </c>
      <c r="BC938" s="1" t="s">
        <v>1588</v>
      </c>
      <c r="BD938" s="1">
        <v>10.2</v>
      </c>
      <c r="BE938" s="1">
        <v>31.8</v>
      </c>
      <c r="BF938" s="1">
        <v>39.3</v>
      </c>
      <c r="BG938" s="1">
        <v>18.7</v>
      </c>
      <c r="BH938" s="1" t="s">
        <v>1666</v>
      </c>
    </row>
    <row r="939">
      <c r="A939" s="1">
        <v>20101.0</v>
      </c>
      <c r="B939" s="2" t="str">
        <f>IFERROR(__xludf.DUMMYFUNCTION("TO_TEXT(A939)"),"20101")</f>
        <v>20101</v>
      </c>
      <c r="C939" s="1">
        <v>1687.0</v>
      </c>
      <c r="D939" s="1">
        <v>717.413613448184</v>
      </c>
      <c r="E939" s="1" t="s">
        <v>1667</v>
      </c>
      <c r="F939" s="1" t="s">
        <v>1668</v>
      </c>
      <c r="G939" s="1">
        <v>2.35150263164311</v>
      </c>
      <c r="H939" s="1">
        <v>16.243924888</v>
      </c>
      <c r="I939" s="1">
        <v>3.7365912527</v>
      </c>
      <c r="J939" s="1">
        <v>7.80443539465</v>
      </c>
      <c r="K939" s="1">
        <v>15.281778388</v>
      </c>
      <c r="L939" s="1">
        <v>31.0</v>
      </c>
      <c r="M939" s="1">
        <v>8.2</v>
      </c>
      <c r="N939" s="1">
        <v>31.5</v>
      </c>
      <c r="O939" s="1">
        <v>2.0</v>
      </c>
      <c r="P939" s="1">
        <v>13.7699412259999</v>
      </c>
      <c r="Q939" s="1">
        <v>64.14368</v>
      </c>
      <c r="R939" s="1">
        <v>95.7</v>
      </c>
      <c r="S939" s="1">
        <v>14.9</v>
      </c>
      <c r="T939" s="1">
        <v>374.0</v>
      </c>
      <c r="U939" s="1">
        <v>12.56684492</v>
      </c>
      <c r="V939" s="1">
        <v>208.02377415</v>
      </c>
      <c r="W939" s="1">
        <v>10.49382716</v>
      </c>
      <c r="X939" s="1">
        <v>6.3694267516</v>
      </c>
      <c r="Y939" s="1">
        <v>77.482572377</v>
      </c>
      <c r="Z939" s="1">
        <v>16.4</v>
      </c>
      <c r="AA939" s="1">
        <v>4.3909705532</v>
      </c>
      <c r="AB939" s="1">
        <v>59240.0</v>
      </c>
      <c r="AC939" s="1">
        <v>49.371069182</v>
      </c>
      <c r="AD939" s="1">
        <v>77.128335451</v>
      </c>
      <c r="AE939" s="1">
        <v>5.68513119529999</v>
      </c>
      <c r="AF939" s="1">
        <v>1.2179487179</v>
      </c>
      <c r="AG939" s="1">
        <v>1.2820512821</v>
      </c>
      <c r="AH939" s="1">
        <v>0.3205128205</v>
      </c>
      <c r="AI939" s="1">
        <v>0.0641025641</v>
      </c>
      <c r="AJ939" s="1">
        <v>7.82051282049999</v>
      </c>
      <c r="AK939" s="1">
        <v>87.6282051279999</v>
      </c>
      <c r="AL939" s="1">
        <v>0.1981505945</v>
      </c>
      <c r="AM939" s="1">
        <v>49.487179487</v>
      </c>
      <c r="AN939" s="1">
        <v>100.0</v>
      </c>
      <c r="AO939" s="1">
        <v>31329.0</v>
      </c>
      <c r="AP939" s="1">
        <v>8.9</v>
      </c>
      <c r="AQ939" s="1">
        <v>3.6</v>
      </c>
      <c r="AR939" s="1">
        <v>6.9</v>
      </c>
      <c r="AS939" s="1">
        <v>21.1</v>
      </c>
      <c r="AT939" s="1">
        <v>23.4</v>
      </c>
      <c r="AU939" s="1">
        <v>17.0</v>
      </c>
      <c r="AV939" s="1">
        <v>6.3</v>
      </c>
      <c r="AW939" s="1">
        <v>0.1</v>
      </c>
      <c r="AX939" s="1">
        <v>0.0236</v>
      </c>
      <c r="AY939" s="1">
        <v>10.3</v>
      </c>
      <c r="AZ939" s="1">
        <v>12.8</v>
      </c>
      <c r="BA939" s="1">
        <v>19.9</v>
      </c>
      <c r="BB939" s="1">
        <v>2.76</v>
      </c>
      <c r="BC939" s="1" t="s">
        <v>1588</v>
      </c>
      <c r="BD939" s="1">
        <v>5.7</v>
      </c>
      <c r="BE939" s="1">
        <v>31.9</v>
      </c>
      <c r="BF939" s="1">
        <v>39.4</v>
      </c>
      <c r="BG939" s="1">
        <v>23.1</v>
      </c>
      <c r="BH939" s="1" t="s">
        <v>1668</v>
      </c>
    </row>
    <row r="940">
      <c r="A940" s="1">
        <v>20103.0</v>
      </c>
      <c r="B940" s="2" t="str">
        <f>IFERROR(__xludf.DUMMYFUNCTION("TO_TEXT(A940)"),"20103")</f>
        <v>20103</v>
      </c>
      <c r="C940" s="1">
        <v>78785.0</v>
      </c>
      <c r="D940" s="1">
        <v>463.138681857544</v>
      </c>
      <c r="E940" s="1" t="s">
        <v>1669</v>
      </c>
      <c r="F940" s="1" t="s">
        <v>1670</v>
      </c>
      <c r="G940" s="1">
        <v>170.111033878689</v>
      </c>
      <c r="H940" s="1">
        <v>15.796568757</v>
      </c>
      <c r="I940" s="1">
        <v>3.5585814821</v>
      </c>
      <c r="J940" s="1">
        <v>6.93574238669999</v>
      </c>
      <c r="K940" s="1">
        <v>18.086108665</v>
      </c>
      <c r="L940" s="1">
        <v>36.8</v>
      </c>
      <c r="M940" s="1">
        <v>7.5</v>
      </c>
      <c r="N940" s="1">
        <v>25.1</v>
      </c>
      <c r="O940" s="1">
        <v>82.25956682</v>
      </c>
      <c r="P940" s="1">
        <v>6.8211713122</v>
      </c>
      <c r="Q940" s="1">
        <v>44.39238</v>
      </c>
      <c r="R940" s="1">
        <v>90.7</v>
      </c>
      <c r="S940" s="1">
        <v>12.1</v>
      </c>
      <c r="T940" s="1">
        <v>19084.0</v>
      </c>
      <c r="U940" s="1">
        <v>25.8960385659999</v>
      </c>
      <c r="V940" s="1">
        <v>416.86434513</v>
      </c>
      <c r="W940" s="1">
        <v>11.707227139</v>
      </c>
      <c r="X940" s="1">
        <v>10.031651462</v>
      </c>
      <c r="Y940" s="1">
        <v>79.0948315019999</v>
      </c>
      <c r="Z940" s="1">
        <v>10.8</v>
      </c>
      <c r="AA940" s="1">
        <v>10.204323232</v>
      </c>
      <c r="AB940" s="1">
        <v>70807.0</v>
      </c>
      <c r="AC940" s="1">
        <v>32.577653467</v>
      </c>
      <c r="AD940" s="1">
        <v>67.446415373</v>
      </c>
      <c r="AE940" s="1">
        <v>10.177608507</v>
      </c>
      <c r="AF940" s="1">
        <v>8.8037171797</v>
      </c>
      <c r="AG940" s="1">
        <v>0.885042777099999</v>
      </c>
      <c r="AH940" s="1">
        <v>1.5340741469</v>
      </c>
      <c r="AI940" s="1">
        <v>0.2101976596</v>
      </c>
      <c r="AJ940" s="1">
        <v>6.9500442521</v>
      </c>
      <c r="AK940" s="1">
        <v>78.960566427</v>
      </c>
      <c r="AL940" s="1">
        <v>0.5566531397</v>
      </c>
      <c r="AM940" s="1">
        <v>46.812616776</v>
      </c>
      <c r="AN940" s="1">
        <v>29.063192832</v>
      </c>
      <c r="AO940" s="1">
        <v>28743.0</v>
      </c>
      <c r="AP940" s="1">
        <v>9.9</v>
      </c>
      <c r="AQ940" s="1">
        <v>5.0</v>
      </c>
      <c r="AR940" s="1">
        <v>8.5</v>
      </c>
      <c r="AS940" s="1">
        <v>12.6</v>
      </c>
      <c r="AT940" s="1">
        <v>24.2</v>
      </c>
      <c r="AU940" s="1">
        <v>14.7</v>
      </c>
      <c r="AV940" s="1">
        <v>20.7</v>
      </c>
      <c r="AW940" s="1">
        <v>0.8</v>
      </c>
      <c r="AX940" s="1">
        <v>0.2327</v>
      </c>
      <c r="AY940" s="1">
        <v>8.3</v>
      </c>
      <c r="AZ940" s="1">
        <v>11.9</v>
      </c>
      <c r="BA940" s="1">
        <v>18.4</v>
      </c>
      <c r="BB940" s="1">
        <v>3.05</v>
      </c>
      <c r="BC940" s="1" t="s">
        <v>1588</v>
      </c>
      <c r="BD940" s="1">
        <v>7.8</v>
      </c>
      <c r="BE940" s="1">
        <v>28.3</v>
      </c>
      <c r="BF940" s="1">
        <v>32.4</v>
      </c>
      <c r="BG940" s="1">
        <v>31.5</v>
      </c>
      <c r="BH940" s="1" t="s">
        <v>1670</v>
      </c>
    </row>
    <row r="941">
      <c r="A941" s="1">
        <v>20105.0</v>
      </c>
      <c r="B941" s="2" t="str">
        <f>IFERROR(__xludf.DUMMYFUNCTION("TO_TEXT(A941)"),"20105")</f>
        <v>20105</v>
      </c>
      <c r="C941" s="1">
        <v>3134.0</v>
      </c>
      <c r="D941" s="1">
        <v>719.395546056952</v>
      </c>
      <c r="E941" s="1" t="s">
        <v>353</v>
      </c>
      <c r="F941" s="1" t="s">
        <v>1671</v>
      </c>
      <c r="G941" s="1">
        <v>4.35643508939919</v>
      </c>
      <c r="H941" s="1">
        <v>14.678062266</v>
      </c>
      <c r="I941" s="1">
        <v>3.7222728752</v>
      </c>
      <c r="J941" s="1">
        <v>5.2631578947</v>
      </c>
      <c r="K941" s="1">
        <v>14.76367466</v>
      </c>
      <c r="L941" s="1">
        <v>32.7</v>
      </c>
      <c r="M941" s="1">
        <v>7.6</v>
      </c>
      <c r="N941" s="1">
        <v>23.2</v>
      </c>
      <c r="O941" s="1">
        <v>20.456649182</v>
      </c>
      <c r="P941" s="1">
        <v>10.728303532</v>
      </c>
      <c r="Q941" s="1">
        <v>32.86231</v>
      </c>
      <c r="R941" s="1">
        <v>89.8</v>
      </c>
      <c r="S941" s="1">
        <v>18.6</v>
      </c>
      <c r="T941" s="1">
        <v>645.0</v>
      </c>
      <c r="U941" s="1">
        <v>29.92248062</v>
      </c>
      <c r="V941" s="1">
        <v>31.979533099</v>
      </c>
      <c r="W941" s="1">
        <v>8.1395348837</v>
      </c>
      <c r="X941" s="1">
        <v>6.0392156863</v>
      </c>
      <c r="Y941" s="1">
        <v>81.35793492</v>
      </c>
      <c r="Z941" s="1">
        <v>5.1</v>
      </c>
      <c r="AA941" s="1">
        <v>11.964144735</v>
      </c>
      <c r="AB941" s="1">
        <v>44439.0</v>
      </c>
      <c r="AC941" s="1">
        <v>50.535331906</v>
      </c>
      <c r="AD941" s="1">
        <v>80.379746835</v>
      </c>
      <c r="AE941" s="1">
        <v>8.9241034195</v>
      </c>
      <c r="AF941" s="1">
        <v>0.529275554099999</v>
      </c>
      <c r="AG941" s="1">
        <v>0.7939133311</v>
      </c>
      <c r="AH941" s="1">
        <v>0.4631161098</v>
      </c>
      <c r="AI941" s="1">
        <v>0.0</v>
      </c>
      <c r="AJ941" s="1">
        <v>3.6718491565</v>
      </c>
      <c r="AK941" s="1">
        <v>93.450215018</v>
      </c>
      <c r="AL941" s="1">
        <v>0.0</v>
      </c>
      <c r="AM941" s="1">
        <v>50.380416804</v>
      </c>
      <c r="AN941" s="1">
        <v>100.0</v>
      </c>
      <c r="AO941" s="1">
        <v>25070.0</v>
      </c>
      <c r="AP941" s="1">
        <v>10.8</v>
      </c>
      <c r="AQ941" s="1">
        <v>6.6</v>
      </c>
      <c r="AR941" s="1">
        <v>5.5</v>
      </c>
      <c r="AS941" s="1">
        <v>21.3</v>
      </c>
      <c r="AT941" s="1">
        <v>23.3</v>
      </c>
      <c r="AU941" s="1">
        <v>15.6</v>
      </c>
      <c r="AV941" s="1">
        <v>5.0</v>
      </c>
      <c r="AW941" s="1">
        <v>0.5</v>
      </c>
      <c r="AX941" s="1">
        <v>0.1948</v>
      </c>
      <c r="AY941" s="1">
        <v>12.1</v>
      </c>
      <c r="AZ941" s="1">
        <v>11.4</v>
      </c>
      <c r="BA941" s="1">
        <v>18.7</v>
      </c>
      <c r="BB941" s="1">
        <v>2.84</v>
      </c>
      <c r="BC941" s="1" t="s">
        <v>1588</v>
      </c>
      <c r="BD941" s="1">
        <v>6.7</v>
      </c>
      <c r="BE941" s="1">
        <v>31.1</v>
      </c>
      <c r="BF941" s="1">
        <v>39.4</v>
      </c>
      <c r="BG941" s="1">
        <v>22.8</v>
      </c>
      <c r="BH941" s="1" t="s">
        <v>1671</v>
      </c>
    </row>
    <row r="942">
      <c r="A942" s="1">
        <v>20107.0</v>
      </c>
      <c r="B942" s="2" t="str">
        <f>IFERROR(__xludf.DUMMYFUNCTION("TO_TEXT(A942)"),"20107")</f>
        <v>20107</v>
      </c>
      <c r="C942" s="1">
        <v>9524.0</v>
      </c>
      <c r="D942" s="1">
        <v>594.063832211188</v>
      </c>
      <c r="E942" s="1" t="s">
        <v>1520</v>
      </c>
      <c r="F942" s="1" t="s">
        <v>1672</v>
      </c>
      <c r="G942" s="1">
        <v>16.0319472144102</v>
      </c>
      <c r="H942" s="1">
        <v>16.384129291</v>
      </c>
      <c r="I942" s="1">
        <v>3.9660773739</v>
      </c>
      <c r="J942" s="1">
        <v>6.25</v>
      </c>
      <c r="K942" s="1">
        <v>18.3912043759999</v>
      </c>
      <c r="L942" s="1">
        <v>40.0</v>
      </c>
      <c r="M942" s="1">
        <v>7.5</v>
      </c>
      <c r="N942" s="1">
        <v>33.7</v>
      </c>
      <c r="O942" s="1">
        <v>63.577050539</v>
      </c>
      <c r="P942" s="1">
        <v>11.465137982</v>
      </c>
      <c r="Q942" s="1">
        <v>20.56344</v>
      </c>
      <c r="R942" s="1">
        <v>88.0</v>
      </c>
      <c r="S942" s="1">
        <v>17.5</v>
      </c>
      <c r="T942" s="1">
        <v>2203.0</v>
      </c>
      <c r="U942" s="1">
        <v>29.777576033</v>
      </c>
      <c r="V942" s="1">
        <v>119.58861516</v>
      </c>
      <c r="W942" s="1">
        <v>20.259128386</v>
      </c>
      <c r="X942" s="1">
        <v>12.071856287</v>
      </c>
      <c r="Y942" s="1">
        <v>76.6274474</v>
      </c>
      <c r="Z942" s="1">
        <v>12.1</v>
      </c>
      <c r="AA942" s="1">
        <v>4.354073711</v>
      </c>
      <c r="AB942" s="1">
        <v>47153.0</v>
      </c>
      <c r="AC942" s="1">
        <v>53.858267717</v>
      </c>
      <c r="AD942" s="1">
        <v>77.6218951239999</v>
      </c>
      <c r="AE942" s="1">
        <v>12.6633404609999</v>
      </c>
      <c r="AF942" s="1">
        <v>0.841025641</v>
      </c>
      <c r="AG942" s="1">
        <v>0.758974359</v>
      </c>
      <c r="AH942" s="1">
        <v>0.348717948699999</v>
      </c>
      <c r="AI942" s="1">
        <v>0.0717948717999999</v>
      </c>
      <c r="AJ942" s="1">
        <v>2.8512820513</v>
      </c>
      <c r="AK942" s="1">
        <v>93.292307692</v>
      </c>
      <c r="AL942" s="1">
        <v>0.0330069315</v>
      </c>
      <c r="AM942" s="1">
        <v>49.364102564</v>
      </c>
      <c r="AN942" s="1">
        <v>100.0</v>
      </c>
      <c r="AO942" s="1">
        <v>27368.0</v>
      </c>
      <c r="AP942" s="1">
        <v>15.0</v>
      </c>
      <c r="AQ942" s="1">
        <v>6.6</v>
      </c>
      <c r="AR942" s="1">
        <v>11.0</v>
      </c>
      <c r="AS942" s="1">
        <v>20.4</v>
      </c>
      <c r="AT942" s="1">
        <v>23.6</v>
      </c>
      <c r="AU942" s="1">
        <v>18.7</v>
      </c>
      <c r="AV942" s="1">
        <v>5.9</v>
      </c>
      <c r="AW942" s="1">
        <v>0.1</v>
      </c>
      <c r="AX942" s="1">
        <v>0.4072</v>
      </c>
      <c r="AY942" s="1">
        <v>12.0</v>
      </c>
      <c r="AZ942" s="1">
        <v>16.1</v>
      </c>
      <c r="BA942" s="1">
        <v>25.2</v>
      </c>
      <c r="BB942" s="1">
        <v>3.12</v>
      </c>
      <c r="BC942" s="1" t="s">
        <v>1588</v>
      </c>
      <c r="BD942" s="1">
        <v>10.3</v>
      </c>
      <c r="BE942" s="1">
        <v>38.9</v>
      </c>
      <c r="BF942" s="1">
        <v>34.7</v>
      </c>
      <c r="BG942" s="1">
        <v>16.2</v>
      </c>
      <c r="BH942" s="1" t="s">
        <v>1672</v>
      </c>
    </row>
    <row r="943">
      <c r="A943" s="1">
        <v>20109.0</v>
      </c>
      <c r="B943" s="2" t="str">
        <f>IFERROR(__xludf.DUMMYFUNCTION("TO_TEXT(A943)"),"20109")</f>
        <v>20109</v>
      </c>
      <c r="C943" s="1">
        <v>2800.0</v>
      </c>
      <c r="D943" s="1">
        <v>1072.99387428484</v>
      </c>
      <c r="E943" s="1" t="s">
        <v>357</v>
      </c>
      <c r="F943" s="1" t="s">
        <v>1673</v>
      </c>
      <c r="G943" s="1">
        <v>2.6095209554353</v>
      </c>
      <c r="H943" s="1">
        <v>13.272765198</v>
      </c>
      <c r="I943" s="1">
        <v>3.3671830814</v>
      </c>
      <c r="J943" s="1">
        <v>6.6901408451</v>
      </c>
      <c r="K943" s="1">
        <v>14.254901067</v>
      </c>
      <c r="L943" s="1">
        <v>31.5</v>
      </c>
      <c r="M943" s="1">
        <v>8.0</v>
      </c>
      <c r="N943" s="1">
        <v>26.8</v>
      </c>
      <c r="O943" s="1">
        <v>76.052249637</v>
      </c>
      <c r="P943" s="1">
        <v>10.093791871</v>
      </c>
      <c r="Q943" s="1">
        <v>70.89685</v>
      </c>
      <c r="R943" s="1">
        <v>86.1</v>
      </c>
      <c r="S943" s="1">
        <v>15.2</v>
      </c>
      <c r="T943" s="1">
        <v>685.0</v>
      </c>
      <c r="U943" s="1">
        <v>22.919708029</v>
      </c>
      <c r="V943" s="1">
        <v>142.19694277</v>
      </c>
      <c r="W943" s="1">
        <v>14.52991453</v>
      </c>
      <c r="X943" s="1">
        <v>10.0</v>
      </c>
      <c r="Y943" s="1">
        <v>79.794738169</v>
      </c>
      <c r="Z943" s="1">
        <v>12.0</v>
      </c>
      <c r="AA943" s="1">
        <v>8.4101208833</v>
      </c>
      <c r="AB943" s="1">
        <v>50267.0</v>
      </c>
      <c r="AC943" s="1">
        <v>39.543726236</v>
      </c>
      <c r="AD943" s="1">
        <v>71.328056288</v>
      </c>
      <c r="AE943" s="1">
        <v>7.2243346008</v>
      </c>
      <c r="AF943" s="1">
        <v>0.6680731364</v>
      </c>
      <c r="AG943" s="1">
        <v>0.5625879044</v>
      </c>
      <c r="AH943" s="1">
        <v>0.8438818565</v>
      </c>
      <c r="AI943" s="1">
        <v>0.0</v>
      </c>
      <c r="AJ943" s="1">
        <v>6.1533052039</v>
      </c>
      <c r="AK943" s="1">
        <v>90.400843882</v>
      </c>
      <c r="AL943" s="1">
        <v>0.6106870229</v>
      </c>
      <c r="AM943" s="1">
        <v>50.281293952</v>
      </c>
      <c r="AN943" s="1">
        <v>100.0</v>
      </c>
      <c r="AO943" s="1">
        <v>27837.0</v>
      </c>
      <c r="AP943" s="1">
        <v>9.6</v>
      </c>
      <c r="AQ943" s="1">
        <v>3.6</v>
      </c>
      <c r="AR943" s="1">
        <v>6.9</v>
      </c>
      <c r="AS943" s="1">
        <v>20.3</v>
      </c>
      <c r="AT943" s="1">
        <v>23.5</v>
      </c>
      <c r="AU943" s="1">
        <v>13.5</v>
      </c>
      <c r="AV943" s="1">
        <v>9.1</v>
      </c>
      <c r="AW943" s="1">
        <v>0.8</v>
      </c>
      <c r="AX943" s="1">
        <v>0.1426</v>
      </c>
      <c r="AY943" s="1">
        <v>10.0</v>
      </c>
      <c r="AZ943" s="1">
        <v>10.7</v>
      </c>
      <c r="BA943" s="1">
        <v>15.1</v>
      </c>
      <c r="BB943" s="1">
        <v>3.11</v>
      </c>
      <c r="BC943" s="1" t="s">
        <v>1588</v>
      </c>
      <c r="BD943" s="1">
        <v>9.0</v>
      </c>
      <c r="BE943" s="1">
        <v>28.1</v>
      </c>
      <c r="BF943" s="1">
        <v>46.3</v>
      </c>
      <c r="BG943" s="1">
        <v>16.6</v>
      </c>
      <c r="BH943" s="1" t="s">
        <v>1673</v>
      </c>
    </row>
    <row r="944">
      <c r="A944" s="1">
        <v>20111.0</v>
      </c>
      <c r="B944" s="2" t="str">
        <f>IFERROR(__xludf.DUMMYFUNCTION("TO_TEXT(A944)"),"20111")</f>
        <v>20111</v>
      </c>
      <c r="C944" s="1">
        <v>33401.0</v>
      </c>
      <c r="D944" s="1">
        <v>847.477745530972</v>
      </c>
      <c r="E944" s="1" t="s">
        <v>1526</v>
      </c>
      <c r="F944" s="1" t="s">
        <v>1674</v>
      </c>
      <c r="G944" s="1">
        <v>39.4122443640962</v>
      </c>
      <c r="H944" s="1">
        <v>17.260054649</v>
      </c>
      <c r="I944" s="1">
        <v>3.7351265209</v>
      </c>
      <c r="J944" s="1">
        <v>7.6949860724</v>
      </c>
      <c r="K944" s="1">
        <v>18.159815399</v>
      </c>
      <c r="L944" s="1">
        <v>39.2</v>
      </c>
      <c r="M944" s="1">
        <v>7.5</v>
      </c>
      <c r="N944" s="1">
        <v>23.1</v>
      </c>
      <c r="O944" s="1">
        <v>70.946868507</v>
      </c>
      <c r="P944" s="1">
        <v>12.275350068</v>
      </c>
      <c r="Q944" s="1">
        <v>62.88931</v>
      </c>
      <c r="R944" s="1">
        <v>91.5</v>
      </c>
      <c r="S944" s="1">
        <v>15.2</v>
      </c>
      <c r="T944" s="1">
        <v>7400.0</v>
      </c>
      <c r="U944" s="1">
        <v>38.432432432</v>
      </c>
      <c r="V944" s="1">
        <v>175.00342398</v>
      </c>
      <c r="W944" s="1">
        <v>14.393085306</v>
      </c>
      <c r="X944" s="1">
        <v>12.00982273</v>
      </c>
      <c r="Y944" s="1">
        <v>79.301299753</v>
      </c>
      <c r="Z944" s="1">
        <v>9.6</v>
      </c>
      <c r="AA944" s="1">
        <v>7.3359194636</v>
      </c>
      <c r="AB944" s="1">
        <v>47982.0</v>
      </c>
      <c r="AC944" s="1">
        <v>59.221056376</v>
      </c>
      <c r="AD944" s="1">
        <v>58.892815077</v>
      </c>
      <c r="AE944" s="1">
        <v>11.66093929</v>
      </c>
      <c r="AF944" s="1">
        <v>2.1223732264</v>
      </c>
      <c r="AG944" s="1">
        <v>1.3979524636</v>
      </c>
      <c r="AH944" s="1">
        <v>2.7510028139</v>
      </c>
      <c r="AI944" s="1">
        <v>0.119738969</v>
      </c>
      <c r="AJ944" s="1">
        <v>21.487157996</v>
      </c>
      <c r="AK944" s="1">
        <v>70.693887326</v>
      </c>
      <c r="AL944" s="1">
        <v>3.0762841809</v>
      </c>
      <c r="AM944" s="1">
        <v>51.436867629</v>
      </c>
      <c r="AN944" s="1">
        <v>26.298604927</v>
      </c>
      <c r="AO944" s="1">
        <v>23317.0</v>
      </c>
      <c r="AP944" s="1">
        <v>20.9</v>
      </c>
      <c r="AQ944" s="1">
        <v>6.6</v>
      </c>
      <c r="AR944" s="1">
        <v>11.1</v>
      </c>
      <c r="AS944" s="1">
        <v>13.4</v>
      </c>
      <c r="AT944" s="1">
        <v>22.6</v>
      </c>
      <c r="AU944" s="1">
        <v>13.5</v>
      </c>
      <c r="AV944" s="1">
        <v>28.1</v>
      </c>
      <c r="AW944" s="1">
        <v>3.1</v>
      </c>
      <c r="AX944" s="1">
        <v>0.7514</v>
      </c>
      <c r="AY944" s="1">
        <v>15.1</v>
      </c>
      <c r="AZ944" s="1">
        <v>12.5</v>
      </c>
      <c r="BA944" s="1">
        <v>17.8</v>
      </c>
      <c r="BB944" s="1">
        <v>2.82</v>
      </c>
      <c r="BC944" s="1" t="s">
        <v>1588</v>
      </c>
      <c r="BD944" s="1">
        <v>11.7</v>
      </c>
      <c r="BE944" s="1">
        <v>29.3</v>
      </c>
      <c r="BF944" s="1">
        <v>31.5</v>
      </c>
      <c r="BG944" s="1">
        <v>27.5</v>
      </c>
      <c r="BH944" s="1" t="s">
        <v>1674</v>
      </c>
    </row>
    <row r="945">
      <c r="A945" s="1">
        <v>20113.0</v>
      </c>
      <c r="B945" s="2" t="str">
        <f>IFERROR(__xludf.DUMMYFUNCTION("TO_TEXT(A945)"),"20113")</f>
        <v>20113</v>
      </c>
      <c r="C945" s="1">
        <v>29164.0</v>
      </c>
      <c r="D945" s="1">
        <v>898.274247434752</v>
      </c>
      <c r="E945" s="1" t="s">
        <v>1675</v>
      </c>
      <c r="F945" s="1" t="s">
        <v>1676</v>
      </c>
      <c r="G945" s="1">
        <v>32.4666994331465</v>
      </c>
      <c r="H945" s="1">
        <v>13.249555388</v>
      </c>
      <c r="I945" s="1">
        <v>3.2710629813</v>
      </c>
      <c r="J945" s="1">
        <v>6.1900610288</v>
      </c>
      <c r="K945" s="1">
        <v>13.5902583259999</v>
      </c>
      <c r="L945" s="1">
        <v>30.8</v>
      </c>
      <c r="M945" s="1">
        <v>8.0</v>
      </c>
      <c r="N945" s="1">
        <v>21.5</v>
      </c>
      <c r="O945" s="1">
        <v>76.9705277589999</v>
      </c>
      <c r="P945" s="1">
        <v>9.0378625016</v>
      </c>
      <c r="Q945" s="1">
        <v>73.15034</v>
      </c>
      <c r="R945" s="1">
        <v>91.6</v>
      </c>
      <c r="S945" s="1">
        <v>10.7</v>
      </c>
      <c r="T945" s="1">
        <v>6534.0</v>
      </c>
      <c r="U945" s="1">
        <v>24.670951944</v>
      </c>
      <c r="V945" s="1">
        <v>145.75186633</v>
      </c>
      <c r="W945" s="1">
        <v>8.4560370215</v>
      </c>
      <c r="X945" s="1">
        <v>6.1351761335</v>
      </c>
      <c r="Y945" s="1">
        <v>78.48407698</v>
      </c>
      <c r="Z945" s="1">
        <v>11.0</v>
      </c>
      <c r="AA945" s="1">
        <v>6.7777101819</v>
      </c>
      <c r="AB945" s="1">
        <v>58017.0</v>
      </c>
      <c r="AC945" s="1">
        <v>33.093126386</v>
      </c>
      <c r="AD945" s="1">
        <v>69.9463327369999</v>
      </c>
      <c r="AE945" s="1">
        <v>9.3922651934</v>
      </c>
      <c r="AF945" s="1">
        <v>1.1669061219</v>
      </c>
      <c r="AG945" s="1">
        <v>0.6167431755</v>
      </c>
      <c r="AH945" s="1">
        <v>0.8795598696</v>
      </c>
      <c r="AI945" s="1">
        <v>0.0770928969</v>
      </c>
      <c r="AJ945" s="1">
        <v>4.2541262221</v>
      </c>
      <c r="AK945" s="1">
        <v>91.614395346</v>
      </c>
      <c r="AL945" s="1">
        <v>0.0814121304</v>
      </c>
      <c r="AM945" s="1">
        <v>50.968917546</v>
      </c>
      <c r="AN945" s="1">
        <v>43.495544894</v>
      </c>
      <c r="AO945" s="1">
        <v>28722.0</v>
      </c>
      <c r="AP945" s="1">
        <v>6.6</v>
      </c>
      <c r="AQ945" s="1">
        <v>2.4</v>
      </c>
      <c r="AR945" s="1">
        <v>9.0</v>
      </c>
      <c r="AS945" s="1">
        <v>19.2</v>
      </c>
      <c r="AT945" s="1">
        <v>23.0</v>
      </c>
      <c r="AU945" s="1">
        <v>12.0</v>
      </c>
      <c r="AV945" s="1">
        <v>7.9</v>
      </c>
      <c r="AW945" s="1">
        <v>0.1</v>
      </c>
      <c r="AX945" s="1">
        <v>0.0608</v>
      </c>
      <c r="AY945" s="1">
        <v>7.2</v>
      </c>
      <c r="AZ945" s="1">
        <v>11.1</v>
      </c>
      <c r="BA945" s="1">
        <v>16.9</v>
      </c>
      <c r="BB945" s="1">
        <v>3.17</v>
      </c>
      <c r="BC945" s="1" t="s">
        <v>1588</v>
      </c>
      <c r="BD945" s="1">
        <v>8.7</v>
      </c>
      <c r="BE945" s="1">
        <v>27.9</v>
      </c>
      <c r="BF945" s="1">
        <v>35.4</v>
      </c>
      <c r="BG945" s="1">
        <v>28.0</v>
      </c>
      <c r="BH945" s="1" t="s">
        <v>1676</v>
      </c>
    </row>
    <row r="946">
      <c r="A946" s="1">
        <v>20115.0</v>
      </c>
      <c r="B946" s="2" t="str">
        <f>IFERROR(__xludf.DUMMYFUNCTION("TO_TEXT(A946)"),"20115")</f>
        <v>20115</v>
      </c>
      <c r="C946" s="1">
        <v>12213.0</v>
      </c>
      <c r="D946" s="1">
        <v>944.290152135642</v>
      </c>
      <c r="E946" s="1" t="s">
        <v>152</v>
      </c>
      <c r="F946" s="1" t="s">
        <v>1677</v>
      </c>
      <c r="G946" s="1">
        <v>12.9335246929968</v>
      </c>
      <c r="H946" s="1">
        <v>14.762155127</v>
      </c>
      <c r="I946" s="1">
        <v>3.5889736077</v>
      </c>
      <c r="J946" s="1">
        <v>5.36159601</v>
      </c>
      <c r="K946" s="1">
        <v>15.40289266</v>
      </c>
      <c r="L946" s="1">
        <v>40.0</v>
      </c>
      <c r="M946" s="1">
        <v>7.7</v>
      </c>
      <c r="N946" s="1">
        <v>28.8</v>
      </c>
      <c r="O946" s="1">
        <v>52.274881517</v>
      </c>
      <c r="P946" s="1">
        <v>10.735042735</v>
      </c>
      <c r="Q946" s="1">
        <v>33.37227</v>
      </c>
      <c r="R946" s="1">
        <v>86.4</v>
      </c>
      <c r="S946" s="1">
        <v>12.2</v>
      </c>
      <c r="T946" s="1">
        <v>2592.0</v>
      </c>
      <c r="U946" s="1">
        <v>16.782407407</v>
      </c>
      <c r="V946" s="1">
        <v>99.536936859</v>
      </c>
      <c r="W946" s="1">
        <v>10.291060291</v>
      </c>
      <c r="X946" s="1">
        <v>7.1008403361</v>
      </c>
      <c r="Y946" s="1">
        <v>78.96027586</v>
      </c>
      <c r="Z946" s="1">
        <v>7.3</v>
      </c>
      <c r="AA946" s="1">
        <v>8.7600300652</v>
      </c>
      <c r="AB946" s="1">
        <v>51712.0</v>
      </c>
      <c r="AC946" s="1">
        <v>37.8914865459999</v>
      </c>
      <c r="AD946" s="1">
        <v>79.515556484</v>
      </c>
      <c r="AE946" s="1">
        <v>6.5874730022</v>
      </c>
      <c r="AF946" s="1">
        <v>1.0041841004</v>
      </c>
      <c r="AG946" s="1">
        <v>0.820083682</v>
      </c>
      <c r="AH946" s="1">
        <v>0.4184100418</v>
      </c>
      <c r="AI946" s="1">
        <v>0.0753138075</v>
      </c>
      <c r="AJ946" s="1">
        <v>3.9330543933</v>
      </c>
      <c r="AK946" s="1">
        <v>92.359832636</v>
      </c>
      <c r="AL946" s="1">
        <v>0.1140951378</v>
      </c>
      <c r="AM946" s="1">
        <v>50.267782427</v>
      </c>
      <c r="AN946" s="1">
        <v>77.764612954</v>
      </c>
      <c r="AO946" s="1">
        <v>24234.0</v>
      </c>
      <c r="AP946" s="1">
        <v>10.9</v>
      </c>
      <c r="AQ946" s="1">
        <v>4.7</v>
      </c>
      <c r="AR946" s="1">
        <v>10.0</v>
      </c>
      <c r="AS946" s="1">
        <v>22.5</v>
      </c>
      <c r="AT946" s="1">
        <v>21.6</v>
      </c>
      <c r="AU946" s="1">
        <v>14.9</v>
      </c>
      <c r="AV946" s="1">
        <v>6.7</v>
      </c>
      <c r="AW946" s="1">
        <v>0.3</v>
      </c>
      <c r="AX946" s="1">
        <v>0.1764</v>
      </c>
      <c r="AY946" s="1">
        <v>10.7</v>
      </c>
      <c r="AZ946" s="1">
        <v>11.6</v>
      </c>
      <c r="BA946" s="1">
        <v>17.8</v>
      </c>
      <c r="BB946" s="1">
        <v>2.95</v>
      </c>
      <c r="BC946" s="1" t="s">
        <v>1588</v>
      </c>
      <c r="BD946" s="1">
        <v>8.4</v>
      </c>
      <c r="BE946" s="1">
        <v>30.3</v>
      </c>
      <c r="BF946" s="1">
        <v>36.2</v>
      </c>
      <c r="BG946" s="1">
        <v>25.0</v>
      </c>
      <c r="BH946" s="1" t="s">
        <v>1677</v>
      </c>
    </row>
    <row r="947">
      <c r="A947" s="1">
        <v>20117.0</v>
      </c>
      <c r="B947" s="2" t="str">
        <f>IFERROR(__xludf.DUMMYFUNCTION("TO_TEXT(A947)"),"20117")</f>
        <v>20117</v>
      </c>
      <c r="C947" s="1">
        <v>9963.0</v>
      </c>
      <c r="D947" s="1">
        <v>900.177497475246</v>
      </c>
      <c r="E947" s="1" t="s">
        <v>154</v>
      </c>
      <c r="F947" s="1" t="s">
        <v>1678</v>
      </c>
      <c r="G947" s="1">
        <v>11.0678172115427</v>
      </c>
      <c r="H947" s="1">
        <v>14.475292437</v>
      </c>
      <c r="I947" s="1">
        <v>3.656483306</v>
      </c>
      <c r="J947" s="1">
        <v>6.62790697669999</v>
      </c>
      <c r="K947" s="1">
        <v>15.176062032</v>
      </c>
      <c r="L947" s="1">
        <v>34.6</v>
      </c>
      <c r="M947" s="1">
        <v>8.2</v>
      </c>
      <c r="N947" s="1">
        <v>28.8</v>
      </c>
      <c r="O947" s="1">
        <v>50.4003162989999</v>
      </c>
      <c r="P947" s="1">
        <v>8.4614373932</v>
      </c>
      <c r="Q947" s="1">
        <v>51.30836</v>
      </c>
      <c r="R947" s="1">
        <v>96.1</v>
      </c>
      <c r="S947" s="1">
        <v>14.8</v>
      </c>
      <c r="T947" s="1">
        <v>2250.0</v>
      </c>
      <c r="U947" s="1">
        <v>20.7111111109999</v>
      </c>
      <c r="V947" s="1">
        <v>146.24306606</v>
      </c>
      <c r="W947" s="1">
        <v>9.8265895954</v>
      </c>
      <c r="X947" s="1">
        <v>7.9608938547</v>
      </c>
      <c r="Y947" s="1">
        <v>77.522108118</v>
      </c>
      <c r="Z947" s="1">
        <v>11.8</v>
      </c>
      <c r="AA947" s="1">
        <v>4.7841592711</v>
      </c>
      <c r="AB947" s="1">
        <v>51066.0</v>
      </c>
      <c r="AC947" s="1">
        <v>43.4104046239999</v>
      </c>
      <c r="AD947" s="1">
        <v>76.9941634239999</v>
      </c>
      <c r="AE947" s="1">
        <v>7.0359281437</v>
      </c>
      <c r="AF947" s="1">
        <v>0.4731536721</v>
      </c>
      <c r="AG947" s="1">
        <v>0.6685867106</v>
      </c>
      <c r="AH947" s="1">
        <v>0.4422958239</v>
      </c>
      <c r="AI947" s="1">
        <v>0.051429747</v>
      </c>
      <c r="AJ947" s="1">
        <v>2.6229170952</v>
      </c>
      <c r="AK947" s="1">
        <v>94.486731125</v>
      </c>
      <c r="AL947" s="1">
        <v>0.2175331738</v>
      </c>
      <c r="AM947" s="1">
        <v>50.205718988</v>
      </c>
      <c r="AN947" s="1">
        <v>70.969655036</v>
      </c>
      <c r="AO947" s="1">
        <v>26978.0</v>
      </c>
      <c r="AP947" s="1">
        <v>9.5</v>
      </c>
      <c r="AQ947" s="1">
        <v>3.3</v>
      </c>
      <c r="AR947" s="1">
        <v>6.1</v>
      </c>
      <c r="AS947" s="1">
        <v>21.4</v>
      </c>
      <c r="AT947" s="1">
        <v>23.2</v>
      </c>
      <c r="AU947" s="1">
        <v>15.5</v>
      </c>
      <c r="AV947" s="1">
        <v>4.9</v>
      </c>
      <c r="AW947" s="1">
        <v>0.1</v>
      </c>
      <c r="AX947" s="1">
        <v>0.0799</v>
      </c>
      <c r="AY947" s="1">
        <v>9.4</v>
      </c>
      <c r="AZ947" s="1">
        <v>11.4</v>
      </c>
      <c r="BA947" s="1">
        <v>18.6</v>
      </c>
      <c r="BB947" s="1">
        <v>3.19</v>
      </c>
      <c r="BC947" s="1" t="s">
        <v>1588</v>
      </c>
      <c r="BD947" s="1">
        <v>7.8</v>
      </c>
      <c r="BE947" s="1">
        <v>42.2</v>
      </c>
      <c r="BF947" s="1">
        <v>31.1</v>
      </c>
      <c r="BG947" s="1">
        <v>18.9</v>
      </c>
      <c r="BH947" s="1" t="s">
        <v>1678</v>
      </c>
    </row>
    <row r="948">
      <c r="A948" s="1">
        <v>20119.0</v>
      </c>
      <c r="B948" s="2" t="str">
        <f>IFERROR(__xludf.DUMMYFUNCTION("TO_TEXT(A948)"),"20119")</f>
        <v>20119</v>
      </c>
      <c r="C948" s="1">
        <v>4310.0</v>
      </c>
      <c r="D948" s="1">
        <v>978.08705749878</v>
      </c>
      <c r="E948" s="1" t="s">
        <v>1679</v>
      </c>
      <c r="F948" s="1" t="s">
        <v>1680</v>
      </c>
      <c r="G948" s="1">
        <v>4.40656071149921</v>
      </c>
      <c r="H948" s="1">
        <v>16.372137382</v>
      </c>
      <c r="I948" s="1">
        <v>3.5744108834</v>
      </c>
      <c r="J948" s="1">
        <v>6.106870229</v>
      </c>
      <c r="K948" s="1">
        <v>15.9758655779999</v>
      </c>
      <c r="L948" s="1">
        <v>34.9</v>
      </c>
      <c r="M948" s="1">
        <v>7.2</v>
      </c>
      <c r="N948" s="1">
        <v>30.7</v>
      </c>
      <c r="O948" s="1">
        <v>67.912568306</v>
      </c>
      <c r="P948" s="1">
        <v>15.3111432709999</v>
      </c>
      <c r="Q948" s="1">
        <v>23.2396</v>
      </c>
      <c r="R948" s="1">
        <v>92.0</v>
      </c>
      <c r="S948" s="1">
        <v>13.3</v>
      </c>
      <c r="T948" s="1">
        <v>1099.0</v>
      </c>
      <c r="U948" s="1">
        <v>31.6651501359999</v>
      </c>
      <c r="V948" s="1">
        <v>204.509002055</v>
      </c>
      <c r="W948" s="1">
        <v>9.6096096096</v>
      </c>
      <c r="X948" s="1">
        <v>8.6060606061</v>
      </c>
      <c r="Y948" s="1">
        <v>75.169511531</v>
      </c>
      <c r="Z948" s="1">
        <v>15.1</v>
      </c>
      <c r="AA948" s="1">
        <v>18.33655835</v>
      </c>
      <c r="AB948" s="1">
        <v>67220.0</v>
      </c>
      <c r="AC948" s="1">
        <v>56.8270481139999</v>
      </c>
      <c r="AD948" s="1">
        <v>69.432835821</v>
      </c>
      <c r="AE948" s="1">
        <v>7.7026121902</v>
      </c>
      <c r="AF948" s="1">
        <v>0.9406657019</v>
      </c>
      <c r="AG948" s="1">
        <v>1.2301013025</v>
      </c>
      <c r="AH948" s="1">
        <v>0.9406657019</v>
      </c>
      <c r="AI948" s="1">
        <v>0.0</v>
      </c>
      <c r="AJ948" s="1">
        <v>17.848528702</v>
      </c>
      <c r="AK948" s="1">
        <v>78.17173179</v>
      </c>
      <c r="AL948" s="1">
        <v>3.4874905231</v>
      </c>
      <c r="AM948" s="1">
        <v>49.252291365</v>
      </c>
      <c r="AN948" s="1">
        <v>100.0</v>
      </c>
      <c r="AO948" s="1">
        <v>24253.0</v>
      </c>
      <c r="AP948" s="1">
        <v>14.1</v>
      </c>
      <c r="AQ948" s="1">
        <v>2.4</v>
      </c>
      <c r="AR948" s="1">
        <v>14.5</v>
      </c>
      <c r="AS948" s="1">
        <v>17.9</v>
      </c>
      <c r="AT948" s="1">
        <v>26.2</v>
      </c>
      <c r="AU948" s="1">
        <v>9.9</v>
      </c>
      <c r="AV948" s="1">
        <v>18.1</v>
      </c>
      <c r="AW948" s="1">
        <v>2.7</v>
      </c>
      <c r="AX948" s="1">
        <v>0.4572</v>
      </c>
      <c r="AY948" s="1">
        <v>9.7</v>
      </c>
      <c r="AZ948" s="1">
        <v>10.4</v>
      </c>
      <c r="BA948" s="1">
        <v>16.7</v>
      </c>
      <c r="BB948" s="1">
        <v>2.78</v>
      </c>
      <c r="BC948" s="1" t="s">
        <v>1588</v>
      </c>
      <c r="BD948" s="1">
        <v>19.3</v>
      </c>
      <c r="BE948" s="1">
        <v>26.4</v>
      </c>
      <c r="BF948" s="1">
        <v>34.0</v>
      </c>
      <c r="BG948" s="1">
        <v>20.3</v>
      </c>
      <c r="BH948" s="1" t="s">
        <v>1680</v>
      </c>
    </row>
    <row r="949">
      <c r="A949" s="1">
        <v>20121.0</v>
      </c>
      <c r="B949" s="2" t="str">
        <f>IFERROR(__xludf.DUMMYFUNCTION("TO_TEXT(A949)"),"20121")</f>
        <v>20121</v>
      </c>
      <c r="C949" s="1">
        <v>32787.0</v>
      </c>
      <c r="D949" s="1">
        <v>575.66149698859</v>
      </c>
      <c r="E949" s="1" t="s">
        <v>1378</v>
      </c>
      <c r="F949" s="1" t="s">
        <v>1681</v>
      </c>
      <c r="G949" s="1">
        <v>56.9553464518921</v>
      </c>
      <c r="H949" s="1">
        <v>13.620973062</v>
      </c>
      <c r="I949" s="1">
        <v>3.3141799422</v>
      </c>
      <c r="J949" s="1">
        <v>6.2055335968</v>
      </c>
      <c r="K949" s="1">
        <v>14.9804993059999</v>
      </c>
      <c r="L949" s="1">
        <v>35.4</v>
      </c>
      <c r="M949" s="1">
        <v>8.5</v>
      </c>
      <c r="N949" s="1">
        <v>29.5</v>
      </c>
      <c r="O949" s="1">
        <v>62.189282338</v>
      </c>
      <c r="P949" s="1">
        <v>7.1598872914</v>
      </c>
      <c r="Q949" s="1">
        <v>47.81686</v>
      </c>
      <c r="R949" s="1">
        <v>92.5</v>
      </c>
      <c r="S949" s="1">
        <v>9.7</v>
      </c>
      <c r="T949" s="1">
        <v>8250.0</v>
      </c>
      <c r="U949" s="1">
        <v>20.278787879</v>
      </c>
      <c r="V949" s="1">
        <v>204.12235063</v>
      </c>
      <c r="W949" s="1">
        <v>12.757527734</v>
      </c>
      <c r="X949" s="1">
        <v>11.669341894</v>
      </c>
      <c r="Y949" s="1">
        <v>79.15232594</v>
      </c>
      <c r="Z949" s="1">
        <v>12.1</v>
      </c>
      <c r="AA949" s="1">
        <v>1.5864206124</v>
      </c>
      <c r="AB949" s="1">
        <v>71770.0</v>
      </c>
      <c r="AC949" s="1">
        <v>36.568645138</v>
      </c>
      <c r="AD949" s="1">
        <v>78.549540347</v>
      </c>
      <c r="AE949" s="1">
        <v>11.432251832</v>
      </c>
      <c r="AF949" s="1">
        <v>1.2440617577</v>
      </c>
      <c r="AG949" s="1">
        <v>0.7986935867</v>
      </c>
      <c r="AH949" s="1">
        <v>0.5552256532</v>
      </c>
      <c r="AI949" s="1">
        <v>0.0445368171</v>
      </c>
      <c r="AJ949" s="1">
        <v>3.304631829</v>
      </c>
      <c r="AK949" s="1">
        <v>92.479216152</v>
      </c>
      <c r="AL949" s="1">
        <v>0.1089394425</v>
      </c>
      <c r="AM949" s="1">
        <v>50.31175772</v>
      </c>
      <c r="AN949" s="1">
        <v>50.950071675</v>
      </c>
      <c r="AO949" s="1">
        <v>30184.0</v>
      </c>
      <c r="AP949" s="1">
        <v>9.6</v>
      </c>
      <c r="AQ949" s="1">
        <v>4.3</v>
      </c>
      <c r="AR949" s="1">
        <v>5.3</v>
      </c>
      <c r="AS949" s="1">
        <v>15.5</v>
      </c>
      <c r="AT949" s="1">
        <v>25.7</v>
      </c>
      <c r="AU949" s="1">
        <v>11.8</v>
      </c>
      <c r="AV949" s="1">
        <v>6.8</v>
      </c>
      <c r="AW949" s="1">
        <v>0.1</v>
      </c>
      <c r="AX949" s="1">
        <v>0.0678</v>
      </c>
      <c r="AY949" s="1">
        <v>6.8</v>
      </c>
      <c r="AZ949" s="1">
        <v>10.8</v>
      </c>
      <c r="BA949" s="1">
        <v>17.5</v>
      </c>
      <c r="BB949" s="1">
        <v>3.48</v>
      </c>
      <c r="BC949" s="1" t="s">
        <v>1588</v>
      </c>
      <c r="BD949" s="1">
        <v>4.0</v>
      </c>
      <c r="BE949" s="1">
        <v>31.8</v>
      </c>
      <c r="BF949" s="1">
        <v>34.4</v>
      </c>
      <c r="BG949" s="1">
        <v>29.8</v>
      </c>
      <c r="BH949" s="1" t="s">
        <v>1681</v>
      </c>
    </row>
    <row r="950">
      <c r="A950" s="1">
        <v>20123.0</v>
      </c>
      <c r="B950" s="2" t="str">
        <f>IFERROR(__xludf.DUMMYFUNCTION("TO_TEXT(A950)"),"20123")</f>
        <v>20123</v>
      </c>
      <c r="C950" s="1">
        <v>6299.0</v>
      </c>
      <c r="D950" s="1">
        <v>701.791708766656</v>
      </c>
      <c r="E950" s="1" t="s">
        <v>965</v>
      </c>
      <c r="F950" s="1" t="s">
        <v>1682</v>
      </c>
      <c r="G950" s="1">
        <v>8.97559763290735</v>
      </c>
      <c r="H950" s="1">
        <v>14.828238174</v>
      </c>
      <c r="I950" s="1">
        <v>3.6571917249</v>
      </c>
      <c r="J950" s="1">
        <v>6.9597069597</v>
      </c>
      <c r="K950" s="1">
        <v>16.147950948</v>
      </c>
      <c r="L950" s="1">
        <v>30.0</v>
      </c>
      <c r="M950" s="1">
        <v>7.8</v>
      </c>
      <c r="N950" s="1">
        <v>26.3</v>
      </c>
      <c r="O950" s="1">
        <v>79.115016476</v>
      </c>
      <c r="P950" s="1">
        <v>10.188431201</v>
      </c>
      <c r="Q950" s="1">
        <v>97.91123</v>
      </c>
      <c r="R950" s="1">
        <v>97.2</v>
      </c>
      <c r="S950" s="1">
        <v>17.5</v>
      </c>
      <c r="T950" s="1">
        <v>1394.0</v>
      </c>
      <c r="U950" s="1">
        <v>18.7230989959999</v>
      </c>
      <c r="V950" s="1">
        <v>187.8736123</v>
      </c>
      <c r="W950" s="1">
        <v>11.2754158959999</v>
      </c>
      <c r="X950" s="1">
        <v>7.7757009346</v>
      </c>
      <c r="Y950" s="1">
        <v>79.942794949</v>
      </c>
      <c r="Z950" s="1">
        <v>8.1</v>
      </c>
      <c r="AA950" s="1">
        <v>5.38103939679999</v>
      </c>
      <c r="AB950" s="1">
        <v>51514.0</v>
      </c>
      <c r="AC950" s="1">
        <v>42.551020408</v>
      </c>
      <c r="AD950" s="1">
        <v>74.273700306</v>
      </c>
      <c r="AE950" s="1">
        <v>9.4594594595</v>
      </c>
      <c r="AF950" s="1">
        <v>0.2601626016</v>
      </c>
      <c r="AG950" s="1">
        <v>0.5203252033</v>
      </c>
      <c r="AH950" s="1">
        <v>0.9430894309</v>
      </c>
      <c r="AI950" s="1">
        <v>0.1788617886</v>
      </c>
      <c r="AJ950" s="1">
        <v>2.6341463415</v>
      </c>
      <c r="AK950" s="1">
        <v>94.390243902</v>
      </c>
      <c r="AL950" s="1">
        <v>0.224137931</v>
      </c>
      <c r="AM950" s="1">
        <v>49.382113821</v>
      </c>
      <c r="AN950" s="1">
        <v>48.2975051</v>
      </c>
      <c r="AO950" s="1">
        <v>27432.0</v>
      </c>
      <c r="AP950" s="1">
        <v>11.6</v>
      </c>
      <c r="AQ950" s="1">
        <v>2.8</v>
      </c>
      <c r="AR950" s="1">
        <v>4.6</v>
      </c>
      <c r="AS950" s="1">
        <v>22.6</v>
      </c>
      <c r="AT950" s="1">
        <v>22.3</v>
      </c>
      <c r="AU950" s="1">
        <v>14.3</v>
      </c>
      <c r="AV950" s="1">
        <v>4.2</v>
      </c>
      <c r="AW950" s="1">
        <v>0.4</v>
      </c>
      <c r="AX950" s="1">
        <v>0.1449</v>
      </c>
      <c r="AY950" s="1">
        <v>11.1</v>
      </c>
      <c r="AZ950" s="1">
        <v>13.0</v>
      </c>
      <c r="BA950" s="1">
        <v>20.8</v>
      </c>
      <c r="BB950" s="1">
        <v>3.13</v>
      </c>
      <c r="BC950" s="1" t="s">
        <v>1588</v>
      </c>
      <c r="BD950" s="1">
        <v>5.2</v>
      </c>
      <c r="BE950" s="1">
        <v>30.4</v>
      </c>
      <c r="BF950" s="1">
        <v>38.4</v>
      </c>
      <c r="BG950" s="1">
        <v>26.1</v>
      </c>
      <c r="BH950" s="1" t="s">
        <v>1682</v>
      </c>
    </row>
    <row r="951">
      <c r="A951" s="1">
        <v>20125.0</v>
      </c>
      <c r="B951" s="2" t="str">
        <f>IFERROR(__xludf.DUMMYFUNCTION("TO_TEXT(A951)"),"20125")</f>
        <v>20125</v>
      </c>
      <c r="C951" s="1">
        <v>33765.0</v>
      </c>
      <c r="D951" s="1">
        <v>643.52726329179</v>
      </c>
      <c r="E951" s="1" t="s">
        <v>160</v>
      </c>
      <c r="F951" s="1" t="s">
        <v>1683</v>
      </c>
      <c r="G951" s="1">
        <v>52.4686395216331</v>
      </c>
      <c r="H951" s="1">
        <v>17.735355665</v>
      </c>
      <c r="I951" s="1">
        <v>4.0282052646</v>
      </c>
      <c r="J951" s="1">
        <v>7.4948665298</v>
      </c>
      <c r="K951" s="1">
        <v>19.305789419</v>
      </c>
      <c r="L951" s="1">
        <v>40.6</v>
      </c>
      <c r="M951" s="1">
        <v>7.0</v>
      </c>
      <c r="N951" s="1">
        <v>32.3</v>
      </c>
      <c r="O951" s="1">
        <v>74.587691354</v>
      </c>
      <c r="P951" s="1">
        <v>12.555232674</v>
      </c>
      <c r="Q951" s="1">
        <v>33.78793</v>
      </c>
      <c r="R951" s="1">
        <v>85.7</v>
      </c>
      <c r="S951" s="1">
        <v>28.9</v>
      </c>
      <c r="T951" s="1">
        <v>7776.0</v>
      </c>
      <c r="U951" s="1">
        <v>38.33590535</v>
      </c>
      <c r="V951" s="1">
        <v>574.6295627</v>
      </c>
      <c r="W951" s="1">
        <v>14.746881878</v>
      </c>
      <c r="X951" s="1">
        <v>11.594202899</v>
      </c>
      <c r="Y951" s="1">
        <v>74.642782956</v>
      </c>
      <c r="Z951" s="1">
        <v>13.0</v>
      </c>
      <c r="AA951" s="1">
        <v>9.7151144375</v>
      </c>
      <c r="AB951" s="1">
        <v>42479.0</v>
      </c>
      <c r="AC951" s="1">
        <v>64.982922883</v>
      </c>
      <c r="AD951" s="1">
        <v>68.917122175</v>
      </c>
      <c r="AE951" s="1">
        <v>10.636483448</v>
      </c>
      <c r="AF951" s="1">
        <v>5.0653798257</v>
      </c>
      <c r="AG951" s="1">
        <v>3.595890411</v>
      </c>
      <c r="AH951" s="1">
        <v>0.9433374844</v>
      </c>
      <c r="AI951" s="1">
        <v>0.1400996264</v>
      </c>
      <c r="AJ951" s="1">
        <v>6.7092154421</v>
      </c>
      <c r="AK951" s="1">
        <v>79.293275218</v>
      </c>
      <c r="AL951" s="1">
        <v>1.5236489772</v>
      </c>
      <c r="AM951" s="1">
        <v>50.47011208</v>
      </c>
      <c r="AN951" s="1">
        <v>43.424205689</v>
      </c>
      <c r="AO951" s="1">
        <v>22181.0</v>
      </c>
      <c r="AP951" s="1">
        <v>19.0</v>
      </c>
      <c r="AQ951" s="1">
        <v>7.4</v>
      </c>
      <c r="AR951" s="1">
        <v>11.0</v>
      </c>
      <c r="AS951" s="1">
        <v>18.4</v>
      </c>
      <c r="AT951" s="1">
        <v>23.6</v>
      </c>
      <c r="AU951" s="1">
        <v>17.3</v>
      </c>
      <c r="AV951" s="1">
        <v>19.8</v>
      </c>
      <c r="AW951" s="1">
        <v>1.2</v>
      </c>
      <c r="AX951" s="1">
        <v>0.7835</v>
      </c>
      <c r="AY951" s="1">
        <v>15.7</v>
      </c>
      <c r="AZ951" s="1">
        <v>15.7</v>
      </c>
      <c r="BA951" s="1">
        <v>25.2</v>
      </c>
      <c r="BB951" s="1">
        <v>3.07</v>
      </c>
      <c r="BC951" s="1" t="s">
        <v>1588</v>
      </c>
      <c r="BD951" s="1">
        <v>11.2</v>
      </c>
      <c r="BE951" s="1">
        <v>29.2</v>
      </c>
      <c r="BF951" s="1">
        <v>40.1</v>
      </c>
      <c r="BG951" s="1">
        <v>19.5</v>
      </c>
      <c r="BH951" s="1" t="s">
        <v>1683</v>
      </c>
    </row>
    <row r="952">
      <c r="A952" s="1">
        <v>20127.0</v>
      </c>
      <c r="B952" s="2" t="str">
        <f>IFERROR(__xludf.DUMMYFUNCTION("TO_TEXT(A952)"),"20127")</f>
        <v>20127</v>
      </c>
      <c r="C952" s="1">
        <v>5694.0</v>
      </c>
      <c r="D952" s="1">
        <v>695.278059918096</v>
      </c>
      <c r="E952" s="1" t="s">
        <v>1684</v>
      </c>
      <c r="F952" s="1" t="s">
        <v>1685</v>
      </c>
      <c r="G952" s="1">
        <v>8.18952923765602</v>
      </c>
      <c r="H952" s="1">
        <v>15.121566833</v>
      </c>
      <c r="I952" s="1">
        <v>3.6433257966</v>
      </c>
      <c r="J952" s="1">
        <v>6.7264573991</v>
      </c>
      <c r="K952" s="1">
        <v>15.106340315</v>
      </c>
      <c r="L952" s="1">
        <v>38.6</v>
      </c>
      <c r="M952" s="1">
        <v>8.0</v>
      </c>
      <c r="N952" s="1">
        <v>30.9</v>
      </c>
      <c r="O952" s="1">
        <v>51.730541955</v>
      </c>
      <c r="P952" s="1">
        <v>10.890360559</v>
      </c>
      <c r="Q952" s="1">
        <v>54.99542</v>
      </c>
      <c r="R952" s="1">
        <v>94.2</v>
      </c>
      <c r="S952" s="1">
        <v>17.4</v>
      </c>
      <c r="T952" s="1">
        <v>1206.0</v>
      </c>
      <c r="U952" s="1">
        <v>29.1873963519999</v>
      </c>
      <c r="V952" s="1">
        <v>106.53409091</v>
      </c>
      <c r="W952" s="1">
        <v>8.1545064378</v>
      </c>
      <c r="X952" s="1">
        <v>6.2176165803</v>
      </c>
      <c r="Y952" s="1">
        <v>79.611093036</v>
      </c>
      <c r="Z952" s="1">
        <v>14.6</v>
      </c>
      <c r="AA952" s="1">
        <v>7.1206628651</v>
      </c>
      <c r="AB952" s="1">
        <v>49287.0</v>
      </c>
      <c r="AC952" s="1">
        <v>49.27184466</v>
      </c>
      <c r="AD952" s="1">
        <v>78.415665332</v>
      </c>
      <c r="AE952" s="1">
        <v>8.0533824206</v>
      </c>
      <c r="AF952" s="1">
        <v>0.5614924832</v>
      </c>
      <c r="AG952" s="1">
        <v>0.633943126199999</v>
      </c>
      <c r="AH952" s="1">
        <v>0.5614924832</v>
      </c>
      <c r="AI952" s="1">
        <v>0.0362253215</v>
      </c>
      <c r="AJ952" s="1">
        <v>5.2707842782</v>
      </c>
      <c r="AK952" s="1">
        <v>91.360260822</v>
      </c>
      <c r="AL952" s="1">
        <v>0.6637587711</v>
      </c>
      <c r="AM952" s="1">
        <v>49.99094367</v>
      </c>
      <c r="AN952" s="1">
        <v>100.0</v>
      </c>
      <c r="AO952" s="1">
        <v>25135.0</v>
      </c>
      <c r="AP952" s="1">
        <v>8.8</v>
      </c>
      <c r="AQ952" s="1">
        <v>2.7</v>
      </c>
      <c r="AR952" s="1">
        <v>12.2</v>
      </c>
      <c r="AS952" s="1">
        <v>23.6</v>
      </c>
      <c r="AT952" s="1">
        <v>20.8</v>
      </c>
      <c r="AU952" s="1">
        <v>16.6</v>
      </c>
      <c r="AV952" s="1">
        <v>7.4</v>
      </c>
      <c r="AW952" s="1">
        <v>0.2</v>
      </c>
      <c r="AX952" s="1">
        <v>0.1458</v>
      </c>
      <c r="AY952" s="1">
        <v>10.5</v>
      </c>
      <c r="AZ952" s="1">
        <v>11.8</v>
      </c>
      <c r="BA952" s="1">
        <v>19.1</v>
      </c>
      <c r="BB952" s="1">
        <v>3.11</v>
      </c>
      <c r="BC952" s="1" t="s">
        <v>1588</v>
      </c>
      <c r="BD952" s="1">
        <v>8.8</v>
      </c>
      <c r="BE952" s="1">
        <v>36.1</v>
      </c>
      <c r="BF952" s="1">
        <v>33.7</v>
      </c>
      <c r="BG952" s="1">
        <v>21.4</v>
      </c>
      <c r="BH952" s="1" t="s">
        <v>1685</v>
      </c>
    </row>
    <row r="953">
      <c r="A953" s="1">
        <v>20129.0</v>
      </c>
      <c r="B953" s="2" t="str">
        <f>IFERROR(__xludf.DUMMYFUNCTION("TO_TEXT(A953)"),"20129")</f>
        <v>20129</v>
      </c>
      <c r="C953" s="1">
        <v>3033.0</v>
      </c>
      <c r="D953" s="1">
        <v>729.730174197602</v>
      </c>
      <c r="E953" s="1" t="s">
        <v>1686</v>
      </c>
      <c r="F953" s="1" t="s">
        <v>1687</v>
      </c>
      <c r="G953" s="1">
        <v>4.15633080177208</v>
      </c>
      <c r="H953" s="1">
        <v>16.546021318</v>
      </c>
      <c r="I953" s="1">
        <v>3.4826069781</v>
      </c>
      <c r="J953" s="1">
        <v>8.0</v>
      </c>
      <c r="K953" s="1">
        <v>15.253635951</v>
      </c>
      <c r="L953" s="1">
        <v>29.3</v>
      </c>
      <c r="M953" s="1">
        <v>8.2</v>
      </c>
      <c r="N953" s="1">
        <v>31.4</v>
      </c>
      <c r="O953" s="1">
        <v>93.071450665</v>
      </c>
      <c r="P953" s="1">
        <v>15.883977901</v>
      </c>
      <c r="Q953" s="1">
        <v>109.48905</v>
      </c>
      <c r="R953" s="1">
        <v>84.1</v>
      </c>
      <c r="S953" s="1">
        <v>16.7</v>
      </c>
      <c r="T953" s="1">
        <v>727.0</v>
      </c>
      <c r="U953" s="1">
        <v>38.514442916</v>
      </c>
      <c r="V953" s="1">
        <v>411.8616145</v>
      </c>
      <c r="W953" s="1">
        <v>6.4655172414</v>
      </c>
      <c r="X953" s="1">
        <v>6.2162162162</v>
      </c>
      <c r="Y953" s="1">
        <v>76.791916897</v>
      </c>
      <c r="Z953" s="1">
        <v>8.4</v>
      </c>
      <c r="AA953" s="1">
        <v>7.43184449429999</v>
      </c>
      <c r="AB953" s="1">
        <v>53785.0</v>
      </c>
      <c r="AC953" s="1">
        <v>23.41356674</v>
      </c>
      <c r="AD953" s="1">
        <v>69.9194270369999</v>
      </c>
      <c r="AE953" s="1">
        <v>11.0775428</v>
      </c>
      <c r="AF953" s="1">
        <v>1.1623547057</v>
      </c>
      <c r="AG953" s="1">
        <v>2.0247469066</v>
      </c>
      <c r="AH953" s="1">
        <v>1.9122609674</v>
      </c>
      <c r="AI953" s="1">
        <v>0.2249718785</v>
      </c>
      <c r="AJ953" s="1">
        <v>23.397075366</v>
      </c>
      <c r="AK953" s="1">
        <v>70.866141732</v>
      </c>
      <c r="AL953" s="1">
        <v>5.3443733534</v>
      </c>
      <c r="AM953" s="1">
        <v>50.393700787</v>
      </c>
      <c r="AN953" s="1">
        <v>100.0</v>
      </c>
      <c r="AO953" s="1">
        <v>23115.0</v>
      </c>
      <c r="AP953" s="1">
        <v>10.1</v>
      </c>
      <c r="AQ953" s="1">
        <v>7.9</v>
      </c>
      <c r="AR953" s="1">
        <v>12.4</v>
      </c>
      <c r="AS953" s="1">
        <v>17.3</v>
      </c>
      <c r="AT953" s="1">
        <v>21.7</v>
      </c>
      <c r="AU953" s="1">
        <v>14.7</v>
      </c>
      <c r="AV953" s="1">
        <v>26.5</v>
      </c>
      <c r="AW953" s="1">
        <v>6.4</v>
      </c>
      <c r="AX953" s="1">
        <v>0.4136</v>
      </c>
      <c r="AY953" s="1">
        <v>11.7</v>
      </c>
      <c r="AZ953" s="1">
        <v>11.0</v>
      </c>
      <c r="BA953" s="1">
        <v>15.6</v>
      </c>
      <c r="BB953" s="1">
        <v>2.92</v>
      </c>
      <c r="BC953" s="1" t="s">
        <v>1588</v>
      </c>
      <c r="BD953" s="1">
        <v>16.0</v>
      </c>
      <c r="BE953" s="1">
        <v>28.0</v>
      </c>
      <c r="BF953" s="1">
        <v>38.7</v>
      </c>
      <c r="BG953" s="1">
        <v>17.3</v>
      </c>
      <c r="BH953" s="1" t="s">
        <v>1687</v>
      </c>
    </row>
    <row r="954">
      <c r="A954" s="1">
        <v>20131.0</v>
      </c>
      <c r="B954" s="2" t="str">
        <f>IFERROR(__xludf.DUMMYFUNCTION("TO_TEXT(A954)"),"20131")</f>
        <v>20131</v>
      </c>
      <c r="C954" s="1">
        <v>10177.0</v>
      </c>
      <c r="D954" s="1">
        <v>717.425550177616</v>
      </c>
      <c r="E954" s="1" t="s">
        <v>1688</v>
      </c>
      <c r="F954" s="1" t="s">
        <v>1689</v>
      </c>
      <c r="G954" s="1">
        <v>14.1854440470936</v>
      </c>
      <c r="H954" s="1">
        <v>13.607095823</v>
      </c>
      <c r="I954" s="1">
        <v>3.2540792921</v>
      </c>
      <c r="J954" s="1">
        <v>5.4955839058</v>
      </c>
      <c r="K954" s="1">
        <v>15.364823174</v>
      </c>
      <c r="L954" s="1">
        <v>33.8</v>
      </c>
      <c r="M954" s="1">
        <v>8.1</v>
      </c>
      <c r="N954" s="1">
        <v>31.1</v>
      </c>
      <c r="O954" s="1">
        <v>40.842994694</v>
      </c>
      <c r="P954" s="1">
        <v>8.3580980684</v>
      </c>
      <c r="Q954" s="1">
        <v>98.83376</v>
      </c>
      <c r="R954" s="1">
        <v>93.8</v>
      </c>
      <c r="S954" s="1">
        <v>10.9</v>
      </c>
      <c r="T954" s="1">
        <v>2654.0</v>
      </c>
      <c r="U954" s="1">
        <v>17.8975131879999</v>
      </c>
      <c r="V954" s="1">
        <v>117.95350666</v>
      </c>
      <c r="W954" s="1">
        <v>8.3333333333</v>
      </c>
      <c r="X954" s="1">
        <v>6.42335766419999</v>
      </c>
      <c r="Y954" s="1">
        <v>79.365507114</v>
      </c>
      <c r="Z954" s="1">
        <v>8.2</v>
      </c>
      <c r="AA954" s="1">
        <v>5.0832355979</v>
      </c>
      <c r="AB954" s="1">
        <v>59567.0</v>
      </c>
      <c r="AC954" s="1">
        <v>31.014338821</v>
      </c>
      <c r="AD954" s="1">
        <v>74.004975124</v>
      </c>
      <c r="AE954" s="1">
        <v>7.5213233394</v>
      </c>
      <c r="AF954" s="1">
        <v>0.5809945839</v>
      </c>
      <c r="AG954" s="1">
        <v>0.7287050714</v>
      </c>
      <c r="AH954" s="1">
        <v>0.3545051699</v>
      </c>
      <c r="AI954" s="1">
        <v>0.0787789266</v>
      </c>
      <c r="AJ954" s="1">
        <v>2.3535204333</v>
      </c>
      <c r="AK954" s="1">
        <v>94.958148695</v>
      </c>
      <c r="AL954" s="1">
        <v>0.1818376297</v>
      </c>
      <c r="AM954" s="1">
        <v>49.384539636</v>
      </c>
      <c r="AN954" s="1">
        <v>75.240715268</v>
      </c>
      <c r="AO954" s="1">
        <v>26208.0</v>
      </c>
      <c r="AP954" s="1">
        <v>10.9</v>
      </c>
      <c r="AQ954" s="1">
        <v>1.8</v>
      </c>
      <c r="AR954" s="1">
        <v>8.5</v>
      </c>
      <c r="AS954" s="1">
        <v>20.1</v>
      </c>
      <c r="AT954" s="1">
        <v>26.0</v>
      </c>
      <c r="AU954" s="1">
        <v>13.1</v>
      </c>
      <c r="AV954" s="1">
        <v>4.2</v>
      </c>
      <c r="AW954" s="1">
        <v>0.1</v>
      </c>
      <c r="AX954" s="1">
        <v>0.1245</v>
      </c>
      <c r="AY954" s="1">
        <v>8.8</v>
      </c>
      <c r="AZ954" s="1">
        <v>11.1</v>
      </c>
      <c r="BA954" s="1">
        <v>16.9</v>
      </c>
      <c r="BB954" s="1">
        <v>3.05</v>
      </c>
      <c r="BC954" s="1" t="s">
        <v>1588</v>
      </c>
      <c r="BD954" s="1">
        <v>5.8</v>
      </c>
      <c r="BE954" s="1">
        <v>39.8</v>
      </c>
      <c r="BF954" s="1">
        <v>29.0</v>
      </c>
      <c r="BG954" s="1">
        <v>25.4</v>
      </c>
      <c r="BH954" s="1" t="s">
        <v>1689</v>
      </c>
    </row>
    <row r="955">
      <c r="A955" s="1">
        <v>20133.0</v>
      </c>
      <c r="B955" s="2" t="str">
        <f>IFERROR(__xludf.DUMMYFUNCTION("TO_TEXT(A955)"),"20133")</f>
        <v>20133</v>
      </c>
      <c r="C955" s="1">
        <v>16358.0</v>
      </c>
      <c r="D955" s="1">
        <v>571.472082565714</v>
      </c>
      <c r="E955" s="1" t="s">
        <v>1690</v>
      </c>
      <c r="F955" s="1" t="s">
        <v>1691</v>
      </c>
      <c r="G955" s="1">
        <v>28.6243204157204</v>
      </c>
      <c r="H955" s="1">
        <v>18.750911282</v>
      </c>
      <c r="I955" s="1">
        <v>4.0711733813</v>
      </c>
      <c r="J955" s="1">
        <v>6.9718309859</v>
      </c>
      <c r="K955" s="1">
        <v>19.577156755</v>
      </c>
      <c r="L955" s="1">
        <v>38.2</v>
      </c>
      <c r="M955" s="1">
        <v>7.5</v>
      </c>
      <c r="N955" s="1">
        <v>29.9</v>
      </c>
      <c r="O955" s="1">
        <v>73.782703488</v>
      </c>
      <c r="P955" s="1">
        <v>9.2306460652</v>
      </c>
      <c r="Q955" s="1">
        <v>62.44146</v>
      </c>
      <c r="R955" s="1">
        <v>95.4</v>
      </c>
      <c r="S955" s="1">
        <v>22.7</v>
      </c>
      <c r="T955" s="1">
        <v>4000.0</v>
      </c>
      <c r="U955" s="1">
        <v>35.125</v>
      </c>
      <c r="V955" s="1">
        <v>277.26432532</v>
      </c>
      <c r="W955" s="1">
        <v>12.958626073</v>
      </c>
      <c r="X955" s="1">
        <v>10.961538462</v>
      </c>
      <c r="Y955" s="1">
        <v>76.8848727519999</v>
      </c>
      <c r="Z955" s="1">
        <v>15.0</v>
      </c>
      <c r="AA955" s="1">
        <v>2.5499340293</v>
      </c>
      <c r="AB955" s="1">
        <v>46176.0</v>
      </c>
      <c r="AC955" s="1">
        <v>59.3923675439999</v>
      </c>
      <c r="AD955" s="1">
        <v>70.453524921</v>
      </c>
      <c r="AE955" s="1">
        <v>11.34347275</v>
      </c>
      <c r="AF955" s="1">
        <v>1.2663782835</v>
      </c>
      <c r="AG955" s="1">
        <v>1.510877061</v>
      </c>
      <c r="AH955" s="1">
        <v>0.695881135999999</v>
      </c>
      <c r="AI955" s="1">
        <v>0.0626919942</v>
      </c>
      <c r="AJ955" s="1">
        <v>5.1470127265</v>
      </c>
      <c r="AK955" s="1">
        <v>89.944204125</v>
      </c>
      <c r="AL955" s="1">
        <v>0.645547717299999</v>
      </c>
      <c r="AM955" s="1">
        <v>50.460786158</v>
      </c>
      <c r="AN955" s="1">
        <v>45.136870155</v>
      </c>
      <c r="AO955" s="1">
        <v>22759.0</v>
      </c>
      <c r="AP955" s="1">
        <v>19.7</v>
      </c>
      <c r="AQ955" s="1">
        <v>3.4</v>
      </c>
      <c r="AR955" s="1">
        <v>8.6</v>
      </c>
      <c r="AS955" s="1">
        <v>18.2</v>
      </c>
      <c r="AT955" s="1">
        <v>25.1</v>
      </c>
      <c r="AU955" s="1">
        <v>17.1</v>
      </c>
      <c r="AV955" s="1">
        <v>9.3</v>
      </c>
      <c r="AW955" s="1">
        <v>0.8</v>
      </c>
      <c r="AX955" s="1">
        <v>0.5982</v>
      </c>
      <c r="AY955" s="1">
        <v>15.7</v>
      </c>
      <c r="AZ955" s="1">
        <v>15.9</v>
      </c>
      <c r="BA955" s="1">
        <v>26.1</v>
      </c>
      <c r="BB955" s="1">
        <v>2.96</v>
      </c>
      <c r="BC955" s="1" t="s">
        <v>1588</v>
      </c>
      <c r="BD955" s="1">
        <v>9.2</v>
      </c>
      <c r="BE955" s="1">
        <v>32.5</v>
      </c>
      <c r="BF955" s="1">
        <v>40.1</v>
      </c>
      <c r="BG955" s="1">
        <v>18.1</v>
      </c>
      <c r="BH955" s="1" t="s">
        <v>1691</v>
      </c>
    </row>
    <row r="956">
      <c r="A956" s="1">
        <v>20135.0</v>
      </c>
      <c r="B956" s="2" t="str">
        <f>IFERROR(__xludf.DUMMYFUNCTION("TO_TEXT(A956)"),"20135")</f>
        <v>20135</v>
      </c>
      <c r="C956" s="1">
        <v>3047.0</v>
      </c>
      <c r="D956" s="1">
        <v>1074.73729276921</v>
      </c>
      <c r="E956" s="1" t="s">
        <v>1692</v>
      </c>
      <c r="F956" s="1" t="s">
        <v>1693</v>
      </c>
      <c r="G956" s="1">
        <v>2.83511144583899</v>
      </c>
      <c r="H956" s="1">
        <v>15.301948134</v>
      </c>
      <c r="I956" s="1">
        <v>3.5886774016</v>
      </c>
      <c r="J956" s="1">
        <v>6.8965517241</v>
      </c>
      <c r="K956" s="1">
        <v>15.343444685</v>
      </c>
      <c r="L956" s="1">
        <v>33.1</v>
      </c>
      <c r="M956" s="1">
        <v>8.0</v>
      </c>
      <c r="N956" s="1">
        <v>28.2</v>
      </c>
      <c r="O956" s="1">
        <v>21.467653685</v>
      </c>
      <c r="P956" s="1">
        <v>16.129032258</v>
      </c>
      <c r="Q956" s="1">
        <v>69.7107</v>
      </c>
      <c r="R956" s="1">
        <v>93.8</v>
      </c>
      <c r="S956" s="1">
        <v>13.8</v>
      </c>
      <c r="T956" s="1">
        <v>656.0</v>
      </c>
      <c r="U956" s="1">
        <v>15.853658537</v>
      </c>
      <c r="V956" s="1">
        <v>165.70008285</v>
      </c>
      <c r="W956" s="1">
        <v>7.9245283019</v>
      </c>
      <c r="X956" s="1">
        <v>6.2641509434</v>
      </c>
      <c r="Y956" s="1">
        <v>75.077817335</v>
      </c>
      <c r="Z956" s="1">
        <v>10.7</v>
      </c>
      <c r="AA956" s="1">
        <v>10.125442133</v>
      </c>
      <c r="AB956" s="1">
        <v>51757.0</v>
      </c>
      <c r="AC956" s="1">
        <v>48.1662591689999</v>
      </c>
      <c r="AD956" s="1">
        <v>85.453160701</v>
      </c>
      <c r="AE956" s="1">
        <v>7.0231444533</v>
      </c>
      <c r="AF956" s="1">
        <v>0.704225352099999</v>
      </c>
      <c r="AG956" s="1">
        <v>1.40845070419999</v>
      </c>
      <c r="AH956" s="1">
        <v>0.2112676056</v>
      </c>
      <c r="AI956" s="1">
        <v>0.0</v>
      </c>
      <c r="AJ956" s="1">
        <v>10.14084507</v>
      </c>
      <c r="AK956" s="1">
        <v>87.6056338029999</v>
      </c>
      <c r="AL956" s="1">
        <v>2.9006526468</v>
      </c>
      <c r="AM956" s="1">
        <v>50.669014085</v>
      </c>
      <c r="AN956" s="1">
        <v>100.0</v>
      </c>
      <c r="AO956" s="1">
        <v>28184.0</v>
      </c>
      <c r="AP956" s="1">
        <v>11.3</v>
      </c>
      <c r="AQ956" s="1">
        <v>3.3</v>
      </c>
      <c r="AR956" s="1">
        <v>8.5</v>
      </c>
      <c r="AS956" s="1">
        <v>24.0</v>
      </c>
      <c r="AT956" s="1">
        <v>22.3</v>
      </c>
      <c r="AU956" s="1">
        <v>14.9</v>
      </c>
      <c r="AV956" s="1">
        <v>12.1</v>
      </c>
      <c r="AW956" s="1">
        <v>2.3</v>
      </c>
      <c r="AX956" s="1">
        <v>0.2089</v>
      </c>
      <c r="AY956" s="1">
        <v>10.6</v>
      </c>
      <c r="AZ956" s="1">
        <v>10.4</v>
      </c>
      <c r="BA956" s="1">
        <v>16.3</v>
      </c>
      <c r="BB956" s="1">
        <v>2.84</v>
      </c>
      <c r="BC956" s="1" t="s">
        <v>1588</v>
      </c>
      <c r="BD956" s="1">
        <v>9.1</v>
      </c>
      <c r="BE956" s="1">
        <v>31.1</v>
      </c>
      <c r="BF956" s="1">
        <v>40.4</v>
      </c>
      <c r="BG956" s="1">
        <v>19.4</v>
      </c>
      <c r="BH956" s="1" t="s">
        <v>1693</v>
      </c>
    </row>
    <row r="957">
      <c r="A957" s="1">
        <v>20137.0</v>
      </c>
      <c r="B957" s="2" t="str">
        <f>IFERROR(__xludf.DUMMYFUNCTION("TO_TEXT(A957)"),"20137")</f>
        <v>20137</v>
      </c>
      <c r="C957" s="1">
        <v>5558.0</v>
      </c>
      <c r="D957" s="1">
        <v>878.043323101502</v>
      </c>
      <c r="E957" s="1" t="s">
        <v>1694</v>
      </c>
      <c r="F957" s="1" t="s">
        <v>1695</v>
      </c>
      <c r="G957" s="1">
        <v>6.32998378755109</v>
      </c>
      <c r="H957" s="1">
        <v>15.9033258159999</v>
      </c>
      <c r="I957" s="1">
        <v>3.4142948102</v>
      </c>
      <c r="J957" s="1">
        <v>7.3604060914</v>
      </c>
      <c r="K957" s="1">
        <v>16.666753</v>
      </c>
      <c r="L957" s="1">
        <v>30.0</v>
      </c>
      <c r="M957" s="1">
        <v>7.6</v>
      </c>
      <c r="N957" s="1">
        <v>28.7</v>
      </c>
      <c r="O957" s="1">
        <v>64.115676248</v>
      </c>
      <c r="P957" s="1">
        <v>10.317902956</v>
      </c>
      <c r="Q957" s="1">
        <v>55.13692</v>
      </c>
      <c r="R957" s="1">
        <v>88.3</v>
      </c>
      <c r="S957" s="1">
        <v>18.8</v>
      </c>
      <c r="T957" s="1">
        <v>1041.0</v>
      </c>
      <c r="U957" s="1">
        <v>29.490874159</v>
      </c>
      <c r="V957" s="1">
        <v>89.968511021</v>
      </c>
      <c r="W957" s="1">
        <v>6.4356435644</v>
      </c>
      <c r="X957" s="1">
        <v>3.7128712871</v>
      </c>
      <c r="Y957" s="1">
        <v>77.963211781</v>
      </c>
      <c r="Z957" s="1">
        <v>10.9</v>
      </c>
      <c r="AA957" s="1">
        <v>10.830783248</v>
      </c>
      <c r="AB957" s="1">
        <v>47252.0</v>
      </c>
      <c r="AC957" s="1">
        <v>47.0588235289999</v>
      </c>
      <c r="AD957" s="1">
        <v>74.093264249</v>
      </c>
      <c r="AE957" s="1">
        <v>8.3783783784</v>
      </c>
      <c r="AF957" s="1">
        <v>3.2596685083</v>
      </c>
      <c r="AG957" s="1">
        <v>0.4051565378</v>
      </c>
      <c r="AH957" s="1">
        <v>0.736648250499999</v>
      </c>
      <c r="AI957" s="1">
        <v>0.0368324125</v>
      </c>
      <c r="AJ957" s="1">
        <v>5.3775322284</v>
      </c>
      <c r="AK957" s="1">
        <v>88.655616943</v>
      </c>
      <c r="AL957" s="1">
        <v>1.0663047693</v>
      </c>
      <c r="AM957" s="1">
        <v>44.106813996</v>
      </c>
      <c r="AN957" s="1">
        <v>48.986069476</v>
      </c>
      <c r="AO957" s="1">
        <v>23039.0</v>
      </c>
      <c r="AP957" s="1">
        <v>8.9</v>
      </c>
      <c r="AQ957" s="1">
        <v>1.7</v>
      </c>
      <c r="AR957" s="1">
        <v>13.4</v>
      </c>
      <c r="AS957" s="1">
        <v>19.4</v>
      </c>
      <c r="AT957" s="1">
        <v>18.7</v>
      </c>
      <c r="AU957" s="1">
        <v>15.4</v>
      </c>
      <c r="AV957" s="1">
        <v>10.3</v>
      </c>
      <c r="AW957" s="1">
        <v>1.5</v>
      </c>
      <c r="AX957" s="1">
        <v>0.4839</v>
      </c>
      <c r="AY957" s="1">
        <v>11.6</v>
      </c>
      <c r="AZ957" s="1">
        <v>11.8</v>
      </c>
      <c r="BA957" s="1">
        <v>19.3</v>
      </c>
      <c r="BB957" s="1">
        <v>3.25</v>
      </c>
      <c r="BC957" s="1" t="s">
        <v>1588</v>
      </c>
      <c r="BD957" s="1">
        <v>10.9</v>
      </c>
      <c r="BE957" s="1">
        <v>34.7</v>
      </c>
      <c r="BF957" s="1">
        <v>35.6</v>
      </c>
      <c r="BG957" s="1">
        <v>18.8</v>
      </c>
      <c r="BH957" s="1" t="s">
        <v>1695</v>
      </c>
    </row>
    <row r="958">
      <c r="A958" s="1">
        <v>20139.0</v>
      </c>
      <c r="B958" s="2" t="str">
        <f>IFERROR(__xludf.DUMMYFUNCTION("TO_TEXT(A958)"),"20139")</f>
        <v>20139</v>
      </c>
      <c r="C958" s="1">
        <v>16001.0</v>
      </c>
      <c r="D958" s="1">
        <v>705.517711986072</v>
      </c>
      <c r="E958" s="1" t="s">
        <v>1696</v>
      </c>
      <c r="F958" s="1" t="s">
        <v>1697</v>
      </c>
      <c r="G958" s="1">
        <v>22.6797991434634</v>
      </c>
      <c r="H958" s="1">
        <v>15.559784813</v>
      </c>
      <c r="I958" s="1">
        <v>3.816578642</v>
      </c>
      <c r="J958" s="1">
        <v>6.0449050086</v>
      </c>
      <c r="K958" s="1">
        <v>16.563072564</v>
      </c>
      <c r="L958" s="1">
        <v>39.2</v>
      </c>
      <c r="M958" s="1">
        <v>7.9</v>
      </c>
      <c r="N958" s="1">
        <v>29.1</v>
      </c>
      <c r="O958" s="1">
        <v>61.589444615</v>
      </c>
      <c r="P958" s="1">
        <v>9.9746675111</v>
      </c>
      <c r="Q958" s="1">
        <v>48.31939</v>
      </c>
      <c r="R958" s="1">
        <v>90.9</v>
      </c>
      <c r="S958" s="1">
        <v>16.6</v>
      </c>
      <c r="T958" s="1">
        <v>3704.0</v>
      </c>
      <c r="U958" s="1">
        <v>28.5097192219999</v>
      </c>
      <c r="V958" s="1">
        <v>144.11153563</v>
      </c>
      <c r="W958" s="1">
        <v>12.412723041</v>
      </c>
      <c r="X958" s="1">
        <v>9.4066344806</v>
      </c>
      <c r="Y958" s="1">
        <v>77.0706575889999</v>
      </c>
      <c r="Z958" s="1">
        <v>10.4</v>
      </c>
      <c r="AA958" s="1">
        <v>4.8465359387</v>
      </c>
      <c r="AB958" s="1">
        <v>53864.0</v>
      </c>
      <c r="AC958" s="1">
        <v>46.676300578</v>
      </c>
      <c r="AD958" s="1">
        <v>74.427830333</v>
      </c>
      <c r="AE958" s="1">
        <v>8.1648893841</v>
      </c>
      <c r="AF958" s="1">
        <v>0.6022206888</v>
      </c>
      <c r="AG958" s="1">
        <v>0.7402295966</v>
      </c>
      <c r="AH958" s="1">
        <v>0.501850574</v>
      </c>
      <c r="AI958" s="1">
        <v>0.0501850574</v>
      </c>
      <c r="AJ958" s="1">
        <v>3.4125839031</v>
      </c>
      <c r="AK958" s="1">
        <v>93.0430964179999</v>
      </c>
      <c r="AL958" s="1">
        <v>0.1868784623</v>
      </c>
      <c r="AM958" s="1">
        <v>49.883947055</v>
      </c>
      <c r="AN958" s="1">
        <v>83.534826634</v>
      </c>
      <c r="AO958" s="1">
        <v>25880.0</v>
      </c>
      <c r="AP958" s="1">
        <v>11.6</v>
      </c>
      <c r="AQ958" s="1">
        <v>7.9</v>
      </c>
      <c r="AR958" s="1">
        <v>9.0</v>
      </c>
      <c r="AS958" s="1">
        <v>18.3</v>
      </c>
      <c r="AT958" s="1">
        <v>24.2</v>
      </c>
      <c r="AU958" s="1">
        <v>16.6</v>
      </c>
      <c r="AV958" s="1">
        <v>6.1</v>
      </c>
      <c r="AW958" s="1">
        <v>0.2</v>
      </c>
      <c r="AX958" s="1">
        <v>0.2783</v>
      </c>
      <c r="AY958" s="1">
        <v>14.2</v>
      </c>
      <c r="AZ958" s="1">
        <v>13.4</v>
      </c>
      <c r="BA958" s="1">
        <v>21.5</v>
      </c>
      <c r="BB958" s="1">
        <v>3.07</v>
      </c>
      <c r="BC958" s="1" t="s">
        <v>1588</v>
      </c>
      <c r="BD958" s="1">
        <v>9.2</v>
      </c>
      <c r="BE958" s="1">
        <v>39.1</v>
      </c>
      <c r="BF958" s="1">
        <v>32.4</v>
      </c>
      <c r="BG958" s="1">
        <v>19.2</v>
      </c>
      <c r="BH958" s="1" t="s">
        <v>1697</v>
      </c>
    </row>
    <row r="959">
      <c r="A959" s="1">
        <v>20141.0</v>
      </c>
      <c r="B959" s="2" t="str">
        <f>IFERROR(__xludf.DUMMYFUNCTION("TO_TEXT(A959)"),"20141")</f>
        <v>20141</v>
      </c>
      <c r="C959" s="1">
        <v>3746.0</v>
      </c>
      <c r="D959" s="1">
        <v>892.50388316029</v>
      </c>
      <c r="E959" s="1" t="s">
        <v>1698</v>
      </c>
      <c r="F959" s="1" t="s">
        <v>1699</v>
      </c>
      <c r="G959" s="1">
        <v>4.19718061812313</v>
      </c>
      <c r="H959" s="1">
        <v>15.766796954</v>
      </c>
      <c r="I959" s="1">
        <v>3.5928918338</v>
      </c>
      <c r="J959" s="1">
        <v>6.7961165049</v>
      </c>
      <c r="K959" s="1">
        <v>15.8773868259999</v>
      </c>
      <c r="L959" s="1">
        <v>29.0</v>
      </c>
      <c r="M959" s="1">
        <v>7.3</v>
      </c>
      <c r="N959" s="1">
        <v>30.3</v>
      </c>
      <c r="O959" s="1">
        <v>46.967340591</v>
      </c>
      <c r="P959" s="1">
        <v>12.318570897</v>
      </c>
      <c r="Q959" s="1">
        <v>55.40166</v>
      </c>
      <c r="R959" s="1">
        <v>90.9</v>
      </c>
      <c r="S959" s="1">
        <v>18.6</v>
      </c>
      <c r="T959" s="1">
        <v>736.0</v>
      </c>
      <c r="U959" s="1">
        <v>27.038043478</v>
      </c>
      <c r="V959" s="1">
        <v>134.26423201</v>
      </c>
      <c r="W959" s="1">
        <v>10.495626822</v>
      </c>
      <c r="X959" s="1">
        <v>8.2833133253</v>
      </c>
      <c r="Y959" s="1">
        <v>77.267352776</v>
      </c>
      <c r="Z959" s="1">
        <v>15.0</v>
      </c>
      <c r="AA959" s="1">
        <v>9.3746416643</v>
      </c>
      <c r="AB959" s="1">
        <v>46101.0</v>
      </c>
      <c r="AC959" s="1">
        <v>51.140684411</v>
      </c>
      <c r="AD959" s="1">
        <v>75.280898876</v>
      </c>
      <c r="AE959" s="1">
        <v>8.2806573957</v>
      </c>
      <c r="AF959" s="1">
        <v>0.4028776978</v>
      </c>
      <c r="AG959" s="1">
        <v>0.805755395699999</v>
      </c>
      <c r="AH959" s="1">
        <v>1.2949640288</v>
      </c>
      <c r="AI959" s="1">
        <v>0.0</v>
      </c>
      <c r="AJ959" s="1">
        <v>2.2158273381</v>
      </c>
      <c r="AK959" s="1">
        <v>94.4748201439999</v>
      </c>
      <c r="AL959" s="1">
        <v>0.0</v>
      </c>
      <c r="AM959" s="1">
        <v>49.467625899</v>
      </c>
      <c r="AN959" s="1">
        <v>100.0</v>
      </c>
      <c r="AO959" s="1">
        <v>27824.0</v>
      </c>
      <c r="AP959" s="1">
        <v>17.4</v>
      </c>
      <c r="AQ959" s="1">
        <v>3.8</v>
      </c>
      <c r="AR959" s="1">
        <v>8.7</v>
      </c>
      <c r="AS959" s="1">
        <v>24.8</v>
      </c>
      <c r="AT959" s="1">
        <v>21.3</v>
      </c>
      <c r="AU959" s="1">
        <v>19.1</v>
      </c>
      <c r="AV959" s="1">
        <v>4.5</v>
      </c>
      <c r="AW959" s="1">
        <v>0.3</v>
      </c>
      <c r="AX959" s="1">
        <v>0.1624</v>
      </c>
      <c r="AY959" s="1">
        <v>13.5</v>
      </c>
      <c r="AZ959" s="1">
        <v>13.2</v>
      </c>
      <c r="BA959" s="1">
        <v>20.8</v>
      </c>
      <c r="BB959" s="1">
        <v>3.11</v>
      </c>
      <c r="BC959" s="1" t="s">
        <v>1588</v>
      </c>
      <c r="BD959" s="1">
        <v>6.1</v>
      </c>
      <c r="BE959" s="1">
        <v>34.6</v>
      </c>
      <c r="BF959" s="1">
        <v>35.7</v>
      </c>
      <c r="BG959" s="1">
        <v>23.6</v>
      </c>
      <c r="BH959" s="1" t="s">
        <v>1699</v>
      </c>
    </row>
    <row r="960">
      <c r="A960" s="1">
        <v>20143.0</v>
      </c>
      <c r="B960" s="2" t="str">
        <f>IFERROR(__xludf.DUMMYFUNCTION("TO_TEXT(A960)"),"20143")</f>
        <v>20143</v>
      </c>
      <c r="C960" s="1">
        <v>6004.0</v>
      </c>
      <c r="D960" s="1">
        <v>720.732543151368</v>
      </c>
      <c r="E960" s="1" t="s">
        <v>1700</v>
      </c>
      <c r="F960" s="1" t="s">
        <v>1701</v>
      </c>
      <c r="G960" s="1">
        <v>8.33041335104393</v>
      </c>
      <c r="H960" s="1">
        <v>15.247805149</v>
      </c>
      <c r="I960" s="1">
        <v>3.5837857515</v>
      </c>
      <c r="J960" s="1">
        <v>5.9850374065</v>
      </c>
      <c r="K960" s="1">
        <v>16.7882299079999</v>
      </c>
      <c r="L960" s="1">
        <v>33.3</v>
      </c>
      <c r="M960" s="1">
        <v>8.0</v>
      </c>
      <c r="N960" s="1">
        <v>30.5</v>
      </c>
      <c r="O960" s="1">
        <v>36.086028567</v>
      </c>
      <c r="P960" s="1">
        <v>9.4315245478</v>
      </c>
      <c r="Q960" s="1">
        <v>34.11223</v>
      </c>
      <c r="R960" s="1">
        <v>93.1</v>
      </c>
      <c r="S960" s="1">
        <v>13.4</v>
      </c>
      <c r="T960" s="1">
        <v>1378.0</v>
      </c>
      <c r="U960" s="1">
        <v>24.310595065</v>
      </c>
      <c r="V960" s="1">
        <v>58.577405858</v>
      </c>
      <c r="W960" s="1">
        <v>6.9529652352</v>
      </c>
      <c r="X960" s="1">
        <v>5.5234954658</v>
      </c>
      <c r="Y960" s="1">
        <v>76.234689541</v>
      </c>
      <c r="Z960" s="1">
        <v>12.0</v>
      </c>
      <c r="AA960" s="1">
        <v>7.181893427</v>
      </c>
      <c r="AB960" s="1">
        <v>56451.0</v>
      </c>
      <c r="AC960" s="1">
        <v>45.775225595</v>
      </c>
      <c r="AD960" s="1">
        <v>81.157024793</v>
      </c>
      <c r="AE960" s="1">
        <v>8.61844954529999</v>
      </c>
      <c r="AF960" s="1">
        <v>1.1375387797</v>
      </c>
      <c r="AG960" s="1">
        <v>0.7411237504</v>
      </c>
      <c r="AH960" s="1">
        <v>0.293002413</v>
      </c>
      <c r="AI960" s="1">
        <v>0.0</v>
      </c>
      <c r="AJ960" s="1">
        <v>2.8783178214</v>
      </c>
      <c r="AK960" s="1">
        <v>93.726301275</v>
      </c>
      <c r="AL960" s="1">
        <v>0.3222341568</v>
      </c>
      <c r="AM960" s="1">
        <v>48.138572906</v>
      </c>
      <c r="AN960" s="1">
        <v>100.0</v>
      </c>
      <c r="AO960" s="1">
        <v>26749.0</v>
      </c>
      <c r="AP960" s="1">
        <v>8.5</v>
      </c>
      <c r="AQ960" s="1">
        <v>4.2</v>
      </c>
      <c r="AR960" s="1">
        <v>5.9</v>
      </c>
      <c r="AS960" s="1">
        <v>18.3</v>
      </c>
      <c r="AT960" s="1">
        <v>24.2</v>
      </c>
      <c r="AU960" s="1">
        <v>13.2</v>
      </c>
      <c r="AV960" s="1">
        <v>5.6</v>
      </c>
      <c r="AW960" s="1">
        <v>0.0</v>
      </c>
      <c r="AX960" s="1">
        <v>0.0248</v>
      </c>
      <c r="AY960" s="1">
        <v>9.9</v>
      </c>
      <c r="AZ960" s="1">
        <v>11.2</v>
      </c>
      <c r="BA960" s="1">
        <v>18.7</v>
      </c>
      <c r="BB960" s="1">
        <v>2.87</v>
      </c>
      <c r="BC960" s="1" t="s">
        <v>1588</v>
      </c>
      <c r="BD960" s="1">
        <v>5.1</v>
      </c>
      <c r="BE960" s="1">
        <v>35.4</v>
      </c>
      <c r="BF960" s="1">
        <v>35.1</v>
      </c>
      <c r="BG960" s="1">
        <v>24.5</v>
      </c>
      <c r="BH960" s="1" t="s">
        <v>1701</v>
      </c>
    </row>
    <row r="961">
      <c r="A961" s="1">
        <v>20145.0</v>
      </c>
      <c r="B961" s="2" t="str">
        <f>IFERROR(__xludf.DUMMYFUNCTION("TO_TEXT(A961)"),"20145")</f>
        <v>20145</v>
      </c>
      <c r="C961" s="1">
        <v>6840.0</v>
      </c>
      <c r="D961" s="1">
        <v>754.262489869666</v>
      </c>
      <c r="E961" s="1" t="s">
        <v>1702</v>
      </c>
      <c r="F961" s="1" t="s">
        <v>1703</v>
      </c>
      <c r="G961" s="1">
        <v>9.06846103560304</v>
      </c>
      <c r="H961" s="1">
        <v>15.545497158</v>
      </c>
      <c r="I961" s="1">
        <v>3.6108632242</v>
      </c>
      <c r="J961" s="1">
        <v>9.1304347826</v>
      </c>
      <c r="K961" s="1">
        <v>16.038124272</v>
      </c>
      <c r="L961" s="1">
        <v>36.7</v>
      </c>
      <c r="M961" s="1">
        <v>8.0</v>
      </c>
      <c r="N961" s="1">
        <v>31.2</v>
      </c>
      <c r="O961" s="1">
        <v>64.606338735</v>
      </c>
      <c r="P961" s="1">
        <v>8.9494163424</v>
      </c>
      <c r="Q961" s="1">
        <v>104.79042</v>
      </c>
      <c r="R961" s="1">
        <v>89.6</v>
      </c>
      <c r="S961" s="1">
        <v>18.1</v>
      </c>
      <c r="T961" s="1">
        <v>1122.0</v>
      </c>
      <c r="U961" s="1">
        <v>33.511586453</v>
      </c>
      <c r="V961" s="1">
        <v>276.46416879</v>
      </c>
      <c r="W961" s="1">
        <v>7.1153846154</v>
      </c>
      <c r="X961" s="1">
        <v>6.5478496707</v>
      </c>
      <c r="Y961" s="1">
        <v>76.173198953</v>
      </c>
      <c r="Z961" s="1">
        <v>13.9</v>
      </c>
      <c r="AA961" s="1">
        <v>5.649827214</v>
      </c>
      <c r="AB961" s="1">
        <v>47039.0</v>
      </c>
      <c r="AC961" s="1">
        <v>53.416746872</v>
      </c>
      <c r="AD961" s="1">
        <v>68.0655475619999</v>
      </c>
      <c r="AE961" s="1">
        <v>4.3281121187</v>
      </c>
      <c r="AF961" s="1">
        <v>5.4251752514</v>
      </c>
      <c r="AG961" s="1">
        <v>1.0057909174</v>
      </c>
      <c r="AH961" s="1">
        <v>0.4724169461</v>
      </c>
      <c r="AI961" s="1">
        <v>0.0914355379</v>
      </c>
      <c r="AJ961" s="1">
        <v>7.848217007</v>
      </c>
      <c r="AK961" s="1">
        <v>83.815909784</v>
      </c>
      <c r="AL961" s="1">
        <v>0.4677268475</v>
      </c>
      <c r="AM961" s="1">
        <v>43.873818958</v>
      </c>
      <c r="AN961" s="1">
        <v>31.679334576</v>
      </c>
      <c r="AO961" s="1">
        <v>25193.0</v>
      </c>
      <c r="AP961" s="1">
        <v>7.3</v>
      </c>
      <c r="AQ961" s="1">
        <v>1.2</v>
      </c>
      <c r="AR961" s="1">
        <v>10.7</v>
      </c>
      <c r="AS961" s="1">
        <v>18.6</v>
      </c>
      <c r="AT961" s="1">
        <v>19.3</v>
      </c>
      <c r="AU961" s="1">
        <v>16.6</v>
      </c>
      <c r="AV961" s="1">
        <v>15.2</v>
      </c>
      <c r="AW961" s="1">
        <v>2.5</v>
      </c>
      <c r="AX961" s="1">
        <v>0.2429</v>
      </c>
      <c r="AY961" s="1">
        <v>14.0</v>
      </c>
      <c r="AZ961" s="1">
        <v>12.3</v>
      </c>
      <c r="BA961" s="1">
        <v>18.3</v>
      </c>
      <c r="BB961" s="1">
        <v>3.0</v>
      </c>
      <c r="BC961" s="1" t="s">
        <v>1588</v>
      </c>
      <c r="BD961" s="1">
        <v>9.4</v>
      </c>
      <c r="BE961" s="1">
        <v>33.1</v>
      </c>
      <c r="BF961" s="1">
        <v>38.0</v>
      </c>
      <c r="BG961" s="1">
        <v>19.6</v>
      </c>
      <c r="BH961" s="1" t="s">
        <v>1703</v>
      </c>
    </row>
    <row r="962">
      <c r="A962" s="1">
        <v>20147.0</v>
      </c>
      <c r="B962" s="2" t="str">
        <f>IFERROR(__xludf.DUMMYFUNCTION("TO_TEXT(A962)"),"20147")</f>
        <v>20147</v>
      </c>
      <c r="C962" s="1">
        <v>5484.0</v>
      </c>
      <c r="D962" s="1">
        <v>885.87166431804</v>
      </c>
      <c r="E962" s="1" t="s">
        <v>376</v>
      </c>
      <c r="F962" s="1" t="s">
        <v>1704</v>
      </c>
      <c r="G962" s="1">
        <v>6.19051293871295</v>
      </c>
      <c r="H962" s="1">
        <v>14.4284751959999</v>
      </c>
      <c r="I962" s="1">
        <v>3.6542954141</v>
      </c>
      <c r="J962" s="1">
        <v>7.7448747153</v>
      </c>
      <c r="K962" s="1">
        <v>15.615541</v>
      </c>
      <c r="L962" s="1">
        <v>34.4</v>
      </c>
      <c r="M962" s="1">
        <v>7.7</v>
      </c>
      <c r="N962" s="1">
        <v>34.7</v>
      </c>
      <c r="O962" s="1">
        <v>39.064161645</v>
      </c>
      <c r="P962" s="1">
        <v>11.097531166</v>
      </c>
      <c r="Q962" s="1">
        <v>37.24395</v>
      </c>
      <c r="R962" s="1">
        <v>91.0</v>
      </c>
      <c r="S962" s="1">
        <v>18.5</v>
      </c>
      <c r="T962" s="1">
        <v>1235.0</v>
      </c>
      <c r="U962" s="1">
        <v>22.5101214569999</v>
      </c>
      <c r="V962" s="1">
        <v>137.86764706</v>
      </c>
      <c r="W962" s="1">
        <v>5.9701492537</v>
      </c>
      <c r="X962" s="1">
        <v>3.6269430052</v>
      </c>
      <c r="Y962" s="1">
        <v>79.337145347</v>
      </c>
      <c r="Z962" s="1">
        <v>7.7</v>
      </c>
      <c r="AA962" s="1">
        <v>10.628237782</v>
      </c>
      <c r="AB962" s="1">
        <v>47405.0</v>
      </c>
      <c r="AC962" s="1">
        <v>42.316017316</v>
      </c>
      <c r="AD962" s="1">
        <v>77.232331782</v>
      </c>
      <c r="AE962" s="1">
        <v>5.8586762075</v>
      </c>
      <c r="AF962" s="1">
        <v>0.3949595637</v>
      </c>
      <c r="AG962" s="1">
        <v>0.6018431446</v>
      </c>
      <c r="AH962" s="1">
        <v>0.9027647169</v>
      </c>
      <c r="AI962" s="1">
        <v>0.0</v>
      </c>
      <c r="AJ962" s="1">
        <v>3.4794056799</v>
      </c>
      <c r="AK962" s="1">
        <v>93.737069776</v>
      </c>
      <c r="AL962" s="1">
        <v>0.3922337713</v>
      </c>
      <c r="AM962" s="1">
        <v>50.385555765</v>
      </c>
      <c r="AN962" s="1">
        <v>53.75753279</v>
      </c>
      <c r="AO962" s="1">
        <v>25364.0</v>
      </c>
      <c r="AP962" s="1">
        <v>9.4</v>
      </c>
      <c r="AQ962" s="1">
        <v>3.0</v>
      </c>
      <c r="AR962" s="1">
        <v>6.4</v>
      </c>
      <c r="AS962" s="1">
        <v>21.3</v>
      </c>
      <c r="AT962" s="1">
        <v>23.5</v>
      </c>
      <c r="AU962" s="1">
        <v>15.4</v>
      </c>
      <c r="AV962" s="1">
        <v>5.8</v>
      </c>
      <c r="AW962" s="1">
        <v>0.3</v>
      </c>
      <c r="AX962" s="1">
        <v>0.1509</v>
      </c>
      <c r="AY962" s="1">
        <v>11.0</v>
      </c>
      <c r="AZ962" s="1">
        <v>11.4</v>
      </c>
      <c r="BA962" s="1">
        <v>19.3</v>
      </c>
      <c r="BB962" s="1">
        <v>3.38</v>
      </c>
      <c r="BC962" s="1" t="s">
        <v>1588</v>
      </c>
      <c r="BD962" s="1">
        <v>7.6</v>
      </c>
      <c r="BE962" s="1">
        <v>36.6</v>
      </c>
      <c r="BF962" s="1">
        <v>34.0</v>
      </c>
      <c r="BG962" s="1">
        <v>21.8</v>
      </c>
      <c r="BH962" s="1" t="s">
        <v>1704</v>
      </c>
    </row>
    <row r="963">
      <c r="A963" s="1">
        <v>20149.0</v>
      </c>
      <c r="B963" s="2" t="str">
        <f>IFERROR(__xludf.DUMMYFUNCTION("TO_TEXT(A963)"),"20149")</f>
        <v>20149</v>
      </c>
      <c r="C963" s="1">
        <v>22920.0</v>
      </c>
      <c r="D963" s="1">
        <v>841.019550582162</v>
      </c>
      <c r="E963" s="1" t="s">
        <v>1705</v>
      </c>
      <c r="F963" s="1" t="s">
        <v>1706</v>
      </c>
      <c r="G963" s="1">
        <v>27.2526363794213</v>
      </c>
      <c r="H963" s="1">
        <v>13.552281732</v>
      </c>
      <c r="I963" s="1">
        <v>3.5063910509</v>
      </c>
      <c r="J963" s="1">
        <v>4.9628761235</v>
      </c>
      <c r="K963" s="1">
        <v>14.58310464</v>
      </c>
      <c r="L963" s="1">
        <v>31.5</v>
      </c>
      <c r="M963" s="1">
        <v>8.7</v>
      </c>
      <c r="N963" s="1">
        <v>26.3</v>
      </c>
      <c r="O963" s="1">
        <v>74.33808554</v>
      </c>
      <c r="P963" s="1">
        <v>7.2576717</v>
      </c>
      <c r="Q963" s="1">
        <v>66.92321</v>
      </c>
      <c r="R963" s="1">
        <v>93.7</v>
      </c>
      <c r="S963" s="1">
        <v>9.4</v>
      </c>
      <c r="T963" s="1">
        <v>6839.0</v>
      </c>
      <c r="U963" s="1">
        <v>17.400204708</v>
      </c>
      <c r="V963" s="1">
        <v>230.36017998</v>
      </c>
      <c r="W963" s="1">
        <v>10.4004781829999</v>
      </c>
      <c r="X963" s="1">
        <v>6.94074969769999</v>
      </c>
      <c r="Y963" s="1">
        <v>81.060660914</v>
      </c>
      <c r="Z963" s="1">
        <v>10.2</v>
      </c>
      <c r="AA963" s="1">
        <v>0.4668201881</v>
      </c>
      <c r="AB963" s="1">
        <v>69975.0</v>
      </c>
      <c r="AC963" s="1">
        <v>32.206598161</v>
      </c>
      <c r="AD963" s="1">
        <v>76.837262795</v>
      </c>
      <c r="AE963" s="1">
        <v>9.3418259023</v>
      </c>
      <c r="AF963" s="1">
        <v>1.0668534003</v>
      </c>
      <c r="AG963" s="1">
        <v>0.9638752729</v>
      </c>
      <c r="AH963" s="1">
        <v>0.9762326482</v>
      </c>
      <c r="AI963" s="1">
        <v>0.1194546278</v>
      </c>
      <c r="AJ963" s="1">
        <v>5.06240474519999</v>
      </c>
      <c r="AK963" s="1">
        <v>89.932858261</v>
      </c>
      <c r="AL963" s="1">
        <v>0.6551930974</v>
      </c>
      <c r="AM963" s="1">
        <v>50.310993945</v>
      </c>
      <c r="AN963" s="1">
        <v>58.915015738</v>
      </c>
      <c r="AO963" s="1">
        <v>27199.0</v>
      </c>
      <c r="AP963" s="1">
        <v>9.0</v>
      </c>
      <c r="AQ963" s="1">
        <v>4.3</v>
      </c>
      <c r="AR963" s="1">
        <v>4.6</v>
      </c>
      <c r="AS963" s="1">
        <v>13.2</v>
      </c>
      <c r="AT963" s="1">
        <v>29.6</v>
      </c>
      <c r="AU963" s="1">
        <v>9.4</v>
      </c>
      <c r="AV963" s="1">
        <v>10.1</v>
      </c>
      <c r="AW963" s="1">
        <v>1.0</v>
      </c>
      <c r="AX963" s="1">
        <v>0.1051</v>
      </c>
      <c r="AY963" s="1">
        <v>7.2</v>
      </c>
      <c r="AZ963" s="1">
        <v>10.1</v>
      </c>
      <c r="BA963" s="1">
        <v>15.6</v>
      </c>
      <c r="BB963" s="1">
        <v>2.96</v>
      </c>
      <c r="BC963" s="1" t="s">
        <v>1588</v>
      </c>
      <c r="BD963" s="1">
        <v>5.8</v>
      </c>
      <c r="BE963" s="1">
        <v>29.1</v>
      </c>
      <c r="BF963" s="1">
        <v>31.4</v>
      </c>
      <c r="BG963" s="1">
        <v>33.8</v>
      </c>
      <c r="BH963" s="1" t="s">
        <v>1706</v>
      </c>
    </row>
    <row r="964">
      <c r="A964" s="1">
        <v>20151.0</v>
      </c>
      <c r="B964" s="2" t="str">
        <f>IFERROR(__xludf.DUMMYFUNCTION("TO_TEXT(A964)"),"20151")</f>
        <v>20151</v>
      </c>
      <c r="C964" s="1">
        <v>9729.0</v>
      </c>
      <c r="D964" s="1">
        <v>735.037373987782</v>
      </c>
      <c r="E964" s="1" t="s">
        <v>1707</v>
      </c>
      <c r="F964" s="1" t="s">
        <v>1708</v>
      </c>
      <c r="G964" s="1">
        <v>13.2360616538686</v>
      </c>
      <c r="H964" s="1">
        <v>14.915470654</v>
      </c>
      <c r="I964" s="1">
        <v>3.5586081675</v>
      </c>
      <c r="J964" s="1">
        <v>6.0706401766</v>
      </c>
      <c r="K964" s="1">
        <v>15.79505287</v>
      </c>
      <c r="L964" s="1">
        <v>32.9</v>
      </c>
      <c r="M964" s="1">
        <v>8.0</v>
      </c>
      <c r="N964" s="1">
        <v>27.8</v>
      </c>
      <c r="O964" s="1">
        <v>73.974730737</v>
      </c>
      <c r="P964" s="1">
        <v>10.559006211</v>
      </c>
      <c r="Q964" s="1">
        <v>83.79596</v>
      </c>
      <c r="R964" s="1">
        <v>80.9</v>
      </c>
      <c r="S964" s="1">
        <v>16.7</v>
      </c>
      <c r="T964" s="1">
        <v>2387.0</v>
      </c>
      <c r="U964" s="1">
        <v>25.30372853</v>
      </c>
      <c r="V964" s="1">
        <v>193.98642095</v>
      </c>
      <c r="W964" s="1">
        <v>14.814814815</v>
      </c>
      <c r="X964" s="1">
        <v>9.7196261682</v>
      </c>
      <c r="Y964" s="1">
        <v>76.643037828</v>
      </c>
      <c r="Z964" s="1">
        <v>8.6</v>
      </c>
      <c r="AA964" s="1">
        <v>5.9779135384</v>
      </c>
      <c r="AB964" s="1">
        <v>52567.0</v>
      </c>
      <c r="AC964" s="1">
        <v>45.19293656</v>
      </c>
      <c r="AD964" s="1">
        <v>68.458197611</v>
      </c>
      <c r="AE964" s="1">
        <v>6.7548550521</v>
      </c>
      <c r="AF964" s="1">
        <v>1.4715291107</v>
      </c>
      <c r="AG964" s="1">
        <v>1.1089784602</v>
      </c>
      <c r="AH964" s="1">
        <v>0.9490296438</v>
      </c>
      <c r="AI964" s="1">
        <v>0.0426530177</v>
      </c>
      <c r="AJ964" s="1">
        <v>7.34698229899999</v>
      </c>
      <c r="AK964" s="1">
        <v>88.003838772</v>
      </c>
      <c r="AL964" s="1">
        <v>2.254283138</v>
      </c>
      <c r="AM964" s="1">
        <v>50.543825976</v>
      </c>
      <c r="AN964" s="1">
        <v>32.207953604</v>
      </c>
      <c r="AO964" s="1">
        <v>25745.0</v>
      </c>
      <c r="AP964" s="1">
        <v>13.1</v>
      </c>
      <c r="AQ964" s="1">
        <v>5.3</v>
      </c>
      <c r="AR964" s="1">
        <v>9.4</v>
      </c>
      <c r="AS964" s="1">
        <v>17.7</v>
      </c>
      <c r="AT964" s="1">
        <v>24.1</v>
      </c>
      <c r="AU964" s="1">
        <v>13.9</v>
      </c>
      <c r="AV964" s="1">
        <v>10.9</v>
      </c>
      <c r="AW964" s="1">
        <v>1.7</v>
      </c>
      <c r="AX964" s="1">
        <v>0.4403</v>
      </c>
      <c r="AY964" s="1">
        <v>11.2</v>
      </c>
      <c r="AZ964" s="1">
        <v>11.3</v>
      </c>
      <c r="BA964" s="1">
        <v>17.2</v>
      </c>
      <c r="BB964" s="1">
        <v>2.9</v>
      </c>
      <c r="BC964" s="1" t="s">
        <v>1588</v>
      </c>
      <c r="BD964" s="1">
        <v>7.9</v>
      </c>
      <c r="BE964" s="1">
        <v>24.9</v>
      </c>
      <c r="BF964" s="1">
        <v>36.9</v>
      </c>
      <c r="BG964" s="1">
        <v>30.3</v>
      </c>
      <c r="BH964" s="1" t="s">
        <v>1708</v>
      </c>
    </row>
    <row r="965">
      <c r="A965" s="1">
        <v>20153.0</v>
      </c>
      <c r="B965" s="2" t="str">
        <f>IFERROR(__xludf.DUMMYFUNCTION("TO_TEXT(A965)"),"20153")</f>
        <v>20153</v>
      </c>
      <c r="C965" s="1">
        <v>2557.0</v>
      </c>
      <c r="D965" s="1">
        <v>1069.41594929056</v>
      </c>
      <c r="E965" s="1" t="s">
        <v>1709</v>
      </c>
      <c r="F965" s="1" t="s">
        <v>1710</v>
      </c>
      <c r="G965" s="1">
        <v>2.39102474738318</v>
      </c>
      <c r="H965" s="1">
        <v>13.901080304</v>
      </c>
      <c r="I965" s="1">
        <v>3.4954720031</v>
      </c>
      <c r="J965" s="1">
        <v>9.1743119266</v>
      </c>
      <c r="K965" s="1">
        <v>14.282643139</v>
      </c>
      <c r="L965" s="1">
        <v>27.7</v>
      </c>
      <c r="M965" s="1">
        <v>7.9</v>
      </c>
      <c r="N965" s="1">
        <v>28.2</v>
      </c>
      <c r="O965" s="1">
        <v>59.190154823</v>
      </c>
      <c r="P965" s="1">
        <v>13.847012842</v>
      </c>
      <c r="Q965" s="1">
        <v>48.31939</v>
      </c>
      <c r="R965" s="1">
        <v>95.8</v>
      </c>
      <c r="S965" s="1">
        <v>19.2</v>
      </c>
      <c r="T965" s="1">
        <v>497.0</v>
      </c>
      <c r="U965" s="1">
        <v>14.486921529</v>
      </c>
      <c r="V965" s="1">
        <v>215.43282413</v>
      </c>
      <c r="W965" s="1">
        <v>7.2033898305</v>
      </c>
      <c r="X965" s="1">
        <v>6.7406143345</v>
      </c>
      <c r="Y965" s="1">
        <v>77.555004599</v>
      </c>
      <c r="Z965" s="1">
        <v>10.5</v>
      </c>
      <c r="AA965" s="1">
        <v>9.2104016963</v>
      </c>
      <c r="AB965" s="1">
        <v>46638.0</v>
      </c>
      <c r="AC965" s="1">
        <v>52.760736196</v>
      </c>
      <c r="AD965" s="1">
        <v>75.856164384</v>
      </c>
      <c r="AE965" s="1">
        <v>8.4870848708</v>
      </c>
      <c r="AF965" s="1">
        <v>0.7177033493</v>
      </c>
      <c r="AG965" s="1">
        <v>0.4385964912</v>
      </c>
      <c r="AH965" s="1">
        <v>0.4784688995</v>
      </c>
      <c r="AI965" s="1">
        <v>0.0398724083</v>
      </c>
      <c r="AJ965" s="1">
        <v>7.6953748006</v>
      </c>
      <c r="AK965" s="1">
        <v>89.393939394</v>
      </c>
      <c r="AL965" s="1">
        <v>2.1034917964</v>
      </c>
      <c r="AM965" s="1">
        <v>49.4816586919999</v>
      </c>
      <c r="AN965" s="1">
        <v>100.0</v>
      </c>
      <c r="AO965" s="1">
        <v>27250.0</v>
      </c>
      <c r="AP965" s="1">
        <v>8.1</v>
      </c>
      <c r="AQ965" s="1">
        <v>2.4</v>
      </c>
      <c r="AR965" s="1">
        <v>6.3</v>
      </c>
      <c r="AS965" s="1">
        <v>26.6</v>
      </c>
      <c r="AT965" s="1">
        <v>19.6</v>
      </c>
      <c r="AU965" s="1">
        <v>16.7</v>
      </c>
      <c r="AV965" s="1">
        <v>7.5</v>
      </c>
      <c r="AW965" s="1">
        <v>1.2</v>
      </c>
      <c r="AX965" s="1">
        <v>0.0287</v>
      </c>
      <c r="AY965" s="1">
        <v>14.2</v>
      </c>
      <c r="AZ965" s="1">
        <v>11.9</v>
      </c>
      <c r="BA965" s="1">
        <v>16.5</v>
      </c>
      <c r="BB965" s="1">
        <v>3.1</v>
      </c>
      <c r="BC965" s="1" t="s">
        <v>1588</v>
      </c>
      <c r="BD965" s="1">
        <v>4.2</v>
      </c>
      <c r="BE965" s="1">
        <v>29.8</v>
      </c>
      <c r="BF965" s="1">
        <v>41.9</v>
      </c>
      <c r="BG965" s="1">
        <v>24.1</v>
      </c>
      <c r="BH965" s="1" t="s">
        <v>1710</v>
      </c>
    </row>
    <row r="966">
      <c r="A966" s="1">
        <v>20155.0</v>
      </c>
      <c r="B966" s="2" t="str">
        <f>IFERROR(__xludf.DUMMYFUNCTION("TO_TEXT(A966)"),"20155")</f>
        <v>20155</v>
      </c>
      <c r="C966" s="1">
        <v>63803.0</v>
      </c>
      <c r="D966" s="1">
        <v>1255.34589172544</v>
      </c>
      <c r="E966" s="1" t="s">
        <v>1711</v>
      </c>
      <c r="F966" s="1" t="s">
        <v>1712</v>
      </c>
      <c r="G966" s="1">
        <v>50.8250358889568</v>
      </c>
      <c r="H966" s="1">
        <v>13.969482667</v>
      </c>
      <c r="I966" s="1">
        <v>3.318056417</v>
      </c>
      <c r="J966" s="1">
        <v>6.9658813972</v>
      </c>
      <c r="K966" s="1">
        <v>15.949059779</v>
      </c>
      <c r="L966" s="1">
        <v>36.0</v>
      </c>
      <c r="M966" s="1">
        <v>7.6</v>
      </c>
      <c r="N966" s="1">
        <v>27.0</v>
      </c>
      <c r="O966" s="1">
        <v>64.238656973</v>
      </c>
      <c r="P966" s="1">
        <v>10.6693771479999</v>
      </c>
      <c r="Q966" s="1">
        <v>62.3900199999999</v>
      </c>
      <c r="R966" s="1">
        <v>86.7</v>
      </c>
      <c r="S966" s="1">
        <v>15.4</v>
      </c>
      <c r="T966" s="1">
        <v>14285.0</v>
      </c>
      <c r="U966" s="1">
        <v>29.331466573</v>
      </c>
      <c r="V966" s="1">
        <v>354.98032686</v>
      </c>
      <c r="W966" s="1">
        <v>13.304035158</v>
      </c>
      <c r="X966" s="1">
        <v>10.17867898</v>
      </c>
      <c r="Y966" s="1">
        <v>78.216388668</v>
      </c>
      <c r="Z966" s="1">
        <v>11.6</v>
      </c>
      <c r="AA966" s="1">
        <v>7.5361128789</v>
      </c>
      <c r="AB966" s="1">
        <v>49341.0</v>
      </c>
      <c r="AC966" s="1">
        <v>55.6536538669999</v>
      </c>
      <c r="AD966" s="1">
        <v>68.6851349189999</v>
      </c>
      <c r="AE966" s="1">
        <v>9.6461444058</v>
      </c>
      <c r="AF966" s="1">
        <v>3.0364762119</v>
      </c>
      <c r="AG966" s="1">
        <v>0.8742100029</v>
      </c>
      <c r="AH966" s="1">
        <v>0.5469827724</v>
      </c>
      <c r="AI966" s="1">
        <v>0.0609540919</v>
      </c>
      <c r="AJ966" s="1">
        <v>9.6788681788</v>
      </c>
      <c r="AK966" s="1">
        <v>84.0268198</v>
      </c>
      <c r="AL966" s="1">
        <v>0.9425403226</v>
      </c>
      <c r="AM966" s="1">
        <v>49.786660678</v>
      </c>
      <c r="AN966" s="1">
        <v>31.298538234</v>
      </c>
      <c r="AO966" s="1">
        <v>24313.0</v>
      </c>
      <c r="AP966" s="1">
        <v>14.3</v>
      </c>
      <c r="AQ966" s="1">
        <v>5.2</v>
      </c>
      <c r="AR966" s="1">
        <v>12.5</v>
      </c>
      <c r="AS966" s="1">
        <v>18.0</v>
      </c>
      <c r="AT966" s="1">
        <v>23.2</v>
      </c>
      <c r="AU966" s="1">
        <v>14.5</v>
      </c>
      <c r="AV966" s="1">
        <v>14.9</v>
      </c>
      <c r="AW966" s="1">
        <v>1.0</v>
      </c>
      <c r="AX966" s="1">
        <v>0.574</v>
      </c>
      <c r="AY966" s="1">
        <v>13.4</v>
      </c>
      <c r="AZ966" s="1">
        <v>13.1</v>
      </c>
      <c r="BA966" s="1">
        <v>20.0</v>
      </c>
      <c r="BB966" s="1">
        <v>2.85</v>
      </c>
      <c r="BC966" s="1" t="s">
        <v>1588</v>
      </c>
      <c r="BD966" s="1">
        <v>11.5</v>
      </c>
      <c r="BE966" s="1">
        <v>27.7</v>
      </c>
      <c r="BF966" s="1">
        <v>39.9</v>
      </c>
      <c r="BG966" s="1">
        <v>20.9</v>
      </c>
      <c r="BH966" s="1" t="s">
        <v>1712</v>
      </c>
    </row>
    <row r="967">
      <c r="A967" s="1">
        <v>20157.0</v>
      </c>
      <c r="B967" s="2" t="str">
        <f>IFERROR(__xludf.DUMMYFUNCTION("TO_TEXT(A967)"),"20157")</f>
        <v>20157</v>
      </c>
      <c r="C967" s="1">
        <v>4768.0</v>
      </c>
      <c r="D967" s="1">
        <v>717.371067710498</v>
      </c>
      <c r="E967" s="1" t="s">
        <v>1713</v>
      </c>
      <c r="F967" s="1" t="s">
        <v>1714</v>
      </c>
      <c r="G967" s="1">
        <v>6.64649051880104</v>
      </c>
      <c r="H967" s="1">
        <v>15.903098808</v>
      </c>
      <c r="I967" s="1">
        <v>3.8267681434</v>
      </c>
      <c r="J967" s="1">
        <v>8.6956521739</v>
      </c>
      <c r="K967" s="1">
        <v>15.247277172</v>
      </c>
      <c r="L967" s="1">
        <v>35.2</v>
      </c>
      <c r="M967" s="1">
        <v>7.6</v>
      </c>
      <c r="N967" s="1">
        <v>29.9</v>
      </c>
      <c r="O967" s="1">
        <v>47.128514056</v>
      </c>
      <c r="P967" s="1">
        <v>10.479573712</v>
      </c>
      <c r="Q967" s="1">
        <v>85.2696699999999</v>
      </c>
      <c r="R967" s="1">
        <v>84.9</v>
      </c>
      <c r="S967" s="1">
        <v>15.0</v>
      </c>
      <c r="T967" s="1">
        <v>899.0</v>
      </c>
      <c r="U967" s="1">
        <v>11.902113459</v>
      </c>
      <c r="V967" s="1">
        <v>169.38386619</v>
      </c>
      <c r="W967" s="1">
        <v>7.8125</v>
      </c>
      <c r="X967" s="1">
        <v>5.33632287</v>
      </c>
      <c r="Y967" s="1">
        <v>77.252825845</v>
      </c>
      <c r="Z967" s="1">
        <v>6.0</v>
      </c>
      <c r="AA967" s="1">
        <v>8.8002137452</v>
      </c>
      <c r="AB967" s="1">
        <v>48566.0</v>
      </c>
      <c r="AC967" s="1">
        <v>52.06391478</v>
      </c>
      <c r="AD967" s="1">
        <v>74.421708185</v>
      </c>
      <c r="AE967" s="1">
        <v>8.0149114632</v>
      </c>
      <c r="AF967" s="1">
        <v>0.6646655232</v>
      </c>
      <c r="AG967" s="1">
        <v>0.3859348199</v>
      </c>
      <c r="AH967" s="1">
        <v>0.6217838765</v>
      </c>
      <c r="AI967" s="1">
        <v>0.0214408233</v>
      </c>
      <c r="AJ967" s="1">
        <v>2.1869639794</v>
      </c>
      <c r="AK967" s="1">
        <v>94.9614065179999</v>
      </c>
      <c r="AL967" s="1">
        <v>0.2475804637</v>
      </c>
      <c r="AM967" s="1">
        <v>50.57890223</v>
      </c>
      <c r="AN967" s="1">
        <v>100.0</v>
      </c>
      <c r="AO967" s="1">
        <v>26029.0</v>
      </c>
      <c r="AP967" s="1">
        <v>11.4</v>
      </c>
      <c r="AQ967" s="1">
        <v>3.6</v>
      </c>
      <c r="AR967" s="1">
        <v>5.9</v>
      </c>
      <c r="AS967" s="1">
        <v>27.3</v>
      </c>
      <c r="AT967" s="1">
        <v>19.8</v>
      </c>
      <c r="AU967" s="1">
        <v>13.7</v>
      </c>
      <c r="AV967" s="1">
        <v>3.6</v>
      </c>
      <c r="AW967" s="1">
        <v>0.4</v>
      </c>
      <c r="AX967" s="1">
        <v>0.0525</v>
      </c>
      <c r="AY967" s="1">
        <v>12.2</v>
      </c>
      <c r="AZ967" s="1">
        <v>11.8</v>
      </c>
      <c r="BA967" s="1">
        <v>18.9</v>
      </c>
      <c r="BB967" s="1">
        <v>3.13</v>
      </c>
      <c r="BC967" s="1" t="s">
        <v>1588</v>
      </c>
      <c r="BD967" s="1">
        <v>4.1</v>
      </c>
      <c r="BE967" s="1">
        <v>34.5</v>
      </c>
      <c r="BF967" s="1">
        <v>35.9</v>
      </c>
      <c r="BG967" s="1">
        <v>25.5</v>
      </c>
      <c r="BH967" s="1" t="s">
        <v>1714</v>
      </c>
    </row>
    <row r="968">
      <c r="A968" s="1">
        <v>20159.0</v>
      </c>
      <c r="B968" s="2" t="str">
        <f>IFERROR(__xludf.DUMMYFUNCTION("TO_TEXT(A968)"),"20159")</f>
        <v>20159</v>
      </c>
      <c r="C968" s="1">
        <v>9949.0</v>
      </c>
      <c r="D968" s="1">
        <v>726.232322897108</v>
      </c>
      <c r="E968" s="1" t="s">
        <v>1715</v>
      </c>
      <c r="F968" s="1" t="s">
        <v>1716</v>
      </c>
      <c r="G968" s="1">
        <v>13.6994728633271</v>
      </c>
      <c r="H968" s="1">
        <v>16.121565087</v>
      </c>
      <c r="I968" s="1">
        <v>3.7226600236</v>
      </c>
      <c r="J968" s="1">
        <v>6.1519903498</v>
      </c>
      <c r="K968" s="1">
        <v>16.679916604</v>
      </c>
      <c r="L968" s="1">
        <v>37.1</v>
      </c>
      <c r="M968" s="1">
        <v>7.8</v>
      </c>
      <c r="N968" s="1">
        <v>29.5</v>
      </c>
      <c r="O968" s="1">
        <v>66.507983735</v>
      </c>
      <c r="P968" s="1">
        <v>11.030617824</v>
      </c>
      <c r="Q968" s="1">
        <v>41.40787</v>
      </c>
      <c r="R968" s="1">
        <v>91.2</v>
      </c>
      <c r="S968" s="1">
        <v>19.2</v>
      </c>
      <c r="T968" s="1">
        <v>2201.0</v>
      </c>
      <c r="U968" s="1">
        <v>26.715129487</v>
      </c>
      <c r="V968" s="1">
        <v>95.923261391</v>
      </c>
      <c r="W968" s="1">
        <v>10.201511335</v>
      </c>
      <c r="X968" s="1">
        <v>8.0152671756</v>
      </c>
      <c r="Y968" s="1">
        <v>76.821591157</v>
      </c>
      <c r="Z968" s="1">
        <v>13.4</v>
      </c>
      <c r="AA968" s="1">
        <v>6.5780308804</v>
      </c>
      <c r="AB968" s="1">
        <v>51686.0</v>
      </c>
      <c r="AC968" s="1">
        <v>58.602150538</v>
      </c>
      <c r="AD968" s="1">
        <v>74.398136164</v>
      </c>
      <c r="AE968" s="1">
        <v>9.2233009709</v>
      </c>
      <c r="AF968" s="1">
        <v>1.2800335747</v>
      </c>
      <c r="AG968" s="1">
        <v>1.3010177316</v>
      </c>
      <c r="AH968" s="1">
        <v>1.1016682405</v>
      </c>
      <c r="AI968" s="1">
        <v>0.0839366278</v>
      </c>
      <c r="AJ968" s="1">
        <v>11.467841779</v>
      </c>
      <c r="AK968" s="1">
        <v>83.349071451</v>
      </c>
      <c r="AL968" s="1">
        <v>1.0259768609</v>
      </c>
      <c r="AM968" s="1">
        <v>50.0577064319999</v>
      </c>
      <c r="AN968" s="1">
        <v>63.780620847</v>
      </c>
      <c r="AO968" s="1">
        <v>22596.0</v>
      </c>
      <c r="AP968" s="1">
        <v>15.2</v>
      </c>
      <c r="AQ968" s="1">
        <v>5.4</v>
      </c>
      <c r="AR968" s="1">
        <v>11.3</v>
      </c>
      <c r="AS968" s="1">
        <v>17.6</v>
      </c>
      <c r="AT968" s="1">
        <v>22.9</v>
      </c>
      <c r="AU968" s="1">
        <v>14.9</v>
      </c>
      <c r="AV968" s="1">
        <v>15.7</v>
      </c>
      <c r="AW968" s="1">
        <v>1.1</v>
      </c>
      <c r="AX968" s="1">
        <v>0.3473</v>
      </c>
      <c r="AY968" s="1">
        <v>11.8</v>
      </c>
      <c r="AZ968" s="1">
        <v>13.3</v>
      </c>
      <c r="BA968" s="1">
        <v>22.1</v>
      </c>
      <c r="BB968" s="1">
        <v>2.89</v>
      </c>
      <c r="BC968" s="1" t="s">
        <v>1588</v>
      </c>
      <c r="BD968" s="1">
        <v>8.4</v>
      </c>
      <c r="BE968" s="1">
        <v>29.3</v>
      </c>
      <c r="BF968" s="1">
        <v>39.5</v>
      </c>
      <c r="BG968" s="1">
        <v>22.8</v>
      </c>
      <c r="BH968" s="1" t="s">
        <v>1716</v>
      </c>
    </row>
    <row r="969">
      <c r="A969" s="1">
        <v>20161.0</v>
      </c>
      <c r="B969" s="2" t="str">
        <f>IFERROR(__xludf.DUMMYFUNCTION("TO_TEXT(A969)"),"20161")</f>
        <v>20161</v>
      </c>
      <c r="C969" s="1">
        <v>75026.0</v>
      </c>
      <c r="D969" s="1">
        <v>609.78089250282</v>
      </c>
      <c r="E969" s="1" t="s">
        <v>1717</v>
      </c>
      <c r="F969" s="1" t="s">
        <v>1718</v>
      </c>
      <c r="G969" s="1">
        <v>123.037636833878</v>
      </c>
      <c r="H969" s="1">
        <v>14.033204623</v>
      </c>
      <c r="I969" s="1">
        <v>3.6367933943</v>
      </c>
      <c r="J969" s="1">
        <v>6.2704859627</v>
      </c>
      <c r="K969" s="1">
        <v>14.609242238</v>
      </c>
      <c r="L969" s="1">
        <v>25.3</v>
      </c>
      <c r="M969" s="1">
        <v>5.7</v>
      </c>
      <c r="N969" s="1">
        <v>16.6</v>
      </c>
      <c r="O969" s="1">
        <v>90.075230261</v>
      </c>
      <c r="P969" s="1">
        <v>8.9649692531</v>
      </c>
      <c r="Q969" s="1">
        <v>68.7591</v>
      </c>
      <c r="R969" s="1">
        <v>83.9</v>
      </c>
      <c r="S969" s="1">
        <v>12.7</v>
      </c>
      <c r="T969" s="1">
        <v>12292.0</v>
      </c>
      <c r="U969" s="1">
        <v>26.732834364</v>
      </c>
      <c r="V969" s="1">
        <v>259.15085342</v>
      </c>
      <c r="W969" s="1">
        <v>21.303446977</v>
      </c>
      <c r="X969" s="1">
        <v>17.2493722229999</v>
      </c>
      <c r="Y969" s="1">
        <v>80.660364116</v>
      </c>
      <c r="Z969" s="1">
        <v>4.7</v>
      </c>
      <c r="AA969" s="1">
        <v>19.84515826</v>
      </c>
      <c r="AB969" s="1">
        <v>47057.0</v>
      </c>
      <c r="AC969" s="1">
        <v>39.316239316</v>
      </c>
      <c r="AD969" s="1">
        <v>42.442209547</v>
      </c>
      <c r="AE969" s="1">
        <v>18.421967327</v>
      </c>
      <c r="AF969" s="1">
        <v>6.2724719482</v>
      </c>
      <c r="AG969" s="1">
        <v>0.6851824213</v>
      </c>
      <c r="AH969" s="1">
        <v>5.0567819492</v>
      </c>
      <c r="AI969" s="1">
        <v>0.2984953123</v>
      </c>
      <c r="AJ969" s="1">
        <v>8.5098299934</v>
      </c>
      <c r="AK969" s="1">
        <v>76.496207753</v>
      </c>
      <c r="AL969" s="1">
        <v>1.2063644179</v>
      </c>
      <c r="AM969" s="1">
        <v>47.5258809</v>
      </c>
      <c r="AN969" s="1">
        <v>13.845180342</v>
      </c>
      <c r="AO969" s="1">
        <v>25087.0</v>
      </c>
      <c r="AP969" s="1">
        <v>21.7</v>
      </c>
      <c r="AQ969" s="1">
        <v>5.7</v>
      </c>
      <c r="AR969" s="1">
        <v>4.4</v>
      </c>
      <c r="AS969" s="1">
        <v>8.0</v>
      </c>
      <c r="AT969" s="1">
        <v>17.6</v>
      </c>
      <c r="AU969" s="1">
        <v>8.9</v>
      </c>
      <c r="AV969" s="1">
        <v>22.7</v>
      </c>
      <c r="AW969" s="1">
        <v>1.2</v>
      </c>
      <c r="AX969" s="1">
        <v>0.3824</v>
      </c>
      <c r="AY969" s="1">
        <v>20.9</v>
      </c>
      <c r="AZ969" s="1">
        <v>12.9</v>
      </c>
      <c r="BA969" s="1">
        <v>16.6</v>
      </c>
      <c r="BB969" s="1">
        <v>3.82</v>
      </c>
      <c r="BC969" s="1" t="s">
        <v>1588</v>
      </c>
      <c r="BD969" s="1">
        <v>4.2</v>
      </c>
      <c r="BE969" s="1">
        <v>19.1</v>
      </c>
      <c r="BF969" s="1">
        <v>31.1</v>
      </c>
      <c r="BG969" s="1">
        <v>45.6</v>
      </c>
      <c r="BH969" s="1" t="s">
        <v>1718</v>
      </c>
    </row>
    <row r="970">
      <c r="A970" s="1">
        <v>20163.0</v>
      </c>
      <c r="B970" s="2" t="str">
        <f>IFERROR(__xludf.DUMMYFUNCTION("TO_TEXT(A970)"),"20163")</f>
        <v>20163</v>
      </c>
      <c r="C970" s="1">
        <v>5160.0</v>
      </c>
      <c r="D970" s="1">
        <v>890.537183047626</v>
      </c>
      <c r="E970" s="1" t="s">
        <v>1719</v>
      </c>
      <c r="F970" s="1" t="s">
        <v>1720</v>
      </c>
      <c r="G970" s="1">
        <v>5.79425553275752</v>
      </c>
      <c r="H970" s="1">
        <v>14.774611291</v>
      </c>
      <c r="I970" s="1">
        <v>3.7309450463</v>
      </c>
      <c r="J970" s="1">
        <v>5.6206088993</v>
      </c>
      <c r="K970" s="1">
        <v>16.448032487</v>
      </c>
      <c r="L970" s="1">
        <v>35.2</v>
      </c>
      <c r="M970" s="1">
        <v>8.0</v>
      </c>
      <c r="N970" s="1">
        <v>29.9</v>
      </c>
      <c r="O970" s="1">
        <v>66.029723992</v>
      </c>
      <c r="P970" s="1">
        <v>10.880164229</v>
      </c>
      <c r="Q970" s="1">
        <v>118.9768</v>
      </c>
      <c r="R970" s="1">
        <v>93.6</v>
      </c>
      <c r="S970" s="1">
        <v>15.4</v>
      </c>
      <c r="T970" s="1">
        <v>1164.0</v>
      </c>
      <c r="U970" s="1">
        <v>28.092783505</v>
      </c>
      <c r="V970" s="1">
        <v>77.34699797</v>
      </c>
      <c r="W970" s="1">
        <v>7.0776255708</v>
      </c>
      <c r="X970" s="1">
        <v>4.896073903</v>
      </c>
      <c r="Y970" s="1">
        <v>78.445762791</v>
      </c>
      <c r="Z970" s="1">
        <v>10.8</v>
      </c>
      <c r="AA970" s="1">
        <v>4.7119597718</v>
      </c>
      <c r="AB970" s="1">
        <v>47365.0</v>
      </c>
      <c r="AC970" s="1">
        <v>45.673076923</v>
      </c>
      <c r="AD970" s="1">
        <v>79.0</v>
      </c>
      <c r="AE970" s="1">
        <v>5.1800690676</v>
      </c>
      <c r="AF970" s="1">
        <v>0.678236584899999</v>
      </c>
      <c r="AG970" s="1">
        <v>0.5984440455</v>
      </c>
      <c r="AH970" s="1">
        <v>1.057251147</v>
      </c>
      <c r="AI970" s="1">
        <v>0.0598444045</v>
      </c>
      <c r="AJ970" s="1">
        <v>2.4137243168</v>
      </c>
      <c r="AK970" s="1">
        <v>93.915818871</v>
      </c>
      <c r="AL970" s="1">
        <v>0.0418322527</v>
      </c>
      <c r="AM970" s="1">
        <v>51.745461799</v>
      </c>
      <c r="AN970" s="1">
        <v>100.0</v>
      </c>
      <c r="AO970" s="1">
        <v>24919.0</v>
      </c>
      <c r="AP970" s="1">
        <v>13.5</v>
      </c>
      <c r="AQ970" s="1">
        <v>4.1</v>
      </c>
      <c r="AR970" s="1">
        <v>8.7</v>
      </c>
      <c r="AS970" s="1">
        <v>20.4</v>
      </c>
      <c r="AT970" s="1">
        <v>22.6</v>
      </c>
      <c r="AU970" s="1">
        <v>14.7</v>
      </c>
      <c r="AV970" s="1">
        <v>5.1</v>
      </c>
      <c r="AW970" s="1">
        <v>0.4</v>
      </c>
      <c r="AX970" s="1">
        <v>0.2451</v>
      </c>
      <c r="AY970" s="1">
        <v>10.5</v>
      </c>
      <c r="AZ970" s="1">
        <v>11.3</v>
      </c>
      <c r="BA970" s="1">
        <v>17.1</v>
      </c>
      <c r="BB970" s="1">
        <v>3.07</v>
      </c>
      <c r="BC970" s="1" t="s">
        <v>1588</v>
      </c>
      <c r="BD970" s="1">
        <v>11.3</v>
      </c>
      <c r="BE970" s="1">
        <v>30.4</v>
      </c>
      <c r="BF970" s="1">
        <v>35.2</v>
      </c>
      <c r="BG970" s="1">
        <v>23.1</v>
      </c>
      <c r="BH970" s="1" t="s">
        <v>1720</v>
      </c>
    </row>
    <row r="971">
      <c r="A971" s="1">
        <v>20165.0</v>
      </c>
      <c r="B971" s="2" t="str">
        <f>IFERROR(__xludf.DUMMYFUNCTION("TO_TEXT(A971)"),"20165")</f>
        <v>20165</v>
      </c>
      <c r="C971" s="1">
        <v>3144.0</v>
      </c>
      <c r="D971" s="1">
        <v>717.76267011959</v>
      </c>
      <c r="E971" s="1" t="s">
        <v>1404</v>
      </c>
      <c r="F971" s="1" t="s">
        <v>1721</v>
      </c>
      <c r="G971" s="1">
        <v>4.38027795382025</v>
      </c>
      <c r="H971" s="1">
        <v>14.39165158</v>
      </c>
      <c r="I971" s="1">
        <v>3.5605904648</v>
      </c>
      <c r="J971" s="1">
        <v>8.0568720379</v>
      </c>
      <c r="K971" s="1">
        <v>15.356608278</v>
      </c>
      <c r="L971" s="1">
        <v>38.3</v>
      </c>
      <c r="M971" s="1">
        <v>8.1</v>
      </c>
      <c r="N971" s="1">
        <v>32.8</v>
      </c>
      <c r="O971" s="1">
        <v>41.790142123</v>
      </c>
      <c r="P971" s="1">
        <v>10.717372515</v>
      </c>
      <c r="Q971" s="1">
        <v>32.22688</v>
      </c>
      <c r="R971" s="1">
        <v>80.7</v>
      </c>
      <c r="S971" s="1">
        <v>19.6</v>
      </c>
      <c r="T971" s="1">
        <v>661.0</v>
      </c>
      <c r="U971" s="1">
        <v>19.364599092</v>
      </c>
      <c r="V971" s="1">
        <v>144.39274828</v>
      </c>
      <c r="W971" s="1">
        <v>10.877192982</v>
      </c>
      <c r="X971" s="1">
        <v>9.7543859649</v>
      </c>
      <c r="Y971" s="1">
        <v>74.03325724</v>
      </c>
      <c r="Z971" s="1">
        <v>9.1</v>
      </c>
      <c r="AA971" s="1">
        <v>6.3525531753</v>
      </c>
      <c r="AB971" s="1">
        <v>44121.0</v>
      </c>
      <c r="AC971" s="1">
        <v>46.071428571</v>
      </c>
      <c r="AD971" s="1">
        <v>76.97790449</v>
      </c>
      <c r="AE971" s="1">
        <v>11.086309524</v>
      </c>
      <c r="AF971" s="1">
        <v>0.5172971225</v>
      </c>
      <c r="AG971" s="1">
        <v>1.0022631749</v>
      </c>
      <c r="AH971" s="1">
        <v>0.3879728419</v>
      </c>
      <c r="AI971" s="1">
        <v>0.0646621403</v>
      </c>
      <c r="AJ971" s="1">
        <v>4.2030391206</v>
      </c>
      <c r="AK971" s="1">
        <v>92.790171355</v>
      </c>
      <c r="AL971" s="1">
        <v>0.0</v>
      </c>
      <c r="AM971" s="1">
        <v>48.658260588</v>
      </c>
      <c r="AN971" s="1">
        <v>100.0</v>
      </c>
      <c r="AO971" s="1">
        <v>25002.0</v>
      </c>
      <c r="AP971" s="1">
        <v>7.5</v>
      </c>
      <c r="AQ971" s="1">
        <v>5.2</v>
      </c>
      <c r="AR971" s="1">
        <v>8.6</v>
      </c>
      <c r="AS971" s="1">
        <v>24.5</v>
      </c>
      <c r="AT971" s="1">
        <v>20.5</v>
      </c>
      <c r="AU971" s="1">
        <v>16.8</v>
      </c>
      <c r="AV971" s="1">
        <v>5.5</v>
      </c>
      <c r="AW971" s="1">
        <v>0.1</v>
      </c>
      <c r="AX971" s="1">
        <v>0.0742</v>
      </c>
      <c r="AY971" s="1">
        <v>12.2</v>
      </c>
      <c r="AZ971" s="1">
        <v>12.0</v>
      </c>
      <c r="BA971" s="1">
        <v>16.8</v>
      </c>
      <c r="BB971" s="1">
        <v>2.98</v>
      </c>
      <c r="BC971" s="1" t="s">
        <v>1588</v>
      </c>
      <c r="BD971" s="1">
        <v>7.9</v>
      </c>
      <c r="BE971" s="1">
        <v>29.8</v>
      </c>
      <c r="BF971" s="1">
        <v>38.6</v>
      </c>
      <c r="BG971" s="1">
        <v>23.7</v>
      </c>
      <c r="BH971" s="1" t="s">
        <v>1721</v>
      </c>
    </row>
    <row r="972">
      <c r="A972" s="1">
        <v>20167.0</v>
      </c>
      <c r="B972" s="2" t="str">
        <f>IFERROR(__xludf.DUMMYFUNCTION("TO_TEXT(A972)"),"20167")</f>
        <v>20167</v>
      </c>
      <c r="C972" s="1">
        <v>6988.0</v>
      </c>
      <c r="D972" s="1">
        <v>886.259656673432</v>
      </c>
      <c r="E972" s="1" t="s">
        <v>172</v>
      </c>
      <c r="F972" s="1" t="s">
        <v>1722</v>
      </c>
      <c r="G972" s="1">
        <v>7.88482240772349</v>
      </c>
      <c r="H972" s="1">
        <v>15.9263421359999</v>
      </c>
      <c r="I972" s="1">
        <v>3.837921559</v>
      </c>
      <c r="J972" s="1">
        <v>6.1082024433</v>
      </c>
      <c r="K972" s="1">
        <v>15.7749915409999</v>
      </c>
      <c r="L972" s="1">
        <v>33.2</v>
      </c>
      <c r="M972" s="1">
        <v>7.5</v>
      </c>
      <c r="N972" s="1">
        <v>30.2</v>
      </c>
      <c r="O972" s="1">
        <v>63.758967001</v>
      </c>
      <c r="P972" s="1">
        <v>12.447013487</v>
      </c>
      <c r="Q972" s="1">
        <v>57.84526</v>
      </c>
      <c r="R972" s="1">
        <v>84.6</v>
      </c>
      <c r="S972" s="1">
        <v>20.6</v>
      </c>
      <c r="T972" s="1">
        <v>1493.0</v>
      </c>
      <c r="U972" s="1">
        <v>20.227729404</v>
      </c>
      <c r="V972" s="1">
        <v>366.01119564</v>
      </c>
      <c r="W972" s="1">
        <v>9.0766823161</v>
      </c>
      <c r="X972" s="1">
        <v>7.3423282083</v>
      </c>
      <c r="Y972" s="1">
        <v>77.94210136</v>
      </c>
      <c r="Z972" s="1">
        <v>12.6</v>
      </c>
      <c r="AA972" s="1">
        <v>9.1693231946</v>
      </c>
      <c r="AB972" s="1">
        <v>45879.0</v>
      </c>
      <c r="AC972" s="1">
        <v>54.1</v>
      </c>
      <c r="AD972" s="1">
        <v>80.6982208789999</v>
      </c>
      <c r="AE972" s="1">
        <v>4.1938810588</v>
      </c>
      <c r="AF972" s="1">
        <v>1.3175039815</v>
      </c>
      <c r="AG972" s="1">
        <v>1.1437671927</v>
      </c>
      <c r="AH972" s="1">
        <v>0.7094252208</v>
      </c>
      <c r="AI972" s="1">
        <v>0.0289561315</v>
      </c>
      <c r="AJ972" s="1">
        <v>3.9090777472</v>
      </c>
      <c r="AK972" s="1">
        <v>91.704068336</v>
      </c>
      <c r="AL972" s="1">
        <v>0.6398537477</v>
      </c>
      <c r="AM972" s="1">
        <v>50.687708122</v>
      </c>
      <c r="AN972" s="1">
        <v>41.06169297</v>
      </c>
      <c r="AO972" s="1">
        <v>24181.0</v>
      </c>
      <c r="AP972" s="1">
        <v>13.0</v>
      </c>
      <c r="AQ972" s="1">
        <v>6.5</v>
      </c>
      <c r="AR972" s="1">
        <v>9.7</v>
      </c>
      <c r="AS972" s="1">
        <v>23.1</v>
      </c>
      <c r="AT972" s="1">
        <v>21.6</v>
      </c>
      <c r="AU972" s="1">
        <v>16.8</v>
      </c>
      <c r="AV972" s="1">
        <v>6.8</v>
      </c>
      <c r="AW972" s="1">
        <v>0.5</v>
      </c>
      <c r="AX972" s="1">
        <v>0.263</v>
      </c>
      <c r="AY972" s="1">
        <v>14.4</v>
      </c>
      <c r="AZ972" s="1">
        <v>11.2</v>
      </c>
      <c r="BA972" s="1">
        <v>16.7</v>
      </c>
      <c r="BB972" s="1">
        <v>3.05</v>
      </c>
      <c r="BC972" s="1" t="s">
        <v>1588</v>
      </c>
      <c r="BD972" s="1">
        <v>11.9</v>
      </c>
      <c r="BE972" s="1">
        <v>27.2</v>
      </c>
      <c r="BF972" s="1">
        <v>37.7</v>
      </c>
      <c r="BG972" s="1">
        <v>23.1</v>
      </c>
      <c r="BH972" s="1" t="s">
        <v>1722</v>
      </c>
    </row>
    <row r="973">
      <c r="A973" s="1">
        <v>20169.0</v>
      </c>
      <c r="B973" s="2" t="str">
        <f>IFERROR(__xludf.DUMMYFUNCTION("TO_TEXT(A973)"),"20169")</f>
        <v>20169</v>
      </c>
      <c r="C973" s="1">
        <v>55547.0</v>
      </c>
      <c r="D973" s="1">
        <v>720.22749509433</v>
      </c>
      <c r="E973" s="1" t="s">
        <v>392</v>
      </c>
      <c r="F973" s="1" t="s">
        <v>1723</v>
      </c>
      <c r="G973" s="1">
        <v>77.124242518296</v>
      </c>
      <c r="H973" s="1">
        <v>16.193845618</v>
      </c>
      <c r="I973" s="1">
        <v>3.6212249692</v>
      </c>
      <c r="J973" s="1">
        <v>7.5851085009</v>
      </c>
      <c r="K973" s="1">
        <v>17.854295305</v>
      </c>
      <c r="L973" s="1">
        <v>34.5</v>
      </c>
      <c r="M973" s="1">
        <v>7.9</v>
      </c>
      <c r="N973" s="1">
        <v>28.0</v>
      </c>
      <c r="O973" s="1">
        <v>83.438837536</v>
      </c>
      <c r="P973" s="1">
        <v>9.60324106559999</v>
      </c>
      <c r="Q973" s="1">
        <v>89.52388</v>
      </c>
      <c r="R973" s="1">
        <v>89.8</v>
      </c>
      <c r="S973" s="1">
        <v>15.8</v>
      </c>
      <c r="T973" s="1">
        <v>12809.0</v>
      </c>
      <c r="U973" s="1">
        <v>31.048481536</v>
      </c>
      <c r="V973" s="1">
        <v>396.81468484</v>
      </c>
      <c r="W973" s="1">
        <v>14.1964285709999</v>
      </c>
      <c r="X973" s="1">
        <v>12.036995263</v>
      </c>
      <c r="Y973" s="1">
        <v>77.963712035</v>
      </c>
      <c r="Z973" s="1">
        <v>10.2</v>
      </c>
      <c r="AA973" s="1">
        <v>5.902227416</v>
      </c>
      <c r="AB973" s="1">
        <v>53961.0</v>
      </c>
      <c r="AC973" s="1">
        <v>57.752454843</v>
      </c>
      <c r="AD973" s="1">
        <v>67.53714543</v>
      </c>
      <c r="AE973" s="1">
        <v>10.327747431</v>
      </c>
      <c r="AF973" s="1">
        <v>3.2223672359</v>
      </c>
      <c r="AG973" s="1">
        <v>0.773882832999999</v>
      </c>
      <c r="AH973" s="1">
        <v>2.3437069172</v>
      </c>
      <c r="AI973" s="1">
        <v>0.0808808662</v>
      </c>
      <c r="AJ973" s="1">
        <v>11.363761696</v>
      </c>
      <c r="AK973" s="1">
        <v>80.06102829</v>
      </c>
      <c r="AL973" s="1">
        <v>1.8074160357</v>
      </c>
      <c r="AM973" s="1">
        <v>50.397970626</v>
      </c>
      <c r="AN973" s="1">
        <v>14.590152142</v>
      </c>
      <c r="AO973" s="1">
        <v>26477.0</v>
      </c>
      <c r="AP973" s="1">
        <v>14.8</v>
      </c>
      <c r="AQ973" s="1">
        <v>4.5</v>
      </c>
      <c r="AR973" s="1">
        <v>10.1</v>
      </c>
      <c r="AS973" s="1">
        <v>15.6</v>
      </c>
      <c r="AT973" s="1">
        <v>24.3</v>
      </c>
      <c r="AU973" s="1">
        <v>12.7</v>
      </c>
      <c r="AV973" s="1">
        <v>19.3</v>
      </c>
      <c r="AW973" s="1">
        <v>1.7</v>
      </c>
      <c r="AX973" s="1">
        <v>0.4206</v>
      </c>
      <c r="AY973" s="1">
        <v>12.3</v>
      </c>
      <c r="AZ973" s="1">
        <v>12.5</v>
      </c>
      <c r="BA973" s="1">
        <v>18.7</v>
      </c>
      <c r="BB973" s="1">
        <v>2.8</v>
      </c>
      <c r="BC973" s="1" t="s">
        <v>1588</v>
      </c>
      <c r="BD973" s="1">
        <v>8.5</v>
      </c>
      <c r="BE973" s="1">
        <v>30.1</v>
      </c>
      <c r="BF973" s="1">
        <v>34.1</v>
      </c>
      <c r="BG973" s="1">
        <v>27.3</v>
      </c>
      <c r="BH973" s="1" t="s">
        <v>1723</v>
      </c>
    </row>
    <row r="974">
      <c r="A974" s="1">
        <v>20171.0</v>
      </c>
      <c r="B974" s="2" t="str">
        <f>IFERROR(__xludf.DUMMYFUNCTION("TO_TEXT(A974)"),"20171")</f>
        <v>20171</v>
      </c>
      <c r="C974" s="1">
        <v>4958.0</v>
      </c>
      <c r="D974" s="1">
        <v>717.584792542088</v>
      </c>
      <c r="E974" s="1" t="s">
        <v>394</v>
      </c>
      <c r="F974" s="1" t="s">
        <v>1724</v>
      </c>
      <c r="G974" s="1">
        <v>6.9092880054439</v>
      </c>
      <c r="H974" s="1">
        <v>14.772414502</v>
      </c>
      <c r="I974" s="1">
        <v>3.3690674677</v>
      </c>
      <c r="J974" s="1">
        <v>7.9908675799</v>
      </c>
      <c r="K974" s="1">
        <v>15.499736414</v>
      </c>
      <c r="L974" s="1">
        <v>39.0</v>
      </c>
      <c r="M974" s="1">
        <v>9.0</v>
      </c>
      <c r="N974" s="1">
        <v>30.0</v>
      </c>
      <c r="O974" s="1">
        <v>80.935980551</v>
      </c>
      <c r="P974" s="1">
        <v>11.794102949</v>
      </c>
      <c r="Q974" s="1">
        <v>100.78613</v>
      </c>
      <c r="R974" s="1">
        <v>90.8</v>
      </c>
      <c r="S974" s="1">
        <v>12.8</v>
      </c>
      <c r="T974" s="1">
        <v>1328.0</v>
      </c>
      <c r="U974" s="1">
        <v>10.240963855</v>
      </c>
      <c r="V974" s="1">
        <v>320.0</v>
      </c>
      <c r="W974" s="1">
        <v>10.280373832</v>
      </c>
      <c r="X974" s="1">
        <v>7.7102803738</v>
      </c>
      <c r="Y974" s="1">
        <v>80.1438628</v>
      </c>
      <c r="Z974" s="1">
        <v>10.0</v>
      </c>
      <c r="AA974" s="1">
        <v>3.9709688482</v>
      </c>
      <c r="AB974" s="1">
        <v>63790.0</v>
      </c>
      <c r="AC974" s="1">
        <v>50.552763819</v>
      </c>
      <c r="AD974" s="1">
        <v>74.271604938</v>
      </c>
      <c r="AE974" s="1">
        <v>3.6012526096</v>
      </c>
      <c r="AF974" s="1">
        <v>0.57177864</v>
      </c>
      <c r="AG974" s="1">
        <v>1.3069226057</v>
      </c>
      <c r="AH974" s="1">
        <v>1.2252399428</v>
      </c>
      <c r="AI974" s="1">
        <v>0.1633653257</v>
      </c>
      <c r="AJ974" s="1">
        <v>18.501123137</v>
      </c>
      <c r="AK974" s="1">
        <v>78.109046355</v>
      </c>
      <c r="AL974" s="1">
        <v>3.7415705895</v>
      </c>
      <c r="AM974" s="1">
        <v>49.622217684</v>
      </c>
      <c r="AN974" s="1">
        <v>26.114262561</v>
      </c>
      <c r="AO974" s="1">
        <v>31280.0</v>
      </c>
      <c r="AP974" s="1">
        <v>5.1</v>
      </c>
      <c r="AQ974" s="1">
        <v>4.8</v>
      </c>
      <c r="AR974" s="1">
        <v>13.7</v>
      </c>
      <c r="AS974" s="1">
        <v>17.6</v>
      </c>
      <c r="AT974" s="1">
        <v>24.0</v>
      </c>
      <c r="AU974" s="1">
        <v>10.0</v>
      </c>
      <c r="AV974" s="1">
        <v>17.6</v>
      </c>
      <c r="AW974" s="1">
        <v>2.5</v>
      </c>
      <c r="AX974" s="1">
        <v>0.171</v>
      </c>
      <c r="AY974" s="1">
        <v>7.9</v>
      </c>
      <c r="AZ974" s="1">
        <v>6.7</v>
      </c>
      <c r="BA974" s="1">
        <v>9.8</v>
      </c>
      <c r="BB974" s="1">
        <v>2.8</v>
      </c>
      <c r="BC974" s="1" t="s">
        <v>1588</v>
      </c>
      <c r="BD974" s="1">
        <v>15.6</v>
      </c>
      <c r="BE974" s="1">
        <v>27.0</v>
      </c>
      <c r="BF974" s="1">
        <v>32.4</v>
      </c>
      <c r="BG974" s="1">
        <v>25.1</v>
      </c>
      <c r="BH974" s="1" t="s">
        <v>1724</v>
      </c>
    </row>
    <row r="975">
      <c r="A975" s="1">
        <v>20173.0</v>
      </c>
      <c r="B975" s="2" t="str">
        <f>IFERROR(__xludf.DUMMYFUNCTION("TO_TEXT(A975)"),"20173")</f>
        <v>20173</v>
      </c>
      <c r="C975" s="1">
        <v>508221.0</v>
      </c>
      <c r="D975" s="1">
        <v>997.51341476239</v>
      </c>
      <c r="E975" s="1" t="s">
        <v>642</v>
      </c>
      <c r="F975" s="1" t="s">
        <v>1725</v>
      </c>
      <c r="G975" s="1">
        <v>509.487885053715</v>
      </c>
      <c r="H975" s="1">
        <v>16.077416112</v>
      </c>
      <c r="I975" s="1">
        <v>3.9367783444</v>
      </c>
      <c r="J975" s="1">
        <v>7.9012926891</v>
      </c>
      <c r="K975" s="1">
        <v>17.032092796</v>
      </c>
      <c r="L975" s="1">
        <v>33.6</v>
      </c>
      <c r="M975" s="1">
        <v>7.2</v>
      </c>
      <c r="N975" s="1">
        <v>25.5</v>
      </c>
      <c r="O975" s="1">
        <v>85.163685251</v>
      </c>
      <c r="P975" s="1">
        <v>11.379945839</v>
      </c>
      <c r="Q975" s="1">
        <v>86.8233</v>
      </c>
      <c r="R975" s="1">
        <v>81.8</v>
      </c>
      <c r="S975" s="1">
        <v>17.1</v>
      </c>
      <c r="T975" s="1">
        <v>132702.0</v>
      </c>
      <c r="U975" s="1">
        <v>34.1102620909999</v>
      </c>
      <c r="V975" s="1">
        <v>724.71309962</v>
      </c>
      <c r="W975" s="1">
        <v>13.45623308</v>
      </c>
      <c r="X975" s="1">
        <v>11.279780729</v>
      </c>
      <c r="Y975" s="1">
        <v>77.508223353</v>
      </c>
      <c r="Z975" s="1">
        <v>10.6</v>
      </c>
      <c r="AA975" s="1">
        <v>10.581704875</v>
      </c>
      <c r="AB975" s="1">
        <v>56381.0</v>
      </c>
      <c r="AC975" s="1">
        <v>57.068920799</v>
      </c>
      <c r="AD975" s="1">
        <v>63.6299092339999</v>
      </c>
      <c r="AE975" s="1">
        <v>11.898620671</v>
      </c>
      <c r="AF975" s="1">
        <v>8.7348887379</v>
      </c>
      <c r="AG975" s="1">
        <v>1.3300052375</v>
      </c>
      <c r="AH975" s="1">
        <v>4.5530921502</v>
      </c>
      <c r="AI975" s="1">
        <v>0.09481958</v>
      </c>
      <c r="AJ975" s="1">
        <v>14.900108449</v>
      </c>
      <c r="AK975" s="1">
        <v>67.84136509</v>
      </c>
      <c r="AL975" s="1">
        <v>2.4403081386</v>
      </c>
      <c r="AM975" s="1">
        <v>50.525207016</v>
      </c>
      <c r="AN975" s="1">
        <v>7.6586437651</v>
      </c>
      <c r="AO975" s="1">
        <v>26672.0</v>
      </c>
      <c r="AP975" s="1">
        <v>15.0</v>
      </c>
      <c r="AQ975" s="1">
        <v>6.0</v>
      </c>
      <c r="AR975" s="1">
        <v>11.0</v>
      </c>
      <c r="AS975" s="1">
        <v>12.8</v>
      </c>
      <c r="AT975" s="1">
        <v>26.5</v>
      </c>
      <c r="AU975" s="1">
        <v>11.7</v>
      </c>
      <c r="AV975" s="1">
        <v>31.0</v>
      </c>
      <c r="AW975" s="1">
        <v>2.3</v>
      </c>
      <c r="AX975" s="1">
        <v>0.4916</v>
      </c>
      <c r="AY975" s="1">
        <v>12.6</v>
      </c>
      <c r="AZ975" s="1">
        <v>13.0</v>
      </c>
      <c r="BA975" s="1">
        <v>19.2</v>
      </c>
      <c r="BB975" s="1">
        <v>2.96</v>
      </c>
      <c r="BC975" s="1" t="s">
        <v>1588</v>
      </c>
      <c r="BD975" s="1">
        <v>10.4</v>
      </c>
      <c r="BE975" s="1">
        <v>26.3</v>
      </c>
      <c r="BF975" s="1">
        <v>32.4</v>
      </c>
      <c r="BG975" s="1">
        <v>30.9</v>
      </c>
      <c r="BH975" s="1" t="s">
        <v>1725</v>
      </c>
    </row>
    <row r="976">
      <c r="A976" s="1">
        <v>20175.0</v>
      </c>
      <c r="B976" s="2" t="str">
        <f>IFERROR(__xludf.DUMMYFUNCTION("TO_TEXT(A976)"),"20175")</f>
        <v>20175</v>
      </c>
      <c r="C976" s="1">
        <v>23185.0</v>
      </c>
      <c r="D976" s="1">
        <v>639.333159274022</v>
      </c>
      <c r="E976" s="1" t="s">
        <v>1726</v>
      </c>
      <c r="F976" s="1" t="s">
        <v>1727</v>
      </c>
      <c r="G976" s="1">
        <v>36.2643477249437</v>
      </c>
      <c r="H976" s="1">
        <v>24.819293165</v>
      </c>
      <c r="I976" s="1">
        <v>3.7201092639</v>
      </c>
      <c r="J976" s="1">
        <v>5.755156354</v>
      </c>
      <c r="K976" s="1">
        <v>18.121354724</v>
      </c>
      <c r="L976" s="1">
        <v>35.9</v>
      </c>
      <c r="M976" s="1">
        <v>9.2</v>
      </c>
      <c r="N976" s="1">
        <v>25.1</v>
      </c>
      <c r="O976" s="1">
        <v>83.65719763</v>
      </c>
      <c r="P976" s="1">
        <v>19.535123967</v>
      </c>
      <c r="Q976" s="1">
        <v>54.15407</v>
      </c>
      <c r="R976" s="1">
        <v>83.2</v>
      </c>
      <c r="S976" s="1">
        <v>18.5</v>
      </c>
      <c r="T976" s="1">
        <v>7189.0</v>
      </c>
      <c r="U976" s="1">
        <v>42.286827097</v>
      </c>
      <c r="V976" s="1">
        <v>298.52669559</v>
      </c>
      <c r="W976" s="1">
        <v>15.921409214</v>
      </c>
      <c r="X976" s="1">
        <v>8.9849108368</v>
      </c>
      <c r="Y976" s="1">
        <v>79.585867782</v>
      </c>
      <c r="Z976" s="1">
        <v>7.0</v>
      </c>
      <c r="AA976" s="1">
        <v>1.8672223615</v>
      </c>
      <c r="AB976" s="1">
        <v>50671.0</v>
      </c>
      <c r="AC976" s="1">
        <v>82.427469703</v>
      </c>
      <c r="AD976" s="1">
        <v>68.462064252</v>
      </c>
      <c r="AE976" s="1">
        <v>11.4614401359999</v>
      </c>
      <c r="AF976" s="1">
        <v>4.072543618</v>
      </c>
      <c r="AG976" s="1">
        <v>1.6804407713</v>
      </c>
      <c r="AH976" s="1">
        <v>2.9935720845</v>
      </c>
      <c r="AI976" s="1">
        <v>0.2295684114</v>
      </c>
      <c r="AJ976" s="1">
        <v>61.988062443</v>
      </c>
      <c r="AK976" s="1">
        <v>29.444444444</v>
      </c>
      <c r="AL976" s="1">
        <v>17.15473084</v>
      </c>
      <c r="AM976" s="1">
        <v>49.256198347</v>
      </c>
      <c r="AN976" s="1">
        <v>11.428197978</v>
      </c>
      <c r="AO976" s="1">
        <v>20844.0</v>
      </c>
      <c r="AP976" s="1">
        <v>18.9</v>
      </c>
      <c r="AQ976" s="1">
        <v>8.5</v>
      </c>
      <c r="AR976" s="1">
        <v>34.7</v>
      </c>
      <c r="AS976" s="1">
        <v>8.9</v>
      </c>
      <c r="AT976" s="1">
        <v>31.6</v>
      </c>
      <c r="AU976" s="1">
        <v>8.3</v>
      </c>
      <c r="AV976" s="1">
        <v>67.6</v>
      </c>
      <c r="AW976" s="1">
        <v>17.8</v>
      </c>
      <c r="AX976" s="1">
        <v>0.9016</v>
      </c>
      <c r="AY976" s="1">
        <v>14.2</v>
      </c>
      <c r="AZ976" s="1">
        <v>10.1</v>
      </c>
      <c r="BA976" s="1">
        <v>14.6</v>
      </c>
      <c r="BB976" s="1">
        <v>2.82</v>
      </c>
      <c r="BC976" s="1" t="s">
        <v>1588</v>
      </c>
      <c r="BD976" s="1">
        <v>33.7</v>
      </c>
      <c r="BE976" s="1">
        <v>28.7</v>
      </c>
      <c r="BF976" s="1">
        <v>26.6</v>
      </c>
      <c r="BG976" s="1">
        <v>11.0</v>
      </c>
      <c r="BH976" s="1" t="s">
        <v>1727</v>
      </c>
    </row>
    <row r="977">
      <c r="A977" s="1">
        <v>20177.0</v>
      </c>
      <c r="B977" s="2" t="str">
        <f>IFERROR(__xludf.DUMMYFUNCTION("TO_TEXT(A977)"),"20177")</f>
        <v>20177</v>
      </c>
      <c r="C977" s="1">
        <v>178567.0</v>
      </c>
      <c r="D977" s="1">
        <v>543.987332544804</v>
      </c>
      <c r="E977" s="1" t="s">
        <v>1728</v>
      </c>
      <c r="F977" s="1" t="s">
        <v>1729</v>
      </c>
      <c r="G977" s="1">
        <v>328.25580545167</v>
      </c>
      <c r="H977" s="1">
        <v>16.945500307</v>
      </c>
      <c r="I977" s="1">
        <v>3.7543930867</v>
      </c>
      <c r="J977" s="1">
        <v>7.2551007477</v>
      </c>
      <c r="K977" s="1">
        <v>17.758993667</v>
      </c>
      <c r="L977" s="1">
        <v>36.7</v>
      </c>
      <c r="M977" s="1">
        <v>7.4</v>
      </c>
      <c r="N977" s="1">
        <v>24.8</v>
      </c>
      <c r="O977" s="1">
        <v>92.992907483</v>
      </c>
      <c r="P977" s="1">
        <v>8.917436811</v>
      </c>
      <c r="Q977" s="1">
        <v>72.95706</v>
      </c>
      <c r="R977" s="1">
        <v>88.3</v>
      </c>
      <c r="S977" s="1">
        <v>17.5</v>
      </c>
      <c r="T977" s="1">
        <v>42180.0</v>
      </c>
      <c r="U977" s="1">
        <v>30.014224751</v>
      </c>
      <c r="V977" s="1">
        <v>443.66795519</v>
      </c>
      <c r="W977" s="1">
        <v>13.307047807</v>
      </c>
      <c r="X977" s="1">
        <v>10.9068975309999</v>
      </c>
      <c r="Y977" s="1">
        <v>76.9059782889999</v>
      </c>
      <c r="Z977" s="1">
        <v>11.3</v>
      </c>
      <c r="AA977" s="1">
        <v>9.4935998938</v>
      </c>
      <c r="AB977" s="1">
        <v>53612.0</v>
      </c>
      <c r="AC977" s="1">
        <v>53.403398143</v>
      </c>
      <c r="AD977" s="1">
        <v>64.801366344</v>
      </c>
      <c r="AE977" s="1">
        <v>11.398148279</v>
      </c>
      <c r="AF977" s="1">
        <v>7.748212666</v>
      </c>
      <c r="AG977" s="1">
        <v>1.4146558572</v>
      </c>
      <c r="AH977" s="1">
        <v>1.57127645789999</v>
      </c>
      <c r="AI977" s="1">
        <v>0.1245077437</v>
      </c>
      <c r="AJ977" s="1">
        <v>12.628803543</v>
      </c>
      <c r="AK977" s="1">
        <v>73.70464059</v>
      </c>
      <c r="AL977" s="1">
        <v>1.3792110913</v>
      </c>
      <c r="AM977" s="1">
        <v>51.572684917</v>
      </c>
      <c r="AN977" s="1">
        <v>15.8244068029999</v>
      </c>
      <c r="AO977" s="1">
        <v>27534.0</v>
      </c>
      <c r="AP977" s="1">
        <v>14.5</v>
      </c>
      <c r="AQ977" s="1">
        <v>6.0</v>
      </c>
      <c r="AR977" s="1">
        <v>8.9</v>
      </c>
      <c r="AS977" s="1">
        <v>16.0</v>
      </c>
      <c r="AT977" s="1">
        <v>24.3</v>
      </c>
      <c r="AU977" s="1">
        <v>14.5</v>
      </c>
      <c r="AV977" s="1">
        <v>25.2</v>
      </c>
      <c r="AW977" s="1">
        <v>1.5</v>
      </c>
      <c r="AX977" s="1">
        <v>0.5486</v>
      </c>
      <c r="AY977" s="1">
        <v>9.8</v>
      </c>
      <c r="AZ977" s="1">
        <v>12.6</v>
      </c>
      <c r="BA977" s="1">
        <v>18.4</v>
      </c>
      <c r="BB977" s="1">
        <v>2.96</v>
      </c>
      <c r="BC977" s="1" t="s">
        <v>1588</v>
      </c>
      <c r="BD977" s="1">
        <v>7.8</v>
      </c>
      <c r="BE977" s="1">
        <v>31.4</v>
      </c>
      <c r="BF977" s="1">
        <v>29.9</v>
      </c>
      <c r="BG977" s="1">
        <v>30.9</v>
      </c>
      <c r="BH977" s="1" t="s">
        <v>1729</v>
      </c>
    </row>
    <row r="978">
      <c r="A978" s="1">
        <v>20179.0</v>
      </c>
      <c r="B978" s="2" t="str">
        <f>IFERROR(__xludf.DUMMYFUNCTION("TO_TEXT(A978)"),"20179")</f>
        <v>20179</v>
      </c>
      <c r="C978" s="1">
        <v>2522.0</v>
      </c>
      <c r="D978" s="1">
        <v>895.956758211008</v>
      </c>
      <c r="E978" s="1" t="s">
        <v>1730</v>
      </c>
      <c r="F978" s="1" t="s">
        <v>1731</v>
      </c>
      <c r="G978" s="1">
        <v>2.81486799099074</v>
      </c>
      <c r="H978" s="1">
        <v>14.909478787</v>
      </c>
      <c r="I978" s="1">
        <v>3.6396180408</v>
      </c>
      <c r="J978" s="1">
        <v>6.7010309278</v>
      </c>
      <c r="K978" s="1">
        <v>14.977671116</v>
      </c>
      <c r="L978" s="1">
        <v>23.7</v>
      </c>
      <c r="M978" s="1">
        <v>8.1</v>
      </c>
      <c r="N978" s="1">
        <v>26.1</v>
      </c>
      <c r="O978" s="1">
        <v>62.949921753</v>
      </c>
      <c r="P978" s="1">
        <v>19.55624355</v>
      </c>
      <c r="Q978" s="1">
        <v>39.57262</v>
      </c>
      <c r="R978" s="1">
        <v>96.2</v>
      </c>
      <c r="S978" s="1">
        <v>21.9</v>
      </c>
      <c r="T978" s="1">
        <v>612.0</v>
      </c>
      <c r="U978" s="1">
        <v>32.843137255</v>
      </c>
      <c r="V978" s="1">
        <v>117.41682975</v>
      </c>
      <c r="W978" s="1">
        <v>6.0</v>
      </c>
      <c r="X978" s="1">
        <v>5.5846422339</v>
      </c>
      <c r="Y978" s="1">
        <v>82.836169093</v>
      </c>
      <c r="Z978" s="1">
        <v>7.7</v>
      </c>
      <c r="AA978" s="1">
        <v>9.7411257428</v>
      </c>
      <c r="AB978" s="1">
        <v>50553.0</v>
      </c>
      <c r="AC978" s="1">
        <v>38.148148148</v>
      </c>
      <c r="AD978" s="1">
        <v>73.721340388</v>
      </c>
      <c r="AE978" s="1">
        <v>9.5969289827</v>
      </c>
      <c r="AF978" s="1">
        <v>0.4342676668</v>
      </c>
      <c r="AG978" s="1">
        <v>0.592183182</v>
      </c>
      <c r="AH978" s="1">
        <v>0.4342676668</v>
      </c>
      <c r="AI978" s="1">
        <v>0.0394788788</v>
      </c>
      <c r="AJ978" s="1">
        <v>5.6454796684</v>
      </c>
      <c r="AK978" s="1">
        <v>92.380576392</v>
      </c>
      <c r="AL978" s="1">
        <v>0.3808717732</v>
      </c>
      <c r="AM978" s="1">
        <v>49.7039084089999</v>
      </c>
      <c r="AN978" s="1">
        <v>100.0</v>
      </c>
      <c r="AO978" s="1">
        <v>29604.0</v>
      </c>
      <c r="AP978" s="1">
        <v>6.1</v>
      </c>
      <c r="AQ978" s="1">
        <v>1.4</v>
      </c>
      <c r="AR978" s="1">
        <v>8.6</v>
      </c>
      <c r="AS978" s="1">
        <v>23.0</v>
      </c>
      <c r="AT978" s="1">
        <v>23.3</v>
      </c>
      <c r="AU978" s="1">
        <v>14.6</v>
      </c>
      <c r="AV978" s="1">
        <v>5.8</v>
      </c>
      <c r="AW978" s="1">
        <v>1.3</v>
      </c>
      <c r="AX978" s="1">
        <v>0.0567</v>
      </c>
      <c r="AY978" s="1">
        <v>11.8</v>
      </c>
      <c r="AZ978" s="1">
        <v>10.0</v>
      </c>
      <c r="BA978" s="1">
        <v>15.4</v>
      </c>
      <c r="BB978" s="1">
        <v>3.17</v>
      </c>
      <c r="BC978" s="1" t="s">
        <v>1588</v>
      </c>
      <c r="BD978" s="1">
        <v>3.9</v>
      </c>
      <c r="BE978" s="1">
        <v>34.1</v>
      </c>
      <c r="BF978" s="1">
        <v>40.0</v>
      </c>
      <c r="BG978" s="1">
        <v>22.0</v>
      </c>
      <c r="BH978" s="1" t="s">
        <v>1731</v>
      </c>
    </row>
    <row r="979">
      <c r="A979" s="1">
        <v>20181.0</v>
      </c>
      <c r="B979" s="2" t="str">
        <f>IFERROR(__xludf.DUMMYFUNCTION("TO_TEXT(A979)"),"20181")</f>
        <v>20181</v>
      </c>
      <c r="C979" s="1">
        <v>6038.0</v>
      </c>
      <c r="D979" s="1">
        <v>1056.06360544711</v>
      </c>
      <c r="E979" s="1" t="s">
        <v>1732</v>
      </c>
      <c r="F979" s="1" t="s">
        <v>1733</v>
      </c>
      <c r="G979" s="1">
        <v>5.7174586538693</v>
      </c>
      <c r="H979" s="1">
        <v>15.117412355</v>
      </c>
      <c r="I979" s="1">
        <v>3.5336246057</v>
      </c>
      <c r="J979" s="1">
        <v>8.1632653061</v>
      </c>
      <c r="K979" s="1">
        <v>15.6911755079999</v>
      </c>
      <c r="L979" s="1">
        <v>39.7</v>
      </c>
      <c r="M979" s="1">
        <v>5.9</v>
      </c>
      <c r="N979" s="1">
        <v>28.8</v>
      </c>
      <c r="O979" s="1">
        <v>81.980033278</v>
      </c>
      <c r="P979" s="1">
        <v>10.065691884</v>
      </c>
      <c r="Q979" s="1">
        <v>33.72681</v>
      </c>
      <c r="R979" s="1">
        <v>89.9</v>
      </c>
      <c r="S979" s="1">
        <v>20.1</v>
      </c>
      <c r="T979" s="1">
        <v>1425.0</v>
      </c>
      <c r="U979" s="1">
        <v>34.175438596</v>
      </c>
      <c r="V979" s="1">
        <v>239.86765922</v>
      </c>
      <c r="W979" s="1">
        <v>14.260249554</v>
      </c>
      <c r="X979" s="1">
        <v>11.7983553809999</v>
      </c>
      <c r="Y979" s="1">
        <v>77.8264546389999</v>
      </c>
      <c r="Z979" s="1">
        <v>19.9</v>
      </c>
      <c r="AA979" s="1">
        <v>27.389563665</v>
      </c>
      <c r="AB979" s="1">
        <v>45966.0</v>
      </c>
      <c r="AC979" s="1">
        <v>51.856017998</v>
      </c>
      <c r="AD979" s="1">
        <v>64.288410721</v>
      </c>
      <c r="AE979" s="1">
        <v>14.280078895</v>
      </c>
      <c r="AF979" s="1">
        <v>0.8306492626</v>
      </c>
      <c r="AG979" s="1">
        <v>0.6611290049</v>
      </c>
      <c r="AH979" s="1">
        <v>0.5255127988</v>
      </c>
      <c r="AI979" s="1">
        <v>0.2034243092</v>
      </c>
      <c r="AJ979" s="1">
        <v>12.612307171</v>
      </c>
      <c r="AK979" s="1">
        <v>84.082047805</v>
      </c>
      <c r="AL979" s="1">
        <v>0.2341076895</v>
      </c>
      <c r="AM979" s="1">
        <v>49.838955755</v>
      </c>
      <c r="AN979" s="1">
        <v>24.242928453</v>
      </c>
      <c r="AO979" s="1">
        <v>24494.0</v>
      </c>
      <c r="AP979" s="1">
        <v>17.0</v>
      </c>
      <c r="AQ979" s="1">
        <v>3.7</v>
      </c>
      <c r="AR979" s="1">
        <v>8.6</v>
      </c>
      <c r="AS979" s="1">
        <v>19.2</v>
      </c>
      <c r="AT979" s="1">
        <v>23.8</v>
      </c>
      <c r="AU979" s="1">
        <v>16.5</v>
      </c>
      <c r="AV979" s="1">
        <v>15.0</v>
      </c>
      <c r="AW979" s="1">
        <v>0.4</v>
      </c>
      <c r="AX979" s="1">
        <v>0.3117</v>
      </c>
      <c r="AY979" s="1">
        <v>12.5</v>
      </c>
      <c r="AZ979" s="1">
        <v>14.8</v>
      </c>
      <c r="BA979" s="1">
        <v>22.6</v>
      </c>
      <c r="BB979" s="1">
        <v>3.16</v>
      </c>
      <c r="BC979" s="1" t="s">
        <v>1588</v>
      </c>
      <c r="BD979" s="1">
        <v>7.7</v>
      </c>
      <c r="BE979" s="1">
        <v>30.3</v>
      </c>
      <c r="BF979" s="1">
        <v>40.3</v>
      </c>
      <c r="BG979" s="1">
        <v>21.8</v>
      </c>
      <c r="BH979" s="1" t="s">
        <v>1733</v>
      </c>
    </row>
    <row r="980">
      <c r="A980" s="1">
        <v>20183.0</v>
      </c>
      <c r="B980" s="2" t="str">
        <f>IFERROR(__xludf.DUMMYFUNCTION("TO_TEXT(A980)"),"20183")</f>
        <v>20183</v>
      </c>
      <c r="C980" s="1">
        <v>3701.0</v>
      </c>
      <c r="D980" s="1">
        <v>895.463913679884</v>
      </c>
      <c r="E980" s="1" t="s">
        <v>1734</v>
      </c>
      <c r="F980" s="1" t="s">
        <v>1735</v>
      </c>
      <c r="G980" s="1">
        <v>4.13305320679071</v>
      </c>
      <c r="H980" s="1">
        <v>14.705830934</v>
      </c>
      <c r="I980" s="1">
        <v>3.8158328595</v>
      </c>
      <c r="J980" s="1">
        <v>5.7915057915</v>
      </c>
      <c r="K980" s="1">
        <v>16.038473183</v>
      </c>
      <c r="L980" s="1">
        <v>37.4</v>
      </c>
      <c r="M980" s="1">
        <v>7.3</v>
      </c>
      <c r="N980" s="1">
        <v>28.6</v>
      </c>
      <c r="O980" s="1">
        <v>48.611471581</v>
      </c>
      <c r="P980" s="1">
        <v>12.99734748</v>
      </c>
      <c r="Q980" s="1">
        <v>163.57688</v>
      </c>
      <c r="R980" s="1">
        <v>100.0</v>
      </c>
      <c r="S980" s="1">
        <v>18.0</v>
      </c>
      <c r="T980" s="1">
        <v>714.0</v>
      </c>
      <c r="U980" s="1">
        <v>21.708683473</v>
      </c>
      <c r="V980" s="1">
        <v>48.216007715</v>
      </c>
      <c r="W980" s="1">
        <v>10.0</v>
      </c>
      <c r="X980" s="1">
        <v>8.4816132859</v>
      </c>
      <c r="Y980" s="1">
        <v>78.764140585</v>
      </c>
      <c r="Z980" s="1">
        <v>8.4</v>
      </c>
      <c r="AA980" s="1">
        <v>12.250801895</v>
      </c>
      <c r="AB980" s="1">
        <v>41899.0</v>
      </c>
      <c r="AC980" s="1">
        <v>49.709864603</v>
      </c>
      <c r="AD980" s="1">
        <v>78.2272456869999</v>
      </c>
      <c r="AE980" s="1">
        <v>7.5989782886</v>
      </c>
      <c r="AF980" s="1">
        <v>0.2220371912</v>
      </c>
      <c r="AG980" s="1">
        <v>0.3885650847</v>
      </c>
      <c r="AH980" s="1">
        <v>0.5273383292</v>
      </c>
      <c r="AI980" s="1">
        <v>0.1387732445</v>
      </c>
      <c r="AJ980" s="1">
        <v>2.2758812101</v>
      </c>
      <c r="AK980" s="1">
        <v>94.643352762</v>
      </c>
      <c r="AL980" s="1">
        <v>0.0573723465</v>
      </c>
      <c r="AM980" s="1">
        <v>50.263669165</v>
      </c>
      <c r="AN980" s="1">
        <v>100.0</v>
      </c>
      <c r="AO980" s="1">
        <v>27870.0</v>
      </c>
      <c r="AP980" s="1">
        <v>13.9</v>
      </c>
      <c r="AQ980" s="1">
        <v>3.6</v>
      </c>
      <c r="AR980" s="1">
        <v>8.4</v>
      </c>
      <c r="AS980" s="1">
        <v>26.8</v>
      </c>
      <c r="AT980" s="1">
        <v>19.2</v>
      </c>
      <c r="AU980" s="1">
        <v>18.2</v>
      </c>
      <c r="AV980" s="1">
        <v>2.8</v>
      </c>
      <c r="AW980" s="1">
        <v>0.0</v>
      </c>
      <c r="AX980" s="1">
        <v>0.0404</v>
      </c>
      <c r="AY980" s="1">
        <v>11.6</v>
      </c>
      <c r="AZ980" s="1">
        <v>12.9</v>
      </c>
      <c r="BA980" s="1">
        <v>23.1</v>
      </c>
      <c r="BB980" s="1">
        <v>3.3</v>
      </c>
      <c r="BC980" s="1" t="s">
        <v>1588</v>
      </c>
      <c r="BD980" s="1">
        <v>7.0</v>
      </c>
      <c r="BE980" s="1">
        <v>35.9</v>
      </c>
      <c r="BF980" s="1">
        <v>34.8</v>
      </c>
      <c r="BG980" s="1">
        <v>22.3</v>
      </c>
      <c r="BH980" s="1" t="s">
        <v>1735</v>
      </c>
    </row>
    <row r="981">
      <c r="A981" s="1">
        <v>20185.0</v>
      </c>
      <c r="B981" s="2" t="str">
        <f>IFERROR(__xludf.DUMMYFUNCTION("TO_TEXT(A981)"),"20185")</f>
        <v>20185</v>
      </c>
      <c r="C981" s="1">
        <v>4284.0</v>
      </c>
      <c r="D981" s="1">
        <v>792.04568911552</v>
      </c>
      <c r="E981" s="1" t="s">
        <v>1736</v>
      </c>
      <c r="F981" s="1" t="s">
        <v>1737</v>
      </c>
      <c r="G981" s="1">
        <v>5.40877888595538</v>
      </c>
      <c r="H981" s="1">
        <v>16.230575141</v>
      </c>
      <c r="I981" s="1">
        <v>3.6227739609</v>
      </c>
      <c r="J981" s="1">
        <v>7.80443539465</v>
      </c>
      <c r="K981" s="1">
        <v>15.930257854</v>
      </c>
      <c r="L981" s="1">
        <v>32.3</v>
      </c>
      <c r="M981" s="1">
        <v>7.8</v>
      </c>
      <c r="N981" s="1">
        <v>24.1</v>
      </c>
      <c r="O981" s="1">
        <v>67.523101195</v>
      </c>
      <c r="P981" s="1">
        <v>16.76300578</v>
      </c>
      <c r="Q981" s="1">
        <v>23.76991</v>
      </c>
      <c r="R981" s="1">
        <v>84.0</v>
      </c>
      <c r="S981" s="1">
        <v>20.5</v>
      </c>
      <c r="T981" s="1">
        <v>986.0</v>
      </c>
      <c r="U981" s="1">
        <v>26.369168357</v>
      </c>
      <c r="V981" s="1">
        <v>199.48368927</v>
      </c>
      <c r="W981" s="1">
        <v>7.62711864409999</v>
      </c>
      <c r="X981" s="1">
        <v>5.3530751708</v>
      </c>
      <c r="Y981" s="1">
        <v>77.230018691</v>
      </c>
      <c r="Z981" s="1">
        <v>16.3</v>
      </c>
      <c r="AA981" s="1">
        <v>9.6049568005</v>
      </c>
      <c r="AB981" s="1">
        <v>47835.0</v>
      </c>
      <c r="AC981" s="1">
        <v>60.172626387</v>
      </c>
      <c r="AD981" s="1">
        <v>81.943677526</v>
      </c>
      <c r="AE981" s="1">
        <v>7.7885162024</v>
      </c>
      <c r="AF981" s="1">
        <v>0.311153662</v>
      </c>
      <c r="AG981" s="1">
        <v>2.1541407372</v>
      </c>
      <c r="AH981" s="1">
        <v>0.4547630445</v>
      </c>
      <c r="AI981" s="1">
        <v>0.0239348971</v>
      </c>
      <c r="AJ981" s="1">
        <v>13.1881282909999</v>
      </c>
      <c r="AK981" s="1">
        <v>83.413116324</v>
      </c>
      <c r="AL981" s="1">
        <v>1.9642407454</v>
      </c>
      <c r="AM981" s="1">
        <v>49.234083293</v>
      </c>
      <c r="AN981" s="1">
        <v>100.0</v>
      </c>
      <c r="AO981" s="1">
        <v>25046.0</v>
      </c>
      <c r="AP981" s="1">
        <v>15.8</v>
      </c>
      <c r="AQ981" s="1">
        <v>3.5</v>
      </c>
      <c r="AR981" s="1">
        <v>12.1</v>
      </c>
      <c r="AS981" s="1">
        <v>20.5</v>
      </c>
      <c r="AT981" s="1">
        <v>24.0</v>
      </c>
      <c r="AU981" s="1">
        <v>15.1</v>
      </c>
      <c r="AV981" s="1">
        <v>16.1</v>
      </c>
      <c r="AW981" s="1">
        <v>3.0</v>
      </c>
      <c r="AX981" s="1">
        <v>0.2983</v>
      </c>
      <c r="AY981" s="1">
        <v>13.7</v>
      </c>
      <c r="AZ981" s="1">
        <v>12.1</v>
      </c>
      <c r="BA981" s="1">
        <v>18.4</v>
      </c>
      <c r="BB981" s="1">
        <v>2.89</v>
      </c>
      <c r="BC981" s="1" t="s">
        <v>1588</v>
      </c>
      <c r="BD981" s="1">
        <v>9.3</v>
      </c>
      <c r="BE981" s="1">
        <v>29.3</v>
      </c>
      <c r="BF981" s="1">
        <v>36.1</v>
      </c>
      <c r="BG981" s="1">
        <v>25.2</v>
      </c>
      <c r="BH981" s="1" t="s">
        <v>1737</v>
      </c>
    </row>
    <row r="982">
      <c r="A982" s="1">
        <v>20187.0</v>
      </c>
      <c r="B982" s="2" t="str">
        <f>IFERROR(__xludf.DUMMYFUNCTION("TO_TEXT(A982)"),"20187")</f>
        <v>20187</v>
      </c>
      <c r="C982" s="1">
        <v>2115.0</v>
      </c>
      <c r="D982" s="1">
        <v>680.352078608836</v>
      </c>
      <c r="E982" s="1" t="s">
        <v>1738</v>
      </c>
      <c r="F982" s="1" t="s">
        <v>1739</v>
      </c>
      <c r="G982" s="1">
        <v>3.10868455686163</v>
      </c>
      <c r="H982" s="1">
        <v>18.49325547</v>
      </c>
      <c r="I982" s="1">
        <v>3.5688318857</v>
      </c>
      <c r="J982" s="1">
        <v>6.7632850242</v>
      </c>
      <c r="K982" s="1">
        <v>16.028065507</v>
      </c>
      <c r="L982" s="1">
        <v>37.9</v>
      </c>
      <c r="M982" s="1">
        <v>9.0</v>
      </c>
      <c r="N982" s="1">
        <v>32.0</v>
      </c>
      <c r="O982" s="1">
        <v>71.6778523489999</v>
      </c>
      <c r="P982" s="1">
        <v>18.1384248209999</v>
      </c>
      <c r="Q982" s="1">
        <v>48.54369</v>
      </c>
      <c r="R982" s="1">
        <v>90.0</v>
      </c>
      <c r="S982" s="1">
        <v>16.6</v>
      </c>
      <c r="T982" s="1">
        <v>561.0</v>
      </c>
      <c r="U982" s="1">
        <v>17.825311943</v>
      </c>
      <c r="V982" s="1">
        <v>204.509002055</v>
      </c>
      <c r="W982" s="1">
        <v>7.4074074074</v>
      </c>
      <c r="X982" s="1">
        <v>6.0377358491</v>
      </c>
      <c r="Y982" s="1">
        <v>78.990185916</v>
      </c>
      <c r="Z982" s="1">
        <v>3.8</v>
      </c>
      <c r="AA982" s="1">
        <v>4.1637313647</v>
      </c>
      <c r="AB982" s="1">
        <v>60136.0</v>
      </c>
      <c r="AC982" s="1">
        <v>62.75862069</v>
      </c>
      <c r="AD982" s="1">
        <v>81.66047088</v>
      </c>
      <c r="AE982" s="1">
        <v>8.7866108787</v>
      </c>
      <c r="AF982" s="1">
        <v>0.6039255159</v>
      </c>
      <c r="AG982" s="1">
        <v>2.2143935581</v>
      </c>
      <c r="AH982" s="1">
        <v>0.5535983895</v>
      </c>
      <c r="AI982" s="1">
        <v>0.2013085053</v>
      </c>
      <c r="AJ982" s="1">
        <v>37.695017614</v>
      </c>
      <c r="AK982" s="1">
        <v>59.3860090589999</v>
      </c>
      <c r="AL982" s="1">
        <v>2.3821853962</v>
      </c>
      <c r="AM982" s="1">
        <v>50.176144942</v>
      </c>
      <c r="AN982" s="1">
        <v>100.0</v>
      </c>
      <c r="AO982" s="1">
        <v>22383.0</v>
      </c>
      <c r="AP982" s="1">
        <v>7.3</v>
      </c>
      <c r="AQ982" s="1">
        <v>1.1</v>
      </c>
      <c r="AR982" s="1">
        <v>18.9</v>
      </c>
      <c r="AS982" s="1">
        <v>17.6</v>
      </c>
      <c r="AT982" s="1">
        <v>28.4</v>
      </c>
      <c r="AU982" s="1">
        <v>11.7</v>
      </c>
      <c r="AV982" s="1">
        <v>37.8</v>
      </c>
      <c r="AW982" s="1">
        <v>5.8</v>
      </c>
      <c r="AX982" s="1">
        <v>0.3916</v>
      </c>
      <c r="AY982" s="1">
        <v>10.6</v>
      </c>
      <c r="AZ982" s="1">
        <v>11.4</v>
      </c>
      <c r="BA982" s="1">
        <v>17.2</v>
      </c>
      <c r="BB982" s="1">
        <v>2.82</v>
      </c>
      <c r="BC982" s="1" t="s">
        <v>1588</v>
      </c>
      <c r="BD982" s="1">
        <v>21.5</v>
      </c>
      <c r="BE982" s="1">
        <v>29.6</v>
      </c>
      <c r="BF982" s="1">
        <v>30.0</v>
      </c>
      <c r="BG982" s="1">
        <v>19.0</v>
      </c>
      <c r="BH982" s="1" t="s">
        <v>1739</v>
      </c>
    </row>
    <row r="983">
      <c r="A983" s="1">
        <v>20189.0</v>
      </c>
      <c r="B983" s="2" t="str">
        <f>IFERROR(__xludf.DUMMYFUNCTION("TO_TEXT(A983)"),"20189")</f>
        <v>20189</v>
      </c>
      <c r="C983" s="1">
        <v>5738.0</v>
      </c>
      <c r="D983" s="1">
        <v>727.263343422972</v>
      </c>
      <c r="E983" s="1" t="s">
        <v>1740</v>
      </c>
      <c r="F983" s="1" t="s">
        <v>1741</v>
      </c>
      <c r="G983" s="1">
        <v>7.88985180112785</v>
      </c>
      <c r="H983" s="1">
        <v>18.9104386279999</v>
      </c>
      <c r="I983" s="1">
        <v>3.7395352265</v>
      </c>
      <c r="J983" s="1">
        <v>3.8391224863</v>
      </c>
      <c r="K983" s="1">
        <v>16.42286594</v>
      </c>
      <c r="L983" s="1">
        <v>37.8</v>
      </c>
      <c r="M983" s="1">
        <v>8.6</v>
      </c>
      <c r="N983" s="1">
        <v>25.9</v>
      </c>
      <c r="O983" s="1">
        <v>55.835080363</v>
      </c>
      <c r="P983" s="1">
        <v>16.409388877</v>
      </c>
      <c r="Q983" s="1">
        <v>35.63792</v>
      </c>
      <c r="R983" s="1">
        <v>90.2</v>
      </c>
      <c r="S983" s="1">
        <v>15.3</v>
      </c>
      <c r="T983" s="1">
        <v>1686.0</v>
      </c>
      <c r="U983" s="1">
        <v>14.53143535</v>
      </c>
      <c r="V983" s="1">
        <v>87.851405622</v>
      </c>
      <c r="W983" s="1">
        <v>12.5654450259999</v>
      </c>
      <c r="X983" s="1">
        <v>11.774193548</v>
      </c>
      <c r="Y983" s="1">
        <v>79.68090182</v>
      </c>
      <c r="Z983" s="1">
        <v>11.5</v>
      </c>
      <c r="AA983" s="1">
        <v>5.4586524468</v>
      </c>
      <c r="AB983" s="1">
        <v>58817.0</v>
      </c>
      <c r="AC983" s="1">
        <v>60.271782574</v>
      </c>
      <c r="AD983" s="1">
        <v>68.759811617</v>
      </c>
      <c r="AE983" s="1">
        <v>13.663133098</v>
      </c>
      <c r="AF983" s="1">
        <v>0.557654254399999</v>
      </c>
      <c r="AG983" s="1">
        <v>2.122683936</v>
      </c>
      <c r="AH983" s="1">
        <v>0.6655873359</v>
      </c>
      <c r="AI983" s="1">
        <v>0.1439107753</v>
      </c>
      <c r="AJ983" s="1">
        <v>36.823169635</v>
      </c>
      <c r="AK983" s="1">
        <v>59.902860227</v>
      </c>
      <c r="AL983" s="1">
        <v>8.9421613394</v>
      </c>
      <c r="AM983" s="1">
        <v>50.458715596</v>
      </c>
      <c r="AN983" s="1">
        <v>31.236897275</v>
      </c>
      <c r="AO983" s="1">
        <v>23579.0</v>
      </c>
      <c r="AP983" s="1">
        <v>18.0</v>
      </c>
      <c r="AQ983" s="1">
        <v>3.7</v>
      </c>
      <c r="AR983" s="1">
        <v>16.7</v>
      </c>
      <c r="AS983" s="1">
        <v>12.6</v>
      </c>
      <c r="AT983" s="1">
        <v>30.9</v>
      </c>
      <c r="AU983" s="1">
        <v>9.6</v>
      </c>
      <c r="AV983" s="1">
        <v>37.4</v>
      </c>
      <c r="AW983" s="1">
        <v>6.7</v>
      </c>
      <c r="AX983" s="1">
        <v>0.375</v>
      </c>
      <c r="AY983" s="1">
        <v>9.7</v>
      </c>
      <c r="AZ983" s="1">
        <v>11.6</v>
      </c>
      <c r="BA983" s="1">
        <v>18.8</v>
      </c>
      <c r="BB983" s="1">
        <v>2.91</v>
      </c>
      <c r="BC983" s="1" t="s">
        <v>1588</v>
      </c>
      <c r="BD983" s="1">
        <v>21.8</v>
      </c>
      <c r="BE983" s="1">
        <v>25.8</v>
      </c>
      <c r="BF983" s="1">
        <v>38.7</v>
      </c>
      <c r="BG983" s="1">
        <v>13.7</v>
      </c>
      <c r="BH983" s="1" t="s">
        <v>1741</v>
      </c>
    </row>
    <row r="984">
      <c r="A984" s="1">
        <v>20191.0</v>
      </c>
      <c r="B984" s="2" t="str">
        <f>IFERROR(__xludf.DUMMYFUNCTION("TO_TEXT(A984)"),"20191")</f>
        <v>20191</v>
      </c>
      <c r="C984" s="1">
        <v>23509.0</v>
      </c>
      <c r="D984" s="1">
        <v>1181.62311483965</v>
      </c>
      <c r="E984" s="1" t="s">
        <v>1742</v>
      </c>
      <c r="F984" s="1" t="s">
        <v>1743</v>
      </c>
      <c r="G984" s="1">
        <v>19.8955146567103</v>
      </c>
      <c r="H984" s="1">
        <v>18.052521959</v>
      </c>
      <c r="I984" s="1">
        <v>3.789139071</v>
      </c>
      <c r="J984" s="1">
        <v>6.9131832797</v>
      </c>
      <c r="K984" s="1">
        <v>16.516888994</v>
      </c>
      <c r="L984" s="1">
        <v>42.3</v>
      </c>
      <c r="M984" s="1">
        <v>7.5</v>
      </c>
      <c r="N984" s="1">
        <v>31.9</v>
      </c>
      <c r="O984" s="1">
        <v>54.666003647</v>
      </c>
      <c r="P984" s="1">
        <v>9.690293742</v>
      </c>
      <c r="Q984" s="1">
        <v>34.54381</v>
      </c>
      <c r="R984" s="1">
        <v>92.8</v>
      </c>
      <c r="S984" s="1">
        <v>16.7</v>
      </c>
      <c r="T984" s="1">
        <v>5720.0</v>
      </c>
      <c r="U984" s="1">
        <v>25.41958042</v>
      </c>
      <c r="V984" s="1">
        <v>201.53253311</v>
      </c>
      <c r="W984" s="1">
        <v>11.147721032</v>
      </c>
      <c r="X984" s="1">
        <v>8.0578742348</v>
      </c>
      <c r="Y984" s="1">
        <v>77.5108843719999</v>
      </c>
      <c r="Z984" s="1">
        <v>13.3</v>
      </c>
      <c r="AA984" s="1">
        <v>10.00910451</v>
      </c>
      <c r="AB984" s="1">
        <v>56946.0</v>
      </c>
      <c r="AC984" s="1">
        <v>47.935656836</v>
      </c>
      <c r="AD984" s="1">
        <v>73.479240425</v>
      </c>
      <c r="AE984" s="1">
        <v>8.8333705108</v>
      </c>
      <c r="AF984" s="1">
        <v>1.1567229083</v>
      </c>
      <c r="AG984" s="1">
        <v>1.2958775439</v>
      </c>
      <c r="AH984" s="1">
        <v>0.5218298835</v>
      </c>
      <c r="AI984" s="1">
        <v>0.0260914942</v>
      </c>
      <c r="AJ984" s="1">
        <v>5.4487736998</v>
      </c>
      <c r="AK984" s="1">
        <v>89.406853366</v>
      </c>
      <c r="AL984" s="1">
        <v>0.132972625999999</v>
      </c>
      <c r="AM984" s="1">
        <v>49.90867977</v>
      </c>
      <c r="AN984" s="1">
        <v>62.854301343</v>
      </c>
      <c r="AO984" s="1">
        <v>24764.0</v>
      </c>
      <c r="AP984" s="1">
        <v>12.5</v>
      </c>
      <c r="AQ984" s="1">
        <v>6.0</v>
      </c>
      <c r="AR984" s="1">
        <v>8.7</v>
      </c>
      <c r="AS984" s="1">
        <v>17.2</v>
      </c>
      <c r="AT984" s="1">
        <v>25.1</v>
      </c>
      <c r="AU984" s="1">
        <v>13.4</v>
      </c>
      <c r="AV984" s="1">
        <v>9.8</v>
      </c>
      <c r="AW984" s="1">
        <v>0.2</v>
      </c>
      <c r="AX984" s="1">
        <v>0.1987</v>
      </c>
      <c r="AY984" s="1">
        <v>11.4</v>
      </c>
      <c r="AZ984" s="1">
        <v>12.6</v>
      </c>
      <c r="BA984" s="1">
        <v>19.4</v>
      </c>
      <c r="BB984" s="1">
        <v>2.99</v>
      </c>
      <c r="BC984" s="1" t="s">
        <v>1588</v>
      </c>
      <c r="BD984" s="1">
        <v>7.7</v>
      </c>
      <c r="BE984" s="1">
        <v>34.9</v>
      </c>
      <c r="BF984" s="1">
        <v>34.1</v>
      </c>
      <c r="BG984" s="1">
        <v>23.3</v>
      </c>
      <c r="BH984" s="1" t="s">
        <v>1743</v>
      </c>
    </row>
    <row r="985">
      <c r="A985" s="1">
        <v>20193.0</v>
      </c>
      <c r="B985" s="2" t="str">
        <f>IFERROR(__xludf.DUMMYFUNCTION("TO_TEXT(A985)"),"20193")</f>
        <v>20193</v>
      </c>
      <c r="C985" s="1">
        <v>7909.0</v>
      </c>
      <c r="D985" s="1">
        <v>1074.68601996801</v>
      </c>
      <c r="E985" s="1" t="s">
        <v>1022</v>
      </c>
      <c r="F985" s="1" t="s">
        <v>1744</v>
      </c>
      <c r="G985" s="1">
        <v>7.35935878298242</v>
      </c>
      <c r="H985" s="1">
        <v>15.0160796359999</v>
      </c>
      <c r="I985" s="1">
        <v>3.5676364395</v>
      </c>
      <c r="J985" s="1">
        <v>6.2578222778</v>
      </c>
      <c r="K985" s="1">
        <v>15.744579668</v>
      </c>
      <c r="L985" s="1">
        <v>33.4</v>
      </c>
      <c r="M985" s="1">
        <v>7.6</v>
      </c>
      <c r="N985" s="1">
        <v>30.7</v>
      </c>
      <c r="O985" s="1">
        <v>77.7088607589999</v>
      </c>
      <c r="P985" s="1">
        <v>9.2735454838</v>
      </c>
      <c r="Q985" s="1">
        <v>64.20134</v>
      </c>
      <c r="R985" s="1">
        <v>88.6</v>
      </c>
      <c r="S985" s="1">
        <v>12.0</v>
      </c>
      <c r="T985" s="1">
        <v>1755.0</v>
      </c>
      <c r="U985" s="1">
        <v>13.3333333329999</v>
      </c>
      <c r="V985" s="1">
        <v>234.05870445</v>
      </c>
      <c r="W985" s="1">
        <v>13.13755796</v>
      </c>
      <c r="X985" s="1">
        <v>12.130637636</v>
      </c>
      <c r="Y985" s="1">
        <v>79.591425839</v>
      </c>
      <c r="Z985" s="1">
        <v>4.9</v>
      </c>
      <c r="AA985" s="1">
        <v>11.183399876</v>
      </c>
      <c r="AB985" s="1">
        <v>55345.0</v>
      </c>
      <c r="AC985" s="1">
        <v>40.747176368</v>
      </c>
      <c r="AD985" s="1">
        <v>72.250833081</v>
      </c>
      <c r="AE985" s="1">
        <v>13.568</v>
      </c>
      <c r="AF985" s="1">
        <v>0.8818570873</v>
      </c>
      <c r="AG985" s="1">
        <v>1.0763843859</v>
      </c>
      <c r="AH985" s="1">
        <v>0.8429516275</v>
      </c>
      <c r="AI985" s="1">
        <v>0.1037478926</v>
      </c>
      <c r="AJ985" s="1">
        <v>7.0289197251</v>
      </c>
      <c r="AK985" s="1">
        <v>89.4306834389999</v>
      </c>
      <c r="AL985" s="1">
        <v>0.5930216522</v>
      </c>
      <c r="AM985" s="1">
        <v>51.0439631689999</v>
      </c>
      <c r="AN985" s="1">
        <v>30.848101266</v>
      </c>
      <c r="AO985" s="1">
        <v>26241.0</v>
      </c>
      <c r="AP985" s="1">
        <v>10.0</v>
      </c>
      <c r="AQ985" s="1">
        <v>1.9</v>
      </c>
      <c r="AR985" s="1">
        <v>4.7</v>
      </c>
      <c r="AS985" s="1">
        <v>15.7</v>
      </c>
      <c r="AT985" s="1">
        <v>22.5</v>
      </c>
      <c r="AU985" s="1">
        <v>11.7</v>
      </c>
      <c r="AV985" s="1">
        <v>8.4</v>
      </c>
      <c r="AW985" s="1">
        <v>0.3</v>
      </c>
      <c r="AX985" s="1">
        <v>0.0471</v>
      </c>
      <c r="AY985" s="1">
        <v>9.1</v>
      </c>
      <c r="AZ985" s="1">
        <v>11.3</v>
      </c>
      <c r="BA985" s="1">
        <v>15.2</v>
      </c>
      <c r="BB985" s="1">
        <v>3.05</v>
      </c>
      <c r="BC985" s="1" t="s">
        <v>1588</v>
      </c>
      <c r="BD985" s="1">
        <v>6.7</v>
      </c>
      <c r="BE985" s="1">
        <v>26.4</v>
      </c>
      <c r="BF985" s="1">
        <v>44.3</v>
      </c>
      <c r="BG985" s="1">
        <v>22.6</v>
      </c>
      <c r="BH985" s="1" t="s">
        <v>1744</v>
      </c>
    </row>
    <row r="986">
      <c r="A986" s="1">
        <v>20195.0</v>
      </c>
      <c r="B986" s="2" t="str">
        <f>IFERROR(__xludf.DUMMYFUNCTION("TO_TEXT(A986)"),"20195")</f>
        <v>20195</v>
      </c>
      <c r="C986" s="1">
        <v>2927.0</v>
      </c>
      <c r="D986" s="1">
        <v>889.475394053381</v>
      </c>
      <c r="E986" s="1" t="s">
        <v>1745</v>
      </c>
      <c r="F986" s="1" t="s">
        <v>1746</v>
      </c>
      <c r="G986" s="1">
        <v>3.29070373342372</v>
      </c>
      <c r="H986" s="1">
        <v>12.206003668</v>
      </c>
      <c r="I986" s="1">
        <v>3.2586440728</v>
      </c>
      <c r="J986" s="1">
        <v>8.4444444444</v>
      </c>
      <c r="K986" s="1">
        <v>13.854813634</v>
      </c>
      <c r="L986" s="1">
        <v>36.4</v>
      </c>
      <c r="M986" s="1">
        <v>8.5</v>
      </c>
      <c r="N986" s="1">
        <v>31.2</v>
      </c>
      <c r="O986" s="1">
        <v>71.009663446</v>
      </c>
      <c r="P986" s="1">
        <v>9.85588098559999</v>
      </c>
      <c r="Q986" s="1">
        <v>34.67406</v>
      </c>
      <c r="R986" s="1">
        <v>94.6</v>
      </c>
      <c r="S986" s="1">
        <v>16.3</v>
      </c>
      <c r="T986" s="1">
        <v>523.0</v>
      </c>
      <c r="U986" s="1">
        <v>35.755258126</v>
      </c>
      <c r="V986" s="1">
        <v>204.11634632</v>
      </c>
      <c r="W986" s="1">
        <v>6.3670411985</v>
      </c>
      <c r="X986" s="1">
        <v>6.2547098719</v>
      </c>
      <c r="Y986" s="1">
        <v>78.048601536</v>
      </c>
      <c r="Z986" s="1">
        <v>11.7</v>
      </c>
      <c r="AA986" s="1">
        <v>2.4872532125</v>
      </c>
      <c r="AB986" s="1">
        <v>48520.0</v>
      </c>
      <c r="AC986" s="1">
        <v>38.118811881</v>
      </c>
      <c r="AD986" s="1">
        <v>76.956521739</v>
      </c>
      <c r="AE986" s="1">
        <v>3.1842304776</v>
      </c>
      <c r="AF986" s="1">
        <v>0.7518796992</v>
      </c>
      <c r="AG986" s="1">
        <v>0.358037952</v>
      </c>
      <c r="AH986" s="1">
        <v>0.4654493376</v>
      </c>
      <c r="AI986" s="1">
        <v>0.0716075904</v>
      </c>
      <c r="AJ986" s="1">
        <v>2.3988542786</v>
      </c>
      <c r="AK986" s="1">
        <v>94.5936269239999</v>
      </c>
      <c r="AL986" s="1">
        <v>0.0</v>
      </c>
      <c r="AM986" s="1">
        <v>49.230218403</v>
      </c>
      <c r="AN986" s="1">
        <v>100.0</v>
      </c>
      <c r="AO986" s="1">
        <v>29651.0</v>
      </c>
      <c r="AP986" s="1">
        <v>4.3</v>
      </c>
      <c r="AQ986" s="1">
        <v>1.4</v>
      </c>
      <c r="AR986" s="1">
        <v>5.8</v>
      </c>
      <c r="AS986" s="1">
        <v>24.2</v>
      </c>
      <c r="AT986" s="1">
        <v>18.8</v>
      </c>
      <c r="AU986" s="1">
        <v>10.3</v>
      </c>
      <c r="AV986" s="1">
        <v>3.9</v>
      </c>
      <c r="AW986" s="1">
        <v>0.1</v>
      </c>
      <c r="AX986" s="1">
        <v>0.0086</v>
      </c>
      <c r="AY986" s="1">
        <v>10.8</v>
      </c>
      <c r="AZ986" s="1">
        <v>10.3</v>
      </c>
      <c r="BA986" s="1">
        <v>17.5</v>
      </c>
      <c r="BB986" s="1">
        <v>3.1</v>
      </c>
      <c r="BC986" s="1" t="s">
        <v>1588</v>
      </c>
      <c r="BD986" s="1">
        <v>6.8</v>
      </c>
      <c r="BE986" s="1">
        <v>31.1</v>
      </c>
      <c r="BF986" s="1">
        <v>37.3</v>
      </c>
      <c r="BG986" s="1">
        <v>24.8</v>
      </c>
      <c r="BH986" s="1" t="s">
        <v>1746</v>
      </c>
    </row>
    <row r="987">
      <c r="A987" s="1">
        <v>20197.0</v>
      </c>
      <c r="B987" s="2" t="str">
        <f>IFERROR(__xludf.DUMMYFUNCTION("TO_TEXT(A987)"),"20197")</f>
        <v>20197</v>
      </c>
      <c r="C987" s="1">
        <v>6960.0</v>
      </c>
      <c r="D987" s="1">
        <v>794.298729035118</v>
      </c>
      <c r="E987" s="1" t="s">
        <v>1747</v>
      </c>
      <c r="F987" s="1" t="s">
        <v>1748</v>
      </c>
      <c r="G987" s="1">
        <v>8.76244635120432</v>
      </c>
      <c r="H987" s="1">
        <v>12.456098815</v>
      </c>
      <c r="I987" s="1">
        <v>3.3108990975</v>
      </c>
      <c r="J987" s="1">
        <v>5.6798623064</v>
      </c>
      <c r="K987" s="1">
        <v>13.917541479</v>
      </c>
      <c r="L987" s="1">
        <v>33.0</v>
      </c>
      <c r="M987" s="1">
        <v>7.6</v>
      </c>
      <c r="N987" s="1">
        <v>23.7</v>
      </c>
      <c r="O987" s="1">
        <v>16.773004395</v>
      </c>
      <c r="P987" s="1">
        <v>7.361516035</v>
      </c>
      <c r="Q987" s="1">
        <v>29.09514</v>
      </c>
      <c r="R987" s="1">
        <v>95.0</v>
      </c>
      <c r="S987" s="1">
        <v>10.8</v>
      </c>
      <c r="T987" s="1">
        <v>1643.0</v>
      </c>
      <c r="U987" s="1">
        <v>17.833231893</v>
      </c>
      <c r="V987" s="1">
        <v>156.49452269</v>
      </c>
      <c r="W987" s="1">
        <v>8.6876155268</v>
      </c>
      <c r="X987" s="1">
        <v>6.70141474309999</v>
      </c>
      <c r="Y987" s="1">
        <v>80.390585958</v>
      </c>
      <c r="Z987" s="1">
        <v>10.1</v>
      </c>
      <c r="AA987" s="1">
        <v>14.495136168</v>
      </c>
      <c r="AB987" s="1">
        <v>59744.0</v>
      </c>
      <c r="AC987" s="1">
        <v>33.898305085</v>
      </c>
      <c r="AD987" s="1">
        <v>85.340123681</v>
      </c>
      <c r="AE987" s="1">
        <v>5.51801801799999</v>
      </c>
      <c r="AF987" s="1">
        <v>0.6812581534</v>
      </c>
      <c r="AG987" s="1">
        <v>0.869691259599999</v>
      </c>
      <c r="AH987" s="1">
        <v>0.3043919409</v>
      </c>
      <c r="AI987" s="1">
        <v>0.0</v>
      </c>
      <c r="AJ987" s="1">
        <v>4.3339614437</v>
      </c>
      <c r="AK987" s="1">
        <v>91.621974199</v>
      </c>
      <c r="AL987" s="1">
        <v>0.1703313719</v>
      </c>
      <c r="AM987" s="1">
        <v>48.87664879</v>
      </c>
      <c r="AN987" s="1">
        <v>100.0</v>
      </c>
      <c r="AO987" s="1">
        <v>25194.0</v>
      </c>
      <c r="AP987" s="1">
        <v>6.7</v>
      </c>
      <c r="AQ987" s="1">
        <v>4.7</v>
      </c>
      <c r="AR987" s="1">
        <v>5.6</v>
      </c>
      <c r="AS987" s="1">
        <v>17.8</v>
      </c>
      <c r="AT987" s="1">
        <v>25.1</v>
      </c>
      <c r="AU987" s="1">
        <v>15.6</v>
      </c>
      <c r="AV987" s="1">
        <v>6.9</v>
      </c>
      <c r="AW987" s="1">
        <v>0.6</v>
      </c>
      <c r="AX987" s="1">
        <v>0.0955</v>
      </c>
      <c r="AY987" s="1">
        <v>6.9</v>
      </c>
      <c r="AZ987" s="1">
        <v>10.1</v>
      </c>
      <c r="BA987" s="1">
        <v>17.0</v>
      </c>
      <c r="BB987" s="1">
        <v>3.03</v>
      </c>
      <c r="BC987" s="1" t="s">
        <v>1588</v>
      </c>
      <c r="BD987" s="1">
        <v>4.6</v>
      </c>
      <c r="BE987" s="1">
        <v>34.9</v>
      </c>
      <c r="BF987" s="1">
        <v>36.3</v>
      </c>
      <c r="BG987" s="1">
        <v>24.2</v>
      </c>
      <c r="BH987" s="1" t="s">
        <v>1748</v>
      </c>
    </row>
    <row r="988">
      <c r="A988" s="1">
        <v>20199.0</v>
      </c>
      <c r="B988" s="2" t="str">
        <f>IFERROR(__xludf.DUMMYFUNCTION("TO_TEXT(A988)"),"20199")</f>
        <v>20199</v>
      </c>
      <c r="C988" s="1">
        <v>1584.0</v>
      </c>
      <c r="D988" s="1">
        <v>913.6518113266</v>
      </c>
      <c r="E988" s="1" t="s">
        <v>1749</v>
      </c>
      <c r="F988" s="1" t="s">
        <v>1750</v>
      </c>
      <c r="G988" s="1">
        <v>1.73370202998894</v>
      </c>
      <c r="H988" s="1">
        <v>13.803312464</v>
      </c>
      <c r="I988" s="1">
        <v>3.4250291721</v>
      </c>
      <c r="J988" s="1">
        <v>7.80443539465</v>
      </c>
      <c r="K988" s="1">
        <v>14.5854325059999</v>
      </c>
      <c r="L988" s="1">
        <v>26.1</v>
      </c>
      <c r="M988" s="1">
        <v>6.0</v>
      </c>
      <c r="N988" s="1">
        <v>25.5</v>
      </c>
      <c r="O988" s="1">
        <v>38.787878788</v>
      </c>
      <c r="P988" s="1">
        <v>13.254035684</v>
      </c>
      <c r="Q988" s="1">
        <v>0.0</v>
      </c>
      <c r="R988" s="1">
        <v>100.0</v>
      </c>
      <c r="S988" s="1">
        <v>15.4</v>
      </c>
      <c r="T988" s="1">
        <v>395.0</v>
      </c>
      <c r="U988" s="1">
        <v>7.3417721519</v>
      </c>
      <c r="V988" s="1">
        <v>0.0</v>
      </c>
      <c r="W988" s="1">
        <v>5.98290598289999</v>
      </c>
      <c r="X988" s="1">
        <v>5.719237435</v>
      </c>
      <c r="Y988" s="1">
        <v>77.482572377</v>
      </c>
      <c r="Z988" s="1">
        <v>14.4</v>
      </c>
      <c r="AA988" s="1">
        <v>30.891938015</v>
      </c>
      <c r="AB988" s="1">
        <v>51350.0</v>
      </c>
      <c r="AC988" s="1">
        <v>45.065789474</v>
      </c>
      <c r="AD988" s="1">
        <v>77.725118483</v>
      </c>
      <c r="AE988" s="1">
        <v>4.0885860307</v>
      </c>
      <c r="AF988" s="1">
        <v>0.5322687957</v>
      </c>
      <c r="AG988" s="1">
        <v>0.665335994699999</v>
      </c>
      <c r="AH988" s="1">
        <v>0.0665335995</v>
      </c>
      <c r="AI988" s="1">
        <v>0.0</v>
      </c>
      <c r="AJ988" s="1">
        <v>8.9820359281</v>
      </c>
      <c r="AK988" s="1">
        <v>88.4231536929999</v>
      </c>
      <c r="AL988" s="1">
        <v>1.768707483</v>
      </c>
      <c r="AM988" s="1">
        <v>50.0998003989999</v>
      </c>
      <c r="AN988" s="1">
        <v>100.0</v>
      </c>
      <c r="AO988" s="1">
        <v>28875.0</v>
      </c>
      <c r="AP988" s="1">
        <v>10.2</v>
      </c>
      <c r="AQ988" s="1">
        <v>6.6</v>
      </c>
      <c r="AR988" s="1">
        <v>10.2</v>
      </c>
      <c r="AS988" s="1">
        <v>20.7</v>
      </c>
      <c r="AT988" s="1">
        <v>27.0</v>
      </c>
      <c r="AU988" s="1">
        <v>18.4</v>
      </c>
      <c r="AV988" s="1">
        <v>5.6</v>
      </c>
      <c r="AW988" s="1">
        <v>1.7</v>
      </c>
      <c r="AX988" s="1">
        <v>0.2143</v>
      </c>
      <c r="AY988" s="1">
        <v>12.1</v>
      </c>
      <c r="AZ988" s="1">
        <v>12.4</v>
      </c>
      <c r="BA988" s="1">
        <v>20.6</v>
      </c>
      <c r="BB988" s="1">
        <v>3.12</v>
      </c>
      <c r="BC988" s="1" t="s">
        <v>1588</v>
      </c>
      <c r="BD988" s="1">
        <v>5.3</v>
      </c>
      <c r="BE988" s="1">
        <v>25.8</v>
      </c>
      <c r="BF988" s="1">
        <v>36.4</v>
      </c>
      <c r="BG988" s="1">
        <v>32.4</v>
      </c>
      <c r="BH988" s="1" t="s">
        <v>1750</v>
      </c>
    </row>
    <row r="989">
      <c r="A989" s="1">
        <v>20201.0</v>
      </c>
      <c r="B989" s="2" t="str">
        <f>IFERROR(__xludf.DUMMYFUNCTION("TO_TEXT(A989)"),"20201")</f>
        <v>20201</v>
      </c>
      <c r="C989" s="1">
        <v>5613.0</v>
      </c>
      <c r="D989" s="1">
        <v>894.760268653718</v>
      </c>
      <c r="E989" s="1" t="s">
        <v>188</v>
      </c>
      <c r="F989" s="1" t="s">
        <v>1751</v>
      </c>
      <c r="G989" s="1">
        <v>6.27318869270479</v>
      </c>
      <c r="H989" s="1">
        <v>13.399661422</v>
      </c>
      <c r="I989" s="1">
        <v>3.4032947351</v>
      </c>
      <c r="J989" s="1">
        <v>8.6872586873</v>
      </c>
      <c r="K989" s="1">
        <v>14.398130189</v>
      </c>
      <c r="L989" s="1">
        <v>32.9</v>
      </c>
      <c r="M989" s="1">
        <v>7.1</v>
      </c>
      <c r="N989" s="1">
        <v>28.0</v>
      </c>
      <c r="O989" s="1">
        <v>35.40265563</v>
      </c>
      <c r="P989" s="1">
        <v>12.493993272</v>
      </c>
      <c r="Q989" s="1">
        <v>54.6946199999999</v>
      </c>
      <c r="R989" s="1">
        <v>95.8</v>
      </c>
      <c r="S989" s="1">
        <v>17.1</v>
      </c>
      <c r="T989" s="1">
        <v>1242.0</v>
      </c>
      <c r="U989" s="1">
        <v>19.806763285</v>
      </c>
      <c r="V989" s="1">
        <v>71.923042345</v>
      </c>
      <c r="W989" s="1">
        <v>6.22406639</v>
      </c>
      <c r="X989" s="1">
        <v>4.8187633262</v>
      </c>
      <c r="Y989" s="1">
        <v>79.855708981</v>
      </c>
      <c r="Z989" s="1">
        <v>7.4</v>
      </c>
      <c r="AA989" s="1">
        <v>16.73297673</v>
      </c>
      <c r="AB989" s="1">
        <v>48104.0</v>
      </c>
      <c r="AC989" s="1">
        <v>41.228939544</v>
      </c>
      <c r="AD989" s="1">
        <v>78.626279863</v>
      </c>
      <c r="AE989" s="1">
        <v>6.63334847799999</v>
      </c>
      <c r="AF989" s="1">
        <v>0.5535055351</v>
      </c>
      <c r="AG989" s="1">
        <v>0.5350553506</v>
      </c>
      <c r="AH989" s="1">
        <v>0.7380073801</v>
      </c>
      <c r="AI989" s="1">
        <v>0.0553505535</v>
      </c>
      <c r="AJ989" s="1">
        <v>3.5793357934</v>
      </c>
      <c r="AK989" s="1">
        <v>93.7269372689999</v>
      </c>
      <c r="AL989" s="1">
        <v>0.851557964</v>
      </c>
      <c r="AM989" s="1">
        <v>48.948339483</v>
      </c>
      <c r="AN989" s="1">
        <v>100.0</v>
      </c>
      <c r="AO989" s="1">
        <v>24241.0</v>
      </c>
      <c r="AP989" s="1">
        <v>10.5</v>
      </c>
      <c r="AQ989" s="1">
        <v>2.9</v>
      </c>
      <c r="AR989" s="1">
        <v>8.8</v>
      </c>
      <c r="AS989" s="1">
        <v>23.6</v>
      </c>
      <c r="AT989" s="1">
        <v>22.9</v>
      </c>
      <c r="AU989" s="1">
        <v>14.2</v>
      </c>
      <c r="AV989" s="1">
        <v>5.6</v>
      </c>
      <c r="AW989" s="1">
        <v>1.2</v>
      </c>
      <c r="AX989" s="1">
        <v>0.1344</v>
      </c>
      <c r="AY989" s="1">
        <v>9.5</v>
      </c>
      <c r="AZ989" s="1">
        <v>12.1</v>
      </c>
      <c r="BA989" s="1">
        <v>21.2</v>
      </c>
      <c r="BB989" s="1">
        <v>3.39</v>
      </c>
      <c r="BC989" s="1" t="s">
        <v>1588</v>
      </c>
      <c r="BD989" s="1">
        <v>8.4</v>
      </c>
      <c r="BE989" s="1">
        <v>40.7</v>
      </c>
      <c r="BF989" s="1">
        <v>30.5</v>
      </c>
      <c r="BG989" s="1">
        <v>20.3</v>
      </c>
      <c r="BH989" s="1" t="s">
        <v>1751</v>
      </c>
    </row>
    <row r="990">
      <c r="A990" s="1">
        <v>20203.0</v>
      </c>
      <c r="B990" s="2" t="str">
        <f>IFERROR(__xludf.DUMMYFUNCTION("TO_TEXT(A990)"),"20203")</f>
        <v>20203</v>
      </c>
      <c r="C990" s="1">
        <v>2168.0</v>
      </c>
      <c r="D990" s="1">
        <v>718.566018651318</v>
      </c>
      <c r="E990" s="1" t="s">
        <v>1752</v>
      </c>
      <c r="F990" s="1" t="s">
        <v>1753</v>
      </c>
      <c r="G990" s="1">
        <v>3.01712013054714</v>
      </c>
      <c r="H990" s="1">
        <v>17.617145269</v>
      </c>
      <c r="I990" s="1">
        <v>3.4229362431</v>
      </c>
      <c r="J990" s="1">
        <v>6.7039106145</v>
      </c>
      <c r="K990" s="1">
        <v>13.5033371159999</v>
      </c>
      <c r="L990" s="1">
        <v>36.2</v>
      </c>
      <c r="M990" s="1">
        <v>6.1</v>
      </c>
      <c r="N990" s="1">
        <v>31.1</v>
      </c>
      <c r="O990" s="1">
        <v>73.769024172</v>
      </c>
      <c r="P990" s="1">
        <v>19.869899468</v>
      </c>
      <c r="Q990" s="1">
        <v>47.05882</v>
      </c>
      <c r="R990" s="1">
        <v>91.4</v>
      </c>
      <c r="S990" s="1">
        <v>19.3</v>
      </c>
      <c r="T990" s="1">
        <v>547.0</v>
      </c>
      <c r="U990" s="1">
        <v>8.4095063985</v>
      </c>
      <c r="V990" s="1">
        <v>278.29313544</v>
      </c>
      <c r="W990" s="1">
        <v>7.7380952381</v>
      </c>
      <c r="X990" s="1">
        <v>1.4423076923</v>
      </c>
      <c r="Y990" s="1">
        <v>79.051846652</v>
      </c>
      <c r="Z990" s="1">
        <v>11.6</v>
      </c>
      <c r="AA990" s="1">
        <v>37.193610201</v>
      </c>
      <c r="AB990" s="1">
        <v>59800.0</v>
      </c>
      <c r="AC990" s="1">
        <v>53.026634383</v>
      </c>
      <c r="AD990" s="1">
        <v>73.532668882</v>
      </c>
      <c r="AE990" s="1">
        <v>4.2321644498</v>
      </c>
      <c r="AF990" s="1">
        <v>1.0451306413</v>
      </c>
      <c r="AG990" s="1">
        <v>1.0451306413</v>
      </c>
      <c r="AH990" s="1">
        <v>0.190023753</v>
      </c>
      <c r="AI990" s="1">
        <v>0.0475059382</v>
      </c>
      <c r="AJ990" s="1">
        <v>29.928741093</v>
      </c>
      <c r="AK990" s="1">
        <v>67.553444181</v>
      </c>
      <c r="AL990" s="1">
        <v>4.8961424332</v>
      </c>
      <c r="AM990" s="1">
        <v>49.026128266</v>
      </c>
      <c r="AN990" s="1">
        <v>100.0</v>
      </c>
      <c r="AO990" s="1">
        <v>26194.0</v>
      </c>
      <c r="AP990" s="1">
        <v>6.0</v>
      </c>
      <c r="AQ990" s="1">
        <v>2.6</v>
      </c>
      <c r="AR990" s="1">
        <v>19.1</v>
      </c>
      <c r="AS990" s="1">
        <v>19.7</v>
      </c>
      <c r="AT990" s="1">
        <v>29.1</v>
      </c>
      <c r="AU990" s="1">
        <v>14.2</v>
      </c>
      <c r="AV990" s="1">
        <v>34.8</v>
      </c>
      <c r="AW990" s="1">
        <v>7.8</v>
      </c>
      <c r="AX990" s="1">
        <v>0.4597</v>
      </c>
      <c r="AY990" s="1">
        <v>11.0</v>
      </c>
      <c r="AZ990" s="1">
        <v>9.9</v>
      </c>
      <c r="BA990" s="1">
        <v>13.6</v>
      </c>
      <c r="BB990" s="1">
        <v>2.8</v>
      </c>
      <c r="BC990" s="1" t="s">
        <v>1588</v>
      </c>
      <c r="BD990" s="1">
        <v>13.4</v>
      </c>
      <c r="BE990" s="1">
        <v>27.5</v>
      </c>
      <c r="BF990" s="1">
        <v>38.5</v>
      </c>
      <c r="BG990" s="1">
        <v>20.6</v>
      </c>
      <c r="BH990" s="1" t="s">
        <v>1753</v>
      </c>
    </row>
    <row r="991">
      <c r="A991" s="1">
        <v>20205.0</v>
      </c>
      <c r="B991" s="2" t="str">
        <f>IFERROR(__xludf.DUMMYFUNCTION("TO_TEXT(A991)"),"20205")</f>
        <v>20205</v>
      </c>
      <c r="C991" s="1">
        <v>8956.0</v>
      </c>
      <c r="D991" s="1">
        <v>570.418464648096</v>
      </c>
      <c r="E991" s="1" t="s">
        <v>1754</v>
      </c>
      <c r="F991" s="1" t="s">
        <v>1755</v>
      </c>
      <c r="G991" s="1">
        <v>15.7007540166589</v>
      </c>
      <c r="H991" s="1">
        <v>17.815097618</v>
      </c>
      <c r="I991" s="1">
        <v>3.9278989645</v>
      </c>
      <c r="J991" s="1">
        <v>6.5359477124</v>
      </c>
      <c r="K991" s="1">
        <v>18.0943745459999</v>
      </c>
      <c r="L991" s="1">
        <v>39.7</v>
      </c>
      <c r="M991" s="1">
        <v>7.5</v>
      </c>
      <c r="N991" s="1">
        <v>37.5</v>
      </c>
      <c r="O991" s="1">
        <v>57.902008715</v>
      </c>
      <c r="P991" s="1">
        <v>9.904959905</v>
      </c>
      <c r="Q991" s="1">
        <v>69.16427</v>
      </c>
      <c r="R991" s="1">
        <v>91.3</v>
      </c>
      <c r="S991" s="1">
        <v>22.2</v>
      </c>
      <c r="T991" s="1">
        <v>2062.0</v>
      </c>
      <c r="U991" s="1">
        <v>38.069835112</v>
      </c>
      <c r="V991" s="1">
        <v>236.73975537</v>
      </c>
      <c r="W991" s="1">
        <v>12.628865979</v>
      </c>
      <c r="X991" s="1">
        <v>9.68660968659999</v>
      </c>
      <c r="Y991" s="1">
        <v>76.0992630339999</v>
      </c>
      <c r="Z991" s="1">
        <v>18.7</v>
      </c>
      <c r="AA991" s="1">
        <v>5.4085893614</v>
      </c>
      <c r="AB991" s="1">
        <v>45697.0</v>
      </c>
      <c r="AC991" s="1">
        <v>55.764411028</v>
      </c>
      <c r="AD991" s="1">
        <v>71.989459816</v>
      </c>
      <c r="AE991" s="1">
        <v>9.4413407821</v>
      </c>
      <c r="AF991" s="1">
        <v>0.5654933641</v>
      </c>
      <c r="AG991" s="1">
        <v>1.731102135</v>
      </c>
      <c r="AH991" s="1">
        <v>0.5193306405</v>
      </c>
      <c r="AI991" s="1">
        <v>0.0807847663</v>
      </c>
      <c r="AJ991" s="1">
        <v>3.4045008656</v>
      </c>
      <c r="AK991" s="1">
        <v>91.6560877089999</v>
      </c>
      <c r="AL991" s="1">
        <v>0.1707108889</v>
      </c>
      <c r="AM991" s="1">
        <v>50.5020196189999</v>
      </c>
      <c r="AN991" s="1">
        <v>72.685726432</v>
      </c>
      <c r="AO991" s="1">
        <v>23869.0</v>
      </c>
      <c r="AP991" s="1">
        <v>16.7</v>
      </c>
      <c r="AQ991" s="1">
        <v>5.7</v>
      </c>
      <c r="AR991" s="1">
        <v>13.0</v>
      </c>
      <c r="AS991" s="1">
        <v>20.4</v>
      </c>
      <c r="AT991" s="1">
        <v>23.8</v>
      </c>
      <c r="AU991" s="1">
        <v>22.3</v>
      </c>
      <c r="AV991" s="1">
        <v>7.5</v>
      </c>
      <c r="AW991" s="1">
        <v>0.4</v>
      </c>
      <c r="AX991" s="1">
        <v>0.5868</v>
      </c>
      <c r="AY991" s="1">
        <v>13.3</v>
      </c>
      <c r="AZ991" s="1">
        <v>15.6</v>
      </c>
      <c r="BA991" s="1">
        <v>24.7</v>
      </c>
      <c r="BB991" s="1">
        <v>3.03</v>
      </c>
      <c r="BC991" s="1" t="s">
        <v>1588</v>
      </c>
      <c r="BD991" s="1">
        <v>11.5</v>
      </c>
      <c r="BE991" s="1">
        <v>33.9</v>
      </c>
      <c r="BF991" s="1">
        <v>38.1</v>
      </c>
      <c r="BG991" s="1">
        <v>16.5</v>
      </c>
      <c r="BH991" s="1" t="s">
        <v>1755</v>
      </c>
    </row>
    <row r="992">
      <c r="A992" s="1">
        <v>20207.0</v>
      </c>
      <c r="B992" s="2" t="str">
        <f>IFERROR(__xludf.DUMMYFUNCTION("TO_TEXT(A992)"),"20207")</f>
        <v>20207</v>
      </c>
      <c r="C992" s="1">
        <v>3186.0</v>
      </c>
      <c r="D992" s="1">
        <v>497.819611765309</v>
      </c>
      <c r="E992" s="1" t="s">
        <v>1756</v>
      </c>
      <c r="F992" s="1" t="s">
        <v>1757</v>
      </c>
      <c r="G992" s="1">
        <v>6.3999085707013</v>
      </c>
      <c r="H992" s="1">
        <v>17.0083137779999</v>
      </c>
      <c r="I992" s="1">
        <v>3.952057654</v>
      </c>
      <c r="J992" s="1">
        <v>7.80443539465</v>
      </c>
      <c r="K992" s="1">
        <v>18.322123822</v>
      </c>
      <c r="L992" s="1">
        <v>38.2</v>
      </c>
      <c r="M992" s="1">
        <v>7.1</v>
      </c>
      <c r="N992" s="1">
        <v>26.2</v>
      </c>
      <c r="O992" s="1">
        <v>42.973708069</v>
      </c>
      <c r="P992" s="1">
        <v>12.049215104</v>
      </c>
      <c r="Q992" s="1">
        <v>48.31939</v>
      </c>
      <c r="R992" s="1">
        <v>90.9</v>
      </c>
      <c r="S992" s="1">
        <v>24.0</v>
      </c>
      <c r="T992" s="1">
        <v>659.0</v>
      </c>
      <c r="U992" s="1">
        <v>32.169954476</v>
      </c>
      <c r="V992" s="1">
        <v>287.35632184</v>
      </c>
      <c r="W992" s="1">
        <v>10.855263158</v>
      </c>
      <c r="X992" s="1">
        <v>7.33512786</v>
      </c>
      <c r="Y992" s="1">
        <v>77.721644579</v>
      </c>
      <c r="Z992" s="1">
        <v>10.2</v>
      </c>
      <c r="AA992" s="1">
        <v>8.7172200875</v>
      </c>
      <c r="AB992" s="1">
        <v>43894.0</v>
      </c>
      <c r="AC992" s="1">
        <v>64.3426294819999</v>
      </c>
      <c r="AD992" s="1">
        <v>77.574525745</v>
      </c>
      <c r="AE992" s="1">
        <v>7.61346998539999</v>
      </c>
      <c r="AF992" s="1">
        <v>0.5655042413</v>
      </c>
      <c r="AG992" s="1">
        <v>1.602262017</v>
      </c>
      <c r="AH992" s="1">
        <v>0.1256676092</v>
      </c>
      <c r="AI992" s="1">
        <v>0.0</v>
      </c>
      <c r="AJ992" s="1">
        <v>3.0474395225</v>
      </c>
      <c r="AK992" s="1">
        <v>92.836946277</v>
      </c>
      <c r="AL992" s="1">
        <v>0.5018400803</v>
      </c>
      <c r="AM992" s="1">
        <v>49.701539428</v>
      </c>
      <c r="AN992" s="1">
        <v>100.0</v>
      </c>
      <c r="AO992" s="1">
        <v>20499.0</v>
      </c>
      <c r="AP992" s="1">
        <v>23.2</v>
      </c>
      <c r="AQ992" s="1">
        <v>5.7</v>
      </c>
      <c r="AR992" s="1">
        <v>10.2</v>
      </c>
      <c r="AS992" s="1">
        <v>22.4</v>
      </c>
      <c r="AT992" s="1">
        <v>21.3</v>
      </c>
      <c r="AU992" s="1">
        <v>19.4</v>
      </c>
      <c r="AV992" s="1">
        <v>6.6</v>
      </c>
      <c r="AW992" s="1">
        <v>0.2</v>
      </c>
      <c r="AX992" s="1">
        <v>0.3422</v>
      </c>
      <c r="AY992" s="1">
        <v>14.3</v>
      </c>
      <c r="AZ992" s="1">
        <v>17.7</v>
      </c>
      <c r="BA992" s="1">
        <v>27.4</v>
      </c>
      <c r="BB992" s="1">
        <v>2.91</v>
      </c>
      <c r="BC992" s="1" t="s">
        <v>1588</v>
      </c>
      <c r="BD992" s="1">
        <v>9.3</v>
      </c>
      <c r="BE992" s="1">
        <v>35.2</v>
      </c>
      <c r="BF992" s="1">
        <v>38.3</v>
      </c>
      <c r="BG992" s="1">
        <v>17.2</v>
      </c>
      <c r="BH992" s="1" t="s">
        <v>1757</v>
      </c>
    </row>
    <row r="993">
      <c r="A993" s="1">
        <v>20209.0</v>
      </c>
      <c r="B993" s="2" t="str">
        <f>IFERROR(__xludf.DUMMYFUNCTION("TO_TEXT(A993)"),"20209")</f>
        <v>20209</v>
      </c>
      <c r="C993" s="1">
        <v>161777.0</v>
      </c>
      <c r="D993" s="1">
        <v>151.602068443032</v>
      </c>
      <c r="E993" s="1" t="s">
        <v>1758</v>
      </c>
      <c r="F993" s="1" t="s">
        <v>1759</v>
      </c>
      <c r="G993" s="1">
        <v>1067.1160470399</v>
      </c>
      <c r="H993" s="1">
        <v>23.028038483</v>
      </c>
      <c r="I993" s="1">
        <v>4.1456859805</v>
      </c>
      <c r="J993" s="1">
        <v>8.5699124436</v>
      </c>
      <c r="K993" s="1">
        <v>20.980084625</v>
      </c>
      <c r="L993" s="1">
        <v>39.5</v>
      </c>
      <c r="M993" s="1">
        <v>6.4</v>
      </c>
      <c r="N993" s="1">
        <v>32.9</v>
      </c>
      <c r="O993" s="1">
        <v>89.969842227</v>
      </c>
      <c r="P993" s="1">
        <v>15.460343579</v>
      </c>
      <c r="Q993" s="1">
        <v>43.56033</v>
      </c>
      <c r="R993" s="1">
        <v>77.0</v>
      </c>
      <c r="S993" s="1">
        <v>26.5</v>
      </c>
      <c r="T993" s="1">
        <v>45475.0</v>
      </c>
      <c r="U993" s="1">
        <v>43.509620671</v>
      </c>
      <c r="V993" s="1">
        <v>703.92372297</v>
      </c>
      <c r="W993" s="1">
        <v>19.774824346</v>
      </c>
      <c r="X993" s="1">
        <v>16.38903349</v>
      </c>
      <c r="Y993" s="1">
        <v>75.999521581</v>
      </c>
      <c r="Z993" s="1">
        <v>12.8</v>
      </c>
      <c r="AA993" s="1">
        <v>13.736767951</v>
      </c>
      <c r="AB993" s="1">
        <v>47084.0</v>
      </c>
      <c r="AC993" s="1">
        <v>76.118321573</v>
      </c>
      <c r="AD993" s="1">
        <v>57.1245186139999</v>
      </c>
      <c r="AE993" s="1">
        <v>15.691911009</v>
      </c>
      <c r="AF993" s="1">
        <v>21.9036558519999</v>
      </c>
      <c r="AG993" s="1">
        <v>1.3839490939</v>
      </c>
      <c r="AH993" s="1">
        <v>5.3065495633</v>
      </c>
      <c r="AI993" s="1">
        <v>0.3459872735</v>
      </c>
      <c r="AJ993" s="1">
        <v>29.319397063</v>
      </c>
      <c r="AK993" s="1">
        <v>40.534949554</v>
      </c>
      <c r="AL993" s="1">
        <v>7.8790129515</v>
      </c>
      <c r="AM993" s="1">
        <v>50.387118628</v>
      </c>
      <c r="AN993" s="1">
        <v>6.0626646773</v>
      </c>
      <c r="AO993" s="1">
        <v>19282.0</v>
      </c>
      <c r="AP993" s="1">
        <v>22.7</v>
      </c>
      <c r="AQ993" s="1">
        <v>9.3</v>
      </c>
      <c r="AR993" s="1">
        <v>21.9</v>
      </c>
      <c r="AS993" s="1">
        <v>11.2</v>
      </c>
      <c r="AT993" s="1">
        <v>28.2</v>
      </c>
      <c r="AU993" s="1">
        <v>14.2</v>
      </c>
      <c r="AV993" s="1">
        <v>58.0</v>
      </c>
      <c r="AW993" s="1">
        <v>7.3</v>
      </c>
      <c r="AX993" s="1">
        <v>0.9226</v>
      </c>
      <c r="AY993" s="1">
        <v>20.6</v>
      </c>
      <c r="AZ993" s="1">
        <v>15.6</v>
      </c>
      <c r="BA993" s="1">
        <v>22.9</v>
      </c>
      <c r="BB993" s="1">
        <v>3.0</v>
      </c>
      <c r="BC993" s="1" t="s">
        <v>1588</v>
      </c>
      <c r="BD993" s="1">
        <v>21.1</v>
      </c>
      <c r="BE993" s="1">
        <v>32.1</v>
      </c>
      <c r="BF993" s="1">
        <v>28.6</v>
      </c>
      <c r="BG993" s="1">
        <v>18.1</v>
      </c>
      <c r="BH993" s="1" t="s">
        <v>1759</v>
      </c>
    </row>
    <row r="994">
      <c r="A994" s="1">
        <v>21001.0</v>
      </c>
      <c r="B994" s="2" t="str">
        <f>IFERROR(__xludf.DUMMYFUNCTION("TO_TEXT(A994)"),"21001")</f>
        <v>21001</v>
      </c>
      <c r="C994" s="1">
        <v>19156.0</v>
      </c>
      <c r="D994" s="1">
        <v>405.282811449588</v>
      </c>
      <c r="E994" s="1" t="s">
        <v>1442</v>
      </c>
      <c r="F994" s="1" t="s">
        <v>1760</v>
      </c>
      <c r="G994" s="1">
        <v>47.2657597579432</v>
      </c>
      <c r="H994" s="1">
        <v>22.848614065</v>
      </c>
      <c r="I994" s="1">
        <v>5.1435526798</v>
      </c>
      <c r="J994" s="1">
        <v>8.3276912661</v>
      </c>
      <c r="K994" s="1">
        <v>22.619973398</v>
      </c>
      <c r="L994" s="1">
        <v>40.9</v>
      </c>
      <c r="M994" s="1">
        <v>7.4</v>
      </c>
      <c r="N994" s="1">
        <v>33.1</v>
      </c>
      <c r="O994" s="1">
        <v>60.08254717</v>
      </c>
      <c r="P994" s="1">
        <v>6.7460590624</v>
      </c>
      <c r="Q994" s="1">
        <v>35.92507</v>
      </c>
      <c r="R994" s="1">
        <v>97.311827957</v>
      </c>
      <c r="S994" s="1">
        <v>35.0</v>
      </c>
      <c r="T994" s="1">
        <v>3723.0</v>
      </c>
      <c r="U994" s="1">
        <v>21.031426269</v>
      </c>
      <c r="V994" s="1">
        <v>39.603960396</v>
      </c>
      <c r="W994" s="1">
        <v>12.210526316</v>
      </c>
      <c r="X994" s="1">
        <v>9.8067287044</v>
      </c>
      <c r="Y994" s="1">
        <v>75.720703568</v>
      </c>
      <c r="Z994" s="1">
        <v>17.5</v>
      </c>
      <c r="AA994" s="1">
        <v>5.2635308499</v>
      </c>
      <c r="AB994" s="1">
        <v>37392.0</v>
      </c>
      <c r="AC994" s="1">
        <v>69.036099739</v>
      </c>
      <c r="AD994" s="1">
        <v>76.2535612539999</v>
      </c>
      <c r="AE994" s="1">
        <v>9.4831529197</v>
      </c>
      <c r="AF994" s="1">
        <v>2.8935727296</v>
      </c>
      <c r="AG994" s="1">
        <v>0.281030445</v>
      </c>
      <c r="AH994" s="1">
        <v>0.4163413999</v>
      </c>
      <c r="AI994" s="1">
        <v>0.0468384075</v>
      </c>
      <c r="AJ994" s="1">
        <v>2.0140515222</v>
      </c>
      <c r="AK994" s="1">
        <v>93.1667967729999</v>
      </c>
      <c r="AL994" s="1">
        <v>0.2413206823</v>
      </c>
      <c r="AM994" s="1">
        <v>50.517824616</v>
      </c>
      <c r="AN994" s="1">
        <v>75.455617496</v>
      </c>
      <c r="AO994" s="1">
        <v>18463.0</v>
      </c>
      <c r="AP994" s="1">
        <v>23.3</v>
      </c>
      <c r="AQ994" s="1">
        <v>5.8</v>
      </c>
      <c r="AR994" s="1">
        <v>24.0</v>
      </c>
      <c r="AS994" s="1">
        <v>16.7</v>
      </c>
      <c r="AT994" s="1">
        <v>20.4</v>
      </c>
      <c r="AU994" s="1">
        <v>18.2</v>
      </c>
      <c r="AV994" s="1">
        <v>6.5</v>
      </c>
      <c r="AW994" s="1">
        <v>0.2</v>
      </c>
      <c r="AX994" s="1">
        <v>0.6485</v>
      </c>
      <c r="AY994" s="1">
        <v>21.4</v>
      </c>
      <c r="AZ994" s="1">
        <v>16.1</v>
      </c>
      <c r="BA994" s="1">
        <v>21.4</v>
      </c>
      <c r="BB994" s="1">
        <v>2.64</v>
      </c>
      <c r="BC994" s="1" t="s">
        <v>1761</v>
      </c>
      <c r="BD994" s="1">
        <v>20.4</v>
      </c>
      <c r="BE994" s="1">
        <v>39.0</v>
      </c>
      <c r="BF994" s="1">
        <v>24.9</v>
      </c>
      <c r="BG994" s="1">
        <v>15.7</v>
      </c>
      <c r="BH994" s="1" t="s">
        <v>1760</v>
      </c>
    </row>
    <row r="995">
      <c r="A995" s="1">
        <v>21003.0</v>
      </c>
      <c r="B995" s="2" t="str">
        <f>IFERROR(__xludf.DUMMYFUNCTION("TO_TEXT(A995)"),"21003")</f>
        <v>21003</v>
      </c>
      <c r="C995" s="1">
        <v>20421.0</v>
      </c>
      <c r="D995" s="1">
        <v>344.337516930981</v>
      </c>
      <c r="E995" s="1" t="s">
        <v>1310</v>
      </c>
      <c r="F995" s="1" t="s">
        <v>1762</v>
      </c>
      <c r="G995" s="1">
        <v>59.3051845817112</v>
      </c>
      <c r="H995" s="1">
        <v>21.963255534</v>
      </c>
      <c r="I995" s="1">
        <v>4.9580886457</v>
      </c>
      <c r="J995" s="1">
        <v>10.1490825689999</v>
      </c>
      <c r="K995" s="1">
        <v>22.175074836</v>
      </c>
      <c r="L995" s="1">
        <v>37.5</v>
      </c>
      <c r="M995" s="1">
        <v>8.0</v>
      </c>
      <c r="N995" s="1">
        <v>39.4</v>
      </c>
      <c r="O995" s="1">
        <v>37.026458208</v>
      </c>
      <c r="P995" s="1">
        <v>7.105587149</v>
      </c>
      <c r="Q995" s="1">
        <v>14.33144</v>
      </c>
      <c r="R995" s="1">
        <v>91.555555556</v>
      </c>
      <c r="S995" s="1">
        <v>24.6</v>
      </c>
      <c r="T995" s="1">
        <v>4971.0</v>
      </c>
      <c r="U995" s="1">
        <v>30.074431704</v>
      </c>
      <c r="V995" s="1">
        <v>102.07057451</v>
      </c>
      <c r="W995" s="1">
        <v>12.7190136279999</v>
      </c>
      <c r="X995" s="1">
        <v>8.2267633487</v>
      </c>
      <c r="Y995" s="1">
        <v>74.115367877</v>
      </c>
      <c r="Z995" s="1">
        <v>12.0</v>
      </c>
      <c r="AA995" s="1">
        <v>0.4939387915</v>
      </c>
      <c r="AB995" s="1">
        <v>44624.0</v>
      </c>
      <c r="AC995" s="1">
        <v>63.697967086</v>
      </c>
      <c r="AD995" s="1">
        <v>72.196959854</v>
      </c>
      <c r="AE995" s="1">
        <v>9.7357250445</v>
      </c>
      <c r="AF995" s="1">
        <v>1.155193637</v>
      </c>
      <c r="AG995" s="1">
        <v>0.3219392103</v>
      </c>
      <c r="AH995" s="1">
        <v>0.2745952088</v>
      </c>
      <c r="AI995" s="1">
        <v>0.0142032005</v>
      </c>
      <c r="AJ995" s="1">
        <v>2.2062304706</v>
      </c>
      <c r="AK995" s="1">
        <v>94.7921598329999</v>
      </c>
      <c r="AL995" s="1">
        <v>0.6696888523</v>
      </c>
      <c r="AM995" s="1">
        <v>50.5444560169999</v>
      </c>
      <c r="AN995" s="1">
        <v>78.698135899</v>
      </c>
      <c r="AO995" s="1">
        <v>20607.0</v>
      </c>
      <c r="AP995" s="1">
        <v>17.0</v>
      </c>
      <c r="AQ995" s="1">
        <v>7.1</v>
      </c>
      <c r="AR995" s="1">
        <v>23.6</v>
      </c>
      <c r="AS995" s="1">
        <v>15.9</v>
      </c>
      <c r="AT995" s="1">
        <v>24.0</v>
      </c>
      <c r="AU995" s="1">
        <v>19.7</v>
      </c>
      <c r="AV995" s="1">
        <v>4.5</v>
      </c>
      <c r="AW995" s="1">
        <v>1.1</v>
      </c>
      <c r="AX995" s="1">
        <v>0.6622</v>
      </c>
      <c r="AY995" s="1">
        <v>16.8</v>
      </c>
      <c r="AZ995" s="1">
        <v>15.1</v>
      </c>
      <c r="BA995" s="1">
        <v>20.0</v>
      </c>
      <c r="BB995" s="1">
        <v>3.01</v>
      </c>
      <c r="BC995" s="1" t="s">
        <v>1761</v>
      </c>
      <c r="BD995" s="1">
        <v>17.9</v>
      </c>
      <c r="BE995" s="1">
        <v>38.5</v>
      </c>
      <c r="BF995" s="1">
        <v>27.5</v>
      </c>
      <c r="BG995" s="1">
        <v>16.1</v>
      </c>
      <c r="BH995" s="1" t="s">
        <v>1762</v>
      </c>
    </row>
    <row r="996">
      <c r="A996" s="1">
        <v>21005.0</v>
      </c>
      <c r="B996" s="2" t="str">
        <f>IFERROR(__xludf.DUMMYFUNCTION("TO_TEXT(A996)"),"21005")</f>
        <v>21005</v>
      </c>
      <c r="C996" s="1">
        <v>21867.0</v>
      </c>
      <c r="D996" s="1">
        <v>201.833161033604</v>
      </c>
      <c r="E996" s="1" t="s">
        <v>1589</v>
      </c>
      <c r="F996" s="1" t="s">
        <v>1763</v>
      </c>
      <c r="G996" s="1">
        <v>108.341958714898</v>
      </c>
      <c r="H996" s="1">
        <v>18.463367299</v>
      </c>
      <c r="I996" s="1">
        <v>4.4588063135</v>
      </c>
      <c r="J996" s="1">
        <v>7.6794657763</v>
      </c>
      <c r="K996" s="1">
        <v>19.132271599</v>
      </c>
      <c r="L996" s="1">
        <v>36.9</v>
      </c>
      <c r="M996" s="1">
        <v>8.0</v>
      </c>
      <c r="N996" s="1">
        <v>34.5</v>
      </c>
      <c r="O996" s="1">
        <v>75.78544419</v>
      </c>
      <c r="P996" s="1">
        <v>5.2742062451</v>
      </c>
      <c r="Q996" s="1">
        <v>26.61462</v>
      </c>
      <c r="R996" s="1">
        <v>98.876404494</v>
      </c>
      <c r="S996" s="1">
        <v>14.4</v>
      </c>
      <c r="T996" s="1">
        <v>5267.0</v>
      </c>
      <c r="U996" s="1">
        <v>25.042718815</v>
      </c>
      <c r="V996" s="1">
        <v>88.648452062</v>
      </c>
      <c r="W996" s="1">
        <v>10.052600818</v>
      </c>
      <c r="X996" s="1">
        <v>9.0368608799</v>
      </c>
      <c r="Y996" s="1">
        <v>74.385261281</v>
      </c>
      <c r="Z996" s="1">
        <v>14.9</v>
      </c>
      <c r="AA996" s="1">
        <v>5.9758868164</v>
      </c>
      <c r="AB996" s="1">
        <v>60908.0</v>
      </c>
      <c r="AC996" s="1">
        <v>42.623828648</v>
      </c>
      <c r="AD996" s="1">
        <v>77.709516634</v>
      </c>
      <c r="AE996" s="1">
        <v>11.160876407</v>
      </c>
      <c r="AF996" s="1">
        <v>2.056214976</v>
      </c>
      <c r="AG996" s="1">
        <v>0.2426863169</v>
      </c>
      <c r="AH996" s="1">
        <v>0.5736222036</v>
      </c>
      <c r="AI996" s="1">
        <v>0.0397123064</v>
      </c>
      <c r="AJ996" s="1">
        <v>1.8047037021</v>
      </c>
      <c r="AK996" s="1">
        <v>93.77840533</v>
      </c>
      <c r="AL996" s="1">
        <v>0.2833541447</v>
      </c>
      <c r="AM996" s="1">
        <v>50.990601421</v>
      </c>
      <c r="AN996" s="1">
        <v>41.697399748</v>
      </c>
      <c r="AO996" s="1">
        <v>24891.0</v>
      </c>
      <c r="AP996" s="1">
        <v>11.3</v>
      </c>
      <c r="AQ996" s="1">
        <v>7.4</v>
      </c>
      <c r="AR996" s="1">
        <v>11.4</v>
      </c>
      <c r="AS996" s="1">
        <v>14.2</v>
      </c>
      <c r="AT996" s="1">
        <v>24.2</v>
      </c>
      <c r="AU996" s="1">
        <v>15.7</v>
      </c>
      <c r="AV996" s="1">
        <v>5.6</v>
      </c>
      <c r="AW996" s="1">
        <v>0.0</v>
      </c>
      <c r="AX996" s="1">
        <v>0.1016</v>
      </c>
      <c r="AY996" s="1">
        <v>10.2</v>
      </c>
      <c r="AZ996" s="1">
        <v>12.4</v>
      </c>
      <c r="BA996" s="1">
        <v>16.2</v>
      </c>
      <c r="BB996" s="1">
        <v>2.8</v>
      </c>
      <c r="BC996" s="1" t="s">
        <v>1761</v>
      </c>
      <c r="BD996" s="1">
        <v>10.1</v>
      </c>
      <c r="BE996" s="1">
        <v>36.6</v>
      </c>
      <c r="BF996" s="1">
        <v>33.1</v>
      </c>
      <c r="BG996" s="1">
        <v>20.2</v>
      </c>
      <c r="BH996" s="1" t="s">
        <v>1763</v>
      </c>
    </row>
    <row r="997">
      <c r="A997" s="1">
        <v>21007.0</v>
      </c>
      <c r="B997" s="2" t="str">
        <f>IFERROR(__xludf.DUMMYFUNCTION("TO_TEXT(A997)"),"21007")</f>
        <v>21007</v>
      </c>
      <c r="C997" s="1">
        <v>8216.0</v>
      </c>
      <c r="D997" s="1">
        <v>246.658923694084</v>
      </c>
      <c r="E997" s="1" t="s">
        <v>1764</v>
      </c>
      <c r="F997" s="1" t="s">
        <v>1765</v>
      </c>
      <c r="G997" s="1">
        <v>33.3091536967452</v>
      </c>
      <c r="H997" s="1">
        <v>21.074502511</v>
      </c>
      <c r="I997" s="1">
        <v>4.7982656846</v>
      </c>
      <c r="J997" s="1">
        <v>8.75</v>
      </c>
      <c r="K997" s="1">
        <v>20.458640295</v>
      </c>
      <c r="L997" s="1">
        <v>36.4</v>
      </c>
      <c r="M997" s="1">
        <v>7.7</v>
      </c>
      <c r="N997" s="1">
        <v>38.6</v>
      </c>
      <c r="O997" s="1">
        <v>48.175536429</v>
      </c>
      <c r="P997" s="1">
        <v>6.4055811004</v>
      </c>
      <c r="Q997" s="1">
        <v>48.31939</v>
      </c>
      <c r="R997" s="1">
        <v>92.173913043</v>
      </c>
      <c r="S997" s="1">
        <v>24.4</v>
      </c>
      <c r="T997" s="1">
        <v>1687.0</v>
      </c>
      <c r="U997" s="1">
        <v>38.944872555</v>
      </c>
      <c r="V997" s="1">
        <v>66.441169365</v>
      </c>
      <c r="W997" s="1">
        <v>10.307692308</v>
      </c>
      <c r="X997" s="1">
        <v>8.125</v>
      </c>
      <c r="Y997" s="1">
        <v>75.489716919</v>
      </c>
      <c r="Z997" s="1">
        <v>16.0</v>
      </c>
      <c r="AA997" s="1">
        <v>1.6672695833</v>
      </c>
      <c r="AB997" s="1">
        <v>47658.0</v>
      </c>
      <c r="AC997" s="1">
        <v>60.984848485</v>
      </c>
      <c r="AD997" s="1">
        <v>79.805510535</v>
      </c>
      <c r="AE997" s="1">
        <v>9.0434782609</v>
      </c>
      <c r="AF997" s="1">
        <v>3.3588168943</v>
      </c>
      <c r="AG997" s="1">
        <v>0.3133224715</v>
      </c>
      <c r="AH997" s="1">
        <v>0.4762501567</v>
      </c>
      <c r="AI997" s="1">
        <v>0.0125328989</v>
      </c>
      <c r="AJ997" s="1">
        <v>1.4162175711</v>
      </c>
      <c r="AK997" s="1">
        <v>92.292267201</v>
      </c>
      <c r="AL997" s="1">
        <v>0.0130446126</v>
      </c>
      <c r="AM997" s="1">
        <v>50.156661236</v>
      </c>
      <c r="AN997" s="1">
        <v>100.0</v>
      </c>
      <c r="AO997" s="1">
        <v>24459.0</v>
      </c>
      <c r="AP997" s="1">
        <v>16.4</v>
      </c>
      <c r="AQ997" s="1">
        <v>5.3</v>
      </c>
      <c r="AR997" s="1">
        <v>13.8</v>
      </c>
      <c r="AS997" s="1">
        <v>19.3</v>
      </c>
      <c r="AT997" s="1">
        <v>22.2</v>
      </c>
      <c r="AU997" s="1">
        <v>14.3</v>
      </c>
      <c r="AV997" s="1">
        <v>6.6</v>
      </c>
      <c r="AW997" s="1">
        <v>0.0</v>
      </c>
      <c r="AX997" s="1">
        <v>0.255</v>
      </c>
      <c r="AY997" s="1">
        <v>15.5</v>
      </c>
      <c r="AZ997" s="1">
        <v>14.9</v>
      </c>
      <c r="BA997" s="1">
        <v>22.0</v>
      </c>
      <c r="BB997" s="1">
        <v>2.7</v>
      </c>
      <c r="BC997" s="1" t="s">
        <v>1761</v>
      </c>
      <c r="BD997" s="1">
        <v>12.8</v>
      </c>
      <c r="BE997" s="1">
        <v>36.4</v>
      </c>
      <c r="BF997" s="1">
        <v>34.8</v>
      </c>
      <c r="BG997" s="1">
        <v>15.9</v>
      </c>
      <c r="BH997" s="1" t="s">
        <v>1765</v>
      </c>
    </row>
    <row r="998">
      <c r="A998" s="1">
        <v>21009.0</v>
      </c>
      <c r="B998" s="2" t="str">
        <f>IFERROR(__xludf.DUMMYFUNCTION("TO_TEXT(A998)"),"21009")</f>
        <v>21009</v>
      </c>
      <c r="C998" s="1">
        <v>43287.0</v>
      </c>
      <c r="D998" s="1">
        <v>487.543810897584</v>
      </c>
      <c r="E998" s="1" t="s">
        <v>1766</v>
      </c>
      <c r="F998" s="1" t="s">
        <v>1767</v>
      </c>
      <c r="G998" s="1">
        <v>88.7858671004504</v>
      </c>
      <c r="H998" s="1">
        <v>24.276541595</v>
      </c>
      <c r="I998" s="1">
        <v>5.0314898404</v>
      </c>
      <c r="J998" s="1">
        <v>7.8900483584</v>
      </c>
      <c r="K998" s="1">
        <v>22.3959242259999</v>
      </c>
      <c r="L998" s="1">
        <v>33.7</v>
      </c>
      <c r="M998" s="1">
        <v>7.5</v>
      </c>
      <c r="N998" s="1">
        <v>37.7</v>
      </c>
      <c r="O998" s="1">
        <v>66.322054395</v>
      </c>
      <c r="P998" s="1">
        <v>7.0132569374</v>
      </c>
      <c r="Q998" s="1">
        <v>86.75601</v>
      </c>
      <c r="R998" s="1">
        <v>95.343137255</v>
      </c>
      <c r="S998" s="1">
        <v>26.8</v>
      </c>
      <c r="T998" s="1">
        <v>10173.0</v>
      </c>
      <c r="U998" s="1">
        <v>33.598741767</v>
      </c>
      <c r="V998" s="1">
        <v>123.96551922</v>
      </c>
      <c r="W998" s="1">
        <v>14.106770057</v>
      </c>
      <c r="X998" s="1">
        <v>11.723720085</v>
      </c>
      <c r="Y998" s="1">
        <v>76.015804081</v>
      </c>
      <c r="Z998" s="1">
        <v>11.6</v>
      </c>
      <c r="AA998" s="1">
        <v>3.6929609844</v>
      </c>
      <c r="AB998" s="1">
        <v>42439.0</v>
      </c>
      <c r="AC998" s="1">
        <v>61.987936668</v>
      </c>
      <c r="AD998" s="1">
        <v>66.772767462</v>
      </c>
      <c r="AE998" s="1">
        <v>14.624602592</v>
      </c>
      <c r="AF998" s="1">
        <v>4.0587649402</v>
      </c>
      <c r="AG998" s="1">
        <v>0.3553965954</v>
      </c>
      <c r="AH998" s="1">
        <v>0.9575335024</v>
      </c>
      <c r="AI998" s="1">
        <v>0.2014668598</v>
      </c>
      <c r="AJ998" s="1">
        <v>3.2891162622</v>
      </c>
      <c r="AK998" s="1">
        <v>90.060213691</v>
      </c>
      <c r="AL998" s="1">
        <v>0.2836116476</v>
      </c>
      <c r="AM998" s="1">
        <v>51.663799348</v>
      </c>
      <c r="AN998" s="1">
        <v>63.275081213</v>
      </c>
      <c r="AO998" s="1">
        <v>20130.0</v>
      </c>
      <c r="AP998" s="1">
        <v>21.4</v>
      </c>
      <c r="AQ998" s="1">
        <v>7.6</v>
      </c>
      <c r="AR998" s="1">
        <v>18.3</v>
      </c>
      <c r="AS998" s="1">
        <v>16.7</v>
      </c>
      <c r="AT998" s="1">
        <v>23.7</v>
      </c>
      <c r="AU998" s="1">
        <v>19.8</v>
      </c>
      <c r="AV998" s="1">
        <v>9.2</v>
      </c>
      <c r="AW998" s="1">
        <v>0.5</v>
      </c>
      <c r="AX998" s="1">
        <v>0.737</v>
      </c>
      <c r="AY998" s="1">
        <v>20.1</v>
      </c>
      <c r="AZ998" s="1">
        <v>17.2</v>
      </c>
      <c r="BA998" s="1">
        <v>23.4</v>
      </c>
      <c r="BB998" s="1">
        <v>2.67</v>
      </c>
      <c r="BC998" s="1" t="s">
        <v>1761</v>
      </c>
      <c r="BD998" s="1">
        <v>17.0</v>
      </c>
      <c r="BE998" s="1">
        <v>42.0</v>
      </c>
      <c r="BF998" s="1">
        <v>24.7</v>
      </c>
      <c r="BG998" s="1">
        <v>16.3</v>
      </c>
      <c r="BH998" s="1" t="s">
        <v>1767</v>
      </c>
    </row>
    <row r="999">
      <c r="A999" s="1">
        <v>21011.0</v>
      </c>
      <c r="B999" s="2" t="str">
        <f>IFERROR(__xludf.DUMMYFUNCTION("TO_TEXT(A999)"),"21011")</f>
        <v>21011</v>
      </c>
      <c r="C999" s="1">
        <v>12113.0</v>
      </c>
      <c r="D999" s="1">
        <v>278.79713834014</v>
      </c>
      <c r="E999" s="1" t="s">
        <v>1768</v>
      </c>
      <c r="F999" s="1" t="s">
        <v>1769</v>
      </c>
      <c r="G999" s="1">
        <v>43.4473613040526</v>
      </c>
      <c r="H999" s="1">
        <v>24.840250379</v>
      </c>
      <c r="I999" s="1">
        <v>5.2390245526</v>
      </c>
      <c r="J999" s="1">
        <v>7.9054604727</v>
      </c>
      <c r="K999" s="1">
        <v>23.0059284359999</v>
      </c>
      <c r="L999" s="1">
        <v>41.9</v>
      </c>
      <c r="M999" s="1">
        <v>7.6</v>
      </c>
      <c r="N999" s="1">
        <v>37.0</v>
      </c>
      <c r="O999" s="1">
        <v>39.591062031</v>
      </c>
      <c r="P999" s="1">
        <v>7.2550559592</v>
      </c>
      <c r="Q999" s="1">
        <v>8.07885</v>
      </c>
      <c r="R999" s="1">
        <v>91.447368421</v>
      </c>
      <c r="S999" s="1">
        <v>33.1</v>
      </c>
      <c r="T999" s="1">
        <v>3095.0</v>
      </c>
      <c r="U999" s="1">
        <v>34.378029079</v>
      </c>
      <c r="V999" s="1">
        <v>28.682646999</v>
      </c>
      <c r="W999" s="1">
        <v>14.494382022</v>
      </c>
      <c r="X999" s="1">
        <v>12.410611303</v>
      </c>
      <c r="Y999" s="1">
        <v>72.938533963</v>
      </c>
      <c r="Z999" s="1">
        <v>12.4</v>
      </c>
      <c r="AA999" s="1">
        <v>0.0617440532</v>
      </c>
      <c r="AB999" s="1">
        <v>44183.0</v>
      </c>
      <c r="AC999" s="1">
        <v>71.683168317</v>
      </c>
      <c r="AD999" s="1">
        <v>71.107266436</v>
      </c>
      <c r="AE999" s="1">
        <v>10.002375861</v>
      </c>
      <c r="AF999" s="1">
        <v>1.38092546229999</v>
      </c>
      <c r="AG999" s="1">
        <v>0.2503432125</v>
      </c>
      <c r="AH999" s="1">
        <v>0.4118549624</v>
      </c>
      <c r="AI999" s="1">
        <v>0.113058225</v>
      </c>
      <c r="AJ999" s="1">
        <v>1.7120245498</v>
      </c>
      <c r="AK999" s="1">
        <v>94.831624001</v>
      </c>
      <c r="AL999" s="1">
        <v>0.0436414419</v>
      </c>
      <c r="AM999" s="1">
        <v>50.6500847939999</v>
      </c>
      <c r="AN999" s="1">
        <v>100.0</v>
      </c>
      <c r="AO999" s="1">
        <v>19590.0</v>
      </c>
      <c r="AP999" s="1">
        <v>24.5</v>
      </c>
      <c r="AQ999" s="1">
        <v>9.6</v>
      </c>
      <c r="AR999" s="1">
        <v>24.3</v>
      </c>
      <c r="AS999" s="1">
        <v>15.9</v>
      </c>
      <c r="AT999" s="1">
        <v>25.0</v>
      </c>
      <c r="AU999" s="1">
        <v>22.9</v>
      </c>
      <c r="AV999" s="1">
        <v>4.6</v>
      </c>
      <c r="AW999" s="1">
        <v>0.2</v>
      </c>
      <c r="AX999" s="1">
        <v>0.7666</v>
      </c>
      <c r="AY999" s="1">
        <v>19.4</v>
      </c>
      <c r="AZ999" s="1">
        <v>17.9</v>
      </c>
      <c r="BA999" s="1">
        <v>24.6</v>
      </c>
      <c r="BB999" s="1">
        <v>2.78</v>
      </c>
      <c r="BC999" s="1" t="s">
        <v>1761</v>
      </c>
      <c r="BD999" s="1">
        <v>23.1</v>
      </c>
      <c r="BE999" s="1">
        <v>41.2</v>
      </c>
      <c r="BF999" s="1">
        <v>21.2</v>
      </c>
      <c r="BG999" s="1">
        <v>14.5</v>
      </c>
      <c r="BH999" s="1" t="s">
        <v>1769</v>
      </c>
    </row>
    <row r="1000">
      <c r="A1000" s="1">
        <v>21013.0</v>
      </c>
      <c r="B1000" s="2" t="str">
        <f>IFERROR(__xludf.DUMMYFUNCTION("TO_TEXT(A1000)"),"21013")</f>
        <v>21013</v>
      </c>
      <c r="C1000" s="1">
        <v>27676.0</v>
      </c>
      <c r="D1000" s="1">
        <v>359.000256599356</v>
      </c>
      <c r="E1000" s="1" t="s">
        <v>1770</v>
      </c>
      <c r="F1000" s="1" t="s">
        <v>1771</v>
      </c>
      <c r="G1000" s="1">
        <v>77.0918669032774</v>
      </c>
      <c r="H1000" s="1">
        <v>28.665441709</v>
      </c>
      <c r="I1000" s="1">
        <v>5.6233663388</v>
      </c>
      <c r="J1000" s="1">
        <v>10.495626822</v>
      </c>
      <c r="K1000" s="1">
        <v>27.548400909</v>
      </c>
      <c r="L1000" s="1">
        <v>37.4</v>
      </c>
      <c r="M1000" s="1">
        <v>5.6</v>
      </c>
      <c r="N1000" s="1">
        <v>37.5</v>
      </c>
      <c r="O1000" s="1">
        <v>84.47248266</v>
      </c>
      <c r="P1000" s="1">
        <v>6.7867636434</v>
      </c>
      <c r="Q1000" s="1">
        <v>44.61962</v>
      </c>
      <c r="R1000" s="1">
        <v>96.214511041</v>
      </c>
      <c r="S1000" s="1">
        <v>43.5</v>
      </c>
      <c r="T1000" s="1">
        <v>5795.0</v>
      </c>
      <c r="U1000" s="1">
        <v>36.324417601</v>
      </c>
      <c r="V1000" s="1">
        <v>169.81338787</v>
      </c>
      <c r="W1000" s="1">
        <v>19.581056466</v>
      </c>
      <c r="X1000" s="1">
        <v>16.807909605</v>
      </c>
      <c r="Y1000" s="1">
        <v>71.8814697</v>
      </c>
      <c r="Z1000" s="1">
        <v>22.6</v>
      </c>
      <c r="AA1000" s="1">
        <v>11.856749498</v>
      </c>
      <c r="AB1000" s="1">
        <v>29362.0</v>
      </c>
      <c r="AC1000" s="1">
        <v>79.586956522</v>
      </c>
      <c r="AD1000" s="1">
        <v>64.533820841</v>
      </c>
      <c r="AE1000" s="1">
        <v>17.279855247</v>
      </c>
      <c r="AF1000" s="1">
        <v>2.4238774512</v>
      </c>
      <c r="AG1000" s="1">
        <v>0.2597011555</v>
      </c>
      <c r="AH1000" s="1">
        <v>0.3763784862</v>
      </c>
      <c r="AI1000" s="1">
        <v>0.0526929881</v>
      </c>
      <c r="AJ1000" s="1">
        <v>1.2194662953</v>
      </c>
      <c r="AK1000" s="1">
        <v>94.023109639</v>
      </c>
      <c r="AL1000" s="1">
        <v>0.1763322884</v>
      </c>
      <c r="AM1000" s="1">
        <v>50.980465957</v>
      </c>
      <c r="AN1000" s="1">
        <v>62.479523195</v>
      </c>
      <c r="AO1000" s="1">
        <v>13654.0</v>
      </c>
      <c r="AP1000" s="1">
        <v>36.6</v>
      </c>
      <c r="AQ1000" s="1">
        <v>10.6</v>
      </c>
      <c r="AR1000" s="1">
        <v>31.9</v>
      </c>
      <c r="AS1000" s="1">
        <v>17.3</v>
      </c>
      <c r="AT1000" s="1">
        <v>21.6</v>
      </c>
      <c r="AU1000" s="1">
        <v>32.6</v>
      </c>
      <c r="AV1000" s="1">
        <v>5.4</v>
      </c>
      <c r="AW1000" s="1">
        <v>0.3</v>
      </c>
      <c r="AX1000" s="1">
        <v>0.9561</v>
      </c>
      <c r="AY1000" s="1">
        <v>30.3</v>
      </c>
      <c r="AZ1000" s="1">
        <v>24.7</v>
      </c>
      <c r="BA1000" s="1">
        <v>32.9</v>
      </c>
      <c r="BB1000" s="1">
        <v>2.82</v>
      </c>
      <c r="BC1000" s="1" t="s">
        <v>1761</v>
      </c>
      <c r="BD1000" s="1">
        <v>30.4</v>
      </c>
      <c r="BE1000" s="1">
        <v>38.5</v>
      </c>
      <c r="BF1000" s="1">
        <v>22.0</v>
      </c>
      <c r="BG1000" s="1">
        <v>9.2</v>
      </c>
      <c r="BH1000" s="1" t="s">
        <v>1771</v>
      </c>
    </row>
    <row r="1001">
      <c r="A1001" s="1">
        <v>21015.0</v>
      </c>
      <c r="B1001" s="2" t="str">
        <f>IFERROR(__xludf.DUMMYFUNCTION("TO_TEXT(A1001)"),"21015")</f>
        <v>21015</v>
      </c>
      <c r="C1001" s="1">
        <v>125656.0</v>
      </c>
      <c r="D1001" s="1">
        <v>246.215887093163</v>
      </c>
      <c r="E1001" s="1" t="s">
        <v>293</v>
      </c>
      <c r="F1001" s="1" t="s">
        <v>1772</v>
      </c>
      <c r="G1001" s="1">
        <v>510.348870998945</v>
      </c>
      <c r="H1001" s="1">
        <v>16.486470347</v>
      </c>
      <c r="I1001" s="1">
        <v>4.3499447693</v>
      </c>
      <c r="J1001" s="1">
        <v>7.12431979909999</v>
      </c>
      <c r="K1001" s="1">
        <v>17.654118662</v>
      </c>
      <c r="L1001" s="1">
        <v>35.8</v>
      </c>
      <c r="M1001" s="1">
        <v>8.3</v>
      </c>
      <c r="N1001" s="1">
        <v>24.7</v>
      </c>
      <c r="O1001" s="1">
        <v>84.802753954</v>
      </c>
      <c r="P1001" s="1">
        <v>4.217878322</v>
      </c>
      <c r="Q1001" s="1">
        <v>63.49061</v>
      </c>
      <c r="R1001" s="1">
        <v>95.6158663879999</v>
      </c>
      <c r="S1001" s="1">
        <v>8.7</v>
      </c>
      <c r="T1001" s="1">
        <v>33948.0</v>
      </c>
      <c r="U1001" s="1">
        <v>25.061859314</v>
      </c>
      <c r="V1001" s="1">
        <v>132.41556549</v>
      </c>
      <c r="W1001" s="1">
        <v>11.5772179629999</v>
      </c>
      <c r="X1001" s="1">
        <v>10.388895009</v>
      </c>
      <c r="Y1001" s="1">
        <v>78.887611803</v>
      </c>
      <c r="Z1001" s="1">
        <v>10.7</v>
      </c>
      <c r="AA1001" s="1">
        <v>6.177190637</v>
      </c>
      <c r="AB1001" s="1">
        <v>77696.0</v>
      </c>
      <c r="AC1001" s="1">
        <v>38.809674217</v>
      </c>
      <c r="AD1001" s="1">
        <v>74.066890785</v>
      </c>
      <c r="AE1001" s="1">
        <v>9.5806817191</v>
      </c>
      <c r="AF1001" s="1">
        <v>3.4234754776</v>
      </c>
      <c r="AG1001" s="1">
        <v>0.2128743357</v>
      </c>
      <c r="AH1001" s="1">
        <v>2.6259569842</v>
      </c>
      <c r="AI1001" s="1">
        <v>0.1847445128</v>
      </c>
      <c r="AJ1001" s="1">
        <v>4.3350337938</v>
      </c>
      <c r="AK1001" s="1">
        <v>87.518721538</v>
      </c>
      <c r="AL1001" s="1">
        <v>1.4725291144</v>
      </c>
      <c r="AM1001" s="1">
        <v>50.458059955</v>
      </c>
      <c r="AN1001" s="1">
        <v>13.272340103</v>
      </c>
      <c r="AO1001" s="1">
        <v>31593.0</v>
      </c>
      <c r="AP1001" s="1">
        <v>7.9</v>
      </c>
      <c r="AQ1001" s="1">
        <v>5.3</v>
      </c>
      <c r="AR1001" s="1">
        <v>7.6</v>
      </c>
      <c r="AS1001" s="1">
        <v>11.1</v>
      </c>
      <c r="AT1001" s="1">
        <v>27.2</v>
      </c>
      <c r="AU1001" s="1">
        <v>11.1</v>
      </c>
      <c r="AV1001" s="1">
        <v>11.3</v>
      </c>
      <c r="AW1001" s="1">
        <v>1.2</v>
      </c>
      <c r="AX1001" s="1">
        <v>0.1178</v>
      </c>
      <c r="AY1001" s="1">
        <v>7.1</v>
      </c>
      <c r="AZ1001" s="1">
        <v>8.8</v>
      </c>
      <c r="BA1001" s="1">
        <v>10.5</v>
      </c>
      <c r="BB1001" s="1">
        <v>2.97</v>
      </c>
      <c r="BC1001" s="1" t="s">
        <v>1761</v>
      </c>
      <c r="BD1001" s="1">
        <v>6.9</v>
      </c>
      <c r="BE1001" s="1">
        <v>27.5</v>
      </c>
      <c r="BF1001" s="1">
        <v>33.5</v>
      </c>
      <c r="BG1001" s="1">
        <v>32.1</v>
      </c>
      <c r="BH1001" s="1" t="s">
        <v>1772</v>
      </c>
    </row>
    <row r="1002">
      <c r="A1002" s="1">
        <v>21017.0</v>
      </c>
      <c r="B1002" s="2" t="str">
        <f>IFERROR(__xludf.DUMMYFUNCTION("TO_TEXT(A1002)"),"21017")</f>
        <v>21017</v>
      </c>
      <c r="C1002" s="1">
        <v>20004.0</v>
      </c>
      <c r="D1002" s="1">
        <v>289.719743455898</v>
      </c>
      <c r="E1002" s="1" t="s">
        <v>1597</v>
      </c>
      <c r="F1002" s="1" t="s">
        <v>1773</v>
      </c>
      <c r="G1002" s="1">
        <v>69.0460365641082</v>
      </c>
      <c r="H1002" s="1">
        <v>21.114959613</v>
      </c>
      <c r="I1002" s="1">
        <v>4.6900410772</v>
      </c>
      <c r="J1002" s="1">
        <v>8.424437299</v>
      </c>
      <c r="K1002" s="1">
        <v>20.423391152</v>
      </c>
      <c r="L1002" s="1">
        <v>30.3</v>
      </c>
      <c r="M1002" s="1">
        <v>7.4</v>
      </c>
      <c r="N1002" s="1">
        <v>31.1</v>
      </c>
      <c r="O1002" s="1">
        <v>72.429321991</v>
      </c>
      <c r="P1002" s="1">
        <v>8.1809672387</v>
      </c>
      <c r="Q1002" s="1">
        <v>74.89141</v>
      </c>
      <c r="R1002" s="1">
        <v>93.115942029</v>
      </c>
      <c r="S1002" s="1">
        <v>24.2</v>
      </c>
      <c r="T1002" s="1">
        <v>4531.0</v>
      </c>
      <c r="U1002" s="1">
        <v>38.159346723</v>
      </c>
      <c r="V1002" s="1">
        <v>126.98570788</v>
      </c>
      <c r="W1002" s="1">
        <v>14.108141703</v>
      </c>
      <c r="X1002" s="1">
        <v>12.797992472</v>
      </c>
      <c r="Y1002" s="1">
        <v>75.951752516</v>
      </c>
      <c r="Z1002" s="1">
        <v>10.7</v>
      </c>
      <c r="AA1002" s="1">
        <v>7.7161122947</v>
      </c>
      <c r="AB1002" s="1">
        <v>48614.0</v>
      </c>
      <c r="AC1002" s="1">
        <v>62.49310535</v>
      </c>
      <c r="AD1002" s="1">
        <v>64.714566929</v>
      </c>
      <c r="AE1002" s="1">
        <v>11.372241807</v>
      </c>
      <c r="AF1002" s="1">
        <v>5.76694411409999</v>
      </c>
      <c r="AG1002" s="1">
        <v>0.4013079667</v>
      </c>
      <c r="AH1002" s="1">
        <v>0.4954419342</v>
      </c>
      <c r="AI1002" s="1">
        <v>0.0198176774</v>
      </c>
      <c r="AJ1002" s="1">
        <v>7.0699564011</v>
      </c>
      <c r="AK1002" s="1">
        <v>84.675980975</v>
      </c>
      <c r="AL1002" s="1">
        <v>2.6008352276</v>
      </c>
      <c r="AM1002" s="1">
        <v>51.258422513</v>
      </c>
      <c r="AN1002" s="1">
        <v>44.748561421</v>
      </c>
      <c r="AO1002" s="1">
        <v>24433.0</v>
      </c>
      <c r="AP1002" s="1">
        <v>17.0</v>
      </c>
      <c r="AQ1002" s="1">
        <v>7.7</v>
      </c>
      <c r="AR1002" s="1">
        <v>16.0</v>
      </c>
      <c r="AS1002" s="1">
        <v>17.4</v>
      </c>
      <c r="AT1002" s="1">
        <v>23.0</v>
      </c>
      <c r="AU1002" s="1">
        <v>15.3</v>
      </c>
      <c r="AV1002" s="1">
        <v>14.8</v>
      </c>
      <c r="AW1002" s="1">
        <v>2.5</v>
      </c>
      <c r="AX1002" s="1">
        <v>0.5775</v>
      </c>
      <c r="AY1002" s="1">
        <v>14.1</v>
      </c>
      <c r="AZ1002" s="1">
        <v>13.9</v>
      </c>
      <c r="BA1002" s="1">
        <v>17.8</v>
      </c>
      <c r="BB1002" s="1">
        <v>2.86</v>
      </c>
      <c r="BC1002" s="1" t="s">
        <v>1761</v>
      </c>
      <c r="BD1002" s="1">
        <v>16.0</v>
      </c>
      <c r="BE1002" s="1">
        <v>35.6</v>
      </c>
      <c r="BF1002" s="1">
        <v>28.9</v>
      </c>
      <c r="BG1002" s="1">
        <v>19.4</v>
      </c>
      <c r="BH1002" s="1" t="s">
        <v>1773</v>
      </c>
    </row>
    <row r="1003">
      <c r="A1003" s="1">
        <v>21019.0</v>
      </c>
      <c r="B1003" s="2" t="str">
        <f>IFERROR(__xludf.DUMMYFUNCTION("TO_TEXT(A1003)"),"21019")</f>
        <v>21019</v>
      </c>
      <c r="C1003" s="1">
        <v>48716.0</v>
      </c>
      <c r="D1003" s="1">
        <v>159.867053183574</v>
      </c>
      <c r="E1003" s="1" t="s">
        <v>1774</v>
      </c>
      <c r="F1003" s="1" t="s">
        <v>1775</v>
      </c>
      <c r="G1003" s="1">
        <v>304.728204028755</v>
      </c>
      <c r="H1003" s="1">
        <v>20.445661886</v>
      </c>
      <c r="I1003" s="1">
        <v>4.8993923099</v>
      </c>
      <c r="J1003" s="1">
        <v>10.248447205</v>
      </c>
      <c r="K1003" s="1">
        <v>21.587105317</v>
      </c>
      <c r="L1003" s="1">
        <v>40.5</v>
      </c>
      <c r="M1003" s="1">
        <v>6.9</v>
      </c>
      <c r="N1003" s="1">
        <v>31.5</v>
      </c>
      <c r="O1003" s="1">
        <v>74.088652053</v>
      </c>
      <c r="P1003" s="1">
        <v>5.3518523552</v>
      </c>
      <c r="Q1003" s="1">
        <v>91.70679</v>
      </c>
      <c r="R1003" s="1">
        <v>93.5817805379999</v>
      </c>
      <c r="S1003" s="1">
        <v>26.8</v>
      </c>
      <c r="T1003" s="1">
        <v>10019.0</v>
      </c>
      <c r="U1003" s="1">
        <v>39.554845793</v>
      </c>
      <c r="V1003" s="1">
        <v>149.8305365</v>
      </c>
      <c r="W1003" s="1">
        <v>12.43229301</v>
      </c>
      <c r="X1003" s="1">
        <v>11.583355143</v>
      </c>
      <c r="Y1003" s="1">
        <v>74.20716025</v>
      </c>
      <c r="Z1003" s="1">
        <v>15.3</v>
      </c>
      <c r="AA1003" s="1">
        <v>9.4672465414</v>
      </c>
      <c r="AB1003" s="1">
        <v>48020.0</v>
      </c>
      <c r="AC1003" s="1">
        <v>61.916461916</v>
      </c>
      <c r="AD1003" s="1">
        <v>69.411639536</v>
      </c>
      <c r="AE1003" s="1">
        <v>12.4521719559999</v>
      </c>
      <c r="AF1003" s="1">
        <v>2.800592718</v>
      </c>
      <c r="AG1003" s="1">
        <v>0.3281117697</v>
      </c>
      <c r="AH1003" s="1">
        <v>0.5524978831</v>
      </c>
      <c r="AI1003" s="1">
        <v>0.0317527519</v>
      </c>
      <c r="AJ1003" s="1">
        <v>1.8882303133</v>
      </c>
      <c r="AK1003" s="1">
        <v>93.122353937</v>
      </c>
      <c r="AL1003" s="1">
        <v>0.070641736</v>
      </c>
      <c r="AM1003" s="1">
        <v>50.232853514</v>
      </c>
      <c r="AN1003" s="1">
        <v>25.317912075</v>
      </c>
      <c r="AO1003" s="1">
        <v>25939.0</v>
      </c>
      <c r="AP1003" s="1">
        <v>19.0</v>
      </c>
      <c r="AQ1003" s="1">
        <v>8.5</v>
      </c>
      <c r="AR1003" s="1">
        <v>10.8</v>
      </c>
      <c r="AS1003" s="1">
        <v>17.8</v>
      </c>
      <c r="AT1003" s="1">
        <v>21.2</v>
      </c>
      <c r="AU1003" s="1">
        <v>20.5</v>
      </c>
      <c r="AV1003" s="1">
        <v>6.6</v>
      </c>
      <c r="AW1003" s="1">
        <v>0.1</v>
      </c>
      <c r="AX1003" s="1">
        <v>0.5664</v>
      </c>
      <c r="AY1003" s="1">
        <v>20.6</v>
      </c>
      <c r="AZ1003" s="1">
        <v>16.6</v>
      </c>
      <c r="BA1003" s="1">
        <v>23.0</v>
      </c>
      <c r="BB1003" s="1">
        <v>2.66</v>
      </c>
      <c r="BC1003" s="1" t="s">
        <v>1761</v>
      </c>
      <c r="BD1003" s="1">
        <v>11.8</v>
      </c>
      <c r="BE1003" s="1">
        <v>33.9</v>
      </c>
      <c r="BF1003" s="1">
        <v>35.0</v>
      </c>
      <c r="BG1003" s="1">
        <v>19.4</v>
      </c>
      <c r="BH1003" s="1" t="s">
        <v>1775</v>
      </c>
    </row>
    <row r="1004">
      <c r="A1004" s="1">
        <v>21021.0</v>
      </c>
      <c r="B1004" s="2" t="str">
        <f>IFERROR(__xludf.DUMMYFUNCTION("TO_TEXT(A1004)"),"21021")</f>
        <v>21021</v>
      </c>
      <c r="C1004" s="1">
        <v>29650.0</v>
      </c>
      <c r="D1004" s="1">
        <v>180.414280769468</v>
      </c>
      <c r="E1004" s="1" t="s">
        <v>1776</v>
      </c>
      <c r="F1004" s="1" t="s">
        <v>1777</v>
      </c>
      <c r="G1004" s="1">
        <v>164.343974731615</v>
      </c>
      <c r="H1004" s="1">
        <v>20.368296893</v>
      </c>
      <c r="I1004" s="1">
        <v>4.6273794223</v>
      </c>
      <c r="J1004" s="1">
        <v>8.3636363636</v>
      </c>
      <c r="K1004" s="1">
        <v>20.162759662</v>
      </c>
      <c r="L1004" s="1">
        <v>28.5</v>
      </c>
      <c r="M1004" s="1">
        <v>6.9</v>
      </c>
      <c r="N1004" s="1">
        <v>20.9</v>
      </c>
      <c r="O1004" s="1">
        <v>70.614096792</v>
      </c>
      <c r="P1004" s="1">
        <v>5.3249436514</v>
      </c>
      <c r="Q1004" s="1">
        <v>80.20318</v>
      </c>
      <c r="R1004" s="1">
        <v>96.815286624</v>
      </c>
      <c r="S1004" s="1">
        <v>20.3</v>
      </c>
      <c r="T1004" s="1">
        <v>5779.0</v>
      </c>
      <c r="U1004" s="1">
        <v>29.330333968</v>
      </c>
      <c r="V1004" s="1">
        <v>145.32427591</v>
      </c>
      <c r="W1004" s="1">
        <v>12.086397059</v>
      </c>
      <c r="X1004" s="1">
        <v>11.303538175</v>
      </c>
      <c r="Y1004" s="1">
        <v>76.56079391</v>
      </c>
      <c r="Z1004" s="1">
        <v>14.6</v>
      </c>
      <c r="AA1004" s="1">
        <v>12.471479234</v>
      </c>
      <c r="AB1004" s="1">
        <v>47528.0</v>
      </c>
      <c r="AC1004" s="1">
        <v>56.646430814</v>
      </c>
      <c r="AD1004" s="1">
        <v>66.34195193</v>
      </c>
      <c r="AE1004" s="1">
        <v>12.027330588</v>
      </c>
      <c r="AF1004" s="1">
        <v>7.7242524917</v>
      </c>
      <c r="AG1004" s="1">
        <v>0.292358804</v>
      </c>
      <c r="AH1004" s="1">
        <v>1.0631229236</v>
      </c>
      <c r="AI1004" s="1">
        <v>0.0265780731</v>
      </c>
      <c r="AJ1004" s="1">
        <v>3.4950166113</v>
      </c>
      <c r="AK1004" s="1">
        <v>85.401993355</v>
      </c>
      <c r="AL1004" s="1">
        <v>0.6623216488</v>
      </c>
      <c r="AM1004" s="1">
        <v>50.189368771</v>
      </c>
      <c r="AN1004" s="1">
        <v>34.819921216</v>
      </c>
      <c r="AO1004" s="1">
        <v>23276.0</v>
      </c>
      <c r="AP1004" s="1">
        <v>16.4</v>
      </c>
      <c r="AQ1004" s="1">
        <v>5.6</v>
      </c>
      <c r="AR1004" s="1">
        <v>13.8</v>
      </c>
      <c r="AS1004" s="1">
        <v>17.6</v>
      </c>
      <c r="AT1004" s="1">
        <v>20.3</v>
      </c>
      <c r="AU1004" s="1">
        <v>16.8</v>
      </c>
      <c r="AV1004" s="1">
        <v>13.8</v>
      </c>
      <c r="AW1004" s="1">
        <v>0.6</v>
      </c>
      <c r="AX1004" s="1">
        <v>0.3843</v>
      </c>
      <c r="AY1004" s="1">
        <v>15.5</v>
      </c>
      <c r="AZ1004" s="1">
        <v>13.6</v>
      </c>
      <c r="BA1004" s="1">
        <v>16.2</v>
      </c>
      <c r="BB1004" s="1">
        <v>2.56</v>
      </c>
      <c r="BC1004" s="1" t="s">
        <v>1761</v>
      </c>
      <c r="BD1004" s="1">
        <v>12.9</v>
      </c>
      <c r="BE1004" s="1">
        <v>33.5</v>
      </c>
      <c r="BF1004" s="1">
        <v>28.5</v>
      </c>
      <c r="BG1004" s="1">
        <v>25.2</v>
      </c>
      <c r="BH1004" s="1" t="s">
        <v>1777</v>
      </c>
    </row>
    <row r="1005">
      <c r="A1005" s="1">
        <v>21023.0</v>
      </c>
      <c r="B1005" s="2" t="str">
        <f>IFERROR(__xludf.DUMMYFUNCTION("TO_TEXT(A1005)"),"21023")</f>
        <v>21023</v>
      </c>
      <c r="C1005" s="1">
        <v>8404.0</v>
      </c>
      <c r="D1005" s="1">
        <v>205.612307718401</v>
      </c>
      <c r="E1005" s="1" t="s">
        <v>1778</v>
      </c>
      <c r="F1005" s="1" t="s">
        <v>1779</v>
      </c>
      <c r="G1005" s="1">
        <v>40.8730396212942</v>
      </c>
      <c r="H1005" s="1">
        <v>21.681265974</v>
      </c>
      <c r="I1005" s="1">
        <v>4.9414717027</v>
      </c>
      <c r="J1005" s="1">
        <v>9.9162011173</v>
      </c>
      <c r="K1005" s="1">
        <v>21.008255145</v>
      </c>
      <c r="L1005" s="1">
        <v>31.7</v>
      </c>
      <c r="M1005" s="1">
        <v>7.9</v>
      </c>
      <c r="N1005" s="1">
        <v>31.2</v>
      </c>
      <c r="O1005" s="1">
        <v>0.2474081056</v>
      </c>
      <c r="P1005" s="1">
        <v>6.2998983887</v>
      </c>
      <c r="Q1005" s="1">
        <v>24.19257</v>
      </c>
      <c r="R1005" s="1">
        <v>94.444444444</v>
      </c>
      <c r="S1005" s="1">
        <v>21.6</v>
      </c>
      <c r="T1005" s="1">
        <v>1994.0</v>
      </c>
      <c r="U1005" s="1">
        <v>22.868605817</v>
      </c>
      <c r="V1005" s="1">
        <v>49.8597693989999</v>
      </c>
      <c r="W1005" s="1">
        <v>13.929618768</v>
      </c>
      <c r="X1005" s="1">
        <v>11.611940299</v>
      </c>
      <c r="Y1005" s="1">
        <v>73.730620352</v>
      </c>
      <c r="Z1005" s="1">
        <v>9.8</v>
      </c>
      <c r="AA1005" s="1">
        <v>0.2217718029</v>
      </c>
      <c r="AB1005" s="1">
        <v>56432.0</v>
      </c>
      <c r="AC1005" s="1">
        <v>58.584534731</v>
      </c>
      <c r="AD1005" s="1">
        <v>74.65205804</v>
      </c>
      <c r="AE1005" s="1">
        <v>12.23182837</v>
      </c>
      <c r="AF1005" s="1">
        <v>0.6432819517</v>
      </c>
      <c r="AG1005" s="1">
        <v>0.3155722782</v>
      </c>
      <c r="AH1005" s="1">
        <v>0.1092365578</v>
      </c>
      <c r="AI1005" s="1">
        <v>0.0242747906</v>
      </c>
      <c r="AJ1005" s="1">
        <v>1.8691588785</v>
      </c>
      <c r="AK1005" s="1">
        <v>95.715499454</v>
      </c>
      <c r="AL1005" s="1">
        <v>0.2320484723</v>
      </c>
      <c r="AM1005" s="1">
        <v>49.884694745</v>
      </c>
      <c r="AN1005" s="1">
        <v>100.0</v>
      </c>
      <c r="AO1005" s="1">
        <v>21569.0</v>
      </c>
      <c r="AP1005" s="1">
        <v>20.7</v>
      </c>
      <c r="AQ1005" s="1">
        <v>8.8</v>
      </c>
      <c r="AR1005" s="1">
        <v>16.8</v>
      </c>
      <c r="AS1005" s="1">
        <v>15.4</v>
      </c>
      <c r="AT1005" s="1">
        <v>24.4</v>
      </c>
      <c r="AU1005" s="1">
        <v>14.3</v>
      </c>
      <c r="AV1005" s="1">
        <v>2.3</v>
      </c>
      <c r="AW1005" s="1">
        <v>0.2</v>
      </c>
      <c r="AX1005" s="1">
        <v>0.503</v>
      </c>
      <c r="AY1005" s="1">
        <v>14.1</v>
      </c>
      <c r="AZ1005" s="1">
        <v>13.8</v>
      </c>
      <c r="BA1005" s="1">
        <v>17.5</v>
      </c>
      <c r="BB1005" s="1">
        <v>2.97</v>
      </c>
      <c r="BC1005" s="1" t="s">
        <v>1761</v>
      </c>
      <c r="BD1005" s="1">
        <v>14.3</v>
      </c>
      <c r="BE1005" s="1">
        <v>46.4</v>
      </c>
      <c r="BF1005" s="1">
        <v>26.2</v>
      </c>
      <c r="BG1005" s="1">
        <v>13.2</v>
      </c>
      <c r="BH1005" s="1" t="s">
        <v>1779</v>
      </c>
    </row>
    <row r="1006">
      <c r="A1006" s="1">
        <v>21025.0</v>
      </c>
      <c r="B1006" s="2" t="str">
        <f>IFERROR(__xludf.DUMMYFUNCTION("TO_TEXT(A1006)"),"21025")</f>
        <v>21025</v>
      </c>
      <c r="C1006" s="1">
        <v>13476.0</v>
      </c>
      <c r="D1006" s="1">
        <v>492.413694574076</v>
      </c>
      <c r="E1006" s="1" t="s">
        <v>1780</v>
      </c>
      <c r="F1006" s="1" t="s">
        <v>1781</v>
      </c>
      <c r="G1006" s="1">
        <v>27.3672323667935</v>
      </c>
      <c r="H1006" s="1">
        <v>29.4484012659999</v>
      </c>
      <c r="I1006" s="1">
        <v>5.66223138539999</v>
      </c>
      <c r="J1006" s="1">
        <v>11.148365465</v>
      </c>
      <c r="K1006" s="1">
        <v>26.68442585</v>
      </c>
      <c r="L1006" s="1">
        <v>38.1</v>
      </c>
      <c r="M1006" s="1">
        <v>6.1</v>
      </c>
      <c r="N1006" s="1">
        <v>34.0</v>
      </c>
      <c r="O1006" s="1">
        <v>57.299322669</v>
      </c>
      <c r="P1006" s="1">
        <v>6.6009757964</v>
      </c>
      <c r="Q1006" s="1">
        <v>61.79515</v>
      </c>
      <c r="R1006" s="1">
        <v>85.95505618</v>
      </c>
      <c r="S1006" s="1">
        <v>43.4</v>
      </c>
      <c r="T1006" s="1">
        <v>2605.0</v>
      </c>
      <c r="U1006" s="1">
        <v>40.345489443</v>
      </c>
      <c r="V1006" s="1">
        <v>29.855202269</v>
      </c>
      <c r="W1006" s="1">
        <v>12.723845429</v>
      </c>
      <c r="X1006" s="1">
        <v>8.0511811024</v>
      </c>
      <c r="Y1006" s="1">
        <v>69.703783984</v>
      </c>
      <c r="Z1006" s="1">
        <v>19.9</v>
      </c>
      <c r="AA1006" s="1">
        <v>8.9299232239</v>
      </c>
      <c r="AB1006" s="1">
        <v>31182.0</v>
      </c>
      <c r="AC1006" s="1">
        <v>74.606643357</v>
      </c>
      <c r="AD1006" s="1">
        <v>71.815107103</v>
      </c>
      <c r="AE1006" s="1">
        <v>11.805555556</v>
      </c>
      <c r="AF1006" s="1">
        <v>0.5814867201</v>
      </c>
      <c r="AG1006" s="1">
        <v>0.180732359</v>
      </c>
      <c r="AH1006" s="1">
        <v>0.5972025774</v>
      </c>
      <c r="AI1006" s="1">
        <v>0.1178689298</v>
      </c>
      <c r="AJ1006" s="1">
        <v>1.1629734402</v>
      </c>
      <c r="AK1006" s="1">
        <v>96.2831997489999</v>
      </c>
      <c r="AL1006" s="1">
        <v>0.0</v>
      </c>
      <c r="AM1006" s="1">
        <v>49.9764262139999</v>
      </c>
      <c r="AN1006" s="1">
        <v>81.5030984289999</v>
      </c>
      <c r="AO1006" s="1">
        <v>15798.0</v>
      </c>
      <c r="AP1006" s="1">
        <v>33.5</v>
      </c>
      <c r="AQ1006" s="1">
        <v>12.0</v>
      </c>
      <c r="AR1006" s="1">
        <v>28.6</v>
      </c>
      <c r="AS1006" s="1">
        <v>15.3</v>
      </c>
      <c r="AT1006" s="1">
        <v>21.5</v>
      </c>
      <c r="AU1006" s="1">
        <v>32.9</v>
      </c>
      <c r="AV1006" s="1">
        <v>2.8</v>
      </c>
      <c r="AW1006" s="1">
        <v>0.1</v>
      </c>
      <c r="AX1006" s="1">
        <v>0.8434</v>
      </c>
      <c r="AY1006" s="1">
        <v>29.2</v>
      </c>
      <c r="AZ1006" s="1">
        <v>24.6</v>
      </c>
      <c r="BA1006" s="1">
        <v>34.5</v>
      </c>
      <c r="BB1006" s="1">
        <v>2.85</v>
      </c>
      <c r="BC1006" s="1" t="s">
        <v>1761</v>
      </c>
      <c r="BD1006" s="1">
        <v>24.4</v>
      </c>
      <c r="BE1006" s="1">
        <v>36.7</v>
      </c>
      <c r="BF1006" s="1">
        <v>23.7</v>
      </c>
      <c r="BG1006" s="1">
        <v>15.2</v>
      </c>
      <c r="BH1006" s="1" t="s">
        <v>1781</v>
      </c>
    </row>
    <row r="1007">
      <c r="A1007" s="1">
        <v>21027.0</v>
      </c>
      <c r="B1007" s="2" t="str">
        <f>IFERROR(__xludf.DUMMYFUNCTION("TO_TEXT(A1007)"),"21027")</f>
        <v>21027</v>
      </c>
      <c r="C1007" s="1">
        <v>20000.0</v>
      </c>
      <c r="D1007" s="1">
        <v>567.202902944556</v>
      </c>
      <c r="E1007" s="1" t="s">
        <v>1782</v>
      </c>
      <c r="F1007" s="1" t="s">
        <v>1783</v>
      </c>
      <c r="G1007" s="1">
        <v>35.260750423125</v>
      </c>
      <c r="H1007" s="1">
        <v>21.572431526</v>
      </c>
      <c r="I1007" s="1">
        <v>4.7961882959</v>
      </c>
      <c r="J1007" s="1">
        <v>8.3847102343</v>
      </c>
      <c r="K1007" s="1">
        <v>22.295189447</v>
      </c>
      <c r="L1007" s="1">
        <v>24.6</v>
      </c>
      <c r="M1007" s="1">
        <v>7.7</v>
      </c>
      <c r="N1007" s="1">
        <v>25.4</v>
      </c>
      <c r="O1007" s="1">
        <v>42.619273144</v>
      </c>
      <c r="P1007" s="1">
        <v>7.8134806075</v>
      </c>
      <c r="Q1007" s="1">
        <v>24.86202</v>
      </c>
      <c r="R1007" s="1">
        <v>94.186046512</v>
      </c>
      <c r="S1007" s="1">
        <v>23.7</v>
      </c>
      <c r="T1007" s="1">
        <v>4567.0</v>
      </c>
      <c r="U1007" s="1">
        <v>20.582439238</v>
      </c>
      <c r="V1007" s="1">
        <v>62.407948276</v>
      </c>
      <c r="W1007" s="1">
        <v>12.661674609</v>
      </c>
      <c r="X1007" s="1">
        <v>8.9517241379</v>
      </c>
      <c r="Y1007" s="1">
        <v>75.615860975</v>
      </c>
      <c r="Z1007" s="1">
        <v>12.7</v>
      </c>
      <c r="AA1007" s="1">
        <v>4.0207666581</v>
      </c>
      <c r="AB1007" s="1">
        <v>47284.0</v>
      </c>
      <c r="AC1007" s="1">
        <v>63.583282114</v>
      </c>
      <c r="AD1007" s="1">
        <v>78.488599349</v>
      </c>
      <c r="AE1007" s="1">
        <v>8.6297215329</v>
      </c>
      <c r="AF1007" s="1">
        <v>2.0502256229</v>
      </c>
      <c r="AG1007" s="1">
        <v>0.5150088287</v>
      </c>
      <c r="AH1007" s="1">
        <v>0.3629586031</v>
      </c>
      <c r="AI1007" s="1">
        <v>0.009809692</v>
      </c>
      <c r="AJ1007" s="1">
        <v>1.7068864038</v>
      </c>
      <c r="AK1007" s="1">
        <v>94.065136355</v>
      </c>
      <c r="AL1007" s="1">
        <v>0.5603721717</v>
      </c>
      <c r="AM1007" s="1">
        <v>49.730233471</v>
      </c>
      <c r="AN1007" s="1">
        <v>100.0</v>
      </c>
      <c r="AO1007" s="1">
        <v>19984.0</v>
      </c>
      <c r="AP1007" s="1">
        <v>17.1</v>
      </c>
      <c r="AQ1007" s="1">
        <v>10.3</v>
      </c>
      <c r="AR1007" s="1">
        <v>20.3</v>
      </c>
      <c r="AS1007" s="1">
        <v>17.8</v>
      </c>
      <c r="AT1007" s="1">
        <v>23.2</v>
      </c>
      <c r="AU1007" s="1">
        <v>20.7</v>
      </c>
      <c r="AV1007" s="1">
        <v>5.3</v>
      </c>
      <c r="AW1007" s="1">
        <v>0.8</v>
      </c>
      <c r="AX1007" s="1">
        <v>0.7303</v>
      </c>
      <c r="AY1007" s="1">
        <v>18.3</v>
      </c>
      <c r="AZ1007" s="1">
        <v>15.3</v>
      </c>
      <c r="BA1007" s="1">
        <v>19.9</v>
      </c>
      <c r="BB1007" s="1">
        <v>2.84</v>
      </c>
      <c r="BC1007" s="1" t="s">
        <v>1761</v>
      </c>
      <c r="BD1007" s="1">
        <v>15.9</v>
      </c>
      <c r="BE1007" s="1">
        <v>44.9</v>
      </c>
      <c r="BF1007" s="1">
        <v>27.2</v>
      </c>
      <c r="BG1007" s="1">
        <v>11.9</v>
      </c>
      <c r="BH1007" s="1" t="s">
        <v>1783</v>
      </c>
    </row>
    <row r="1008">
      <c r="A1008" s="1">
        <v>21029.0</v>
      </c>
      <c r="B1008" s="2" t="str">
        <f>IFERROR(__xludf.DUMMYFUNCTION("TO_TEXT(A1008)"),"21029")</f>
        <v>21029</v>
      </c>
      <c r="C1008" s="1">
        <v>77727.0</v>
      </c>
      <c r="D1008" s="1">
        <v>297.024354684026</v>
      </c>
      <c r="E1008" s="1" t="s">
        <v>1784</v>
      </c>
      <c r="F1008" s="1" t="s">
        <v>1785</v>
      </c>
      <c r="G1008" s="1">
        <v>261.685611884203</v>
      </c>
      <c r="H1008" s="1">
        <v>17.739563409</v>
      </c>
      <c r="I1008" s="1">
        <v>4.3617796064</v>
      </c>
      <c r="J1008" s="1">
        <v>7.7811879401</v>
      </c>
      <c r="K1008" s="1">
        <v>19.715222995</v>
      </c>
      <c r="L1008" s="1">
        <v>34.5</v>
      </c>
      <c r="M1008" s="1">
        <v>8.0</v>
      </c>
      <c r="N1008" s="1">
        <v>28.2</v>
      </c>
      <c r="O1008" s="1">
        <v>73.654112676</v>
      </c>
      <c r="P1008" s="1">
        <v>4.8709672665</v>
      </c>
      <c r="Q1008" s="1">
        <v>18.69252</v>
      </c>
      <c r="R1008" s="1">
        <v>91.291291291</v>
      </c>
      <c r="S1008" s="1">
        <v>12.6</v>
      </c>
      <c r="T1008" s="1">
        <v>17527.0</v>
      </c>
      <c r="U1008" s="1">
        <v>30.598505163</v>
      </c>
      <c r="V1008" s="1">
        <v>121.61809372</v>
      </c>
      <c r="W1008" s="1">
        <v>10.793762047</v>
      </c>
      <c r="X1008" s="1">
        <v>9.5977417078</v>
      </c>
      <c r="Y1008" s="1">
        <v>77.887021495</v>
      </c>
      <c r="Z1008" s="1">
        <v>17.2</v>
      </c>
      <c r="AA1008" s="1">
        <v>9.0660911077</v>
      </c>
      <c r="AB1008" s="1">
        <v>61022.0</v>
      </c>
      <c r="AC1008" s="1">
        <v>47.445419761</v>
      </c>
      <c r="AD1008" s="1">
        <v>80.6257234289999</v>
      </c>
      <c r="AE1008" s="1">
        <v>9.760279965</v>
      </c>
      <c r="AF1008" s="1">
        <v>1.1792423738</v>
      </c>
      <c r="AG1008" s="1">
        <v>0.3836238266</v>
      </c>
      <c r="AH1008" s="1">
        <v>0.6142915294</v>
      </c>
      <c r="AI1008" s="1">
        <v>0.0653764078</v>
      </c>
      <c r="AJ1008" s="1">
        <v>2.0982126337</v>
      </c>
      <c r="AK1008" s="1">
        <v>94.265378875</v>
      </c>
      <c r="AL1008" s="1">
        <v>0.2630914575</v>
      </c>
      <c r="AM1008" s="1">
        <v>50.2867927319999</v>
      </c>
      <c r="AN1008" s="1">
        <v>30.413487803</v>
      </c>
      <c r="AO1008" s="1">
        <v>25805.0</v>
      </c>
      <c r="AP1008" s="1">
        <v>10.3</v>
      </c>
      <c r="AQ1008" s="1">
        <v>6.7</v>
      </c>
      <c r="AR1008" s="1">
        <v>13.3</v>
      </c>
      <c r="AS1008" s="1">
        <v>13.6</v>
      </c>
      <c r="AT1008" s="1">
        <v>23.2</v>
      </c>
      <c r="AU1008" s="1">
        <v>15.0</v>
      </c>
      <c r="AV1008" s="1">
        <v>4.9</v>
      </c>
      <c r="AW1008" s="1">
        <v>0.3</v>
      </c>
      <c r="AX1008" s="1">
        <v>0.1261</v>
      </c>
      <c r="AY1008" s="1">
        <v>7.8</v>
      </c>
      <c r="AZ1008" s="1">
        <v>11.1</v>
      </c>
      <c r="BA1008" s="1">
        <v>14.3</v>
      </c>
      <c r="BB1008" s="1">
        <v>2.93</v>
      </c>
      <c r="BC1008" s="1" t="s">
        <v>1761</v>
      </c>
      <c r="BD1008" s="1">
        <v>11.5</v>
      </c>
      <c r="BE1008" s="1">
        <v>41.6</v>
      </c>
      <c r="BF1008" s="1">
        <v>32.1</v>
      </c>
      <c r="BG1008" s="1">
        <v>14.7</v>
      </c>
      <c r="BH1008" s="1" t="s">
        <v>1785</v>
      </c>
    </row>
    <row r="1009">
      <c r="A1009" s="1">
        <v>21031.0</v>
      </c>
      <c r="B1009" s="2" t="str">
        <f>IFERROR(__xludf.DUMMYFUNCTION("TO_TEXT(A1009)"),"21031")</f>
        <v>21031</v>
      </c>
      <c r="C1009" s="1">
        <v>12828.0</v>
      </c>
      <c r="D1009" s="1">
        <v>426.087708066202</v>
      </c>
      <c r="E1009" s="1" t="s">
        <v>72</v>
      </c>
      <c r="F1009" s="1" t="s">
        <v>1786</v>
      </c>
      <c r="G1009" s="1">
        <v>30.1064775095716</v>
      </c>
      <c r="H1009" s="1">
        <v>22.317185344</v>
      </c>
      <c r="I1009" s="1">
        <v>5.1278355036</v>
      </c>
      <c r="J1009" s="1">
        <v>7.2212065814</v>
      </c>
      <c r="K1009" s="1">
        <v>22.939570395</v>
      </c>
      <c r="L1009" s="1">
        <v>31.3</v>
      </c>
      <c r="M1009" s="1">
        <v>7.5</v>
      </c>
      <c r="N1009" s="1">
        <v>31.4</v>
      </c>
      <c r="O1009" s="1">
        <v>20.425531915</v>
      </c>
      <c r="P1009" s="1">
        <v>7.9272444315</v>
      </c>
      <c r="Q1009" s="1">
        <v>7.79362</v>
      </c>
      <c r="R1009" s="1">
        <v>93.023255814</v>
      </c>
      <c r="S1009" s="1">
        <v>22.1</v>
      </c>
      <c r="T1009" s="1">
        <v>2774.0</v>
      </c>
      <c r="U1009" s="1">
        <v>31.290555155</v>
      </c>
      <c r="V1009" s="1">
        <v>77.525389565</v>
      </c>
      <c r="W1009" s="1">
        <v>11.736178468</v>
      </c>
      <c r="X1009" s="1">
        <v>9.0462143559</v>
      </c>
      <c r="Y1009" s="1">
        <v>73.588481347</v>
      </c>
      <c r="Z1009" s="1">
        <v>13.2</v>
      </c>
      <c r="AA1009" s="1">
        <v>4.288699898</v>
      </c>
      <c r="AB1009" s="1">
        <v>43048.0</v>
      </c>
      <c r="AC1009" s="1">
        <v>59.875721261</v>
      </c>
      <c r="AD1009" s="1">
        <v>73.178542834</v>
      </c>
      <c r="AE1009" s="1">
        <v>8.4054910243</v>
      </c>
      <c r="AF1009" s="1">
        <v>0.540244284399999</v>
      </c>
      <c r="AG1009" s="1">
        <v>0.4149702474</v>
      </c>
      <c r="AH1009" s="1">
        <v>0.3523332289</v>
      </c>
      <c r="AI1009" s="1">
        <v>0.0</v>
      </c>
      <c r="AJ1009" s="1">
        <v>3.4528656436</v>
      </c>
      <c r="AK1009" s="1">
        <v>94.472283119</v>
      </c>
      <c r="AL1009" s="1">
        <v>1.8268268268</v>
      </c>
      <c r="AM1009" s="1">
        <v>49.788600063</v>
      </c>
      <c r="AN1009" s="1">
        <v>100.0</v>
      </c>
      <c r="AO1009" s="1">
        <v>20591.0</v>
      </c>
      <c r="AP1009" s="1">
        <v>24.6</v>
      </c>
      <c r="AQ1009" s="1">
        <v>5.4</v>
      </c>
      <c r="AR1009" s="1">
        <v>22.4</v>
      </c>
      <c r="AS1009" s="1">
        <v>17.2</v>
      </c>
      <c r="AT1009" s="1">
        <v>22.7</v>
      </c>
      <c r="AU1009" s="1">
        <v>23.0</v>
      </c>
      <c r="AV1009" s="1">
        <v>5.2</v>
      </c>
      <c r="AW1009" s="1">
        <v>1.2</v>
      </c>
      <c r="AX1009" s="1">
        <v>0.794</v>
      </c>
      <c r="AY1009" s="1">
        <v>18.0</v>
      </c>
      <c r="AZ1009" s="1">
        <v>16.0</v>
      </c>
      <c r="BA1009" s="1">
        <v>21.5</v>
      </c>
      <c r="BB1009" s="1">
        <v>2.71</v>
      </c>
      <c r="BC1009" s="1" t="s">
        <v>1761</v>
      </c>
      <c r="BD1009" s="1">
        <v>20.4</v>
      </c>
      <c r="BE1009" s="1">
        <v>42.9</v>
      </c>
      <c r="BF1009" s="1">
        <v>22.8</v>
      </c>
      <c r="BG1009" s="1">
        <v>13.9</v>
      </c>
      <c r="BH1009" s="1" t="s">
        <v>1786</v>
      </c>
    </row>
    <row r="1010">
      <c r="A1010" s="1">
        <v>21033.0</v>
      </c>
      <c r="B1010" s="2" t="str">
        <f>IFERROR(__xludf.DUMMYFUNCTION("TO_TEXT(A1010)"),"21033")</f>
        <v>21033</v>
      </c>
      <c r="C1010" s="1">
        <v>12758.0</v>
      </c>
      <c r="D1010" s="1">
        <v>344.791699524438</v>
      </c>
      <c r="E1010" s="1" t="s">
        <v>1787</v>
      </c>
      <c r="F1010" s="1" t="s">
        <v>1788</v>
      </c>
      <c r="G1010" s="1">
        <v>37.0020508544631</v>
      </c>
      <c r="H1010" s="1">
        <v>20.492311513</v>
      </c>
      <c r="I1010" s="1">
        <v>4.7755887905</v>
      </c>
      <c r="J1010" s="1">
        <v>7.8895463511</v>
      </c>
      <c r="K1010" s="1">
        <v>19.740688937</v>
      </c>
      <c r="L1010" s="1">
        <v>33.6</v>
      </c>
      <c r="M1010" s="1">
        <v>7.6</v>
      </c>
      <c r="N1010" s="1">
        <v>28.0</v>
      </c>
      <c r="O1010" s="1">
        <v>6.269254467</v>
      </c>
      <c r="P1010" s="1">
        <v>5.8076225045</v>
      </c>
      <c r="Q1010" s="1">
        <v>55.38413</v>
      </c>
      <c r="R1010" s="1">
        <v>94.326241135</v>
      </c>
      <c r="S1010" s="1">
        <v>26.6</v>
      </c>
      <c r="T1010" s="1">
        <v>2856.0</v>
      </c>
      <c r="U1010" s="1">
        <v>37.394957983</v>
      </c>
      <c r="V1010" s="1">
        <v>192.86023537</v>
      </c>
      <c r="W1010" s="1">
        <v>9.022556391</v>
      </c>
      <c r="X1010" s="1">
        <v>7.6650246305</v>
      </c>
      <c r="Y1010" s="1">
        <v>76.134962493</v>
      </c>
      <c r="Z1010" s="1">
        <v>14.9</v>
      </c>
      <c r="AA1010" s="1">
        <v>4.293119113</v>
      </c>
      <c r="AB1010" s="1">
        <v>43659.0</v>
      </c>
      <c r="AC1010" s="1">
        <v>63.78458498</v>
      </c>
      <c r="AD1010" s="1">
        <v>75.096599691</v>
      </c>
      <c r="AE1010" s="1">
        <v>6.17101937659999</v>
      </c>
      <c r="AF1010" s="1">
        <v>5.465985057</v>
      </c>
      <c r="AG1010" s="1">
        <v>0.314589068</v>
      </c>
      <c r="AH1010" s="1">
        <v>0.4246952418</v>
      </c>
      <c r="AI1010" s="1">
        <v>0.0471883602</v>
      </c>
      <c r="AJ1010" s="1">
        <v>1.604404247</v>
      </c>
      <c r="AK1010" s="1">
        <v>90.7510814</v>
      </c>
      <c r="AL1010" s="1">
        <v>0.1662234043</v>
      </c>
      <c r="AM1010" s="1">
        <v>51.7892253239999</v>
      </c>
      <c r="AN1010" s="1">
        <v>54.6364756619999</v>
      </c>
      <c r="AO1010" s="1">
        <v>23308.0</v>
      </c>
      <c r="AP1010" s="1">
        <v>21.1</v>
      </c>
      <c r="AQ1010" s="1">
        <v>8.0</v>
      </c>
      <c r="AR1010" s="1">
        <v>11.9</v>
      </c>
      <c r="AS1010" s="1">
        <v>18.6</v>
      </c>
      <c r="AT1010" s="1">
        <v>22.8</v>
      </c>
      <c r="AU1010" s="1">
        <v>19.2</v>
      </c>
      <c r="AV1010" s="1">
        <v>8.9</v>
      </c>
      <c r="AW1010" s="1">
        <v>0.0</v>
      </c>
      <c r="AX1010" s="1">
        <v>0.5053</v>
      </c>
      <c r="AY1010" s="1">
        <v>15.8</v>
      </c>
      <c r="AZ1010" s="1">
        <v>15.0</v>
      </c>
      <c r="BA1010" s="1">
        <v>20.6</v>
      </c>
      <c r="BB1010" s="1">
        <v>2.77</v>
      </c>
      <c r="BC1010" s="1" t="s">
        <v>1761</v>
      </c>
      <c r="BD1010" s="1">
        <v>13.0</v>
      </c>
      <c r="BE1010" s="1">
        <v>45.0</v>
      </c>
      <c r="BF1010" s="1">
        <v>26.7</v>
      </c>
      <c r="BG1010" s="1">
        <v>15.3</v>
      </c>
      <c r="BH1010" s="1" t="s">
        <v>1788</v>
      </c>
    </row>
    <row r="1011">
      <c r="A1011" s="1">
        <v>21035.0</v>
      </c>
      <c r="B1011" s="2" t="str">
        <f>IFERROR(__xludf.DUMMYFUNCTION("TO_TEXT(A1011)"),"21035")</f>
        <v>21035</v>
      </c>
      <c r="C1011" s="1">
        <v>38302.0</v>
      </c>
      <c r="D1011" s="1">
        <v>385.023210162492</v>
      </c>
      <c r="E1011" s="1" t="s">
        <v>1789</v>
      </c>
      <c r="F1011" s="1" t="s">
        <v>1790</v>
      </c>
      <c r="G1011" s="1">
        <v>99.4797170379295</v>
      </c>
      <c r="H1011" s="1">
        <v>21.622825209</v>
      </c>
      <c r="I1011" s="1">
        <v>4.81735153519999</v>
      </c>
      <c r="J1011" s="1">
        <v>7.1190211346</v>
      </c>
      <c r="K1011" s="1">
        <v>19.391674666</v>
      </c>
      <c r="L1011" s="1">
        <v>33.0</v>
      </c>
      <c r="M1011" s="1">
        <v>7.4</v>
      </c>
      <c r="N1011" s="1">
        <v>27.0</v>
      </c>
      <c r="O1011" s="1">
        <v>73.343013095</v>
      </c>
      <c r="P1011" s="1">
        <v>6.6782751204</v>
      </c>
      <c r="Q1011" s="1">
        <v>48.81934</v>
      </c>
      <c r="R1011" s="1">
        <v>96.19047619</v>
      </c>
      <c r="S1011" s="1">
        <v>23.1</v>
      </c>
      <c r="T1011" s="1">
        <v>6932.0</v>
      </c>
      <c r="U1011" s="1">
        <v>29.948066936</v>
      </c>
      <c r="V1011" s="1">
        <v>162.49508583</v>
      </c>
      <c r="W1011" s="1">
        <v>18.766666667</v>
      </c>
      <c r="X1011" s="1">
        <v>18.0526680529999</v>
      </c>
      <c r="Y1011" s="1">
        <v>77.464683259</v>
      </c>
      <c r="Z1011" s="1">
        <v>9.6</v>
      </c>
      <c r="AA1011" s="1">
        <v>4.7756973389</v>
      </c>
      <c r="AB1011" s="1">
        <v>41873.0</v>
      </c>
      <c r="AC1011" s="1">
        <v>55.944642483</v>
      </c>
      <c r="AD1011" s="1">
        <v>62.946520046</v>
      </c>
      <c r="AE1011" s="1">
        <v>17.273589725</v>
      </c>
      <c r="AF1011" s="1">
        <v>4.0270857289</v>
      </c>
      <c r="AG1011" s="1">
        <v>0.3142966654</v>
      </c>
      <c r="AH1011" s="1">
        <v>1.8525616456</v>
      </c>
      <c r="AI1011" s="1">
        <v>0.0536604063</v>
      </c>
      <c r="AJ1011" s="1">
        <v>2.6983518589</v>
      </c>
      <c r="AK1011" s="1">
        <v>89.564328606</v>
      </c>
      <c r="AL1011" s="1">
        <v>0.524670381899999</v>
      </c>
      <c r="AM1011" s="1">
        <v>51.294237894</v>
      </c>
      <c r="AN1011" s="1">
        <v>48.718776048</v>
      </c>
      <c r="AO1011" s="1">
        <v>21109.0</v>
      </c>
      <c r="AP1011" s="1">
        <v>24.9</v>
      </c>
      <c r="AQ1011" s="1">
        <v>6.9</v>
      </c>
      <c r="AR1011" s="1">
        <v>11.6</v>
      </c>
      <c r="AS1011" s="1">
        <v>15.9</v>
      </c>
      <c r="AT1011" s="1">
        <v>18.4</v>
      </c>
      <c r="AU1011" s="1">
        <v>13.5</v>
      </c>
      <c r="AV1011" s="1">
        <v>10.2</v>
      </c>
      <c r="AW1011" s="1">
        <v>0.7</v>
      </c>
      <c r="AX1011" s="1">
        <v>0.5011</v>
      </c>
      <c r="AY1011" s="1">
        <v>16.5</v>
      </c>
      <c r="AZ1011" s="1">
        <v>14.8</v>
      </c>
      <c r="BA1011" s="1">
        <v>18.4</v>
      </c>
      <c r="BB1011" s="1">
        <v>3.05</v>
      </c>
      <c r="BC1011" s="1" t="s">
        <v>1761</v>
      </c>
      <c r="BD1011" s="1">
        <v>10.5</v>
      </c>
      <c r="BE1011" s="1">
        <v>32.1</v>
      </c>
      <c r="BF1011" s="1">
        <v>28.9</v>
      </c>
      <c r="BG1011" s="1">
        <v>28.5</v>
      </c>
      <c r="BH1011" s="1" t="s">
        <v>1790</v>
      </c>
    </row>
    <row r="1012">
      <c r="A1012" s="1">
        <v>21037.0</v>
      </c>
      <c r="B1012" s="2" t="str">
        <f>IFERROR(__xludf.DUMMYFUNCTION("TO_TEXT(A1012)"),"21037")</f>
        <v>21037</v>
      </c>
      <c r="C1012" s="1">
        <v>91456.0</v>
      </c>
      <c r="D1012" s="1">
        <v>151.318903166742</v>
      </c>
      <c r="E1012" s="1" t="s">
        <v>1791</v>
      </c>
      <c r="F1012" s="1" t="s">
        <v>1792</v>
      </c>
      <c r="G1012" s="1">
        <v>604.39243271029</v>
      </c>
      <c r="H1012" s="1">
        <v>18.694786994</v>
      </c>
      <c r="I1012" s="1">
        <v>4.52799885899999</v>
      </c>
      <c r="J1012" s="1">
        <v>8.0192259044</v>
      </c>
      <c r="K1012" s="1">
        <v>19.092630559</v>
      </c>
      <c r="L1012" s="1">
        <v>31.6</v>
      </c>
      <c r="M1012" s="1">
        <v>7.7</v>
      </c>
      <c r="N1012" s="1">
        <v>23.9</v>
      </c>
      <c r="O1012" s="1">
        <v>94.910113355</v>
      </c>
      <c r="P1012" s="1">
        <v>4.4679623364</v>
      </c>
      <c r="Q1012" s="1">
        <v>68.11694</v>
      </c>
      <c r="R1012" s="1">
        <v>97.6905311779999</v>
      </c>
      <c r="S1012" s="1">
        <v>14.4</v>
      </c>
      <c r="T1012" s="1">
        <v>19351.0</v>
      </c>
      <c r="U1012" s="1">
        <v>32.711487778</v>
      </c>
      <c r="V1012" s="1">
        <v>164.04431922</v>
      </c>
      <c r="W1012" s="1">
        <v>12.779863719</v>
      </c>
      <c r="X1012" s="1">
        <v>11.441873589</v>
      </c>
      <c r="Y1012" s="1">
        <v>77.001615618</v>
      </c>
      <c r="Z1012" s="1">
        <v>9.5</v>
      </c>
      <c r="AA1012" s="1">
        <v>7.675752511</v>
      </c>
      <c r="AB1012" s="1">
        <v>60904.0</v>
      </c>
      <c r="AC1012" s="1">
        <v>47.654848355</v>
      </c>
      <c r="AD1012" s="1">
        <v>68.904924535</v>
      </c>
      <c r="AE1012" s="1">
        <v>12.195191189</v>
      </c>
      <c r="AF1012" s="1">
        <v>2.8480333219</v>
      </c>
      <c r="AG1012" s="1">
        <v>0.2028941944</v>
      </c>
      <c r="AH1012" s="1">
        <v>1.1078667125</v>
      </c>
      <c r="AI1012" s="1">
        <v>0.046161113</v>
      </c>
      <c r="AJ1012" s="1">
        <v>2.1556166266</v>
      </c>
      <c r="AK1012" s="1">
        <v>92.218095156</v>
      </c>
      <c r="AL1012" s="1">
        <v>0.2808956427</v>
      </c>
      <c r="AM1012" s="1">
        <v>50.944692546</v>
      </c>
      <c r="AN1012" s="1">
        <v>15.2962274179999</v>
      </c>
      <c r="AO1012" s="1">
        <v>29834.0</v>
      </c>
      <c r="AP1012" s="1">
        <v>14.9</v>
      </c>
      <c r="AQ1012" s="1">
        <v>5.8</v>
      </c>
      <c r="AR1012" s="1">
        <v>9.9</v>
      </c>
      <c r="AS1012" s="1">
        <v>13.9</v>
      </c>
      <c r="AT1012" s="1">
        <v>21.8</v>
      </c>
      <c r="AU1012" s="1">
        <v>11.6</v>
      </c>
      <c r="AV1012" s="1">
        <v>7.5</v>
      </c>
      <c r="AW1012" s="1">
        <v>0.3</v>
      </c>
      <c r="AX1012" s="1">
        <v>0.2531</v>
      </c>
      <c r="AY1012" s="1">
        <v>10.9</v>
      </c>
      <c r="AZ1012" s="1">
        <v>11.3</v>
      </c>
      <c r="BA1012" s="1">
        <v>13.0</v>
      </c>
      <c r="BB1012" s="1">
        <v>3.08</v>
      </c>
      <c r="BC1012" s="1" t="s">
        <v>1761</v>
      </c>
      <c r="BD1012" s="1">
        <v>9.2</v>
      </c>
      <c r="BE1012" s="1">
        <v>28.2</v>
      </c>
      <c r="BF1012" s="1">
        <v>26.2</v>
      </c>
      <c r="BG1012" s="1">
        <v>36.3</v>
      </c>
      <c r="BH1012" s="1" t="s">
        <v>1792</v>
      </c>
    </row>
    <row r="1013">
      <c r="A1013" s="1">
        <v>21039.0</v>
      </c>
      <c r="B1013" s="2" t="str">
        <f>IFERROR(__xludf.DUMMYFUNCTION("TO_TEXT(A1013)"),"21039")</f>
        <v>21039</v>
      </c>
      <c r="C1013" s="1">
        <v>4954.0</v>
      </c>
      <c r="D1013" s="1">
        <v>189.434276001848</v>
      </c>
      <c r="E1013" s="1" t="s">
        <v>1793</v>
      </c>
      <c r="F1013" s="1" t="s">
        <v>1794</v>
      </c>
      <c r="G1013" s="1">
        <v>26.1515503136912</v>
      </c>
      <c r="H1013" s="1">
        <v>23.0218804819999</v>
      </c>
      <c r="I1013" s="1">
        <v>5.0673887597</v>
      </c>
      <c r="J1013" s="1">
        <v>5.9602649007</v>
      </c>
      <c r="K1013" s="1">
        <v>22.219042209</v>
      </c>
      <c r="L1013" s="1">
        <v>27.0</v>
      </c>
      <c r="M1013" s="1">
        <v>8.0</v>
      </c>
      <c r="N1013" s="1">
        <v>33.2</v>
      </c>
      <c r="O1013" s="1">
        <v>7.6802507837</v>
      </c>
      <c r="P1013" s="1">
        <v>7.4180865007</v>
      </c>
      <c r="Q1013" s="1">
        <v>41.27115</v>
      </c>
      <c r="R1013" s="1">
        <v>93.548387097</v>
      </c>
      <c r="S1013" s="1">
        <v>23.7</v>
      </c>
      <c r="T1013" s="1">
        <v>1054.0</v>
      </c>
      <c r="U1013" s="1">
        <v>26.660341556</v>
      </c>
      <c r="V1013" s="1">
        <v>40.778876542</v>
      </c>
      <c r="W1013" s="1">
        <v>10.765550239</v>
      </c>
      <c r="X1013" s="1">
        <v>9.0778097983</v>
      </c>
      <c r="Y1013" s="1">
        <v>75.190963399</v>
      </c>
      <c r="Z1013" s="1">
        <v>10.6</v>
      </c>
      <c r="AA1013" s="1">
        <v>0.685891422</v>
      </c>
      <c r="AB1013" s="1">
        <v>41249.0</v>
      </c>
      <c r="AC1013" s="1">
        <v>61.070559611</v>
      </c>
      <c r="AD1013" s="1">
        <v>79.158415842</v>
      </c>
      <c r="AE1013" s="1">
        <v>11.05345096</v>
      </c>
      <c r="AF1013" s="1">
        <v>1.4043177531</v>
      </c>
      <c r="AG1013" s="1">
        <v>0.6497589604</v>
      </c>
      <c r="AH1013" s="1">
        <v>0.272479564</v>
      </c>
      <c r="AI1013" s="1">
        <v>0.0</v>
      </c>
      <c r="AJ1013" s="1">
        <v>2.6619157409</v>
      </c>
      <c r="AK1013" s="1">
        <v>93.2508907989999</v>
      </c>
      <c r="AL1013" s="1">
        <v>0.2413868773</v>
      </c>
      <c r="AM1013" s="1">
        <v>50.68119891</v>
      </c>
      <c r="AN1013" s="1">
        <v>100.0</v>
      </c>
      <c r="AO1013" s="1">
        <v>23456.0</v>
      </c>
      <c r="AP1013" s="1">
        <v>16.4</v>
      </c>
      <c r="AQ1013" s="1">
        <v>7.9</v>
      </c>
      <c r="AR1013" s="1">
        <v>18.2</v>
      </c>
      <c r="AS1013" s="1">
        <v>19.9</v>
      </c>
      <c r="AT1013" s="1">
        <v>22.0</v>
      </c>
      <c r="AU1013" s="1">
        <v>15.3</v>
      </c>
      <c r="AV1013" s="1">
        <v>5.3</v>
      </c>
      <c r="AW1013" s="1">
        <v>0.3</v>
      </c>
      <c r="AX1013" s="1">
        <v>0.3954</v>
      </c>
      <c r="AY1013" s="1">
        <v>15.5</v>
      </c>
      <c r="AZ1013" s="1">
        <v>14.0</v>
      </c>
      <c r="BA1013" s="1">
        <v>19.4</v>
      </c>
      <c r="BB1013" s="1">
        <v>2.68</v>
      </c>
      <c r="BC1013" s="1" t="s">
        <v>1761</v>
      </c>
      <c r="BD1013" s="1">
        <v>16.7</v>
      </c>
      <c r="BE1013" s="1">
        <v>40.4</v>
      </c>
      <c r="BF1013" s="1">
        <v>28.0</v>
      </c>
      <c r="BG1013" s="1">
        <v>14.9</v>
      </c>
      <c r="BH1013" s="1" t="s">
        <v>1794</v>
      </c>
    </row>
    <row r="1014">
      <c r="A1014" s="1">
        <v>21041.0</v>
      </c>
      <c r="B1014" s="2" t="str">
        <f>IFERROR(__xludf.DUMMYFUNCTION("TO_TEXT(A1014)"),"21041")</f>
        <v>21041</v>
      </c>
      <c r="C1014" s="1">
        <v>10776.0</v>
      </c>
      <c r="D1014" s="1">
        <v>128.569608847289</v>
      </c>
      <c r="E1014" s="1" t="s">
        <v>298</v>
      </c>
      <c r="F1014" s="1" t="s">
        <v>1795</v>
      </c>
      <c r="G1014" s="1">
        <v>83.8145195945903</v>
      </c>
      <c r="H1014" s="1">
        <v>22.678628166</v>
      </c>
      <c r="I1014" s="1">
        <v>4.9079922716</v>
      </c>
      <c r="J1014" s="1">
        <v>8.7037037037</v>
      </c>
      <c r="K1014" s="1">
        <v>22.3979787269999</v>
      </c>
      <c r="L1014" s="1">
        <v>29.3</v>
      </c>
      <c r="M1014" s="1">
        <v>6.1</v>
      </c>
      <c r="N1014" s="1">
        <v>30.0</v>
      </c>
      <c r="O1014" s="1">
        <v>72.389233188</v>
      </c>
      <c r="P1014" s="1">
        <v>7.6296128594</v>
      </c>
      <c r="Q1014" s="1">
        <v>37.33781</v>
      </c>
      <c r="R1014" s="1">
        <v>98.319327731</v>
      </c>
      <c r="S1014" s="1">
        <v>24.8</v>
      </c>
      <c r="T1014" s="1">
        <v>2692.0</v>
      </c>
      <c r="U1014" s="1">
        <v>40.564635958</v>
      </c>
      <c r="V1014" s="1">
        <v>92.280717944</v>
      </c>
      <c r="W1014" s="1">
        <v>19.975186104</v>
      </c>
      <c r="X1014" s="1">
        <v>14.962216625</v>
      </c>
      <c r="Y1014" s="1">
        <v>72.39781546</v>
      </c>
      <c r="Z1014" s="1">
        <v>12.8</v>
      </c>
      <c r="AA1014" s="1">
        <v>17.64233978</v>
      </c>
      <c r="AB1014" s="1">
        <v>47623.0</v>
      </c>
      <c r="AC1014" s="1">
        <v>69.410085633</v>
      </c>
      <c r="AD1014" s="1">
        <v>64.606882693</v>
      </c>
      <c r="AE1014" s="1">
        <v>11.914113642</v>
      </c>
      <c r="AF1014" s="1">
        <v>1.6950731117</v>
      </c>
      <c r="AG1014" s="1">
        <v>0.4377386607</v>
      </c>
      <c r="AH1014" s="1">
        <v>0.6705783738</v>
      </c>
      <c r="AI1014" s="1">
        <v>0.0745087082</v>
      </c>
      <c r="AJ1014" s="1">
        <v>6.6778429729</v>
      </c>
      <c r="AK1014" s="1">
        <v>88.497718171</v>
      </c>
      <c r="AL1014" s="1">
        <v>0.945864359</v>
      </c>
      <c r="AM1014" s="1">
        <v>49.5948588989999</v>
      </c>
      <c r="AN1014" s="1">
        <v>52.22458607</v>
      </c>
      <c r="AO1014" s="1">
        <v>21639.0</v>
      </c>
      <c r="AP1014" s="1">
        <v>26.0</v>
      </c>
      <c r="AQ1014" s="1">
        <v>10.9</v>
      </c>
      <c r="AR1014" s="1">
        <v>23.6</v>
      </c>
      <c r="AS1014" s="1">
        <v>15.1</v>
      </c>
      <c r="AT1014" s="1">
        <v>25.2</v>
      </c>
      <c r="AU1014" s="1">
        <v>19.3</v>
      </c>
      <c r="AV1014" s="1">
        <v>10.9</v>
      </c>
      <c r="AW1014" s="1">
        <v>0.8</v>
      </c>
      <c r="AX1014" s="1">
        <v>0.9316</v>
      </c>
      <c r="AY1014" s="1">
        <v>15.2</v>
      </c>
      <c r="AZ1014" s="1">
        <v>16.2</v>
      </c>
      <c r="BA1014" s="1">
        <v>23.1</v>
      </c>
      <c r="BB1014" s="1">
        <v>2.64</v>
      </c>
      <c r="BC1014" s="1" t="s">
        <v>1761</v>
      </c>
      <c r="BD1014" s="1">
        <v>21.7</v>
      </c>
      <c r="BE1014" s="1">
        <v>40.3</v>
      </c>
      <c r="BF1014" s="1">
        <v>29.8</v>
      </c>
      <c r="BG1014" s="1">
        <v>8.2</v>
      </c>
      <c r="BH1014" s="1" t="s">
        <v>1795</v>
      </c>
    </row>
    <row r="1015">
      <c r="A1015" s="1">
        <v>21043.0</v>
      </c>
      <c r="B1015" s="2" t="str">
        <f>IFERROR(__xludf.DUMMYFUNCTION("TO_TEXT(A1015)"),"21043")</f>
        <v>21043</v>
      </c>
      <c r="C1015" s="1">
        <v>27292.0</v>
      </c>
      <c r="D1015" s="1">
        <v>409.495992381074</v>
      </c>
      <c r="E1015" s="1" t="s">
        <v>1796</v>
      </c>
      <c r="F1015" s="1" t="s">
        <v>1797</v>
      </c>
      <c r="G1015" s="1">
        <v>66.6477829033361</v>
      </c>
      <c r="H1015" s="1">
        <v>23.952353598</v>
      </c>
      <c r="I1015" s="1">
        <v>5.3149544594</v>
      </c>
      <c r="J1015" s="1">
        <v>8.5477178423</v>
      </c>
      <c r="K1015" s="1">
        <v>22.668578107</v>
      </c>
      <c r="L1015" s="1">
        <v>39.6</v>
      </c>
      <c r="M1015" s="1">
        <v>7.3</v>
      </c>
      <c r="N1015" s="1">
        <v>39.8</v>
      </c>
      <c r="O1015" s="1">
        <v>50.447330447</v>
      </c>
      <c r="P1015" s="1">
        <v>6.3342506647</v>
      </c>
      <c r="Q1015" s="1">
        <v>22.10433</v>
      </c>
      <c r="R1015" s="1">
        <v>99.442896936</v>
      </c>
      <c r="S1015" s="1">
        <v>33.4</v>
      </c>
      <c r="T1015" s="1">
        <v>6109.0</v>
      </c>
      <c r="U1015" s="1">
        <v>36.765428057</v>
      </c>
      <c r="V1015" s="1">
        <v>53.579676674</v>
      </c>
      <c r="W1015" s="1">
        <v>11.930483795</v>
      </c>
      <c r="X1015" s="1">
        <v>8.7601723313</v>
      </c>
      <c r="Y1015" s="1">
        <v>74.396110354</v>
      </c>
      <c r="Z1015" s="1">
        <v>15.2</v>
      </c>
      <c r="AA1015" s="1">
        <v>2.543542708</v>
      </c>
      <c r="AB1015" s="1">
        <v>32906.0</v>
      </c>
      <c r="AC1015" s="1">
        <v>64.263181613</v>
      </c>
      <c r="AD1015" s="1">
        <v>76.9354191739999</v>
      </c>
      <c r="AE1015" s="1">
        <v>12.130548899</v>
      </c>
      <c r="AF1015" s="1">
        <v>0.6184268997</v>
      </c>
      <c r="AG1015" s="1">
        <v>0.2555177011</v>
      </c>
      <c r="AH1015" s="1">
        <v>0.2814397867</v>
      </c>
      <c r="AI1015" s="1">
        <v>0.0296252407</v>
      </c>
      <c r="AJ1015" s="1">
        <v>1.303510591</v>
      </c>
      <c r="AK1015" s="1">
        <v>96.593097319</v>
      </c>
      <c r="AL1015" s="1">
        <v>0.1599500644</v>
      </c>
      <c r="AM1015" s="1">
        <v>50.7850688789999</v>
      </c>
      <c r="AN1015" s="1">
        <v>79.37950938</v>
      </c>
      <c r="AO1015" s="1">
        <v>19170.0</v>
      </c>
      <c r="AP1015" s="1">
        <v>18.6</v>
      </c>
      <c r="AQ1015" s="1">
        <v>10.8</v>
      </c>
      <c r="AR1015" s="1">
        <v>20.5</v>
      </c>
      <c r="AS1015" s="1">
        <v>16.2</v>
      </c>
      <c r="AT1015" s="1">
        <v>22.6</v>
      </c>
      <c r="AU1015" s="1">
        <v>19.6</v>
      </c>
      <c r="AV1015" s="1">
        <v>3.2</v>
      </c>
      <c r="AW1015" s="1">
        <v>0.2</v>
      </c>
      <c r="AX1015" s="1">
        <v>0.6883</v>
      </c>
      <c r="AY1015" s="1">
        <v>20.0</v>
      </c>
      <c r="AZ1015" s="1">
        <v>19.5</v>
      </c>
      <c r="BA1015" s="1">
        <v>28.0</v>
      </c>
      <c r="BB1015" s="1">
        <v>3.02</v>
      </c>
      <c r="BC1015" s="1" t="s">
        <v>1761</v>
      </c>
      <c r="BD1015" s="1">
        <v>20.8</v>
      </c>
      <c r="BE1015" s="1">
        <v>40.3</v>
      </c>
      <c r="BF1015" s="1">
        <v>26.3</v>
      </c>
      <c r="BG1015" s="1">
        <v>12.6</v>
      </c>
      <c r="BH1015" s="1" t="s">
        <v>1797</v>
      </c>
    </row>
    <row r="1016">
      <c r="A1016" s="1">
        <v>21045.0</v>
      </c>
      <c r="B1016" s="2" t="str">
        <f>IFERROR(__xludf.DUMMYFUNCTION("TO_TEXT(A1016)"),"21045")</f>
        <v>21045</v>
      </c>
      <c r="C1016" s="1">
        <v>15928.0</v>
      </c>
      <c r="D1016" s="1">
        <v>444.23274298549</v>
      </c>
      <c r="E1016" s="1" t="s">
        <v>1798</v>
      </c>
      <c r="F1016" s="1" t="s">
        <v>1799</v>
      </c>
      <c r="G1016" s="1">
        <v>35.8550787881033</v>
      </c>
      <c r="H1016" s="1">
        <v>26.178691909</v>
      </c>
      <c r="I1016" s="1">
        <v>5.3386882816</v>
      </c>
      <c r="J1016" s="1">
        <v>8.4782608696</v>
      </c>
      <c r="K1016" s="1">
        <v>26.4476815269999</v>
      </c>
      <c r="L1016" s="1">
        <v>34.8</v>
      </c>
      <c r="M1016" s="1">
        <v>7.6</v>
      </c>
      <c r="N1016" s="1">
        <v>31.3</v>
      </c>
      <c r="O1016" s="1">
        <v>0.0</v>
      </c>
      <c r="P1016" s="1">
        <v>8.4510532838</v>
      </c>
      <c r="Q1016" s="1">
        <v>6.34921</v>
      </c>
      <c r="R1016" s="1">
        <v>98.666666667</v>
      </c>
      <c r="S1016" s="1">
        <v>38.5</v>
      </c>
      <c r="T1016" s="1">
        <v>3506.0</v>
      </c>
      <c r="U1016" s="1">
        <v>22.4187107819999</v>
      </c>
      <c r="V1016" s="1">
        <v>34.507638736</v>
      </c>
      <c r="W1016" s="1">
        <v>9.75039001559999</v>
      </c>
      <c r="X1016" s="1">
        <v>7.07472178059999</v>
      </c>
      <c r="Y1016" s="1">
        <v>74.335891643</v>
      </c>
      <c r="Z1016" s="1">
        <v>14.2</v>
      </c>
      <c r="AA1016" s="1">
        <v>2.5564007289</v>
      </c>
      <c r="AB1016" s="1">
        <v>34358.0</v>
      </c>
      <c r="AC1016" s="1">
        <v>72.844272844</v>
      </c>
      <c r="AD1016" s="1">
        <v>78.120063191</v>
      </c>
      <c r="AE1016" s="1">
        <v>6.7123287671</v>
      </c>
      <c r="AF1016" s="1">
        <v>0.8559919436</v>
      </c>
      <c r="AG1016" s="1">
        <v>0.4531722054</v>
      </c>
      <c r="AH1016" s="1">
        <v>0.3021148036</v>
      </c>
      <c r="AI1016" s="1">
        <v>0.0503524673</v>
      </c>
      <c r="AJ1016" s="1">
        <v>3.1029707956</v>
      </c>
      <c r="AK1016" s="1">
        <v>94.3101711979999</v>
      </c>
      <c r="AL1016" s="1">
        <v>0.4105532373</v>
      </c>
      <c r="AM1016" s="1">
        <v>51.523162135</v>
      </c>
      <c r="AN1016" s="1">
        <v>100.0</v>
      </c>
      <c r="AO1016" s="1">
        <v>18146.0</v>
      </c>
      <c r="AP1016" s="1">
        <v>26.4</v>
      </c>
      <c r="AQ1016" s="1">
        <v>9.3</v>
      </c>
      <c r="AR1016" s="1">
        <v>26.6</v>
      </c>
      <c r="AS1016" s="1">
        <v>19.0</v>
      </c>
      <c r="AT1016" s="1">
        <v>22.6</v>
      </c>
      <c r="AU1016" s="1">
        <v>21.3</v>
      </c>
      <c r="AV1016" s="1">
        <v>4.7</v>
      </c>
      <c r="AW1016" s="1">
        <v>0.4</v>
      </c>
      <c r="AX1016" s="1">
        <v>0.7167</v>
      </c>
      <c r="AY1016" s="1">
        <v>25.2</v>
      </c>
      <c r="AZ1016" s="1">
        <v>18.0</v>
      </c>
      <c r="BA1016" s="1">
        <v>24.0</v>
      </c>
      <c r="BB1016" s="1">
        <v>2.59</v>
      </c>
      <c r="BC1016" s="1" t="s">
        <v>1761</v>
      </c>
      <c r="BD1016" s="1">
        <v>24.0</v>
      </c>
      <c r="BE1016" s="1">
        <v>40.6</v>
      </c>
      <c r="BF1016" s="1">
        <v>22.7</v>
      </c>
      <c r="BG1016" s="1">
        <v>12.8</v>
      </c>
      <c r="BH1016" s="1" t="s">
        <v>1799</v>
      </c>
    </row>
    <row r="1017">
      <c r="A1017" s="1">
        <v>21047.0</v>
      </c>
      <c r="B1017" s="2" t="str">
        <f>IFERROR(__xludf.DUMMYFUNCTION("TO_TEXT(A1017)"),"21047")</f>
        <v>21047</v>
      </c>
      <c r="C1017" s="1">
        <v>73936.0</v>
      </c>
      <c r="D1017" s="1">
        <v>717.505770976258</v>
      </c>
      <c r="E1017" s="1" t="s">
        <v>1168</v>
      </c>
      <c r="F1017" s="1" t="s">
        <v>1800</v>
      </c>
      <c r="G1017" s="1">
        <v>103.045861079836</v>
      </c>
      <c r="H1017" s="1">
        <v>22.642248529</v>
      </c>
      <c r="I1017" s="1">
        <v>4.9276833831</v>
      </c>
      <c r="J1017" s="1">
        <v>9.0951019279</v>
      </c>
      <c r="K1017" s="1">
        <v>23.473893324</v>
      </c>
      <c r="L1017" s="1">
        <v>34.1</v>
      </c>
      <c r="M1017" s="1">
        <v>6.2</v>
      </c>
      <c r="N1017" s="1">
        <v>31.4</v>
      </c>
      <c r="O1017" s="1">
        <v>54.7670880939999</v>
      </c>
      <c r="P1017" s="1">
        <v>6.1628981797</v>
      </c>
      <c r="Q1017" s="1">
        <v>63.90593</v>
      </c>
      <c r="R1017" s="1">
        <v>93.906810036</v>
      </c>
      <c r="S1017" s="1">
        <v>26.3</v>
      </c>
      <c r="T1017" s="1">
        <v>19546.0</v>
      </c>
      <c r="U1017" s="1">
        <v>33.94556431</v>
      </c>
      <c r="V1017" s="1">
        <v>225.11153253</v>
      </c>
      <c r="W1017" s="1">
        <v>16.58786446</v>
      </c>
      <c r="X1017" s="1">
        <v>14.3834238579999</v>
      </c>
      <c r="Y1017" s="1">
        <v>74.889805303</v>
      </c>
      <c r="Z1017" s="1">
        <v>10.6</v>
      </c>
      <c r="AA1017" s="1">
        <v>11.522698918</v>
      </c>
      <c r="AB1017" s="1">
        <v>40299.0</v>
      </c>
      <c r="AC1017" s="1">
        <v>71.239388795</v>
      </c>
      <c r="AD1017" s="1">
        <v>46.908340472</v>
      </c>
      <c r="AE1017" s="1">
        <v>15.0710822579999</v>
      </c>
      <c r="AF1017" s="1">
        <v>21.411728593</v>
      </c>
      <c r="AG1017" s="1">
        <v>0.7408854348</v>
      </c>
      <c r="AH1017" s="1">
        <v>1.5906014985</v>
      </c>
      <c r="AI1017" s="1">
        <v>0.3488161181</v>
      </c>
      <c r="AJ1017" s="1">
        <v>8.10369605559999</v>
      </c>
      <c r="AK1017" s="1">
        <v>65.363954738</v>
      </c>
      <c r="AL1017" s="1">
        <v>0.8053670762</v>
      </c>
      <c r="AM1017" s="1">
        <v>46.533465418</v>
      </c>
      <c r="AN1017" s="1">
        <v>28.555202488</v>
      </c>
      <c r="AO1017" s="1">
        <v>19962.0</v>
      </c>
      <c r="AP1017" s="1">
        <v>20.3</v>
      </c>
      <c r="AQ1017" s="1">
        <v>10.4</v>
      </c>
      <c r="AR1017" s="1">
        <v>14.0</v>
      </c>
      <c r="AS1017" s="1">
        <v>11.0</v>
      </c>
      <c r="AT1017" s="1">
        <v>27.9</v>
      </c>
      <c r="AU1017" s="1">
        <v>15.2</v>
      </c>
      <c r="AV1017" s="1">
        <v>33.1</v>
      </c>
      <c r="AW1017" s="1">
        <v>0.6</v>
      </c>
      <c r="AX1017" s="1">
        <v>0.8685</v>
      </c>
      <c r="AY1017" s="1">
        <v>18.9</v>
      </c>
      <c r="AZ1017" s="1">
        <v>16.8</v>
      </c>
      <c r="BA1017" s="1">
        <v>19.8</v>
      </c>
      <c r="BB1017" s="1">
        <v>2.78</v>
      </c>
      <c r="BC1017" s="1" t="s">
        <v>1761</v>
      </c>
      <c r="BD1017" s="1">
        <v>14.4</v>
      </c>
      <c r="BE1017" s="1">
        <v>31.0</v>
      </c>
      <c r="BF1017" s="1">
        <v>36.4</v>
      </c>
      <c r="BG1017" s="1">
        <v>18.1</v>
      </c>
      <c r="BH1017" s="1" t="s">
        <v>1800</v>
      </c>
    </row>
    <row r="1018">
      <c r="A1018" s="1">
        <v>21049.0</v>
      </c>
      <c r="B1018" s="2" t="str">
        <f>IFERROR(__xludf.DUMMYFUNCTION("TO_TEXT(A1018)"),"21049")</f>
        <v>21049</v>
      </c>
      <c r="C1018" s="1">
        <v>35706.0</v>
      </c>
      <c r="D1018" s="1">
        <v>252.463948731188</v>
      </c>
      <c r="E1018" s="1" t="s">
        <v>302</v>
      </c>
      <c r="F1018" s="1" t="s">
        <v>1801</v>
      </c>
      <c r="G1018" s="1">
        <v>141.430093997373</v>
      </c>
      <c r="H1018" s="1">
        <v>19.046288459</v>
      </c>
      <c r="I1018" s="1">
        <v>4.6684004766</v>
      </c>
      <c r="J1018" s="1">
        <v>9.0696898966</v>
      </c>
      <c r="K1018" s="1">
        <v>18.851199881</v>
      </c>
      <c r="L1018" s="1">
        <v>36.1</v>
      </c>
      <c r="M1018" s="1">
        <v>8.0</v>
      </c>
      <c r="N1018" s="1">
        <v>27.2</v>
      </c>
      <c r="O1018" s="1">
        <v>78.707213658</v>
      </c>
      <c r="P1018" s="1">
        <v>5.3937395915</v>
      </c>
      <c r="Q1018" s="1">
        <v>52.71043</v>
      </c>
      <c r="R1018" s="1">
        <v>97.3890339429999</v>
      </c>
      <c r="S1018" s="1">
        <v>24.8</v>
      </c>
      <c r="T1018" s="1">
        <v>7956.0</v>
      </c>
      <c r="U1018" s="1">
        <v>36.928104575</v>
      </c>
      <c r="V1018" s="1">
        <v>179.24158405</v>
      </c>
      <c r="W1018" s="1">
        <v>12.795206204</v>
      </c>
      <c r="X1018" s="1">
        <v>10.12793177</v>
      </c>
      <c r="Y1018" s="1">
        <v>74.811351144</v>
      </c>
      <c r="Z1018" s="1">
        <v>10.7</v>
      </c>
      <c r="AA1018" s="1">
        <v>2.3615179938</v>
      </c>
      <c r="AB1018" s="1">
        <v>50162.0</v>
      </c>
      <c r="AC1018" s="1">
        <v>63.324200913</v>
      </c>
      <c r="AD1018" s="1">
        <v>66.916198794</v>
      </c>
      <c r="AE1018" s="1">
        <v>10.073076372</v>
      </c>
      <c r="AF1018" s="1">
        <v>4.7090954233</v>
      </c>
      <c r="AG1018" s="1">
        <v>0.2400066209</v>
      </c>
      <c r="AH1018" s="1">
        <v>0.6538111396</v>
      </c>
      <c r="AI1018" s="1">
        <v>0.0331043615</v>
      </c>
      <c r="AJ1018" s="1">
        <v>3.0621534387</v>
      </c>
      <c r="AK1018" s="1">
        <v>90.035587189</v>
      </c>
      <c r="AL1018" s="1">
        <v>1.0301015259</v>
      </c>
      <c r="AM1018" s="1">
        <v>51.160032001</v>
      </c>
      <c r="AN1018" s="1">
        <v>27.467497824</v>
      </c>
      <c r="AO1018" s="1">
        <v>25674.0</v>
      </c>
      <c r="AP1018" s="1">
        <v>15.1</v>
      </c>
      <c r="AQ1018" s="1">
        <v>6.9</v>
      </c>
      <c r="AR1018" s="1">
        <v>15.5</v>
      </c>
      <c r="AS1018" s="1">
        <v>16.4</v>
      </c>
      <c r="AT1018" s="1">
        <v>22.6</v>
      </c>
      <c r="AU1018" s="1">
        <v>17.6</v>
      </c>
      <c r="AV1018" s="1">
        <v>9.5</v>
      </c>
      <c r="AW1018" s="1">
        <v>0.7</v>
      </c>
      <c r="AX1018" s="1">
        <v>0.5084</v>
      </c>
      <c r="AY1018" s="1">
        <v>13.0</v>
      </c>
      <c r="AZ1018" s="1">
        <v>14.1</v>
      </c>
      <c r="BA1018" s="1">
        <v>18.2</v>
      </c>
      <c r="BB1018" s="1">
        <v>2.86</v>
      </c>
      <c r="BC1018" s="1" t="s">
        <v>1761</v>
      </c>
      <c r="BD1018" s="1">
        <v>13.8</v>
      </c>
      <c r="BE1018" s="1">
        <v>34.3</v>
      </c>
      <c r="BF1018" s="1">
        <v>31.8</v>
      </c>
      <c r="BG1018" s="1">
        <v>20.1</v>
      </c>
      <c r="BH1018" s="1" t="s">
        <v>1801</v>
      </c>
    </row>
    <row r="1019">
      <c r="A1019" s="1">
        <v>21051.0</v>
      </c>
      <c r="B1019" s="2" t="str">
        <f>IFERROR(__xludf.DUMMYFUNCTION("TO_TEXT(A1019)"),"21051")</f>
        <v>21051</v>
      </c>
      <c r="C1019" s="1">
        <v>21160.0</v>
      </c>
      <c r="D1019" s="1">
        <v>469.24689001523</v>
      </c>
      <c r="E1019" s="1" t="s">
        <v>86</v>
      </c>
      <c r="F1019" s="1" t="s">
        <v>1802</v>
      </c>
      <c r="G1019" s="1">
        <v>45.0935327441662</v>
      </c>
      <c r="H1019" s="1">
        <v>30.714707886</v>
      </c>
      <c r="I1019" s="1">
        <v>5.6839911008</v>
      </c>
      <c r="J1019" s="1">
        <v>11.946666667</v>
      </c>
      <c r="K1019" s="1">
        <v>29.309918054</v>
      </c>
      <c r="L1019" s="1">
        <v>36.3</v>
      </c>
      <c r="M1019" s="1">
        <v>6.2</v>
      </c>
      <c r="N1019" s="1">
        <v>35.3</v>
      </c>
      <c r="O1019" s="1">
        <v>98.959963185</v>
      </c>
      <c r="P1019" s="1">
        <v>8.0203568898</v>
      </c>
      <c r="Q1019" s="1">
        <v>39.28115</v>
      </c>
      <c r="R1019" s="1">
        <v>84.07960199</v>
      </c>
      <c r="S1019" s="1">
        <v>47.2</v>
      </c>
      <c r="T1019" s="1">
        <v>4357.0</v>
      </c>
      <c r="U1019" s="1">
        <v>33.44044067</v>
      </c>
      <c r="V1019" s="1">
        <v>80.624125584</v>
      </c>
      <c r="W1019" s="1">
        <v>15.885416667</v>
      </c>
      <c r="X1019" s="1">
        <v>12.848484848</v>
      </c>
      <c r="Y1019" s="1">
        <v>70.998978653</v>
      </c>
      <c r="Z1019" s="1">
        <v>12.5</v>
      </c>
      <c r="AA1019" s="1">
        <v>4.6088508735</v>
      </c>
      <c r="AB1019" s="1">
        <v>28146.0</v>
      </c>
      <c r="AC1019" s="1">
        <v>76.552984166</v>
      </c>
      <c r="AD1019" s="1">
        <v>67.868852459</v>
      </c>
      <c r="AE1019" s="1">
        <v>15.627836611</v>
      </c>
      <c r="AF1019" s="1">
        <v>3.7901019647</v>
      </c>
      <c r="AG1019" s="1">
        <v>0.2287988063</v>
      </c>
      <c r="AH1019" s="1">
        <v>0.1840338224</v>
      </c>
      <c r="AI1019" s="1">
        <v>0.0397910967</v>
      </c>
      <c r="AJ1019" s="1">
        <v>2.0840586919</v>
      </c>
      <c r="AK1019" s="1">
        <v>92.648594877</v>
      </c>
      <c r="AL1019" s="1">
        <v>0.2268859898</v>
      </c>
      <c r="AM1019" s="1">
        <v>47.9383237999999</v>
      </c>
      <c r="AN1019" s="1">
        <v>78.568798896</v>
      </c>
      <c r="AO1019" s="1">
        <v>14255.0</v>
      </c>
      <c r="AP1019" s="1">
        <v>41.0</v>
      </c>
      <c r="AQ1019" s="1">
        <v>11.7</v>
      </c>
      <c r="AR1019" s="1">
        <v>36.3</v>
      </c>
      <c r="AS1019" s="1">
        <v>13.5</v>
      </c>
      <c r="AT1019" s="1">
        <v>21.2</v>
      </c>
      <c r="AU1019" s="1">
        <v>24.8</v>
      </c>
      <c r="AV1019" s="1">
        <v>7.4</v>
      </c>
      <c r="AW1019" s="1">
        <v>0.3</v>
      </c>
      <c r="AX1019" s="1">
        <v>0.9124</v>
      </c>
      <c r="AY1019" s="1">
        <v>32.6</v>
      </c>
      <c r="AZ1019" s="1">
        <v>24.4</v>
      </c>
      <c r="BA1019" s="1">
        <v>33.5</v>
      </c>
      <c r="BB1019" s="1">
        <v>2.62</v>
      </c>
      <c r="BC1019" s="1" t="s">
        <v>1761</v>
      </c>
      <c r="BD1019" s="1">
        <v>35.3</v>
      </c>
      <c r="BE1019" s="1">
        <v>35.3</v>
      </c>
      <c r="BF1019" s="1">
        <v>19.5</v>
      </c>
      <c r="BG1019" s="1">
        <v>9.8</v>
      </c>
      <c r="BH1019" s="1" t="s">
        <v>1802</v>
      </c>
    </row>
    <row r="1020">
      <c r="A1020" s="1">
        <v>21053.0</v>
      </c>
      <c r="B1020" s="2" t="str">
        <f>IFERROR(__xludf.DUMMYFUNCTION("TO_TEXT(A1020)"),"21053")</f>
        <v>21053</v>
      </c>
      <c r="C1020" s="1">
        <v>10172.0</v>
      </c>
      <c r="D1020" s="1">
        <v>197.245725641988</v>
      </c>
      <c r="E1020" s="1" t="s">
        <v>1172</v>
      </c>
      <c r="F1020" s="1" t="s">
        <v>1803</v>
      </c>
      <c r="G1020" s="1">
        <v>51.5701922913287</v>
      </c>
      <c r="H1020" s="1">
        <v>24.467835395</v>
      </c>
      <c r="I1020" s="1">
        <v>5.3426610777</v>
      </c>
      <c r="J1020" s="1">
        <v>8.7108013937</v>
      </c>
      <c r="K1020" s="1">
        <v>23.363064999</v>
      </c>
      <c r="L1020" s="1">
        <v>35.2</v>
      </c>
      <c r="M1020" s="1">
        <v>7.8</v>
      </c>
      <c r="N1020" s="1">
        <v>36.0</v>
      </c>
      <c r="O1020" s="1">
        <v>29.536604361</v>
      </c>
      <c r="P1020" s="1">
        <v>8.1350918279</v>
      </c>
      <c r="Q1020" s="1">
        <v>38.92565</v>
      </c>
      <c r="R1020" s="1">
        <v>97.692307692</v>
      </c>
      <c r="S1020" s="1">
        <v>37.5</v>
      </c>
      <c r="T1020" s="1">
        <v>2302.0</v>
      </c>
      <c r="U1020" s="1">
        <v>32.971329279</v>
      </c>
      <c r="V1020" s="1">
        <v>54.264713137</v>
      </c>
      <c r="W1020" s="1">
        <v>11.384217335</v>
      </c>
      <c r="X1020" s="1">
        <v>10.185185185</v>
      </c>
      <c r="Y1020" s="1">
        <v>75.508367014</v>
      </c>
      <c r="Z1020" s="1">
        <v>14.5</v>
      </c>
      <c r="AA1020" s="1">
        <v>0.0455746872</v>
      </c>
      <c r="AB1020" s="1">
        <v>31118.0</v>
      </c>
      <c r="AC1020" s="1">
        <v>75.91991342</v>
      </c>
      <c r="AD1020" s="1">
        <v>70.221642764</v>
      </c>
      <c r="AE1020" s="1">
        <v>9.3784683685</v>
      </c>
      <c r="AF1020" s="1">
        <v>0.4997060553</v>
      </c>
      <c r="AG1020" s="1">
        <v>0.2841465804</v>
      </c>
      <c r="AH1020" s="1">
        <v>0.2939447384</v>
      </c>
      <c r="AI1020" s="1">
        <v>0.4017244758</v>
      </c>
      <c r="AJ1020" s="1">
        <v>2.9982363316</v>
      </c>
      <c r="AK1020" s="1">
        <v>94.7873799729999</v>
      </c>
      <c r="AL1020" s="1">
        <v>0.1156069364</v>
      </c>
      <c r="AM1020" s="1">
        <v>50.8720360569999</v>
      </c>
      <c r="AN1020" s="1">
        <v>100.0</v>
      </c>
      <c r="AO1020" s="1">
        <v>18444.0</v>
      </c>
      <c r="AP1020" s="1">
        <v>22.4</v>
      </c>
      <c r="AQ1020" s="1">
        <v>8.9</v>
      </c>
      <c r="AR1020" s="1">
        <v>28.8</v>
      </c>
      <c r="AS1020" s="1">
        <v>17.8</v>
      </c>
      <c r="AT1020" s="1">
        <v>24.0</v>
      </c>
      <c r="AU1020" s="1">
        <v>15.2</v>
      </c>
      <c r="AV1020" s="1">
        <v>3.9</v>
      </c>
      <c r="AW1020" s="1">
        <v>0.0</v>
      </c>
      <c r="AX1020" s="1">
        <v>0.6278</v>
      </c>
      <c r="AY1020" s="1">
        <v>23.4</v>
      </c>
      <c r="AZ1020" s="1">
        <v>16.9</v>
      </c>
      <c r="BA1020" s="1">
        <v>21.8</v>
      </c>
      <c r="BB1020" s="1">
        <v>2.69</v>
      </c>
      <c r="BC1020" s="1" t="s">
        <v>1761</v>
      </c>
      <c r="BD1020" s="1">
        <v>26.8</v>
      </c>
      <c r="BE1020" s="1">
        <v>39.8</v>
      </c>
      <c r="BF1020" s="1">
        <v>23.2</v>
      </c>
      <c r="BG1020" s="1">
        <v>10.3</v>
      </c>
      <c r="BH1020" s="1" t="s">
        <v>1803</v>
      </c>
    </row>
    <row r="1021">
      <c r="A1021" s="1">
        <v>21055.0</v>
      </c>
      <c r="B1021" s="2" t="str">
        <f>IFERROR(__xludf.DUMMYFUNCTION("TO_TEXT(A1021)"),"21055")</f>
        <v>21055</v>
      </c>
      <c r="C1021" s="1">
        <v>9211.0</v>
      </c>
      <c r="D1021" s="1">
        <v>359.953413479288</v>
      </c>
      <c r="E1021" s="1" t="s">
        <v>316</v>
      </c>
      <c r="F1021" s="1" t="s">
        <v>1804</v>
      </c>
      <c r="G1021" s="1">
        <v>25.5894225615671</v>
      </c>
      <c r="H1021" s="1">
        <v>21.878461248</v>
      </c>
      <c r="I1021" s="1">
        <v>5.0443956949</v>
      </c>
      <c r="J1021" s="1">
        <v>8.20367751059999</v>
      </c>
      <c r="K1021" s="1">
        <v>21.927924026</v>
      </c>
      <c r="L1021" s="1">
        <v>31.3</v>
      </c>
      <c r="M1021" s="1">
        <v>8.1</v>
      </c>
      <c r="N1021" s="1">
        <v>29.8</v>
      </c>
      <c r="O1021" s="1">
        <v>7.1175523349</v>
      </c>
      <c r="P1021" s="1">
        <v>6.6487099518</v>
      </c>
      <c r="Q1021" s="1">
        <v>44.03347</v>
      </c>
      <c r="R1021" s="1">
        <v>85.416666667</v>
      </c>
      <c r="S1021" s="1">
        <v>28.7</v>
      </c>
      <c r="T1021" s="1">
        <v>1944.0</v>
      </c>
      <c r="U1021" s="1">
        <v>31.224279835</v>
      </c>
      <c r="V1021" s="1">
        <v>81.512879035</v>
      </c>
      <c r="W1021" s="1">
        <v>14.650537634</v>
      </c>
      <c r="X1021" s="1">
        <v>12.472826087</v>
      </c>
      <c r="Y1021" s="1">
        <v>73.885552285</v>
      </c>
      <c r="Z1021" s="1">
        <v>8.2</v>
      </c>
      <c r="AA1021" s="1">
        <v>1.5625723275</v>
      </c>
      <c r="AB1021" s="1">
        <v>43624.0</v>
      </c>
      <c r="AC1021" s="1">
        <v>48.023862789</v>
      </c>
      <c r="AD1021" s="1">
        <v>81.207133059</v>
      </c>
      <c r="AE1021" s="1">
        <v>11.378112334</v>
      </c>
      <c r="AF1021" s="1">
        <v>0.9758833427</v>
      </c>
      <c r="AG1021" s="1">
        <v>0.4150308469</v>
      </c>
      <c r="AH1021" s="1">
        <v>0.2243409983</v>
      </c>
      <c r="AI1021" s="1">
        <v>0.0673022995</v>
      </c>
      <c r="AJ1021" s="1">
        <v>1.1890072911</v>
      </c>
      <c r="AK1021" s="1">
        <v>96.0964666289999</v>
      </c>
      <c r="AL1021" s="1">
        <v>0.5700325733</v>
      </c>
      <c r="AM1021" s="1">
        <v>49.657879978</v>
      </c>
      <c r="AN1021" s="1">
        <v>70.8212560389999</v>
      </c>
      <c r="AO1021" s="1">
        <v>21735.0</v>
      </c>
      <c r="AP1021" s="1">
        <v>21.2</v>
      </c>
      <c r="AQ1021" s="1">
        <v>6.1</v>
      </c>
      <c r="AR1021" s="1">
        <v>19.8</v>
      </c>
      <c r="AS1021" s="1">
        <v>19.4</v>
      </c>
      <c r="AT1021" s="1">
        <v>22.9</v>
      </c>
      <c r="AU1021" s="1">
        <v>18.3</v>
      </c>
      <c r="AV1021" s="1">
        <v>3.5</v>
      </c>
      <c r="AW1021" s="1">
        <v>0.8</v>
      </c>
      <c r="AX1021" s="1">
        <v>0.6205</v>
      </c>
      <c r="AY1021" s="1">
        <v>19.2</v>
      </c>
      <c r="AZ1021" s="1">
        <v>14.6</v>
      </c>
      <c r="BA1021" s="1">
        <v>20.5</v>
      </c>
      <c r="BB1021" s="1">
        <v>2.7</v>
      </c>
      <c r="BC1021" s="1" t="s">
        <v>1761</v>
      </c>
      <c r="BD1021" s="1">
        <v>16.2</v>
      </c>
      <c r="BE1021" s="1">
        <v>42.0</v>
      </c>
      <c r="BF1021" s="1">
        <v>28.8</v>
      </c>
      <c r="BG1021" s="1">
        <v>13.1</v>
      </c>
      <c r="BH1021" s="1" t="s">
        <v>1804</v>
      </c>
    </row>
    <row r="1022">
      <c r="A1022" s="1">
        <v>21057.0</v>
      </c>
      <c r="B1022" s="2" t="str">
        <f>IFERROR(__xludf.DUMMYFUNCTION("TO_TEXT(A1022)"),"21057")</f>
        <v>21057</v>
      </c>
      <c r="C1022" s="1">
        <v>6780.0</v>
      </c>
      <c r="D1022" s="1">
        <v>305.18154978482</v>
      </c>
      <c r="E1022" s="1" t="s">
        <v>1178</v>
      </c>
      <c r="F1022" s="1" t="s">
        <v>1805</v>
      </c>
      <c r="G1022" s="1">
        <v>22.2162840603585</v>
      </c>
      <c r="H1022" s="1">
        <v>23.194727003</v>
      </c>
      <c r="I1022" s="1">
        <v>4.9475705982</v>
      </c>
      <c r="J1022" s="1">
        <v>7.8799249531</v>
      </c>
      <c r="K1022" s="1">
        <v>21.374029225</v>
      </c>
      <c r="L1022" s="1">
        <v>37.3</v>
      </c>
      <c r="M1022" s="1">
        <v>7.7</v>
      </c>
      <c r="N1022" s="1">
        <v>32.3</v>
      </c>
      <c r="O1022" s="1">
        <v>11.464410735</v>
      </c>
      <c r="P1022" s="1">
        <v>7.5399115214</v>
      </c>
      <c r="Q1022" s="1">
        <v>44.73606</v>
      </c>
      <c r="R1022" s="1">
        <v>98.461538462</v>
      </c>
      <c r="S1022" s="1">
        <v>33.1</v>
      </c>
      <c r="T1022" s="1">
        <v>1451.0</v>
      </c>
      <c r="U1022" s="1">
        <v>34.252239835</v>
      </c>
      <c r="V1022" s="1">
        <v>37.001406053</v>
      </c>
      <c r="W1022" s="1">
        <v>11.55234657</v>
      </c>
      <c r="X1022" s="1">
        <v>10.606060606</v>
      </c>
      <c r="Y1022" s="1">
        <v>74.810061957</v>
      </c>
      <c r="Z1022" s="1">
        <v>16.1</v>
      </c>
      <c r="AA1022" s="1">
        <v>0.9813819039</v>
      </c>
      <c r="AB1022" s="1">
        <v>33541.0</v>
      </c>
      <c r="AC1022" s="1">
        <v>76.414087513</v>
      </c>
      <c r="AD1022" s="1">
        <v>72.733838931</v>
      </c>
      <c r="AE1022" s="1">
        <v>12.232539362</v>
      </c>
      <c r="AF1022" s="1">
        <v>2.9133503529</v>
      </c>
      <c r="AG1022" s="1">
        <v>0.1651899685</v>
      </c>
      <c r="AH1022" s="1">
        <v>0.1651899685</v>
      </c>
      <c r="AI1022" s="1">
        <v>0.0</v>
      </c>
      <c r="AJ1022" s="1">
        <v>1.47169244629999</v>
      </c>
      <c r="AK1022" s="1">
        <v>93.482504881</v>
      </c>
      <c r="AL1022" s="1">
        <v>0.0</v>
      </c>
      <c r="AM1022" s="1">
        <v>51.268959303</v>
      </c>
      <c r="AN1022" s="1">
        <v>100.0</v>
      </c>
      <c r="AO1022" s="1">
        <v>18362.0</v>
      </c>
      <c r="AP1022" s="1">
        <v>22.3</v>
      </c>
      <c r="AQ1022" s="1">
        <v>7.2</v>
      </c>
      <c r="AR1022" s="1">
        <v>21.9</v>
      </c>
      <c r="AS1022" s="1">
        <v>20.1</v>
      </c>
      <c r="AT1022" s="1">
        <v>21.7</v>
      </c>
      <c r="AU1022" s="1">
        <v>15.6</v>
      </c>
      <c r="AV1022" s="1">
        <v>5.6</v>
      </c>
      <c r="AW1022" s="1">
        <v>0.1</v>
      </c>
      <c r="AX1022" s="1">
        <v>0.5454</v>
      </c>
      <c r="AY1022" s="1">
        <v>23.0</v>
      </c>
      <c r="AZ1022" s="1">
        <v>15.3</v>
      </c>
      <c r="BA1022" s="1">
        <v>16.7</v>
      </c>
      <c r="BB1022" s="1">
        <v>2.71</v>
      </c>
      <c r="BC1022" s="1" t="s">
        <v>1761</v>
      </c>
      <c r="BD1022" s="1">
        <v>18.2</v>
      </c>
      <c r="BE1022" s="1">
        <v>43.0</v>
      </c>
      <c r="BF1022" s="1">
        <v>25.4</v>
      </c>
      <c r="BG1022" s="1">
        <v>13.3</v>
      </c>
      <c r="BH1022" s="1" t="s">
        <v>1805</v>
      </c>
    </row>
    <row r="1023">
      <c r="A1023" s="1">
        <v>21059.0</v>
      </c>
      <c r="B1023" s="2" t="str">
        <f>IFERROR(__xludf.DUMMYFUNCTION("TO_TEXT(A1023)"),"21059")</f>
        <v>21059</v>
      </c>
      <c r="C1023" s="1">
        <v>98724.0</v>
      </c>
      <c r="D1023" s="1">
        <v>458.366225615324</v>
      </c>
      <c r="E1023" s="1" t="s">
        <v>1325</v>
      </c>
      <c r="F1023" s="1" t="s">
        <v>1806</v>
      </c>
      <c r="G1023" s="1">
        <v>215.382361271209</v>
      </c>
      <c r="H1023" s="1">
        <v>19.758897052</v>
      </c>
      <c r="I1023" s="1">
        <v>4.4297515865</v>
      </c>
      <c r="J1023" s="1">
        <v>7.831839522</v>
      </c>
      <c r="K1023" s="1">
        <v>17.34145221</v>
      </c>
      <c r="L1023" s="1">
        <v>31.3</v>
      </c>
      <c r="M1023" s="1">
        <v>7.8</v>
      </c>
      <c r="N1023" s="1">
        <v>27.4</v>
      </c>
      <c r="O1023" s="1">
        <v>78.993544115</v>
      </c>
      <c r="P1023" s="1">
        <v>5.6115019884</v>
      </c>
      <c r="Q1023" s="1">
        <v>52.80252</v>
      </c>
      <c r="R1023" s="1">
        <v>94.918699187</v>
      </c>
      <c r="S1023" s="1">
        <v>19.2</v>
      </c>
      <c r="T1023" s="1">
        <v>24200.0</v>
      </c>
      <c r="U1023" s="1">
        <v>34.847107438</v>
      </c>
      <c r="V1023" s="1">
        <v>177.4148837</v>
      </c>
      <c r="W1023" s="1">
        <v>13.136456212</v>
      </c>
      <c r="X1023" s="1">
        <v>10.7678386759999</v>
      </c>
      <c r="Y1023" s="1">
        <v>76.643058031</v>
      </c>
      <c r="Z1023" s="1">
        <v>12.3</v>
      </c>
      <c r="AA1023" s="1">
        <v>4.7531881832</v>
      </c>
      <c r="AB1023" s="1">
        <v>51441.0</v>
      </c>
      <c r="AC1023" s="1">
        <v>59.86756533</v>
      </c>
      <c r="AD1023" s="1">
        <v>66.813203376</v>
      </c>
      <c r="AE1023" s="1">
        <v>12.318765534</v>
      </c>
      <c r="AF1023" s="1">
        <v>4.8989159677</v>
      </c>
      <c r="AG1023" s="1">
        <v>0.1681436936</v>
      </c>
      <c r="AH1023" s="1">
        <v>1.8525478715</v>
      </c>
      <c r="AI1023" s="1">
        <v>0.1473730021</v>
      </c>
      <c r="AJ1023" s="1">
        <v>3.2431951258</v>
      </c>
      <c r="AK1023" s="1">
        <v>87.772986232</v>
      </c>
      <c r="AL1023" s="1">
        <v>0.9217529402</v>
      </c>
      <c r="AM1023" s="1">
        <v>51.140409875</v>
      </c>
      <c r="AN1023" s="1">
        <v>27.016429399</v>
      </c>
      <c r="AO1023" s="1">
        <v>25026.0</v>
      </c>
      <c r="AP1023" s="1">
        <v>16.3</v>
      </c>
      <c r="AQ1023" s="1">
        <v>6.5</v>
      </c>
      <c r="AR1023" s="1">
        <v>11.6</v>
      </c>
      <c r="AS1023" s="1">
        <v>16.1</v>
      </c>
      <c r="AT1023" s="1">
        <v>24.4</v>
      </c>
      <c r="AU1023" s="1">
        <v>16.3</v>
      </c>
      <c r="AV1023" s="1">
        <v>10.8</v>
      </c>
      <c r="AW1023" s="1">
        <v>1.1</v>
      </c>
      <c r="AX1023" s="1">
        <v>0.6234</v>
      </c>
      <c r="AY1023" s="1">
        <v>15.4</v>
      </c>
      <c r="AZ1023" s="1">
        <v>13.4</v>
      </c>
      <c r="BA1023" s="1">
        <v>17.1</v>
      </c>
      <c r="BB1023" s="1">
        <v>2.61</v>
      </c>
      <c r="BC1023" s="1" t="s">
        <v>1761</v>
      </c>
      <c r="BD1023" s="1">
        <v>10.0</v>
      </c>
      <c r="BE1023" s="1">
        <v>34.1</v>
      </c>
      <c r="BF1023" s="1">
        <v>32.9</v>
      </c>
      <c r="BG1023" s="1">
        <v>22.9</v>
      </c>
      <c r="BH1023" s="1" t="s">
        <v>1806</v>
      </c>
    </row>
    <row r="1024">
      <c r="A1024" s="1">
        <v>21061.0</v>
      </c>
      <c r="B1024" s="2" t="str">
        <f>IFERROR(__xludf.DUMMYFUNCTION("TO_TEXT(A1024)"),"21061")</f>
        <v>21061</v>
      </c>
      <c r="C1024" s="1">
        <v>12086.0</v>
      </c>
      <c r="D1024" s="1">
        <v>302.884786902538</v>
      </c>
      <c r="E1024" s="1" t="s">
        <v>1807</v>
      </c>
      <c r="F1024" s="1" t="s">
        <v>1808</v>
      </c>
      <c r="G1024" s="1">
        <v>39.9029615306794</v>
      </c>
      <c r="H1024" s="1">
        <v>22.591101959</v>
      </c>
      <c r="I1024" s="1">
        <v>4.8759848006</v>
      </c>
      <c r="J1024" s="1">
        <v>6.8741893645</v>
      </c>
      <c r="K1024" s="1">
        <v>21.710388229</v>
      </c>
      <c r="L1024" s="1">
        <v>36.2</v>
      </c>
      <c r="M1024" s="1">
        <v>7.9</v>
      </c>
      <c r="N1024" s="1">
        <v>23.5</v>
      </c>
      <c r="O1024" s="1">
        <v>43.105007812</v>
      </c>
      <c r="P1024" s="1">
        <v>7.6716016151</v>
      </c>
      <c r="Q1024" s="1">
        <v>8.17929</v>
      </c>
      <c r="R1024" s="1">
        <v>94.029850746</v>
      </c>
      <c r="S1024" s="1">
        <v>22.1</v>
      </c>
      <c r="T1024" s="1">
        <v>2264.0</v>
      </c>
      <c r="U1024" s="1">
        <v>29.4611307419999</v>
      </c>
      <c r="V1024" s="1">
        <v>83.312505207</v>
      </c>
      <c r="W1024" s="1">
        <v>15.1804670909999</v>
      </c>
      <c r="X1024" s="1">
        <v>12.3160173159999</v>
      </c>
      <c r="Y1024" s="1">
        <v>76.48275255</v>
      </c>
      <c r="Z1024" s="1">
        <v>16.7</v>
      </c>
      <c r="AA1024" s="1">
        <v>1.1836124507</v>
      </c>
      <c r="AB1024" s="1">
        <v>43151.0</v>
      </c>
      <c r="AC1024" s="1">
        <v>60.556962025</v>
      </c>
      <c r="AD1024" s="1">
        <v>80.167826443</v>
      </c>
      <c r="AE1024" s="1">
        <v>11.574375679</v>
      </c>
      <c r="AF1024" s="1">
        <v>1.8901743523</v>
      </c>
      <c r="AG1024" s="1">
        <v>0.4155124654</v>
      </c>
      <c r="AH1024" s="1">
        <v>0.4481016783</v>
      </c>
      <c r="AI1024" s="1">
        <v>0.0244419097</v>
      </c>
      <c r="AJ1024" s="1">
        <v>1.344305035</v>
      </c>
      <c r="AK1024" s="1">
        <v>94.761284015</v>
      </c>
      <c r="AL1024" s="1">
        <v>0.2937618801</v>
      </c>
      <c r="AM1024" s="1">
        <v>49.804464722</v>
      </c>
      <c r="AN1024" s="1">
        <v>100.0</v>
      </c>
      <c r="AO1024" s="1">
        <v>20194.0</v>
      </c>
      <c r="AP1024" s="1">
        <v>21.9</v>
      </c>
      <c r="AQ1024" s="1">
        <v>10.1</v>
      </c>
      <c r="AR1024" s="1">
        <v>23.0</v>
      </c>
      <c r="AS1024" s="1">
        <v>19.1</v>
      </c>
      <c r="AT1024" s="1">
        <v>19.7</v>
      </c>
      <c r="AU1024" s="1">
        <v>28.5</v>
      </c>
      <c r="AV1024" s="1">
        <v>4.3</v>
      </c>
      <c r="AW1024" s="1">
        <v>0.6</v>
      </c>
      <c r="AX1024" s="1">
        <v>0.7389</v>
      </c>
      <c r="AY1024" s="1">
        <v>16.0</v>
      </c>
      <c r="AZ1024" s="1">
        <v>16.7</v>
      </c>
      <c r="BA1024" s="1">
        <v>21.6</v>
      </c>
      <c r="BB1024" s="1">
        <v>2.72</v>
      </c>
      <c r="BC1024" s="1" t="s">
        <v>1761</v>
      </c>
      <c r="BD1024" s="1">
        <v>21.9</v>
      </c>
      <c r="BE1024" s="1">
        <v>39.3</v>
      </c>
      <c r="BF1024" s="1">
        <v>28.5</v>
      </c>
      <c r="BG1024" s="1">
        <v>10.3</v>
      </c>
      <c r="BH1024" s="1" t="s">
        <v>1808</v>
      </c>
    </row>
    <row r="1025">
      <c r="A1025" s="1">
        <v>21063.0</v>
      </c>
      <c r="B1025" s="2" t="str">
        <f>IFERROR(__xludf.DUMMYFUNCTION("TO_TEXT(A1025)"),"21063")</f>
        <v>21063</v>
      </c>
      <c r="C1025" s="1">
        <v>7661.0</v>
      </c>
      <c r="D1025" s="1">
        <v>234.316090247974</v>
      </c>
      <c r="E1025" s="1" t="s">
        <v>1809</v>
      </c>
      <c r="F1025" s="1" t="s">
        <v>1810</v>
      </c>
      <c r="G1025" s="1">
        <v>32.6951512031993</v>
      </c>
      <c r="H1025" s="1">
        <v>28.989108092</v>
      </c>
      <c r="I1025" s="1">
        <v>5.4665247286</v>
      </c>
      <c r="J1025" s="1">
        <v>10.891089109</v>
      </c>
      <c r="K1025" s="1">
        <v>27.281702655</v>
      </c>
      <c r="L1025" s="1">
        <v>39.9</v>
      </c>
      <c r="M1025" s="1">
        <v>6.8</v>
      </c>
      <c r="N1025" s="1">
        <v>36.3</v>
      </c>
      <c r="O1025" s="1">
        <v>41.77279674</v>
      </c>
      <c r="P1025" s="1">
        <v>6.2117925458</v>
      </c>
      <c r="Q1025" s="1">
        <v>13.29257</v>
      </c>
      <c r="R1025" s="1">
        <v>97.5308641979999</v>
      </c>
      <c r="S1025" s="1">
        <v>29.1</v>
      </c>
      <c r="T1025" s="1">
        <v>1370.0</v>
      </c>
      <c r="U1025" s="1">
        <v>32.919708029</v>
      </c>
      <c r="V1025" s="1">
        <v>26.34872538</v>
      </c>
      <c r="W1025" s="1">
        <v>11.80952381</v>
      </c>
      <c r="X1025" s="1">
        <v>10.3125</v>
      </c>
      <c r="Y1025" s="1">
        <v>76.735279145</v>
      </c>
      <c r="Z1025" s="1">
        <v>18.2</v>
      </c>
      <c r="AA1025" s="1">
        <v>0.0257812676</v>
      </c>
      <c r="AB1025" s="1">
        <v>35446.0</v>
      </c>
      <c r="AC1025" s="1">
        <v>78.07435653</v>
      </c>
      <c r="AD1025" s="1">
        <v>74.107142857</v>
      </c>
      <c r="AE1025" s="1">
        <v>11.839863714</v>
      </c>
      <c r="AF1025" s="1">
        <v>3.6094832179</v>
      </c>
      <c r="AG1025" s="1">
        <v>0.3196590304</v>
      </c>
      <c r="AH1025" s="1">
        <v>0.2397442728</v>
      </c>
      <c r="AI1025" s="1">
        <v>0.1598295152</v>
      </c>
      <c r="AJ1025" s="1">
        <v>1.1587639851</v>
      </c>
      <c r="AK1025" s="1">
        <v>93.8732019179999</v>
      </c>
      <c r="AL1025" s="1">
        <v>0.2091758472</v>
      </c>
      <c r="AM1025" s="1">
        <v>43.4603090039999</v>
      </c>
      <c r="AN1025" s="1">
        <v>100.0</v>
      </c>
      <c r="AO1025" s="1">
        <v>14218.0</v>
      </c>
      <c r="AP1025" s="1">
        <v>33.9</v>
      </c>
      <c r="AQ1025" s="1">
        <v>7.6</v>
      </c>
      <c r="AR1025" s="1">
        <v>24.2</v>
      </c>
      <c r="AS1025" s="1">
        <v>18.4</v>
      </c>
      <c r="AT1025" s="1">
        <v>18.6</v>
      </c>
      <c r="AU1025" s="1">
        <v>21.9</v>
      </c>
      <c r="AV1025" s="1">
        <v>2.9</v>
      </c>
      <c r="AW1025" s="1">
        <v>0.1</v>
      </c>
      <c r="AX1025" s="1">
        <v>0.8109</v>
      </c>
      <c r="AY1025" s="1">
        <v>27.7</v>
      </c>
      <c r="AZ1025" s="1">
        <v>22.0</v>
      </c>
      <c r="BA1025" s="1">
        <v>32.2</v>
      </c>
      <c r="BB1025" s="1">
        <v>2.76</v>
      </c>
      <c r="BC1025" s="1" t="s">
        <v>1761</v>
      </c>
      <c r="BD1025" s="1">
        <v>25.0</v>
      </c>
      <c r="BE1025" s="1">
        <v>43.4</v>
      </c>
      <c r="BF1025" s="1">
        <v>21.9</v>
      </c>
      <c r="BG1025" s="1">
        <v>9.7</v>
      </c>
      <c r="BH1025" s="1" t="s">
        <v>1810</v>
      </c>
    </row>
    <row r="1026">
      <c r="A1026" s="1">
        <v>21065.0</v>
      </c>
      <c r="B1026" s="2" t="str">
        <f>IFERROR(__xludf.DUMMYFUNCTION("TO_TEXT(A1026)"),"21065")</f>
        <v>21065</v>
      </c>
      <c r="C1026" s="1">
        <v>14406.0</v>
      </c>
      <c r="D1026" s="1">
        <v>253.077763652136</v>
      </c>
      <c r="E1026" s="1" t="s">
        <v>1811</v>
      </c>
      <c r="F1026" s="1" t="s">
        <v>1812</v>
      </c>
      <c r="G1026" s="1">
        <v>56.9232151893105</v>
      </c>
      <c r="H1026" s="1">
        <v>26.668145002</v>
      </c>
      <c r="I1026" s="1">
        <v>5.47368926789999</v>
      </c>
      <c r="J1026" s="1">
        <v>8.8345864662</v>
      </c>
      <c r="K1026" s="1">
        <v>25.155351863</v>
      </c>
      <c r="L1026" s="1">
        <v>40.0</v>
      </c>
      <c r="M1026" s="1">
        <v>6.9</v>
      </c>
      <c r="N1026" s="1">
        <v>37.1</v>
      </c>
      <c r="O1026" s="1">
        <v>63.324700109</v>
      </c>
      <c r="P1026" s="1">
        <v>7.146619842</v>
      </c>
      <c r="Q1026" s="1">
        <v>28.01709</v>
      </c>
      <c r="R1026" s="1">
        <v>96.666666667</v>
      </c>
      <c r="S1026" s="1">
        <v>33.0</v>
      </c>
      <c r="T1026" s="1">
        <v>3029.0</v>
      </c>
      <c r="U1026" s="1">
        <v>37.008913833</v>
      </c>
      <c r="V1026" s="1">
        <v>45.21267346</v>
      </c>
      <c r="W1026" s="1">
        <v>18.327402135</v>
      </c>
      <c r="X1026" s="1">
        <v>14.229035167</v>
      </c>
      <c r="Y1026" s="1">
        <v>71.388440648</v>
      </c>
      <c r="Z1026" s="1">
        <v>17.4</v>
      </c>
      <c r="AA1026" s="1">
        <v>5.3793233936</v>
      </c>
      <c r="AB1026" s="1">
        <v>35701.0</v>
      </c>
      <c r="AC1026" s="1">
        <v>69.275847635</v>
      </c>
      <c r="AD1026" s="1">
        <v>72.415046338</v>
      </c>
      <c r="AE1026" s="1">
        <v>14.84741784</v>
      </c>
      <c r="AF1026" s="1">
        <v>0.4437244682</v>
      </c>
      <c r="AG1026" s="1">
        <v>0.3028595577</v>
      </c>
      <c r="AH1026" s="1">
        <v>0.0986054374</v>
      </c>
      <c r="AI1026" s="1">
        <v>0.0140864911</v>
      </c>
      <c r="AJ1026" s="1">
        <v>1.2043949852</v>
      </c>
      <c r="AK1026" s="1">
        <v>97.041836878</v>
      </c>
      <c r="AL1026" s="1">
        <v>0.0147460001</v>
      </c>
      <c r="AM1026" s="1">
        <v>50.464854205</v>
      </c>
      <c r="AN1026" s="1">
        <v>76.124591058</v>
      </c>
      <c r="AO1026" s="1">
        <v>16763.0</v>
      </c>
      <c r="AP1026" s="1">
        <v>30.3</v>
      </c>
      <c r="AQ1026" s="1">
        <v>13.7</v>
      </c>
      <c r="AR1026" s="1">
        <v>24.3</v>
      </c>
      <c r="AS1026" s="1">
        <v>17.1</v>
      </c>
      <c r="AT1026" s="1">
        <v>22.0</v>
      </c>
      <c r="AU1026" s="1">
        <v>27.4</v>
      </c>
      <c r="AV1026" s="1">
        <v>2.2</v>
      </c>
      <c r="AW1026" s="1">
        <v>0.0</v>
      </c>
      <c r="AX1026" s="1">
        <v>0.8208</v>
      </c>
      <c r="AY1026" s="1">
        <v>22.7</v>
      </c>
      <c r="AZ1026" s="1">
        <v>21.3</v>
      </c>
      <c r="BA1026" s="1">
        <v>28.7</v>
      </c>
      <c r="BB1026" s="1">
        <v>2.75</v>
      </c>
      <c r="BC1026" s="1" t="s">
        <v>1761</v>
      </c>
      <c r="BD1026" s="1">
        <v>24.4</v>
      </c>
      <c r="BE1026" s="1">
        <v>45.8</v>
      </c>
      <c r="BF1026" s="1">
        <v>20.0</v>
      </c>
      <c r="BG1026" s="1">
        <v>9.9</v>
      </c>
      <c r="BH1026" s="1" t="s">
        <v>1812</v>
      </c>
    </row>
    <row r="1027">
      <c r="A1027" s="1">
        <v>21067.0</v>
      </c>
      <c r="B1027" s="2" t="str">
        <f>IFERROR(__xludf.DUMMYFUNCTION("TO_TEXT(A1027)"),"21067")</f>
        <v>21067</v>
      </c>
      <c r="C1027" s="1">
        <v>311529.0</v>
      </c>
      <c r="D1027" s="1">
        <v>283.646883322414</v>
      </c>
      <c r="E1027" s="1" t="s">
        <v>116</v>
      </c>
      <c r="F1027" s="1" t="s">
        <v>1813</v>
      </c>
      <c r="G1027" s="1">
        <v>1098.29868867585</v>
      </c>
      <c r="H1027" s="1">
        <v>17.529169306</v>
      </c>
      <c r="I1027" s="1">
        <v>4.2617754009</v>
      </c>
      <c r="J1027" s="1">
        <v>8.5254273353</v>
      </c>
      <c r="K1027" s="1">
        <v>19.628755841</v>
      </c>
      <c r="L1027" s="1">
        <v>26.7</v>
      </c>
      <c r="M1027" s="1">
        <v>7.2</v>
      </c>
      <c r="N1027" s="1">
        <v>20.3</v>
      </c>
      <c r="O1027" s="1">
        <v>98.6822310789999</v>
      </c>
      <c r="P1027" s="1">
        <v>7.3672310501</v>
      </c>
      <c r="Q1027" s="1">
        <v>123.92882</v>
      </c>
      <c r="R1027" s="1">
        <v>89.074410163</v>
      </c>
      <c r="S1027" s="1">
        <v>17.3</v>
      </c>
      <c r="T1027" s="1">
        <v>65985.0</v>
      </c>
      <c r="U1027" s="1">
        <v>36.62044404</v>
      </c>
      <c r="V1027" s="1">
        <v>369.38165891</v>
      </c>
      <c r="W1027" s="1">
        <v>16.976431509</v>
      </c>
      <c r="X1027" s="1">
        <v>14.981543893</v>
      </c>
      <c r="Y1027" s="1">
        <v>78.19254859</v>
      </c>
      <c r="Z1027" s="1">
        <v>9.9</v>
      </c>
      <c r="AA1027" s="1">
        <v>6.7616254223</v>
      </c>
      <c r="AB1027" s="1">
        <v>55358.0</v>
      </c>
      <c r="AC1027" s="1">
        <v>53.21195796</v>
      </c>
      <c r="AD1027" s="1">
        <v>54.478828626</v>
      </c>
      <c r="AE1027" s="1">
        <v>15.307965224</v>
      </c>
      <c r="AF1027" s="1">
        <v>14.7646550129999</v>
      </c>
      <c r="AG1027" s="1">
        <v>0.2841435543</v>
      </c>
      <c r="AH1027" s="1">
        <v>4.2550497251</v>
      </c>
      <c r="AI1027" s="1">
        <v>0.0818456977</v>
      </c>
      <c r="AJ1027" s="1">
        <v>7.4210883934</v>
      </c>
      <c r="AK1027" s="1">
        <v>70.938600284</v>
      </c>
      <c r="AL1027" s="1">
        <v>2.4760917542</v>
      </c>
      <c r="AM1027" s="1">
        <v>50.925937365</v>
      </c>
      <c r="AN1027" s="1">
        <v>3.0669060152</v>
      </c>
      <c r="AO1027" s="1">
        <v>30502.0</v>
      </c>
      <c r="AP1027" s="1">
        <v>18.9</v>
      </c>
      <c r="AQ1027" s="1">
        <v>6.4</v>
      </c>
      <c r="AR1027" s="1">
        <v>10.1</v>
      </c>
      <c r="AS1027" s="1">
        <v>11.7</v>
      </c>
      <c r="AT1027" s="1">
        <v>21.2</v>
      </c>
      <c r="AU1027" s="1">
        <v>11.5</v>
      </c>
      <c r="AV1027" s="1">
        <v>27.9</v>
      </c>
      <c r="AW1027" s="1">
        <v>2.6</v>
      </c>
      <c r="AX1027" s="1">
        <v>0.4919</v>
      </c>
      <c r="AY1027" s="1">
        <v>15.4</v>
      </c>
      <c r="AZ1027" s="1">
        <v>12.7</v>
      </c>
      <c r="BA1027" s="1">
        <v>14.2</v>
      </c>
      <c r="BB1027" s="1">
        <v>3.07</v>
      </c>
      <c r="BC1027" s="1" t="s">
        <v>1761</v>
      </c>
      <c r="BD1027" s="1">
        <v>8.8</v>
      </c>
      <c r="BE1027" s="1">
        <v>19.6</v>
      </c>
      <c r="BF1027" s="1">
        <v>28.0</v>
      </c>
      <c r="BG1027" s="1">
        <v>43.6</v>
      </c>
      <c r="BH1027" s="1" t="s">
        <v>1813</v>
      </c>
    </row>
    <row r="1028">
      <c r="A1028" s="1">
        <v>21069.0</v>
      </c>
      <c r="B1028" s="2" t="str">
        <f>IFERROR(__xludf.DUMMYFUNCTION("TO_TEXT(A1028)"),"21069")</f>
        <v>21069</v>
      </c>
      <c r="C1028" s="1">
        <v>14543.0</v>
      </c>
      <c r="D1028" s="1">
        <v>348.542513272272</v>
      </c>
      <c r="E1028" s="1" t="s">
        <v>1814</v>
      </c>
      <c r="F1028" s="1" t="s">
        <v>1815</v>
      </c>
      <c r="G1028" s="1">
        <v>41.7251825708831</v>
      </c>
      <c r="H1028" s="1">
        <v>20.954024955</v>
      </c>
      <c r="I1028" s="1">
        <v>4.9301809154</v>
      </c>
      <c r="J1028" s="1">
        <v>8.0202312139</v>
      </c>
      <c r="K1028" s="1">
        <v>22.118633369</v>
      </c>
      <c r="L1028" s="1">
        <v>34.0</v>
      </c>
      <c r="M1028" s="1">
        <v>7.6</v>
      </c>
      <c r="N1028" s="1">
        <v>28.1</v>
      </c>
      <c r="O1028" s="1">
        <v>52.397546696</v>
      </c>
      <c r="P1028" s="1">
        <v>8.0505598914</v>
      </c>
      <c r="Q1028" s="1">
        <v>48.45632</v>
      </c>
      <c r="R1028" s="1">
        <v>94.886363636</v>
      </c>
      <c r="S1028" s="1">
        <v>29.1</v>
      </c>
      <c r="T1028" s="1">
        <v>3508.0</v>
      </c>
      <c r="U1028" s="1">
        <v>24.429874572</v>
      </c>
      <c r="V1028" s="1">
        <v>54.745774311</v>
      </c>
      <c r="W1028" s="1">
        <v>13.787085515</v>
      </c>
      <c r="X1028" s="1">
        <v>8.8451208594</v>
      </c>
      <c r="Y1028" s="1">
        <v>74.11997509</v>
      </c>
      <c r="Z1028" s="1">
        <v>12.8</v>
      </c>
      <c r="AA1028" s="1">
        <v>2.8426716791</v>
      </c>
      <c r="AB1028" s="1">
        <v>42571.0</v>
      </c>
      <c r="AC1028" s="1">
        <v>64.050854888</v>
      </c>
      <c r="AD1028" s="1">
        <v>70.074728261</v>
      </c>
      <c r="AE1028" s="1">
        <v>10.09325288</v>
      </c>
      <c r="AF1028" s="1">
        <v>1.3858093126</v>
      </c>
      <c r="AG1028" s="1">
        <v>0.1455099778</v>
      </c>
      <c r="AH1028" s="1">
        <v>0.2910199557</v>
      </c>
      <c r="AI1028" s="1">
        <v>0.0069290466</v>
      </c>
      <c r="AJ1028" s="1">
        <v>1.36502217289999</v>
      </c>
      <c r="AK1028" s="1">
        <v>95.738636364</v>
      </c>
      <c r="AL1028" s="1">
        <v>1.0773460138</v>
      </c>
      <c r="AM1028" s="1">
        <v>50.8730598669999</v>
      </c>
      <c r="AN1028" s="1">
        <v>80.519933092</v>
      </c>
      <c r="AO1028" s="1">
        <v>22222.0</v>
      </c>
      <c r="AP1028" s="1">
        <v>22.3</v>
      </c>
      <c r="AQ1028" s="1">
        <v>9.9</v>
      </c>
      <c r="AR1028" s="1">
        <v>23.2</v>
      </c>
      <c r="AS1028" s="1">
        <v>16.2</v>
      </c>
      <c r="AT1028" s="1">
        <v>24.5</v>
      </c>
      <c r="AU1028" s="1">
        <v>22.6</v>
      </c>
      <c r="AV1028" s="1">
        <v>3.8</v>
      </c>
      <c r="AW1028" s="1">
        <v>1.3</v>
      </c>
      <c r="AX1028" s="1">
        <v>0.7892</v>
      </c>
      <c r="AY1028" s="1">
        <v>21.1</v>
      </c>
      <c r="AZ1028" s="1">
        <v>16.4</v>
      </c>
      <c r="BA1028" s="1">
        <v>22.5</v>
      </c>
      <c r="BB1028" s="1">
        <v>2.71</v>
      </c>
      <c r="BC1028" s="1" t="s">
        <v>1761</v>
      </c>
      <c r="BD1028" s="1">
        <v>20.4</v>
      </c>
      <c r="BE1028" s="1">
        <v>40.3</v>
      </c>
      <c r="BF1028" s="1">
        <v>26.5</v>
      </c>
      <c r="BG1028" s="1">
        <v>12.9</v>
      </c>
      <c r="BH1028" s="1" t="s">
        <v>1815</v>
      </c>
    </row>
    <row r="1029">
      <c r="A1029" s="1">
        <v>21071.0</v>
      </c>
      <c r="B1029" s="2" t="str">
        <f>IFERROR(__xludf.DUMMYFUNCTION("TO_TEXT(A1029)"),"21071")</f>
        <v>21071</v>
      </c>
      <c r="C1029" s="1">
        <v>38144.0</v>
      </c>
      <c r="D1029" s="1">
        <v>393.346434142612</v>
      </c>
      <c r="E1029" s="1" t="s">
        <v>894</v>
      </c>
      <c r="F1029" s="1" t="s">
        <v>1816</v>
      </c>
      <c r="G1029" s="1">
        <v>96.9730412915615</v>
      </c>
      <c r="H1029" s="1">
        <v>29.344630949</v>
      </c>
      <c r="I1029" s="1">
        <v>5.7558540045</v>
      </c>
      <c r="J1029" s="1">
        <v>10.436893204</v>
      </c>
      <c r="K1029" s="1">
        <v>24.819658083</v>
      </c>
      <c r="L1029" s="1">
        <v>41.3</v>
      </c>
      <c r="M1029" s="1">
        <v>6.9</v>
      </c>
      <c r="N1029" s="1">
        <v>36.9</v>
      </c>
      <c r="O1029" s="1">
        <v>47.5906821119999</v>
      </c>
      <c r="P1029" s="1">
        <v>6.4096007637</v>
      </c>
      <c r="Q1029" s="1">
        <v>60.65452</v>
      </c>
      <c r="R1029" s="1">
        <v>96.457765668</v>
      </c>
      <c r="S1029" s="1">
        <v>44.3</v>
      </c>
      <c r="T1029" s="1">
        <v>7816.0</v>
      </c>
      <c r="U1029" s="1">
        <v>34.928352098</v>
      </c>
      <c r="V1029" s="1">
        <v>51.5920786319999</v>
      </c>
      <c r="W1029" s="1">
        <v>13.160485724</v>
      </c>
      <c r="X1029" s="1">
        <v>11.534033187</v>
      </c>
      <c r="Y1029" s="1">
        <v>70.96648442</v>
      </c>
      <c r="Z1029" s="1">
        <v>16.8</v>
      </c>
      <c r="AA1029" s="1">
        <v>2.6507416309</v>
      </c>
      <c r="AB1029" s="1">
        <v>33218.0</v>
      </c>
      <c r="AC1029" s="1">
        <v>77.123633305</v>
      </c>
      <c r="AD1029" s="1">
        <v>70.434610565</v>
      </c>
      <c r="AE1029" s="1">
        <v>15.3710117159999</v>
      </c>
      <c r="AF1029" s="1">
        <v>1.0545403822</v>
      </c>
      <c r="AG1029" s="1">
        <v>0.172966941</v>
      </c>
      <c r="AH1029" s="1">
        <v>0.3347747245</v>
      </c>
      <c r="AI1029" s="1">
        <v>0.0027897894</v>
      </c>
      <c r="AJ1029" s="1">
        <v>0.8313572325</v>
      </c>
      <c r="AK1029" s="1">
        <v>96.892174641</v>
      </c>
      <c r="AL1029" s="1">
        <v>0.121037464</v>
      </c>
      <c r="AM1029" s="1">
        <v>51.114520854</v>
      </c>
      <c r="AN1029" s="1">
        <v>83.871131277</v>
      </c>
      <c r="AO1029" s="1">
        <v>18345.0</v>
      </c>
      <c r="AP1029" s="1">
        <v>30.7</v>
      </c>
      <c r="AQ1029" s="1">
        <v>11.2</v>
      </c>
      <c r="AR1029" s="1">
        <v>24.2</v>
      </c>
      <c r="AS1029" s="1">
        <v>15.8</v>
      </c>
      <c r="AT1029" s="1">
        <v>22.0</v>
      </c>
      <c r="AU1029" s="1">
        <v>29.9</v>
      </c>
      <c r="AV1029" s="1">
        <v>2.6</v>
      </c>
      <c r="AW1029" s="1">
        <v>0.1</v>
      </c>
      <c r="AX1029" s="1">
        <v>0.8306</v>
      </c>
      <c r="AY1029" s="1">
        <v>27.4</v>
      </c>
      <c r="AZ1029" s="1">
        <v>22.1</v>
      </c>
      <c r="BA1029" s="1">
        <v>31.7</v>
      </c>
      <c r="BB1029" s="1">
        <v>3.04</v>
      </c>
      <c r="BC1029" s="1" t="s">
        <v>1761</v>
      </c>
      <c r="BD1029" s="1">
        <v>24.8</v>
      </c>
      <c r="BE1029" s="1">
        <v>37.8</v>
      </c>
      <c r="BF1029" s="1">
        <v>26.1</v>
      </c>
      <c r="BG1029" s="1">
        <v>11.3</v>
      </c>
      <c r="BH1029" s="1" t="s">
        <v>1816</v>
      </c>
    </row>
    <row r="1030">
      <c r="A1030" s="1">
        <v>21073.0</v>
      </c>
      <c r="B1030" s="2" t="str">
        <f>IFERROR(__xludf.DUMMYFUNCTION("TO_TEXT(A1030)"),"21073")</f>
        <v>21073</v>
      </c>
      <c r="C1030" s="1">
        <v>49982.0</v>
      </c>
      <c r="D1030" s="1">
        <v>207.751073415162</v>
      </c>
      <c r="E1030" s="1" t="s">
        <v>118</v>
      </c>
      <c r="F1030" s="1" t="s">
        <v>1817</v>
      </c>
      <c r="G1030" s="1">
        <v>240.586001209812</v>
      </c>
      <c r="H1030" s="1">
        <v>20.737091602</v>
      </c>
      <c r="I1030" s="1">
        <v>4.5322550899</v>
      </c>
      <c r="J1030" s="1">
        <v>9.9002675748</v>
      </c>
      <c r="K1030" s="1">
        <v>19.083105935</v>
      </c>
      <c r="L1030" s="1">
        <v>37.1</v>
      </c>
      <c r="M1030" s="1">
        <v>7.7</v>
      </c>
      <c r="N1030" s="1">
        <v>25.5</v>
      </c>
      <c r="O1030" s="1">
        <v>81.493354976</v>
      </c>
      <c r="P1030" s="1">
        <v>6.0200169297</v>
      </c>
      <c r="Q1030" s="1">
        <v>35.65415</v>
      </c>
      <c r="R1030" s="1">
        <v>87.695749441</v>
      </c>
      <c r="S1030" s="1">
        <v>18.8</v>
      </c>
      <c r="T1030" s="1">
        <v>10337.0</v>
      </c>
      <c r="U1030" s="1">
        <v>35.3100512719999</v>
      </c>
      <c r="V1030" s="1">
        <v>269.0475716</v>
      </c>
      <c r="W1030" s="1">
        <v>13.012392755</v>
      </c>
      <c r="X1030" s="1">
        <v>11.276391555</v>
      </c>
      <c r="Y1030" s="1">
        <v>75.266499397</v>
      </c>
      <c r="Z1030" s="1">
        <v>12.6</v>
      </c>
      <c r="AA1030" s="1">
        <v>5.5800157417</v>
      </c>
      <c r="AB1030" s="1">
        <v>53134.0</v>
      </c>
      <c r="AC1030" s="1">
        <v>56.409548779</v>
      </c>
      <c r="AD1030" s="1">
        <v>62.601197605</v>
      </c>
      <c r="AE1030" s="1">
        <v>9.4028962507</v>
      </c>
      <c r="AF1030" s="1">
        <v>10.400472301</v>
      </c>
      <c r="AG1030" s="1">
        <v>0.3778411886</v>
      </c>
      <c r="AH1030" s="1">
        <v>2.2040736003</v>
      </c>
      <c r="AI1030" s="1">
        <v>0.0216471514</v>
      </c>
      <c r="AJ1030" s="1">
        <v>3.5147102234</v>
      </c>
      <c r="AK1030" s="1">
        <v>81.401161074</v>
      </c>
      <c r="AL1030" s="1">
        <v>1.2712577875</v>
      </c>
      <c r="AM1030" s="1">
        <v>51.7091410019999</v>
      </c>
      <c r="AN1030" s="1">
        <v>27.5540225219999</v>
      </c>
      <c r="AO1030" s="1">
        <v>27252.0</v>
      </c>
      <c r="AP1030" s="1">
        <v>14.7</v>
      </c>
      <c r="AQ1030" s="1">
        <v>7.8</v>
      </c>
      <c r="AR1030" s="1">
        <v>12.4</v>
      </c>
      <c r="AS1030" s="1">
        <v>16.1</v>
      </c>
      <c r="AT1030" s="1">
        <v>21.0</v>
      </c>
      <c r="AU1030" s="1">
        <v>16.9</v>
      </c>
      <c r="AV1030" s="1">
        <v>17.9</v>
      </c>
      <c r="AW1030" s="1">
        <v>0.9</v>
      </c>
      <c r="AX1030" s="1">
        <v>0.4887</v>
      </c>
      <c r="AY1030" s="1">
        <v>11.5</v>
      </c>
      <c r="AZ1030" s="1">
        <v>12.5</v>
      </c>
      <c r="BA1030" s="1">
        <v>15.9</v>
      </c>
      <c r="BB1030" s="1">
        <v>2.97</v>
      </c>
      <c r="BC1030" s="1" t="s">
        <v>1761</v>
      </c>
      <c r="BD1030" s="1">
        <v>11.0</v>
      </c>
      <c r="BE1030" s="1">
        <v>31.3</v>
      </c>
      <c r="BF1030" s="1">
        <v>27.8</v>
      </c>
      <c r="BG1030" s="1">
        <v>29.9</v>
      </c>
      <c r="BH1030" s="1" t="s">
        <v>1817</v>
      </c>
    </row>
    <row r="1031">
      <c r="A1031" s="1">
        <v>21075.0</v>
      </c>
      <c r="B1031" s="2" t="str">
        <f>IFERROR(__xludf.DUMMYFUNCTION("TO_TEXT(A1031)"),"21075")</f>
        <v>21075</v>
      </c>
      <c r="C1031" s="1">
        <v>6323.0</v>
      </c>
      <c r="D1031" s="1">
        <v>205.930724107291</v>
      </c>
      <c r="E1031" s="1" t="s">
        <v>328</v>
      </c>
      <c r="F1031" s="1" t="s">
        <v>1818</v>
      </c>
      <c r="G1031" s="1">
        <v>30.7045003964811</v>
      </c>
      <c r="H1031" s="1">
        <v>26.941537275</v>
      </c>
      <c r="I1031" s="1">
        <v>5.2568564182</v>
      </c>
      <c r="J1031" s="1">
        <v>10.433070866</v>
      </c>
      <c r="K1031" s="1">
        <v>24.641682291</v>
      </c>
      <c r="L1031" s="1">
        <v>39.6</v>
      </c>
      <c r="M1031" s="1">
        <v>6.8</v>
      </c>
      <c r="N1031" s="1">
        <v>27.1</v>
      </c>
      <c r="O1031" s="1">
        <v>82.548069866</v>
      </c>
      <c r="P1031" s="1">
        <v>5.9150544808</v>
      </c>
      <c r="Q1031" s="1">
        <v>32.29974</v>
      </c>
      <c r="R1031" s="1">
        <v>98.181818182</v>
      </c>
      <c r="S1031" s="1">
        <v>46.1</v>
      </c>
      <c r="T1031" s="1">
        <v>1354.0</v>
      </c>
      <c r="U1031" s="1">
        <v>59.379615953</v>
      </c>
      <c r="V1031" s="1">
        <v>107.89602746</v>
      </c>
      <c r="W1031" s="1">
        <v>13.601532567</v>
      </c>
      <c r="X1031" s="1">
        <v>12.5</v>
      </c>
      <c r="Y1031" s="1">
        <v>72.310679816</v>
      </c>
      <c r="Z1031" s="1">
        <v>12.9</v>
      </c>
      <c r="AA1031" s="1">
        <v>0.05235887</v>
      </c>
      <c r="AB1031" s="1">
        <v>32355.0</v>
      </c>
      <c r="AC1031" s="1">
        <v>78.068410463</v>
      </c>
      <c r="AD1031" s="1">
        <v>59.587955626</v>
      </c>
      <c r="AE1031" s="1">
        <v>14.004192872</v>
      </c>
      <c r="AF1031" s="1">
        <v>23.839869281</v>
      </c>
      <c r="AG1031" s="1">
        <v>0.4738562092</v>
      </c>
      <c r="AH1031" s="1">
        <v>0.8169934641</v>
      </c>
      <c r="AI1031" s="1">
        <v>0.0816993464</v>
      </c>
      <c r="AJ1031" s="1">
        <v>2.1895424837</v>
      </c>
      <c r="AK1031" s="1">
        <v>70.45751634</v>
      </c>
      <c r="AL1031" s="1">
        <v>0.2068608861</v>
      </c>
      <c r="AM1031" s="1">
        <v>50.294117647</v>
      </c>
      <c r="AN1031" s="1">
        <v>64.435637751</v>
      </c>
      <c r="AO1031" s="1">
        <v>18067.0</v>
      </c>
      <c r="AP1031" s="1">
        <v>26.7</v>
      </c>
      <c r="AQ1031" s="1">
        <v>10.5</v>
      </c>
      <c r="AR1031" s="1">
        <v>22.7</v>
      </c>
      <c r="AS1031" s="1">
        <v>18.7</v>
      </c>
      <c r="AT1031" s="1">
        <v>20.9</v>
      </c>
      <c r="AU1031" s="1">
        <v>22.3</v>
      </c>
      <c r="AV1031" s="1">
        <v>28.8</v>
      </c>
      <c r="AW1031" s="1">
        <v>0.1</v>
      </c>
      <c r="AX1031" s="1">
        <v>0.8535</v>
      </c>
      <c r="AY1031" s="1">
        <v>25.6</v>
      </c>
      <c r="AZ1031" s="1">
        <v>20.5</v>
      </c>
      <c r="BA1031" s="1">
        <v>29.4</v>
      </c>
      <c r="BB1031" s="1">
        <v>2.64</v>
      </c>
      <c r="BC1031" s="1" t="s">
        <v>1761</v>
      </c>
      <c r="BD1031" s="1">
        <v>20.9</v>
      </c>
      <c r="BE1031" s="1">
        <v>37.4</v>
      </c>
      <c r="BF1031" s="1">
        <v>28.2</v>
      </c>
      <c r="BG1031" s="1">
        <v>13.4</v>
      </c>
      <c r="BH1031" s="1" t="s">
        <v>1818</v>
      </c>
    </row>
    <row r="1032">
      <c r="A1032" s="1">
        <v>21077.0</v>
      </c>
      <c r="B1032" s="2" t="str">
        <f>IFERROR(__xludf.DUMMYFUNCTION("TO_TEXT(A1032)"),"21077")</f>
        <v>21077</v>
      </c>
      <c r="C1032" s="1">
        <v>8543.0</v>
      </c>
      <c r="D1032" s="1">
        <v>98.339982101878</v>
      </c>
      <c r="E1032" s="1" t="s">
        <v>1196</v>
      </c>
      <c r="F1032" s="1" t="s">
        <v>1819</v>
      </c>
      <c r="G1032" s="1">
        <v>86.8720922803265</v>
      </c>
      <c r="H1032" s="1">
        <v>20.145778287</v>
      </c>
      <c r="I1032" s="1">
        <v>4.7479613343</v>
      </c>
      <c r="J1032" s="1">
        <v>8.9308176101</v>
      </c>
      <c r="K1032" s="1">
        <v>21.1382685359999</v>
      </c>
      <c r="L1032" s="1">
        <v>30.4</v>
      </c>
      <c r="M1032" s="1">
        <v>7.7</v>
      </c>
      <c r="N1032" s="1">
        <v>31.8</v>
      </c>
      <c r="O1032" s="1">
        <v>39.78344394</v>
      </c>
      <c r="P1032" s="1">
        <v>8.3399946709</v>
      </c>
      <c r="Q1032" s="1">
        <v>45.57885</v>
      </c>
      <c r="R1032" s="1">
        <v>95.575221239</v>
      </c>
      <c r="S1032" s="1">
        <v>23.6</v>
      </c>
      <c r="T1032" s="1">
        <v>2138.0</v>
      </c>
      <c r="U1032" s="1">
        <v>32.319925164</v>
      </c>
      <c r="V1032" s="1">
        <v>58.530875037</v>
      </c>
      <c r="W1032" s="1">
        <v>12.3310810809999</v>
      </c>
      <c r="X1032" s="1">
        <v>7.426597582</v>
      </c>
      <c r="Y1032" s="1">
        <v>71.000768667</v>
      </c>
      <c r="Z1032" s="1">
        <v>13.8</v>
      </c>
      <c r="AA1032" s="1">
        <v>6.508531482</v>
      </c>
      <c r="AB1032" s="1">
        <v>49060.0</v>
      </c>
      <c r="AC1032" s="1">
        <v>72.9567307689999</v>
      </c>
      <c r="AD1032" s="1">
        <v>71.5261959</v>
      </c>
      <c r="AE1032" s="1">
        <v>9.1490077363</v>
      </c>
      <c r="AF1032" s="1">
        <v>1.42663043479999</v>
      </c>
      <c r="AG1032" s="1">
        <v>0.2717391304</v>
      </c>
      <c r="AH1032" s="1">
        <v>0.4755434783</v>
      </c>
      <c r="AI1032" s="1">
        <v>0.0905797101</v>
      </c>
      <c r="AJ1032" s="1">
        <v>5.46875</v>
      </c>
      <c r="AK1032" s="1">
        <v>90.885416667</v>
      </c>
      <c r="AL1032" s="1">
        <v>0.6974183286</v>
      </c>
      <c r="AM1032" s="1">
        <v>49.354619565</v>
      </c>
      <c r="AN1032" s="1">
        <v>100.0</v>
      </c>
      <c r="AO1032" s="1">
        <v>21452.0</v>
      </c>
      <c r="AP1032" s="1">
        <v>13.6</v>
      </c>
      <c r="AQ1032" s="1">
        <v>6.0</v>
      </c>
      <c r="AR1032" s="1">
        <v>19.7</v>
      </c>
      <c r="AS1032" s="1">
        <v>12.1</v>
      </c>
      <c r="AT1032" s="1">
        <v>25.8</v>
      </c>
      <c r="AU1032" s="1">
        <v>14.9</v>
      </c>
      <c r="AV1032" s="1">
        <v>8.5</v>
      </c>
      <c r="AW1032" s="1">
        <v>1.2</v>
      </c>
      <c r="AX1032" s="1">
        <v>0.7147</v>
      </c>
      <c r="AY1032" s="1">
        <v>13.3</v>
      </c>
      <c r="AZ1032" s="1">
        <v>12.7</v>
      </c>
      <c r="BA1032" s="1">
        <v>16.5</v>
      </c>
      <c r="BB1032" s="1">
        <v>2.91</v>
      </c>
      <c r="BC1032" s="1" t="s">
        <v>1761</v>
      </c>
      <c r="BD1032" s="1">
        <v>18.8</v>
      </c>
      <c r="BE1032" s="1">
        <v>44.2</v>
      </c>
      <c r="BF1032" s="1">
        <v>25.4</v>
      </c>
      <c r="BG1032" s="1">
        <v>11.6</v>
      </c>
      <c r="BH1032" s="1" t="s">
        <v>1819</v>
      </c>
    </row>
    <row r="1033">
      <c r="A1033" s="1">
        <v>21079.0</v>
      </c>
      <c r="B1033" s="2" t="str">
        <f>IFERROR(__xludf.DUMMYFUNCTION("TO_TEXT(A1033)"),"21079")</f>
        <v>21079</v>
      </c>
      <c r="C1033" s="1">
        <v>17051.0</v>
      </c>
      <c r="D1033" s="1">
        <v>230.077718863702</v>
      </c>
      <c r="E1033" s="1" t="s">
        <v>1820</v>
      </c>
      <c r="F1033" s="1" t="s">
        <v>1821</v>
      </c>
      <c r="G1033" s="1">
        <v>74.1097403269241</v>
      </c>
      <c r="H1033" s="1">
        <v>20.855248492</v>
      </c>
      <c r="I1033" s="1">
        <v>4.745056732</v>
      </c>
      <c r="J1033" s="1">
        <v>9.79498861049999</v>
      </c>
      <c r="K1033" s="1">
        <v>20.414659705</v>
      </c>
      <c r="L1033" s="1">
        <v>38.9</v>
      </c>
      <c r="M1033" s="1">
        <v>8.2</v>
      </c>
      <c r="N1033" s="1">
        <v>27.0</v>
      </c>
      <c r="O1033" s="1">
        <v>62.10974456</v>
      </c>
      <c r="P1033" s="1">
        <v>7.23395358559999</v>
      </c>
      <c r="Q1033" s="1">
        <v>28.53393</v>
      </c>
      <c r="R1033" s="1">
        <v>93.81443299</v>
      </c>
      <c r="S1033" s="1">
        <v>23.5</v>
      </c>
      <c r="T1033" s="1">
        <v>3817.0</v>
      </c>
      <c r="U1033" s="1">
        <v>31.595493843</v>
      </c>
      <c r="V1033" s="1">
        <v>90.611481352</v>
      </c>
      <c r="W1033" s="1">
        <v>13.67013373</v>
      </c>
      <c r="X1033" s="1">
        <v>11.466865227</v>
      </c>
      <c r="Y1033" s="1">
        <v>76.156351915</v>
      </c>
      <c r="Z1033" s="1">
        <v>17.1</v>
      </c>
      <c r="AA1033" s="1">
        <v>0.2442089672</v>
      </c>
      <c r="AB1033" s="1">
        <v>51203.0</v>
      </c>
      <c r="AC1033" s="1">
        <v>63.0233419789999</v>
      </c>
      <c r="AD1033" s="1">
        <v>80.726952953</v>
      </c>
      <c r="AE1033" s="1">
        <v>10.322580645</v>
      </c>
      <c r="AF1033" s="1">
        <v>1.9817767654</v>
      </c>
      <c r="AG1033" s="1">
        <v>0.2961275626</v>
      </c>
      <c r="AH1033" s="1">
        <v>0.3416856492</v>
      </c>
      <c r="AI1033" s="1">
        <v>0.0455580866</v>
      </c>
      <c r="AJ1033" s="1">
        <v>2.2038724374</v>
      </c>
      <c r="AK1033" s="1">
        <v>94.162870159</v>
      </c>
      <c r="AL1033" s="1">
        <v>0.171096853</v>
      </c>
      <c r="AM1033" s="1">
        <v>50.706150342</v>
      </c>
      <c r="AN1033" s="1">
        <v>77.891438032</v>
      </c>
      <c r="AO1033" s="1">
        <v>23796.0</v>
      </c>
      <c r="AP1033" s="1">
        <v>19.3</v>
      </c>
      <c r="AQ1033" s="1">
        <v>8.9</v>
      </c>
      <c r="AR1033" s="1">
        <v>20.0</v>
      </c>
      <c r="AS1033" s="1">
        <v>16.5</v>
      </c>
      <c r="AT1033" s="1">
        <v>22.2</v>
      </c>
      <c r="AU1033" s="1">
        <v>20.5</v>
      </c>
      <c r="AV1033" s="1">
        <v>5.8</v>
      </c>
      <c r="AW1033" s="1">
        <v>0.2</v>
      </c>
      <c r="AX1033" s="1">
        <v>0.4747</v>
      </c>
      <c r="AY1033" s="1">
        <v>15.7</v>
      </c>
      <c r="AZ1033" s="1">
        <v>13.8</v>
      </c>
      <c r="BA1033" s="1">
        <v>19.8</v>
      </c>
      <c r="BB1033" s="1">
        <v>2.73</v>
      </c>
      <c r="BC1033" s="1" t="s">
        <v>1761</v>
      </c>
      <c r="BD1033" s="1">
        <v>19.0</v>
      </c>
      <c r="BE1033" s="1">
        <v>37.1</v>
      </c>
      <c r="BF1033" s="1">
        <v>26.4</v>
      </c>
      <c r="BG1033" s="1">
        <v>17.6</v>
      </c>
      <c r="BH1033" s="1" t="s">
        <v>1821</v>
      </c>
    </row>
    <row r="1034">
      <c r="A1034" s="1">
        <v>21081.0</v>
      </c>
      <c r="B1034" s="2" t="str">
        <f>IFERROR(__xludf.DUMMYFUNCTION("TO_TEXT(A1034)"),"21081")</f>
        <v>21081</v>
      </c>
      <c r="C1034" s="1">
        <v>24705.0</v>
      </c>
      <c r="D1034" s="1">
        <v>257.9649585979</v>
      </c>
      <c r="E1034" s="1" t="s">
        <v>332</v>
      </c>
      <c r="F1034" s="1" t="s">
        <v>1822</v>
      </c>
      <c r="G1034" s="1">
        <v>95.7688212161738</v>
      </c>
      <c r="H1034" s="1">
        <v>22.792902618</v>
      </c>
      <c r="I1034" s="1">
        <v>5.0546547304</v>
      </c>
      <c r="J1034" s="1">
        <v>8.4712371946</v>
      </c>
      <c r="K1034" s="1">
        <v>23.13007571</v>
      </c>
      <c r="L1034" s="1">
        <v>33.6</v>
      </c>
      <c r="M1034" s="1">
        <v>7.2</v>
      </c>
      <c r="N1034" s="1">
        <v>36.6</v>
      </c>
      <c r="O1034" s="1">
        <v>62.123915335</v>
      </c>
      <c r="P1034" s="1">
        <v>6.1125852919</v>
      </c>
      <c r="Q1034" s="1">
        <v>48.03074</v>
      </c>
      <c r="R1034" s="1">
        <v>88.95184136</v>
      </c>
      <c r="S1034" s="1">
        <v>20.3</v>
      </c>
      <c r="T1034" s="1">
        <v>6759.0</v>
      </c>
      <c r="U1034" s="1">
        <v>37.254031661</v>
      </c>
      <c r="V1034" s="1">
        <v>76.6902119069999</v>
      </c>
      <c r="W1034" s="1">
        <v>15.375375375</v>
      </c>
      <c r="X1034" s="1">
        <v>13.4756097559999</v>
      </c>
      <c r="Y1034" s="1">
        <v>73.26754121</v>
      </c>
      <c r="Z1034" s="1">
        <v>13.6</v>
      </c>
      <c r="AA1034" s="1">
        <v>7.79433685899999</v>
      </c>
      <c r="AB1034" s="1">
        <v>53965.0</v>
      </c>
      <c r="AC1034" s="1">
        <v>67.009205738</v>
      </c>
      <c r="AD1034" s="1">
        <v>68.109390892</v>
      </c>
      <c r="AE1034" s="1">
        <v>12.561634186</v>
      </c>
      <c r="AF1034" s="1">
        <v>0.887703515</v>
      </c>
      <c r="AG1034" s="1">
        <v>0.2627283946</v>
      </c>
      <c r="AH1034" s="1">
        <v>0.5055531229</v>
      </c>
      <c r="AI1034" s="1">
        <v>0.1632100633</v>
      </c>
      <c r="AJ1034" s="1">
        <v>2.74272521</v>
      </c>
      <c r="AK1034" s="1">
        <v>94.466780781</v>
      </c>
      <c r="AL1034" s="1">
        <v>0.0866288386999999</v>
      </c>
      <c r="AM1034" s="1">
        <v>49.926356435</v>
      </c>
      <c r="AN1034" s="1">
        <v>64.990673911</v>
      </c>
      <c r="AO1034" s="1">
        <v>19395.0</v>
      </c>
      <c r="AP1034" s="1">
        <v>20.2</v>
      </c>
      <c r="AQ1034" s="1">
        <v>6.2</v>
      </c>
      <c r="AR1034" s="1">
        <v>17.5</v>
      </c>
      <c r="AS1034" s="1">
        <v>12.7</v>
      </c>
      <c r="AT1034" s="1">
        <v>27.7</v>
      </c>
      <c r="AU1034" s="1">
        <v>16.2</v>
      </c>
      <c r="AV1034" s="1">
        <v>5.8</v>
      </c>
      <c r="AW1034" s="1">
        <v>0.6</v>
      </c>
      <c r="AX1034" s="1">
        <v>0.6829</v>
      </c>
      <c r="AY1034" s="1">
        <v>13.3</v>
      </c>
      <c r="AZ1034" s="1">
        <v>14.5</v>
      </c>
      <c r="BA1034" s="1">
        <v>20.7</v>
      </c>
      <c r="BB1034" s="1">
        <v>2.46</v>
      </c>
      <c r="BC1034" s="1" t="s">
        <v>1761</v>
      </c>
      <c r="BD1034" s="1">
        <v>13.4</v>
      </c>
      <c r="BE1034" s="1">
        <v>47.4</v>
      </c>
      <c r="BF1034" s="1">
        <v>26.3</v>
      </c>
      <c r="BG1034" s="1">
        <v>12.9</v>
      </c>
      <c r="BH1034" s="1" t="s">
        <v>1822</v>
      </c>
    </row>
    <row r="1035">
      <c r="A1035" s="1">
        <v>21083.0</v>
      </c>
      <c r="B1035" s="2" t="str">
        <f>IFERROR(__xludf.DUMMYFUNCTION("TO_TEXT(A1035)"),"21083")</f>
        <v>21083</v>
      </c>
      <c r="C1035" s="1">
        <v>37379.0</v>
      </c>
      <c r="D1035" s="1">
        <v>551.749809007264</v>
      </c>
      <c r="E1035" s="1" t="s">
        <v>1823</v>
      </c>
      <c r="F1035" s="1" t="s">
        <v>1824</v>
      </c>
      <c r="G1035" s="1">
        <v>67.7462853448997</v>
      </c>
      <c r="H1035" s="1">
        <v>22.841147603</v>
      </c>
      <c r="I1035" s="1">
        <v>5.0766714503</v>
      </c>
      <c r="J1035" s="1">
        <v>7.455382844</v>
      </c>
      <c r="K1035" s="1">
        <v>22.131569726</v>
      </c>
      <c r="L1035" s="1">
        <v>35.0</v>
      </c>
      <c r="M1035" s="1">
        <v>7.7</v>
      </c>
      <c r="N1035" s="1">
        <v>37.8</v>
      </c>
      <c r="O1035" s="1">
        <v>45.709975486</v>
      </c>
      <c r="P1035" s="1">
        <v>7.3378896483</v>
      </c>
      <c r="Q1035" s="1">
        <v>32.32672</v>
      </c>
      <c r="R1035" s="1">
        <v>95.324675325</v>
      </c>
      <c r="S1035" s="1">
        <v>25.4</v>
      </c>
      <c r="T1035" s="1">
        <v>8850.0</v>
      </c>
      <c r="U1035" s="1">
        <v>27.694915254</v>
      </c>
      <c r="V1035" s="1">
        <v>129.12771538</v>
      </c>
      <c r="W1035" s="1">
        <v>12.473721093</v>
      </c>
      <c r="X1035" s="1">
        <v>10.7703281029999</v>
      </c>
      <c r="Y1035" s="1">
        <v>75.466791985</v>
      </c>
      <c r="Z1035" s="1">
        <v>12.0</v>
      </c>
      <c r="AA1035" s="1">
        <v>3.6489389588</v>
      </c>
      <c r="AB1035" s="1">
        <v>46785.0</v>
      </c>
      <c r="AC1035" s="1">
        <v>60.934786041</v>
      </c>
      <c r="AD1035" s="1">
        <v>73.342999171</v>
      </c>
      <c r="AE1035" s="1">
        <v>11.039823009</v>
      </c>
      <c r="AF1035" s="1">
        <v>4.0758903449</v>
      </c>
      <c r="AG1035" s="1">
        <v>0.509151325099999</v>
      </c>
      <c r="AH1035" s="1">
        <v>0.509151325099999</v>
      </c>
      <c r="AI1035" s="1">
        <v>0.101830265</v>
      </c>
      <c r="AJ1035" s="1">
        <v>7.1441970148</v>
      </c>
      <c r="AK1035" s="1">
        <v>86.0653321539999</v>
      </c>
      <c r="AL1035" s="1">
        <v>2.1647261751</v>
      </c>
      <c r="AM1035" s="1">
        <v>51.0839563739999</v>
      </c>
      <c r="AN1035" s="1">
        <v>69.40815172</v>
      </c>
      <c r="AO1035" s="1">
        <v>21277.0</v>
      </c>
      <c r="AP1035" s="1">
        <v>18.4</v>
      </c>
      <c r="AQ1035" s="1">
        <v>8.4</v>
      </c>
      <c r="AR1035" s="1">
        <v>18.3</v>
      </c>
      <c r="AS1035" s="1">
        <v>17.2</v>
      </c>
      <c r="AT1035" s="1">
        <v>24.3</v>
      </c>
      <c r="AU1035" s="1">
        <v>16.1</v>
      </c>
      <c r="AV1035" s="1">
        <v>12.8</v>
      </c>
      <c r="AW1035" s="1">
        <v>1.9</v>
      </c>
      <c r="AX1035" s="1">
        <v>0.780999999999999</v>
      </c>
      <c r="AY1035" s="1">
        <v>17.9</v>
      </c>
      <c r="AZ1035" s="1">
        <v>14.5</v>
      </c>
      <c r="BA1035" s="1">
        <v>18.4</v>
      </c>
      <c r="BB1035" s="1">
        <v>2.59</v>
      </c>
      <c r="BC1035" s="1" t="s">
        <v>1761</v>
      </c>
      <c r="BD1035" s="1">
        <v>12.6</v>
      </c>
      <c r="BE1035" s="1">
        <v>39.5</v>
      </c>
      <c r="BF1035" s="1">
        <v>30.6</v>
      </c>
      <c r="BG1035" s="1">
        <v>17.4</v>
      </c>
      <c r="BH1035" s="1" t="s">
        <v>1824</v>
      </c>
    </row>
    <row r="1036">
      <c r="A1036" s="1">
        <v>21085.0</v>
      </c>
      <c r="B1036" s="2" t="str">
        <f>IFERROR(__xludf.DUMMYFUNCTION("TO_TEXT(A1036)"),"21085")</f>
        <v>21085</v>
      </c>
      <c r="C1036" s="1">
        <v>26092.0</v>
      </c>
      <c r="D1036" s="1">
        <v>498.63186033424</v>
      </c>
      <c r="E1036" s="1" t="s">
        <v>1825</v>
      </c>
      <c r="F1036" s="1" t="s">
        <v>1826</v>
      </c>
      <c r="G1036" s="1">
        <v>52.3271817859977</v>
      </c>
      <c r="H1036" s="1">
        <v>24.211651559</v>
      </c>
      <c r="I1036" s="1">
        <v>5.1309292258</v>
      </c>
      <c r="J1036" s="1">
        <v>8.4169210641</v>
      </c>
      <c r="K1036" s="1">
        <v>24.256289871</v>
      </c>
      <c r="L1036" s="1">
        <v>37.4</v>
      </c>
      <c r="M1036" s="1">
        <v>6.6</v>
      </c>
      <c r="N1036" s="1">
        <v>35.7</v>
      </c>
      <c r="O1036" s="1">
        <v>62.013516663</v>
      </c>
      <c r="P1036" s="1">
        <v>6.9610885653</v>
      </c>
      <c r="Q1036" s="1">
        <v>60.70263</v>
      </c>
      <c r="R1036" s="1">
        <v>85.223367698</v>
      </c>
      <c r="S1036" s="1">
        <v>28.7</v>
      </c>
      <c r="T1036" s="1">
        <v>6228.0</v>
      </c>
      <c r="U1036" s="1">
        <v>25.481695568</v>
      </c>
      <c r="V1036" s="1">
        <v>92.7572080079999</v>
      </c>
      <c r="W1036" s="1">
        <v>12.326656394</v>
      </c>
      <c r="X1036" s="1">
        <v>9.8377812664</v>
      </c>
      <c r="Y1036" s="1">
        <v>72.865488005</v>
      </c>
      <c r="Z1036" s="1">
        <v>14.7</v>
      </c>
      <c r="AA1036" s="1">
        <v>11.735665845</v>
      </c>
      <c r="AB1036" s="1">
        <v>40780.0</v>
      </c>
      <c r="AC1036" s="1">
        <v>65.815734509</v>
      </c>
      <c r="AD1036" s="1">
        <v>71.3744754889999</v>
      </c>
      <c r="AE1036" s="1">
        <v>10.467633687</v>
      </c>
      <c r="AF1036" s="1">
        <v>1.1701683067</v>
      </c>
      <c r="AG1036" s="1">
        <v>0.2621480947</v>
      </c>
      <c r="AH1036" s="1">
        <v>0.2621480947</v>
      </c>
      <c r="AI1036" s="1">
        <v>0.0379924775</v>
      </c>
      <c r="AJ1036" s="1">
        <v>1.5007028608</v>
      </c>
      <c r="AK1036" s="1">
        <v>95.7334447779999</v>
      </c>
      <c r="AL1036" s="1">
        <v>0.2198160059</v>
      </c>
      <c r="AM1036" s="1">
        <v>49.534592151</v>
      </c>
      <c r="AN1036" s="1">
        <v>73.580361998</v>
      </c>
      <c r="AO1036" s="1">
        <v>20783.0</v>
      </c>
      <c r="AP1036" s="1">
        <v>24.2</v>
      </c>
      <c r="AQ1036" s="1">
        <v>6.9</v>
      </c>
      <c r="AR1036" s="1">
        <v>20.9</v>
      </c>
      <c r="AS1036" s="1">
        <v>16.1</v>
      </c>
      <c r="AT1036" s="1">
        <v>24.0</v>
      </c>
      <c r="AU1036" s="1">
        <v>19.3</v>
      </c>
      <c r="AV1036" s="1">
        <v>4.5</v>
      </c>
      <c r="AW1036" s="1">
        <v>0.3</v>
      </c>
      <c r="AX1036" s="1">
        <v>0.5804</v>
      </c>
      <c r="AY1036" s="1">
        <v>20.3</v>
      </c>
      <c r="AZ1036" s="1">
        <v>17.5</v>
      </c>
      <c r="BA1036" s="1">
        <v>24.2</v>
      </c>
      <c r="BB1036" s="1">
        <v>2.54</v>
      </c>
      <c r="BC1036" s="1" t="s">
        <v>1761</v>
      </c>
      <c r="BD1036" s="1">
        <v>18.5</v>
      </c>
      <c r="BE1036" s="1">
        <v>43.0</v>
      </c>
      <c r="BF1036" s="1">
        <v>28.0</v>
      </c>
      <c r="BG1036" s="1">
        <v>10.5</v>
      </c>
      <c r="BH1036" s="1" t="s">
        <v>1826</v>
      </c>
    </row>
    <row r="1037">
      <c r="A1037" s="1">
        <v>21087.0</v>
      </c>
      <c r="B1037" s="2" t="str">
        <f>IFERROR(__xludf.DUMMYFUNCTION("TO_TEXT(A1037)"),"21087")</f>
        <v>21087</v>
      </c>
      <c r="C1037" s="1">
        <v>11123.0</v>
      </c>
      <c r="D1037" s="1">
        <v>286.038919962011</v>
      </c>
      <c r="E1037" s="1" t="s">
        <v>1827</v>
      </c>
      <c r="F1037" s="1" t="s">
        <v>1828</v>
      </c>
      <c r="G1037" s="1">
        <v>38.8863165945292</v>
      </c>
      <c r="H1037" s="1">
        <v>21.364900902</v>
      </c>
      <c r="I1037" s="1">
        <v>4.8861016091</v>
      </c>
      <c r="J1037" s="1">
        <v>8.0301129235</v>
      </c>
      <c r="K1037" s="1">
        <v>21.109029745</v>
      </c>
      <c r="L1037" s="1">
        <v>34.6</v>
      </c>
      <c r="M1037" s="1">
        <v>7.5</v>
      </c>
      <c r="N1037" s="1">
        <v>30.1</v>
      </c>
      <c r="O1037" s="1">
        <v>8.4828566353</v>
      </c>
      <c r="P1037" s="1">
        <v>8.4802014191</v>
      </c>
      <c r="Q1037" s="1">
        <v>18.07501</v>
      </c>
      <c r="R1037" s="1">
        <v>95.6043956039999</v>
      </c>
      <c r="S1037" s="1">
        <v>26.1</v>
      </c>
      <c r="T1037" s="1">
        <v>2314.0</v>
      </c>
      <c r="U1037" s="1">
        <v>26.318063959</v>
      </c>
      <c r="V1037" s="1">
        <v>31.618410949</v>
      </c>
      <c r="W1037" s="1">
        <v>11.368653422</v>
      </c>
      <c r="X1037" s="1">
        <v>10.146561443</v>
      </c>
      <c r="Y1037" s="1">
        <v>75.851285085</v>
      </c>
      <c r="Z1037" s="1">
        <v>12.1</v>
      </c>
      <c r="AA1037" s="1">
        <v>5.8410630615</v>
      </c>
      <c r="AB1037" s="1">
        <v>36782.0</v>
      </c>
      <c r="AC1037" s="1">
        <v>60.133495146</v>
      </c>
      <c r="AD1037" s="1">
        <v>75.414240931</v>
      </c>
      <c r="AE1037" s="1">
        <v>12.16407355</v>
      </c>
      <c r="AF1037" s="1">
        <v>2.0092316047</v>
      </c>
      <c r="AG1037" s="1">
        <v>0.4253778622</v>
      </c>
      <c r="AH1037" s="1">
        <v>0.1991130419</v>
      </c>
      <c r="AI1037" s="1">
        <v>0.0181011856</v>
      </c>
      <c r="AJ1037" s="1">
        <v>1.8553715268</v>
      </c>
      <c r="AK1037" s="1">
        <v>94.361480677</v>
      </c>
      <c r="AL1037" s="1">
        <v>0.5375827974</v>
      </c>
      <c r="AM1037" s="1">
        <v>50.710471536</v>
      </c>
      <c r="AN1037" s="1">
        <v>100.0</v>
      </c>
      <c r="AO1037" s="1">
        <v>20974.0</v>
      </c>
      <c r="AP1037" s="1">
        <v>19.6</v>
      </c>
      <c r="AQ1037" s="1">
        <v>7.5</v>
      </c>
      <c r="AR1037" s="1">
        <v>23.0</v>
      </c>
      <c r="AS1037" s="1">
        <v>19.3</v>
      </c>
      <c r="AT1037" s="1">
        <v>21.5</v>
      </c>
      <c r="AU1037" s="1">
        <v>24.6</v>
      </c>
      <c r="AV1037" s="1">
        <v>5.5</v>
      </c>
      <c r="AW1037" s="1">
        <v>0.6</v>
      </c>
      <c r="AX1037" s="1">
        <v>0.5116</v>
      </c>
      <c r="AY1037" s="1">
        <v>18.6</v>
      </c>
      <c r="AZ1037" s="1">
        <v>16.3</v>
      </c>
      <c r="BA1037" s="1">
        <v>21.2</v>
      </c>
      <c r="BB1037" s="1">
        <v>2.64</v>
      </c>
      <c r="BC1037" s="1" t="s">
        <v>1761</v>
      </c>
      <c r="BD1037" s="1">
        <v>24.5</v>
      </c>
      <c r="BE1037" s="1">
        <v>37.8</v>
      </c>
      <c r="BF1037" s="1">
        <v>24.5</v>
      </c>
      <c r="BG1037" s="1">
        <v>13.2</v>
      </c>
      <c r="BH1037" s="1" t="s">
        <v>1828</v>
      </c>
    </row>
    <row r="1038">
      <c r="A1038" s="1">
        <v>21089.0</v>
      </c>
      <c r="B1038" s="2" t="str">
        <f>IFERROR(__xludf.DUMMYFUNCTION("TO_TEXT(A1038)"),"21089")</f>
        <v>21089</v>
      </c>
      <c r="C1038" s="1">
        <v>36255.0</v>
      </c>
      <c r="D1038" s="1">
        <v>344.451506596645</v>
      </c>
      <c r="E1038" s="1" t="s">
        <v>1829</v>
      </c>
      <c r="F1038" s="1" t="s">
        <v>1830</v>
      </c>
      <c r="G1038" s="1">
        <v>105.254293581752</v>
      </c>
      <c r="H1038" s="1">
        <v>24.559132288</v>
      </c>
      <c r="I1038" s="1">
        <v>4.9301628676</v>
      </c>
      <c r="J1038" s="1">
        <v>8.6311787072</v>
      </c>
      <c r="K1038" s="1">
        <v>20.242957151</v>
      </c>
      <c r="L1038" s="1">
        <v>40.4</v>
      </c>
      <c r="M1038" s="1">
        <v>7.2</v>
      </c>
      <c r="N1038" s="1">
        <v>32.8</v>
      </c>
      <c r="O1038" s="1">
        <v>73.614196695</v>
      </c>
      <c r="P1038" s="1">
        <v>5.2676812892</v>
      </c>
      <c r="Q1038" s="1">
        <v>64.7559</v>
      </c>
      <c r="R1038" s="1">
        <v>96.043956044</v>
      </c>
      <c r="S1038" s="1">
        <v>21.3</v>
      </c>
      <c r="T1038" s="1">
        <v>7649.0</v>
      </c>
      <c r="U1038" s="1">
        <v>32.030330762</v>
      </c>
      <c r="V1038" s="1">
        <v>48.383975227</v>
      </c>
      <c r="W1038" s="1">
        <v>12.771168649</v>
      </c>
      <c r="X1038" s="1">
        <v>10.791417517</v>
      </c>
      <c r="Y1038" s="1">
        <v>75.384153916</v>
      </c>
      <c r="Z1038" s="1">
        <v>18.0</v>
      </c>
      <c r="AA1038" s="1">
        <v>8.5294604547</v>
      </c>
      <c r="AB1038" s="1">
        <v>49457.0</v>
      </c>
      <c r="AC1038" s="1">
        <v>54.763823956</v>
      </c>
      <c r="AD1038" s="1">
        <v>77.057693676</v>
      </c>
      <c r="AE1038" s="1">
        <v>11.888216394</v>
      </c>
      <c r="AF1038" s="1">
        <v>0.7740728139</v>
      </c>
      <c r="AG1038" s="1">
        <v>0.3515935125</v>
      </c>
      <c r="AH1038" s="1">
        <v>0.6096177838</v>
      </c>
      <c r="AI1038" s="1">
        <v>0.0170125893</v>
      </c>
      <c r="AJ1038" s="1">
        <v>1.0859702847</v>
      </c>
      <c r="AK1038" s="1">
        <v>96.101281615</v>
      </c>
      <c r="AL1038" s="1">
        <v>0.0118133491</v>
      </c>
      <c r="AM1038" s="1">
        <v>51.378019735</v>
      </c>
      <c r="AN1038" s="1">
        <v>39.287455974</v>
      </c>
      <c r="AO1038" s="1">
        <v>24446.0</v>
      </c>
      <c r="AP1038" s="1">
        <v>17.6</v>
      </c>
      <c r="AQ1038" s="1">
        <v>9.5</v>
      </c>
      <c r="AR1038" s="1">
        <v>13.2</v>
      </c>
      <c r="AS1038" s="1">
        <v>19.0</v>
      </c>
      <c r="AT1038" s="1">
        <v>21.9</v>
      </c>
      <c r="AU1038" s="1">
        <v>19.1</v>
      </c>
      <c r="AV1038" s="1">
        <v>3.6</v>
      </c>
      <c r="AW1038" s="1">
        <v>0.1</v>
      </c>
      <c r="AX1038" s="1">
        <v>0.3728</v>
      </c>
      <c r="AY1038" s="1">
        <v>15.9</v>
      </c>
      <c r="AZ1038" s="1">
        <v>15.1</v>
      </c>
      <c r="BA1038" s="1">
        <v>21.9</v>
      </c>
      <c r="BB1038" s="1">
        <v>3.09</v>
      </c>
      <c r="BC1038" s="1" t="s">
        <v>1761</v>
      </c>
      <c r="BD1038" s="1">
        <v>11.0</v>
      </c>
      <c r="BE1038" s="1">
        <v>36.0</v>
      </c>
      <c r="BF1038" s="1">
        <v>35.9</v>
      </c>
      <c r="BG1038" s="1">
        <v>17.1</v>
      </c>
      <c r="BH1038" s="1" t="s">
        <v>1830</v>
      </c>
    </row>
    <row r="1039">
      <c r="A1039" s="1">
        <v>21091.0</v>
      </c>
      <c r="B1039" s="2" t="str">
        <f>IFERROR(__xludf.DUMMYFUNCTION("TO_TEXT(A1039)"),"21091")</f>
        <v>21091</v>
      </c>
      <c r="C1039" s="1">
        <v>8716.0</v>
      </c>
      <c r="D1039" s="1">
        <v>187.653472419124</v>
      </c>
      <c r="E1039" s="1" t="s">
        <v>917</v>
      </c>
      <c r="F1039" s="1" t="s">
        <v>1831</v>
      </c>
      <c r="G1039" s="1">
        <v>46.4473152968511</v>
      </c>
      <c r="H1039" s="1">
        <v>20.972998815</v>
      </c>
      <c r="I1039" s="1">
        <v>4.7825582516</v>
      </c>
      <c r="J1039" s="1">
        <v>7.2229140722</v>
      </c>
      <c r="K1039" s="1">
        <v>21.314185196</v>
      </c>
      <c r="L1039" s="1">
        <v>30.8</v>
      </c>
      <c r="M1039" s="1">
        <v>8.2</v>
      </c>
      <c r="N1039" s="1">
        <v>29.8</v>
      </c>
      <c r="O1039" s="1">
        <v>9.3636894337</v>
      </c>
      <c r="P1039" s="1">
        <v>4.7007379065</v>
      </c>
      <c r="Q1039" s="1">
        <v>48.31939</v>
      </c>
      <c r="R1039" s="1">
        <v>95.12195122</v>
      </c>
      <c r="S1039" s="1">
        <v>16.3</v>
      </c>
      <c r="T1039" s="1">
        <v>2227.0</v>
      </c>
      <c r="U1039" s="1">
        <v>26.897171082</v>
      </c>
      <c r="V1039" s="1">
        <v>51.593671176</v>
      </c>
      <c r="W1039" s="1">
        <v>6.4516129032</v>
      </c>
      <c r="X1039" s="1">
        <v>4.4167962675</v>
      </c>
      <c r="Y1039" s="1">
        <v>77.561932673</v>
      </c>
      <c r="Z1039" s="1">
        <v>16.0</v>
      </c>
      <c r="AA1039" s="1">
        <v>1.41311619069999</v>
      </c>
      <c r="AB1039" s="1">
        <v>56769.0</v>
      </c>
      <c r="AC1039" s="1">
        <v>55.0588235289999</v>
      </c>
      <c r="AD1039" s="1">
        <v>78.400484702</v>
      </c>
      <c r="AE1039" s="1">
        <v>6.25604643659999</v>
      </c>
      <c r="AF1039" s="1">
        <v>1.4272664992</v>
      </c>
      <c r="AG1039" s="1">
        <v>0.3539620918</v>
      </c>
      <c r="AH1039" s="1">
        <v>0.3197076958</v>
      </c>
      <c r="AI1039" s="1">
        <v>0.011418132</v>
      </c>
      <c r="AJ1039" s="1">
        <v>1.5871203471</v>
      </c>
      <c r="AK1039" s="1">
        <v>95.272893355</v>
      </c>
      <c r="AL1039" s="1">
        <v>0.7852760736</v>
      </c>
      <c r="AM1039" s="1">
        <v>48.686914821</v>
      </c>
      <c r="AN1039" s="1">
        <v>89.3053123179999</v>
      </c>
      <c r="AO1039" s="1">
        <v>22041.0</v>
      </c>
      <c r="AP1039" s="1">
        <v>17.1</v>
      </c>
      <c r="AQ1039" s="1">
        <v>6.6</v>
      </c>
      <c r="AR1039" s="1">
        <v>11.7</v>
      </c>
      <c r="AS1039" s="1">
        <v>16.2</v>
      </c>
      <c r="AT1039" s="1">
        <v>24.8</v>
      </c>
      <c r="AU1039" s="1">
        <v>19.8</v>
      </c>
      <c r="AV1039" s="1">
        <v>4.0</v>
      </c>
      <c r="AW1039" s="1">
        <v>0.7</v>
      </c>
      <c r="AX1039" s="1">
        <v>0.4553</v>
      </c>
      <c r="AY1039" s="1">
        <v>12.2</v>
      </c>
      <c r="AZ1039" s="1">
        <v>12.2</v>
      </c>
      <c r="BA1039" s="1">
        <v>17.5</v>
      </c>
      <c r="BB1039" s="1">
        <v>2.69</v>
      </c>
      <c r="BC1039" s="1" t="s">
        <v>1761</v>
      </c>
      <c r="BD1039" s="1">
        <v>14.6</v>
      </c>
      <c r="BE1039" s="1">
        <v>43.4</v>
      </c>
      <c r="BF1039" s="1">
        <v>30.6</v>
      </c>
      <c r="BG1039" s="1">
        <v>11.4</v>
      </c>
      <c r="BH1039" s="1" t="s">
        <v>1831</v>
      </c>
    </row>
    <row r="1040">
      <c r="A1040" s="1">
        <v>21093.0</v>
      </c>
      <c r="B1040" s="2" t="str">
        <f>IFERROR(__xludf.DUMMYFUNCTION("TO_TEXT(A1040)"),"21093")</f>
        <v>21093</v>
      </c>
      <c r="C1040" s="1">
        <v>107573.0</v>
      </c>
      <c r="D1040" s="1">
        <v>623.298015799526</v>
      </c>
      <c r="E1040" s="1" t="s">
        <v>1203</v>
      </c>
      <c r="F1040" s="1" t="s">
        <v>1832</v>
      </c>
      <c r="G1040" s="1">
        <v>172.586783967237</v>
      </c>
      <c r="H1040" s="1">
        <v>20.282132631</v>
      </c>
      <c r="I1040" s="1">
        <v>4.5379057313</v>
      </c>
      <c r="J1040" s="1">
        <v>7.5714285714</v>
      </c>
      <c r="K1040" s="1">
        <v>21.198974015</v>
      </c>
      <c r="L1040" s="1">
        <v>37.8</v>
      </c>
      <c r="M1040" s="1">
        <v>7.2</v>
      </c>
      <c r="N1040" s="1">
        <v>31.8</v>
      </c>
      <c r="O1040" s="1">
        <v>54.726509574</v>
      </c>
      <c r="P1040" s="1">
        <v>5.1110839979</v>
      </c>
      <c r="Q1040" s="1">
        <v>62.9216</v>
      </c>
      <c r="R1040" s="1">
        <v>94.249775382</v>
      </c>
      <c r="S1040" s="1">
        <v>17.7</v>
      </c>
      <c r="T1040" s="1">
        <v>26534.0</v>
      </c>
      <c r="U1040" s="1">
        <v>33.35720208</v>
      </c>
      <c r="V1040" s="1">
        <v>158.24257656</v>
      </c>
      <c r="W1040" s="1">
        <v>12.926768926</v>
      </c>
      <c r="X1040" s="1">
        <v>10.798650169</v>
      </c>
      <c r="Y1040" s="1">
        <v>77.357026839</v>
      </c>
      <c r="Z1040" s="1">
        <v>13.2</v>
      </c>
      <c r="AA1040" s="1">
        <v>9.8986642922</v>
      </c>
      <c r="AB1040" s="1">
        <v>52278.0</v>
      </c>
      <c r="AC1040" s="1">
        <v>57.8761778139999</v>
      </c>
      <c r="AD1040" s="1">
        <v>62.02232979</v>
      </c>
      <c r="AE1040" s="1">
        <v>11.052166225</v>
      </c>
      <c r="AF1040" s="1">
        <v>12.103555765</v>
      </c>
      <c r="AG1040" s="1">
        <v>0.464859183</v>
      </c>
      <c r="AH1040" s="1">
        <v>2.2635833122</v>
      </c>
      <c r="AI1040" s="1">
        <v>0.3271231288</v>
      </c>
      <c r="AJ1040" s="1">
        <v>6.0187031063</v>
      </c>
      <c r="AK1040" s="1">
        <v>75.634310776</v>
      </c>
      <c r="AL1040" s="1">
        <v>0.549396061</v>
      </c>
      <c r="AM1040" s="1">
        <v>50.189387075</v>
      </c>
      <c r="AN1040" s="1">
        <v>34.212595814</v>
      </c>
      <c r="AO1040" s="1">
        <v>25561.0</v>
      </c>
      <c r="AP1040" s="1">
        <v>14.3</v>
      </c>
      <c r="AQ1040" s="1">
        <v>7.6</v>
      </c>
      <c r="AR1040" s="1">
        <v>10.4</v>
      </c>
      <c r="AS1040" s="1">
        <v>12.3</v>
      </c>
      <c r="AT1040" s="1">
        <v>25.1</v>
      </c>
      <c r="AU1040" s="1">
        <v>17.3</v>
      </c>
      <c r="AV1040" s="1">
        <v>23.5</v>
      </c>
      <c r="AW1040" s="1">
        <v>0.9</v>
      </c>
      <c r="AX1040" s="1">
        <v>0.5995</v>
      </c>
      <c r="AY1040" s="1">
        <v>10.7</v>
      </c>
      <c r="AZ1040" s="1">
        <v>13.4</v>
      </c>
      <c r="BA1040" s="1">
        <v>16.8</v>
      </c>
      <c r="BB1040" s="1">
        <v>2.65</v>
      </c>
      <c r="BC1040" s="1" t="s">
        <v>1761</v>
      </c>
      <c r="BD1040" s="1">
        <v>9.5</v>
      </c>
      <c r="BE1040" s="1">
        <v>30.4</v>
      </c>
      <c r="BF1040" s="1">
        <v>38.1</v>
      </c>
      <c r="BG1040" s="1">
        <v>22.0</v>
      </c>
      <c r="BH1040" s="1" t="s">
        <v>1832</v>
      </c>
    </row>
    <row r="1041">
      <c r="A1041" s="1">
        <v>21095.0</v>
      </c>
      <c r="B1041" s="2" t="str">
        <f>IFERROR(__xludf.DUMMYFUNCTION("TO_TEXT(A1041)"),"21095")</f>
        <v>21095</v>
      </c>
      <c r="C1041" s="1">
        <v>28031.0</v>
      </c>
      <c r="D1041" s="1">
        <v>465.827216261594</v>
      </c>
      <c r="E1041" s="1" t="s">
        <v>1833</v>
      </c>
      <c r="F1041" s="1" t="s">
        <v>1834</v>
      </c>
      <c r="G1041" s="1">
        <v>60.1746721133157</v>
      </c>
      <c r="H1041" s="1">
        <v>28.197277842</v>
      </c>
      <c r="I1041" s="1">
        <v>5.7539154753</v>
      </c>
      <c r="J1041" s="1">
        <v>10.635696822</v>
      </c>
      <c r="K1041" s="1">
        <v>26.708551866</v>
      </c>
      <c r="L1041" s="1">
        <v>32.4</v>
      </c>
      <c r="M1041" s="1">
        <v>5.7</v>
      </c>
      <c r="N1041" s="1">
        <v>32.5</v>
      </c>
      <c r="O1041" s="1">
        <v>59.317576337</v>
      </c>
      <c r="P1041" s="1">
        <v>6.9479606188</v>
      </c>
      <c r="Q1041" s="1">
        <v>29.94797</v>
      </c>
      <c r="R1041" s="1">
        <v>95.774647887</v>
      </c>
      <c r="S1041" s="1">
        <v>43.6</v>
      </c>
      <c r="T1041" s="1">
        <v>6017.0</v>
      </c>
      <c r="U1041" s="1">
        <v>38.341366129</v>
      </c>
      <c r="V1041" s="1">
        <v>60.999677061</v>
      </c>
      <c r="W1041" s="1">
        <v>13.210848644</v>
      </c>
      <c r="X1041" s="1">
        <v>10.955183341</v>
      </c>
      <c r="Y1041" s="1">
        <v>70.495932785</v>
      </c>
      <c r="Z1041" s="1">
        <v>18.0</v>
      </c>
      <c r="AA1041" s="1">
        <v>11.5614696879999</v>
      </c>
      <c r="AB1041" s="1">
        <v>29521.0</v>
      </c>
      <c r="AC1041" s="1">
        <v>79.899916597</v>
      </c>
      <c r="AD1041" s="1">
        <v>68.1530366539999</v>
      </c>
      <c r="AE1041" s="1">
        <v>12.774491126</v>
      </c>
      <c r="AF1041" s="1">
        <v>2.0182513537</v>
      </c>
      <c r="AG1041" s="1">
        <v>0.2537013897</v>
      </c>
      <c r="AH1041" s="1">
        <v>0.4240978454</v>
      </c>
      <c r="AI1041" s="1">
        <v>0.0946646976</v>
      </c>
      <c r="AJ1041" s="1">
        <v>1.0337384982</v>
      </c>
      <c r="AK1041" s="1">
        <v>95.035783256</v>
      </c>
      <c r="AL1041" s="1">
        <v>0.1733648542</v>
      </c>
      <c r="AM1041" s="1">
        <v>51.99742512</v>
      </c>
      <c r="AN1041" s="1">
        <v>54.156704693</v>
      </c>
      <c r="AO1041" s="1">
        <v>16080.0</v>
      </c>
      <c r="AP1041" s="1">
        <v>32.4</v>
      </c>
      <c r="AQ1041" s="1">
        <v>10.3</v>
      </c>
      <c r="AR1041" s="1">
        <v>28.6</v>
      </c>
      <c r="AS1041" s="1">
        <v>16.4</v>
      </c>
      <c r="AT1041" s="1">
        <v>22.7</v>
      </c>
      <c r="AU1041" s="1">
        <v>32.9</v>
      </c>
      <c r="AV1041" s="1">
        <v>4.7</v>
      </c>
      <c r="AW1041" s="1">
        <v>0.0</v>
      </c>
      <c r="AX1041" s="1">
        <v>0.85</v>
      </c>
      <c r="AY1041" s="1">
        <v>31.1</v>
      </c>
      <c r="AZ1041" s="1">
        <v>24.8</v>
      </c>
      <c r="BA1041" s="1">
        <v>34.4</v>
      </c>
      <c r="BB1041" s="1">
        <v>2.83</v>
      </c>
      <c r="BC1041" s="1" t="s">
        <v>1761</v>
      </c>
      <c r="BD1041" s="1">
        <v>27.2</v>
      </c>
      <c r="BE1041" s="1">
        <v>34.6</v>
      </c>
      <c r="BF1041" s="1">
        <v>27.4</v>
      </c>
      <c r="BG1041" s="1">
        <v>10.8</v>
      </c>
      <c r="BH1041" s="1" t="s">
        <v>1834</v>
      </c>
    </row>
    <row r="1042">
      <c r="A1042" s="1">
        <v>21097.0</v>
      </c>
      <c r="B1042" s="2" t="str">
        <f>IFERROR(__xludf.DUMMYFUNCTION("TO_TEXT(A1042)"),"21097")</f>
        <v>21097</v>
      </c>
      <c r="C1042" s="1">
        <v>18629.0</v>
      </c>
      <c r="D1042" s="1">
        <v>306.364280211238</v>
      </c>
      <c r="E1042" s="1" t="s">
        <v>1349</v>
      </c>
      <c r="F1042" s="1" t="s">
        <v>1835</v>
      </c>
      <c r="G1042" s="1">
        <v>60.8066971356952</v>
      </c>
      <c r="H1042" s="1">
        <v>20.442257199</v>
      </c>
      <c r="I1042" s="1">
        <v>4.7079756068</v>
      </c>
      <c r="J1042" s="1">
        <v>8.2958199357</v>
      </c>
      <c r="K1042" s="1">
        <v>20.025317066</v>
      </c>
      <c r="L1042" s="1">
        <v>35.8</v>
      </c>
      <c r="M1042" s="1">
        <v>8.0</v>
      </c>
      <c r="N1042" s="1">
        <v>31.8</v>
      </c>
      <c r="O1042" s="1">
        <v>36.739891754</v>
      </c>
      <c r="P1042" s="1">
        <v>6.5204735106</v>
      </c>
      <c r="Q1042" s="1">
        <v>42.59624</v>
      </c>
      <c r="R1042" s="1">
        <v>93.607305936</v>
      </c>
      <c r="S1042" s="1">
        <v>21.7</v>
      </c>
      <c r="T1042" s="1">
        <v>4204.0</v>
      </c>
      <c r="U1042" s="1">
        <v>26.593720266</v>
      </c>
      <c r="V1042" s="1">
        <v>129.02532122</v>
      </c>
      <c r="W1042" s="1">
        <v>14.505956552</v>
      </c>
      <c r="X1042" s="1">
        <v>12.697274032</v>
      </c>
      <c r="Y1042" s="1">
        <v>74.459714033</v>
      </c>
      <c r="Z1042" s="1">
        <v>10.0</v>
      </c>
      <c r="AA1042" s="1">
        <v>1.7664213456</v>
      </c>
      <c r="AB1042" s="1">
        <v>51709.0</v>
      </c>
      <c r="AC1042" s="1">
        <v>59.685685002</v>
      </c>
      <c r="AD1042" s="1">
        <v>69.254441181</v>
      </c>
      <c r="AE1042" s="1">
        <v>12.123396281</v>
      </c>
      <c r="AF1042" s="1">
        <v>1.9118116945</v>
      </c>
      <c r="AG1042" s="1">
        <v>0.2982213228</v>
      </c>
      <c r="AH1042" s="1">
        <v>0.3781020343</v>
      </c>
      <c r="AI1042" s="1">
        <v>0.0692299499</v>
      </c>
      <c r="AJ1042" s="1">
        <v>2.5189051017</v>
      </c>
      <c r="AK1042" s="1">
        <v>93.423154756</v>
      </c>
      <c r="AL1042" s="1">
        <v>0.084932903</v>
      </c>
      <c r="AM1042" s="1">
        <v>50.857386303</v>
      </c>
      <c r="AN1042" s="1">
        <v>65.929109625</v>
      </c>
      <c r="AO1042" s="1">
        <v>22024.0</v>
      </c>
      <c r="AP1042" s="1">
        <v>19.0</v>
      </c>
      <c r="AQ1042" s="1">
        <v>6.9</v>
      </c>
      <c r="AR1042" s="1">
        <v>17.8</v>
      </c>
      <c r="AS1042" s="1">
        <v>17.0</v>
      </c>
      <c r="AT1042" s="1">
        <v>23.1</v>
      </c>
      <c r="AU1042" s="1">
        <v>18.1</v>
      </c>
      <c r="AV1042" s="1">
        <v>6.1</v>
      </c>
      <c r="AW1042" s="1">
        <v>0.6</v>
      </c>
      <c r="AX1042" s="1">
        <v>0.6329</v>
      </c>
      <c r="AY1042" s="1">
        <v>15.3</v>
      </c>
      <c r="AZ1042" s="1">
        <v>14.0</v>
      </c>
      <c r="BA1042" s="1">
        <v>18.1</v>
      </c>
      <c r="BB1042" s="1">
        <v>3.02</v>
      </c>
      <c r="BC1042" s="1" t="s">
        <v>1761</v>
      </c>
      <c r="BD1042" s="1">
        <v>17.9</v>
      </c>
      <c r="BE1042" s="1">
        <v>40.3</v>
      </c>
      <c r="BF1042" s="1">
        <v>27.1</v>
      </c>
      <c r="BG1042" s="1">
        <v>14.6</v>
      </c>
      <c r="BH1042" s="1" t="s">
        <v>1835</v>
      </c>
    </row>
    <row r="1043">
      <c r="A1043" s="1">
        <v>21099.0</v>
      </c>
      <c r="B1043" s="2" t="str">
        <f>IFERROR(__xludf.DUMMYFUNCTION("TO_TEXT(A1043)"),"21099")</f>
        <v>21099</v>
      </c>
      <c r="C1043" s="1">
        <v>18510.0</v>
      </c>
      <c r="D1043" s="1">
        <v>412.478317588454</v>
      </c>
      <c r="E1043" s="1" t="s">
        <v>923</v>
      </c>
      <c r="F1043" s="1" t="s">
        <v>1836</v>
      </c>
      <c r="G1043" s="1">
        <v>44.8750860608099</v>
      </c>
      <c r="H1043" s="1">
        <v>23.941255559</v>
      </c>
      <c r="I1043" s="1">
        <v>5.1596593917</v>
      </c>
      <c r="J1043" s="1">
        <v>7.8551532033</v>
      </c>
      <c r="K1043" s="1">
        <v>23.039425609</v>
      </c>
      <c r="L1043" s="1">
        <v>30.7</v>
      </c>
      <c r="M1043" s="1">
        <v>7.5</v>
      </c>
      <c r="N1043" s="1">
        <v>35.4</v>
      </c>
      <c r="O1043" s="1">
        <v>39.837353701</v>
      </c>
      <c r="P1043" s="1">
        <v>7.5676730869</v>
      </c>
      <c r="Q1043" s="1">
        <v>37.3194</v>
      </c>
      <c r="R1043" s="1">
        <v>93.852459016</v>
      </c>
      <c r="S1043" s="1">
        <v>28.5</v>
      </c>
      <c r="T1043" s="1">
        <v>4599.0</v>
      </c>
      <c r="U1043" s="1">
        <v>25.244618395</v>
      </c>
      <c r="V1043" s="1">
        <v>45.727196923</v>
      </c>
      <c r="W1043" s="1">
        <v>11.983750846</v>
      </c>
      <c r="X1043" s="1">
        <v>8.9841050449</v>
      </c>
      <c r="Y1043" s="1">
        <v>74.912859943</v>
      </c>
      <c r="Z1043" s="1">
        <v>7.5</v>
      </c>
      <c r="AA1043" s="1">
        <v>3.8802531115</v>
      </c>
      <c r="AB1043" s="1">
        <v>37038.0</v>
      </c>
      <c r="AC1043" s="1">
        <v>69.438285292</v>
      </c>
      <c r="AD1043" s="1">
        <v>73.4783203389999</v>
      </c>
      <c r="AE1043" s="1">
        <v>7.48937417559999</v>
      </c>
      <c r="AF1043" s="1">
        <v>4.538241828</v>
      </c>
      <c r="AG1043" s="1">
        <v>0.2485983286</v>
      </c>
      <c r="AH1043" s="1">
        <v>0.4654607003</v>
      </c>
      <c r="AI1043" s="1">
        <v>0.0476039353</v>
      </c>
      <c r="AJ1043" s="1">
        <v>1.9464720195</v>
      </c>
      <c r="AK1043" s="1">
        <v>91.2461652389999</v>
      </c>
      <c r="AL1043" s="1">
        <v>0.2191338446</v>
      </c>
      <c r="AM1043" s="1">
        <v>50.819845552</v>
      </c>
      <c r="AN1043" s="1">
        <v>87.186109127</v>
      </c>
      <c r="AO1043" s="1">
        <v>19566.0</v>
      </c>
      <c r="AP1043" s="1">
        <v>24.2</v>
      </c>
      <c r="AQ1043" s="1">
        <v>6.9</v>
      </c>
      <c r="AR1043" s="1">
        <v>25.4</v>
      </c>
      <c r="AS1043" s="1">
        <v>16.0</v>
      </c>
      <c r="AT1043" s="1">
        <v>24.3</v>
      </c>
      <c r="AU1043" s="1">
        <v>20.7</v>
      </c>
      <c r="AV1043" s="1">
        <v>8.2</v>
      </c>
      <c r="AW1043" s="1">
        <v>0.6</v>
      </c>
      <c r="AX1043" s="1">
        <v>0.7685</v>
      </c>
      <c r="AY1043" s="1">
        <v>20.1</v>
      </c>
      <c r="AZ1043" s="1">
        <v>16.2</v>
      </c>
      <c r="BA1043" s="1">
        <v>20.5</v>
      </c>
      <c r="BB1043" s="1">
        <v>2.63</v>
      </c>
      <c r="BC1043" s="1" t="s">
        <v>1761</v>
      </c>
      <c r="BD1043" s="1">
        <v>23.8</v>
      </c>
      <c r="BE1043" s="1">
        <v>40.3</v>
      </c>
      <c r="BF1043" s="1">
        <v>24.4</v>
      </c>
      <c r="BG1043" s="1">
        <v>11.4</v>
      </c>
      <c r="BH1043" s="1" t="s">
        <v>1836</v>
      </c>
    </row>
    <row r="1044">
      <c r="A1044" s="1">
        <v>21101.0</v>
      </c>
      <c r="B1044" s="2" t="str">
        <f>IFERROR(__xludf.DUMMYFUNCTION("TO_TEXT(A1044)"),"21101")</f>
        <v>21101</v>
      </c>
      <c r="C1044" s="1">
        <v>46362.0</v>
      </c>
      <c r="D1044" s="1">
        <v>436.481902092902</v>
      </c>
      <c r="E1044" s="1" t="s">
        <v>1205</v>
      </c>
      <c r="F1044" s="1" t="s">
        <v>1837</v>
      </c>
      <c r="G1044" s="1">
        <v>106.217462345397</v>
      </c>
      <c r="H1044" s="1">
        <v>21.121849128</v>
      </c>
      <c r="I1044" s="1">
        <v>4.8875329972</v>
      </c>
      <c r="J1044" s="1">
        <v>10.658865429</v>
      </c>
      <c r="K1044" s="1">
        <v>21.496579367</v>
      </c>
      <c r="L1044" s="1">
        <v>35.8</v>
      </c>
      <c r="M1044" s="1">
        <v>7.5</v>
      </c>
      <c r="N1044" s="1">
        <v>31.2</v>
      </c>
      <c r="O1044" s="1">
        <v>75.074594595</v>
      </c>
      <c r="P1044" s="1">
        <v>5.6356136498</v>
      </c>
      <c r="Q1044" s="1">
        <v>54.43303</v>
      </c>
      <c r="R1044" s="1">
        <v>96.304849885</v>
      </c>
      <c r="S1044" s="1">
        <v>21.6</v>
      </c>
      <c r="T1044" s="1">
        <v>10573.0</v>
      </c>
      <c r="U1044" s="1">
        <v>40.745294618</v>
      </c>
      <c r="V1044" s="1">
        <v>176.68605904</v>
      </c>
      <c r="W1044" s="1">
        <v>13.137721385</v>
      </c>
      <c r="X1044" s="1">
        <v>11.695095949</v>
      </c>
      <c r="Y1044" s="1">
        <v>75.682390052</v>
      </c>
      <c r="Z1044" s="1">
        <v>16.6</v>
      </c>
      <c r="AA1044" s="1">
        <v>3.6050389964</v>
      </c>
      <c r="AB1044" s="1">
        <v>51161.0</v>
      </c>
      <c r="AC1044" s="1">
        <v>59.422411499</v>
      </c>
      <c r="AD1044" s="1">
        <v>60.914502165</v>
      </c>
      <c r="AE1044" s="1">
        <v>11.291504594</v>
      </c>
      <c r="AF1044" s="1">
        <v>8.0695751354</v>
      </c>
      <c r="AG1044" s="1">
        <v>0.3312057204</v>
      </c>
      <c r="AH1044" s="1">
        <v>0.6053826413</v>
      </c>
      <c r="AI1044" s="1">
        <v>0.0987036915</v>
      </c>
      <c r="AJ1044" s="1">
        <v>2.7154482244</v>
      </c>
      <c r="AK1044" s="1">
        <v>86.359149832</v>
      </c>
      <c r="AL1044" s="1">
        <v>0.2607110721</v>
      </c>
      <c r="AM1044" s="1">
        <v>51.731701432</v>
      </c>
      <c r="AN1044" s="1">
        <v>38.198918919</v>
      </c>
      <c r="AO1044" s="1">
        <v>23752.0</v>
      </c>
      <c r="AP1044" s="1">
        <v>19.2</v>
      </c>
      <c r="AQ1044" s="1">
        <v>6.4</v>
      </c>
      <c r="AR1044" s="1">
        <v>13.7</v>
      </c>
      <c r="AS1044" s="1">
        <v>15.7</v>
      </c>
      <c r="AT1044" s="1">
        <v>23.3</v>
      </c>
      <c r="AU1044" s="1">
        <v>19.3</v>
      </c>
      <c r="AV1044" s="1">
        <v>13.0</v>
      </c>
      <c r="AW1044" s="1">
        <v>0.3</v>
      </c>
      <c r="AX1044" s="1">
        <v>0.6931</v>
      </c>
      <c r="AY1044" s="1">
        <v>16.3</v>
      </c>
      <c r="AZ1044" s="1">
        <v>15.8</v>
      </c>
      <c r="BA1044" s="1">
        <v>19.3</v>
      </c>
      <c r="BB1044" s="1">
        <v>2.61</v>
      </c>
      <c r="BC1044" s="1" t="s">
        <v>1761</v>
      </c>
      <c r="BD1044" s="1">
        <v>13.1</v>
      </c>
      <c r="BE1044" s="1">
        <v>36.0</v>
      </c>
      <c r="BF1044" s="1">
        <v>32.7</v>
      </c>
      <c r="BG1044" s="1">
        <v>18.2</v>
      </c>
      <c r="BH1044" s="1" t="s">
        <v>1837</v>
      </c>
    </row>
    <row r="1045">
      <c r="A1045" s="1">
        <v>21103.0</v>
      </c>
      <c r="B1045" s="2" t="str">
        <f>IFERROR(__xludf.DUMMYFUNCTION("TO_TEXT(A1045)"),"21103")</f>
        <v>21103</v>
      </c>
      <c r="C1045" s="1">
        <v>15528.0</v>
      </c>
      <c r="D1045" s="1">
        <v>286.275621723622</v>
      </c>
      <c r="E1045" s="1" t="s">
        <v>126</v>
      </c>
      <c r="F1045" s="1" t="s">
        <v>1838</v>
      </c>
      <c r="G1045" s="1">
        <v>54.2414331562998</v>
      </c>
      <c r="H1045" s="1">
        <v>21.32288306</v>
      </c>
      <c r="I1045" s="1">
        <v>4.8156132793</v>
      </c>
      <c r="J1045" s="1">
        <v>7.7173030057</v>
      </c>
      <c r="K1045" s="1">
        <v>20.7967868209999</v>
      </c>
      <c r="L1045" s="1">
        <v>28.7</v>
      </c>
      <c r="M1045" s="1">
        <v>8.1</v>
      </c>
      <c r="N1045" s="1">
        <v>24.0</v>
      </c>
      <c r="O1045" s="1">
        <v>32.29761287</v>
      </c>
      <c r="P1045" s="1">
        <v>7.0327333485</v>
      </c>
      <c r="Q1045" s="1">
        <v>49.98126</v>
      </c>
      <c r="R1045" s="1">
        <v>93.2126696829999</v>
      </c>
      <c r="S1045" s="1">
        <v>21.7</v>
      </c>
      <c r="T1045" s="1">
        <v>3732.0</v>
      </c>
      <c r="U1045" s="1">
        <v>40.594855305</v>
      </c>
      <c r="V1045" s="1">
        <v>30.456852792</v>
      </c>
      <c r="W1045" s="1">
        <v>13.5112593829999</v>
      </c>
      <c r="X1045" s="1">
        <v>12.003381234</v>
      </c>
      <c r="Y1045" s="1">
        <v>75.283776555</v>
      </c>
      <c r="Z1045" s="1">
        <v>10.4</v>
      </c>
      <c r="AA1045" s="1">
        <v>0.5289611094</v>
      </c>
      <c r="AB1045" s="1">
        <v>53405.0</v>
      </c>
      <c r="AC1045" s="1">
        <v>55.220949264</v>
      </c>
      <c r="AD1045" s="1">
        <v>69.5115852639999</v>
      </c>
      <c r="AE1045" s="1">
        <v>12.267916016</v>
      </c>
      <c r="AF1045" s="1">
        <v>2.8498696138</v>
      </c>
      <c r="AG1045" s="1">
        <v>0.3601142431</v>
      </c>
      <c r="AH1045" s="1">
        <v>0.3725319757</v>
      </c>
      <c r="AI1045" s="1">
        <v>0.0931329939</v>
      </c>
      <c r="AJ1045" s="1">
        <v>3.1975661244</v>
      </c>
      <c r="AK1045" s="1">
        <v>91.239289706</v>
      </c>
      <c r="AL1045" s="1">
        <v>0.1813906617</v>
      </c>
      <c r="AM1045" s="1">
        <v>50.521544766</v>
      </c>
      <c r="AN1045" s="1">
        <v>100.0</v>
      </c>
      <c r="AO1045" s="1">
        <v>22499.0</v>
      </c>
      <c r="AP1045" s="1">
        <v>17.3</v>
      </c>
      <c r="AQ1045" s="1">
        <v>6.4</v>
      </c>
      <c r="AR1045" s="1">
        <v>17.4</v>
      </c>
      <c r="AS1045" s="1">
        <v>15.8</v>
      </c>
      <c r="AT1045" s="1">
        <v>23.6</v>
      </c>
      <c r="AU1045" s="1">
        <v>17.0</v>
      </c>
      <c r="AV1045" s="1">
        <v>8.2</v>
      </c>
      <c r="AW1045" s="1">
        <v>0.2</v>
      </c>
      <c r="AX1045" s="1">
        <v>0.3929</v>
      </c>
      <c r="AY1045" s="1">
        <v>14.7</v>
      </c>
      <c r="AZ1045" s="1">
        <v>14.9</v>
      </c>
      <c r="BA1045" s="1">
        <v>20.1</v>
      </c>
      <c r="BB1045" s="1">
        <v>2.84</v>
      </c>
      <c r="BC1045" s="1" t="s">
        <v>1761</v>
      </c>
      <c r="BD1045" s="1">
        <v>14.9</v>
      </c>
      <c r="BE1045" s="1">
        <v>41.2</v>
      </c>
      <c r="BF1045" s="1">
        <v>30.8</v>
      </c>
      <c r="BG1045" s="1">
        <v>13.1</v>
      </c>
      <c r="BH1045" s="1" t="s">
        <v>1838</v>
      </c>
    </row>
    <row r="1046">
      <c r="A1046" s="1">
        <v>21105.0</v>
      </c>
      <c r="B1046" s="2" t="str">
        <f>IFERROR(__xludf.DUMMYFUNCTION("TO_TEXT(A1046)"),"21105")</f>
        <v>21105</v>
      </c>
      <c r="C1046" s="1">
        <v>4691.0</v>
      </c>
      <c r="D1046" s="1">
        <v>242.27436212345</v>
      </c>
      <c r="E1046" s="1" t="s">
        <v>1839</v>
      </c>
      <c r="F1046" s="1" t="s">
        <v>1840</v>
      </c>
      <c r="G1046" s="1">
        <v>19.3623458911831</v>
      </c>
      <c r="H1046" s="1">
        <v>25.045049469</v>
      </c>
      <c r="I1046" s="1">
        <v>5.2657247967</v>
      </c>
      <c r="J1046" s="1">
        <v>7.8291814947</v>
      </c>
      <c r="K1046" s="1">
        <v>22.4938045269999</v>
      </c>
      <c r="L1046" s="1">
        <v>29.6</v>
      </c>
      <c r="M1046" s="1">
        <v>8.0</v>
      </c>
      <c r="N1046" s="1">
        <v>35.4</v>
      </c>
      <c r="O1046" s="1">
        <v>13.157894737</v>
      </c>
      <c r="P1046" s="1">
        <v>6.84468999389999</v>
      </c>
      <c r="Q1046" s="1">
        <v>22.12389</v>
      </c>
      <c r="R1046" s="1">
        <v>97.826086957</v>
      </c>
      <c r="S1046" s="1">
        <v>27.8</v>
      </c>
      <c r="T1046" s="1">
        <v>874.0</v>
      </c>
      <c r="U1046" s="1">
        <v>29.5194508009999</v>
      </c>
      <c r="V1046" s="1">
        <v>97.045503558</v>
      </c>
      <c r="W1046" s="1">
        <v>11.5902964959999</v>
      </c>
      <c r="X1046" s="1">
        <v>8.3606557377</v>
      </c>
      <c r="Y1046" s="1">
        <v>77.175812455</v>
      </c>
      <c r="Z1046" s="1">
        <v>13.3</v>
      </c>
      <c r="AA1046" s="1">
        <v>0.0</v>
      </c>
      <c r="AB1046" s="1">
        <v>44290.0</v>
      </c>
      <c r="AC1046" s="1">
        <v>61.190168176</v>
      </c>
      <c r="AD1046" s="1">
        <v>80.916442049</v>
      </c>
      <c r="AE1046" s="1">
        <v>9.8073555166</v>
      </c>
      <c r="AF1046" s="1">
        <v>9.4548744628</v>
      </c>
      <c r="AG1046" s="1">
        <v>0.2714318028</v>
      </c>
      <c r="AH1046" s="1">
        <v>0.429767021</v>
      </c>
      <c r="AI1046" s="1">
        <v>0.0226193169</v>
      </c>
      <c r="AJ1046" s="1">
        <v>1.8774033024</v>
      </c>
      <c r="AK1046" s="1">
        <v>85.885546257</v>
      </c>
      <c r="AL1046" s="1">
        <v>0.2303086135</v>
      </c>
      <c r="AM1046" s="1">
        <v>52.861343587</v>
      </c>
      <c r="AN1046" s="1">
        <v>100.0</v>
      </c>
      <c r="AO1046" s="1">
        <v>18416.0</v>
      </c>
      <c r="AP1046" s="1">
        <v>16.8</v>
      </c>
      <c r="AQ1046" s="1">
        <v>7.2</v>
      </c>
      <c r="AR1046" s="1">
        <v>24.8</v>
      </c>
      <c r="AS1046" s="1">
        <v>23.4</v>
      </c>
      <c r="AT1046" s="1">
        <v>19.7</v>
      </c>
      <c r="AU1046" s="1">
        <v>23.8</v>
      </c>
      <c r="AV1046" s="1">
        <v>12.6</v>
      </c>
      <c r="AW1046" s="1">
        <v>0.0</v>
      </c>
      <c r="AX1046" s="1">
        <v>0.6406</v>
      </c>
      <c r="AY1046" s="1">
        <v>16.9</v>
      </c>
      <c r="AZ1046" s="1">
        <v>15.6</v>
      </c>
      <c r="BA1046" s="1">
        <v>20.6</v>
      </c>
      <c r="BB1046" s="1">
        <v>2.71</v>
      </c>
      <c r="BC1046" s="1" t="s">
        <v>1761</v>
      </c>
      <c r="BD1046" s="1">
        <v>19.9</v>
      </c>
      <c r="BE1046" s="1">
        <v>41.7</v>
      </c>
      <c r="BF1046" s="1">
        <v>22.6</v>
      </c>
      <c r="BG1046" s="1">
        <v>15.8</v>
      </c>
      <c r="BH1046" s="1" t="s">
        <v>1840</v>
      </c>
    </row>
    <row r="1047">
      <c r="A1047" s="1">
        <v>21107.0</v>
      </c>
      <c r="B1047" s="2" t="str">
        <f>IFERROR(__xludf.DUMMYFUNCTION("TO_TEXT(A1047)"),"21107")</f>
        <v>21107</v>
      </c>
      <c r="C1047" s="1">
        <v>46359.0</v>
      </c>
      <c r="D1047" s="1">
        <v>541.995794876582</v>
      </c>
      <c r="E1047" s="1" t="s">
        <v>1841</v>
      </c>
      <c r="F1047" s="1" t="s">
        <v>1842</v>
      </c>
      <c r="G1047" s="1">
        <v>85.5338739492553</v>
      </c>
      <c r="H1047" s="1">
        <v>20.421150048</v>
      </c>
      <c r="I1047" s="1">
        <v>4.8303146605</v>
      </c>
      <c r="J1047" s="1">
        <v>8.2826144483</v>
      </c>
      <c r="K1047" s="1">
        <v>20.444771194</v>
      </c>
      <c r="L1047" s="1">
        <v>35.9</v>
      </c>
      <c r="M1047" s="1">
        <v>7.2</v>
      </c>
      <c r="N1047" s="1">
        <v>33.1</v>
      </c>
      <c r="O1047" s="1">
        <v>52.97314578</v>
      </c>
      <c r="P1047" s="1">
        <v>6.6012196122</v>
      </c>
      <c r="Q1047" s="1">
        <v>118.55885</v>
      </c>
      <c r="R1047" s="1">
        <v>90.573770492</v>
      </c>
      <c r="S1047" s="1">
        <v>23.6</v>
      </c>
      <c r="T1047" s="1">
        <v>10239.0</v>
      </c>
      <c r="U1047" s="1">
        <v>34.407656998</v>
      </c>
      <c r="V1047" s="1">
        <v>118.68411683</v>
      </c>
      <c r="W1047" s="1">
        <v>11.552052188</v>
      </c>
      <c r="X1047" s="1">
        <v>10.38121547</v>
      </c>
      <c r="Y1047" s="1">
        <v>74.041077071</v>
      </c>
      <c r="Z1047" s="1">
        <v>14.8</v>
      </c>
      <c r="AA1047" s="1">
        <v>8.8699255922</v>
      </c>
      <c r="AB1047" s="1">
        <v>45512.0</v>
      </c>
      <c r="AC1047" s="1">
        <v>61.354528453</v>
      </c>
      <c r="AD1047" s="1">
        <v>69.067887931</v>
      </c>
      <c r="AE1047" s="1">
        <v>11.399976993</v>
      </c>
      <c r="AF1047" s="1">
        <v>6.6499511849</v>
      </c>
      <c r="AG1047" s="1">
        <v>0.2951096121</v>
      </c>
      <c r="AH1047" s="1">
        <v>0.705600426</v>
      </c>
      <c r="AI1047" s="1">
        <v>0.0687849472</v>
      </c>
      <c r="AJ1047" s="1">
        <v>2.2188692642</v>
      </c>
      <c r="AK1047" s="1">
        <v>88.175645691</v>
      </c>
      <c r="AL1047" s="1">
        <v>0.0977904026</v>
      </c>
      <c r="AM1047" s="1">
        <v>51.2381290489999</v>
      </c>
      <c r="AN1047" s="1">
        <v>47.124893436</v>
      </c>
      <c r="AO1047" s="1">
        <v>22672.0</v>
      </c>
      <c r="AP1047" s="1">
        <v>16.1</v>
      </c>
      <c r="AQ1047" s="1">
        <v>6.4</v>
      </c>
      <c r="AR1047" s="1">
        <v>14.5</v>
      </c>
      <c r="AS1047" s="1">
        <v>17.0</v>
      </c>
      <c r="AT1047" s="1">
        <v>23.1</v>
      </c>
      <c r="AU1047" s="1">
        <v>17.1</v>
      </c>
      <c r="AV1047" s="1">
        <v>11.1</v>
      </c>
      <c r="AW1047" s="1">
        <v>0.3</v>
      </c>
      <c r="AX1047" s="1">
        <v>0.4782</v>
      </c>
      <c r="AY1047" s="1">
        <v>18.1</v>
      </c>
      <c r="AZ1047" s="1">
        <v>14.7</v>
      </c>
      <c r="BA1047" s="1">
        <v>19.2</v>
      </c>
      <c r="BB1047" s="1">
        <v>2.76</v>
      </c>
      <c r="BC1047" s="1" t="s">
        <v>1761</v>
      </c>
      <c r="BD1047" s="1">
        <v>13.3</v>
      </c>
      <c r="BE1047" s="1">
        <v>40.4</v>
      </c>
      <c r="BF1047" s="1">
        <v>29.8</v>
      </c>
      <c r="BG1047" s="1">
        <v>16.5</v>
      </c>
      <c r="BH1047" s="1" t="s">
        <v>1842</v>
      </c>
    </row>
    <row r="1048">
      <c r="A1048" s="1">
        <v>21109.0</v>
      </c>
      <c r="B1048" s="2" t="str">
        <f>IFERROR(__xludf.DUMMYFUNCTION("TO_TEXT(A1048)"),"21109")</f>
        <v>21109</v>
      </c>
      <c r="C1048" s="1">
        <v>13357.0</v>
      </c>
      <c r="D1048" s="1">
        <v>345.196704692256</v>
      </c>
      <c r="E1048" s="1" t="s">
        <v>130</v>
      </c>
      <c r="F1048" s="1" t="s">
        <v>1843</v>
      </c>
      <c r="G1048" s="1">
        <v>38.6938803830928</v>
      </c>
      <c r="H1048" s="1">
        <v>26.470103621</v>
      </c>
      <c r="I1048" s="1">
        <v>5.4462660808</v>
      </c>
      <c r="J1048" s="1">
        <v>9.9653379549</v>
      </c>
      <c r="K1048" s="1">
        <v>26.508722819</v>
      </c>
      <c r="L1048" s="1">
        <v>43.5</v>
      </c>
      <c r="M1048" s="1">
        <v>7.1</v>
      </c>
      <c r="N1048" s="1">
        <v>36.9</v>
      </c>
      <c r="O1048" s="1">
        <v>72.135764043</v>
      </c>
      <c r="P1048" s="1">
        <v>7.0790816327</v>
      </c>
      <c r="Q1048" s="1">
        <v>22.33639</v>
      </c>
      <c r="R1048" s="1">
        <v>89.393939394</v>
      </c>
      <c r="S1048" s="1">
        <v>36.5</v>
      </c>
      <c r="T1048" s="1">
        <v>3024.0</v>
      </c>
      <c r="U1048" s="1">
        <v>26.554232804</v>
      </c>
      <c r="V1048" s="1">
        <v>37.398556416</v>
      </c>
      <c r="W1048" s="1">
        <v>17.3128945</v>
      </c>
      <c r="X1048" s="1">
        <v>13.903345725</v>
      </c>
      <c r="Y1048" s="1">
        <v>72.659379976</v>
      </c>
      <c r="Z1048" s="1">
        <v>17.5</v>
      </c>
      <c r="AA1048" s="1">
        <v>0.0967914594</v>
      </c>
      <c r="AB1048" s="1">
        <v>35317.0</v>
      </c>
      <c r="AC1048" s="1">
        <v>72.776280323</v>
      </c>
      <c r="AD1048" s="1">
        <v>73.41888176</v>
      </c>
      <c r="AE1048" s="1">
        <v>11.991786448</v>
      </c>
      <c r="AF1048" s="1">
        <v>0.3124535039</v>
      </c>
      <c r="AG1048" s="1">
        <v>0.2306204434</v>
      </c>
      <c r="AH1048" s="1">
        <v>0.1264692754</v>
      </c>
      <c r="AI1048" s="1">
        <v>0.0148787383</v>
      </c>
      <c r="AJ1048" s="1">
        <v>0.892724297</v>
      </c>
      <c r="AK1048" s="1">
        <v>97.887219164</v>
      </c>
      <c r="AL1048" s="1">
        <v>0.0</v>
      </c>
      <c r="AM1048" s="1">
        <v>50.290135397</v>
      </c>
      <c r="AN1048" s="1">
        <v>100.0</v>
      </c>
      <c r="AO1048" s="1">
        <v>16713.0</v>
      </c>
      <c r="AP1048" s="1">
        <v>33.1</v>
      </c>
      <c r="AQ1048" s="1">
        <v>12.8</v>
      </c>
      <c r="AR1048" s="1">
        <v>24.0</v>
      </c>
      <c r="AS1048" s="1">
        <v>15.4</v>
      </c>
      <c r="AT1048" s="1">
        <v>22.7</v>
      </c>
      <c r="AU1048" s="1">
        <v>31.0</v>
      </c>
      <c r="AV1048" s="1">
        <v>0.6</v>
      </c>
      <c r="AW1048" s="1">
        <v>0.0</v>
      </c>
      <c r="AX1048" s="1">
        <v>0.6638</v>
      </c>
      <c r="AY1048" s="1">
        <v>27.8</v>
      </c>
      <c r="AZ1048" s="1">
        <v>21.6</v>
      </c>
      <c r="BA1048" s="1">
        <v>29.7</v>
      </c>
      <c r="BB1048" s="1">
        <v>2.65</v>
      </c>
      <c r="BC1048" s="1" t="s">
        <v>1761</v>
      </c>
      <c r="BD1048" s="1">
        <v>25.4</v>
      </c>
      <c r="BE1048" s="1">
        <v>42.7</v>
      </c>
      <c r="BF1048" s="1">
        <v>18.1</v>
      </c>
      <c r="BG1048" s="1">
        <v>13.8</v>
      </c>
      <c r="BH1048" s="1" t="s">
        <v>1843</v>
      </c>
    </row>
    <row r="1049">
      <c r="A1049" s="1">
        <v>21111.0</v>
      </c>
      <c r="B1049" s="2" t="str">
        <f>IFERROR(__xludf.DUMMYFUNCTION("TO_TEXT(A1049)"),"21111")</f>
        <v>21111</v>
      </c>
      <c r="C1049" s="1">
        <v>759724.0</v>
      </c>
      <c r="D1049" s="1">
        <v>380.475579570464</v>
      </c>
      <c r="E1049" s="1" t="s">
        <v>132</v>
      </c>
      <c r="F1049" s="1" t="s">
        <v>1844</v>
      </c>
      <c r="G1049" s="1">
        <v>1996.77467042086</v>
      </c>
      <c r="H1049" s="1">
        <v>20.807404001</v>
      </c>
      <c r="I1049" s="1">
        <v>4.2532567196</v>
      </c>
      <c r="J1049" s="1">
        <v>9.1423633614</v>
      </c>
      <c r="K1049" s="1">
        <v>19.826956296</v>
      </c>
      <c r="L1049" s="1">
        <v>32.2</v>
      </c>
      <c r="M1049" s="1">
        <v>7.4</v>
      </c>
      <c r="N1049" s="1">
        <v>24.9</v>
      </c>
      <c r="O1049" s="1">
        <v>90.969860855</v>
      </c>
      <c r="P1049" s="1">
        <v>6.2713374837</v>
      </c>
      <c r="Q1049" s="1">
        <v>94.53316</v>
      </c>
      <c r="R1049" s="1">
        <v>88.201160542</v>
      </c>
      <c r="S1049" s="1">
        <v>22.4</v>
      </c>
      <c r="T1049" s="1">
        <v>169566.0</v>
      </c>
      <c r="U1049" s="1">
        <v>41.57378248</v>
      </c>
      <c r="V1049" s="1">
        <v>611.99606532</v>
      </c>
      <c r="W1049" s="1">
        <v>14.968342704</v>
      </c>
      <c r="X1049" s="1">
        <v>13.096345623</v>
      </c>
      <c r="Y1049" s="1">
        <v>75.801674444</v>
      </c>
      <c r="Z1049" s="1">
        <v>12.1</v>
      </c>
      <c r="AA1049" s="1">
        <v>4.3654523973</v>
      </c>
      <c r="AB1049" s="1">
        <v>55860.0</v>
      </c>
      <c r="AC1049" s="1">
        <v>63.46204228</v>
      </c>
      <c r="AD1049" s="1">
        <v>61.659007856</v>
      </c>
      <c r="AE1049" s="1">
        <v>12.7427116329999</v>
      </c>
      <c r="AF1049" s="1">
        <v>21.7707072</v>
      </c>
      <c r="AG1049" s="1">
        <v>0.1985679745</v>
      </c>
      <c r="AH1049" s="1">
        <v>3.0619700798</v>
      </c>
      <c r="AI1049" s="1">
        <v>0.0548982047</v>
      </c>
      <c r="AJ1049" s="1">
        <v>5.7117493839</v>
      </c>
      <c r="AK1049" s="1">
        <v>66.973992787</v>
      </c>
      <c r="AL1049" s="1">
        <v>2.095828391</v>
      </c>
      <c r="AM1049" s="1">
        <v>51.665310434</v>
      </c>
      <c r="AN1049" s="1">
        <v>1.3731014605</v>
      </c>
      <c r="AO1049" s="1">
        <v>29758.0</v>
      </c>
      <c r="AP1049" s="1">
        <v>16.0</v>
      </c>
      <c r="AQ1049" s="1">
        <v>7.2</v>
      </c>
      <c r="AR1049" s="1">
        <v>10.7</v>
      </c>
      <c r="AS1049" s="1">
        <v>14.5</v>
      </c>
      <c r="AT1049" s="1">
        <v>22.7</v>
      </c>
      <c r="AU1049" s="1">
        <v>14.5</v>
      </c>
      <c r="AV1049" s="1">
        <v>30.9</v>
      </c>
      <c r="AW1049" s="1">
        <v>1.9</v>
      </c>
      <c r="AX1049" s="1">
        <v>0.5559</v>
      </c>
      <c r="AY1049" s="1">
        <v>14.2</v>
      </c>
      <c r="AZ1049" s="1">
        <v>13.1</v>
      </c>
      <c r="BA1049" s="1">
        <v>16.1</v>
      </c>
      <c r="BB1049" s="1">
        <v>2.95</v>
      </c>
      <c r="BC1049" s="1" t="s">
        <v>1761</v>
      </c>
      <c r="BD1049" s="1">
        <v>9.4</v>
      </c>
      <c r="BE1049" s="1">
        <v>26.7</v>
      </c>
      <c r="BF1049" s="1">
        <v>30.5</v>
      </c>
      <c r="BG1049" s="1">
        <v>33.4</v>
      </c>
      <c r="BH1049" s="1" t="s">
        <v>1844</v>
      </c>
    </row>
    <row r="1050">
      <c r="A1050" s="1">
        <v>21113.0</v>
      </c>
      <c r="B1050" s="2" t="str">
        <f>IFERROR(__xludf.DUMMYFUNCTION("TO_TEXT(A1050)"),"21113")</f>
        <v>21113</v>
      </c>
      <c r="C1050" s="1">
        <v>51015.0</v>
      </c>
      <c r="D1050" s="1">
        <v>172.121604407383</v>
      </c>
      <c r="E1050" s="1" t="s">
        <v>1845</v>
      </c>
      <c r="F1050" s="1" t="s">
        <v>1846</v>
      </c>
      <c r="G1050" s="1">
        <v>296.38928927978</v>
      </c>
      <c r="H1050" s="1">
        <v>20.7956358609999</v>
      </c>
      <c r="I1050" s="1">
        <v>4.5902199312</v>
      </c>
      <c r="J1050" s="1">
        <v>8.62745098039999</v>
      </c>
      <c r="K1050" s="1">
        <v>20.240604802</v>
      </c>
      <c r="L1050" s="1">
        <v>33.6</v>
      </c>
      <c r="M1050" s="1">
        <v>7.7</v>
      </c>
      <c r="N1050" s="1">
        <v>29.2</v>
      </c>
      <c r="O1050" s="1">
        <v>79.251224633</v>
      </c>
      <c r="P1050" s="1">
        <v>7.5637284839</v>
      </c>
      <c r="Q1050" s="1">
        <v>73.06792</v>
      </c>
      <c r="R1050" s="1">
        <v>94.573643411</v>
      </c>
      <c r="S1050" s="1">
        <v>17.0</v>
      </c>
      <c r="T1050" s="1">
        <v>12707.0</v>
      </c>
      <c r="U1050" s="1">
        <v>36.271346502</v>
      </c>
      <c r="V1050" s="1">
        <v>146.3149939</v>
      </c>
      <c r="W1050" s="1">
        <v>13.260869565</v>
      </c>
      <c r="X1050" s="1">
        <v>11.101882614</v>
      </c>
      <c r="Y1050" s="1">
        <v>77.3499737039999</v>
      </c>
      <c r="Z1050" s="1">
        <v>12.2</v>
      </c>
      <c r="AA1050" s="1">
        <v>4.6657595442</v>
      </c>
      <c r="AB1050" s="1">
        <v>59443.0</v>
      </c>
      <c r="AC1050" s="1">
        <v>51.9841745589999</v>
      </c>
      <c r="AD1050" s="1">
        <v>62.952112076</v>
      </c>
      <c r="AE1050" s="1">
        <v>12.511717673</v>
      </c>
      <c r="AF1050" s="1">
        <v>4.2729970326</v>
      </c>
      <c r="AG1050" s="1">
        <v>0.3041543027</v>
      </c>
      <c r="AH1050" s="1">
        <v>1.3557121662</v>
      </c>
      <c r="AI1050" s="1">
        <v>0.0463649851999999</v>
      </c>
      <c r="AJ1050" s="1">
        <v>3.5274480712</v>
      </c>
      <c r="AK1050" s="1">
        <v>88.596068249</v>
      </c>
      <c r="AL1050" s="1">
        <v>1.5739512096</v>
      </c>
      <c r="AM1050" s="1">
        <v>51.259272997</v>
      </c>
      <c r="AN1050" s="1">
        <v>25.898406949</v>
      </c>
      <c r="AO1050" s="1">
        <v>27409.0</v>
      </c>
      <c r="AP1050" s="1">
        <v>18.7</v>
      </c>
      <c r="AQ1050" s="1">
        <v>8.0</v>
      </c>
      <c r="AR1050" s="1">
        <v>15.1</v>
      </c>
      <c r="AS1050" s="1">
        <v>13.5</v>
      </c>
      <c r="AT1050" s="1">
        <v>24.9</v>
      </c>
      <c r="AU1050" s="1">
        <v>15.7</v>
      </c>
      <c r="AV1050" s="1">
        <v>9.9</v>
      </c>
      <c r="AW1050" s="1">
        <v>1.6</v>
      </c>
      <c r="AX1050" s="1">
        <v>0.5769</v>
      </c>
      <c r="AY1050" s="1">
        <v>11.0</v>
      </c>
      <c r="AZ1050" s="1">
        <v>13.7</v>
      </c>
      <c r="BA1050" s="1">
        <v>17.3</v>
      </c>
      <c r="BB1050" s="1">
        <v>2.92</v>
      </c>
      <c r="BC1050" s="1" t="s">
        <v>1761</v>
      </c>
      <c r="BD1050" s="1">
        <v>12.7</v>
      </c>
      <c r="BE1050" s="1">
        <v>30.5</v>
      </c>
      <c r="BF1050" s="1">
        <v>27.3</v>
      </c>
      <c r="BG1050" s="1">
        <v>29.5</v>
      </c>
      <c r="BH1050" s="1" t="s">
        <v>1846</v>
      </c>
    </row>
    <row r="1051">
      <c r="A1051" s="1">
        <v>21115.0</v>
      </c>
      <c r="B1051" s="2" t="str">
        <f>IFERROR(__xludf.DUMMYFUNCTION("TO_TEXT(A1051)"),"21115")</f>
        <v>21115</v>
      </c>
      <c r="C1051" s="1">
        <v>23280.0</v>
      </c>
      <c r="D1051" s="1">
        <v>261.95788841569</v>
      </c>
      <c r="E1051" s="1" t="s">
        <v>347</v>
      </c>
      <c r="F1051" s="1" t="s">
        <v>1847</v>
      </c>
      <c r="G1051" s="1">
        <v>88.8692458959585</v>
      </c>
      <c r="H1051" s="1">
        <v>25.367412213</v>
      </c>
      <c r="I1051" s="1">
        <v>5.0437908801</v>
      </c>
      <c r="J1051" s="1">
        <v>10.082730093</v>
      </c>
      <c r="K1051" s="1">
        <v>22.006533135</v>
      </c>
      <c r="L1051" s="1">
        <v>43.6</v>
      </c>
      <c r="M1051" s="1">
        <v>6.8</v>
      </c>
      <c r="N1051" s="1">
        <v>36.0</v>
      </c>
      <c r="O1051" s="1">
        <v>72.071416338</v>
      </c>
      <c r="P1051" s="1">
        <v>6.35026366919999</v>
      </c>
      <c r="Q1051" s="1">
        <v>75.24121</v>
      </c>
      <c r="R1051" s="1">
        <v>95.792880259</v>
      </c>
      <c r="S1051" s="1">
        <v>29.0</v>
      </c>
      <c r="T1051" s="1">
        <v>5033.0</v>
      </c>
      <c r="U1051" s="1">
        <v>20.862308762</v>
      </c>
      <c r="V1051" s="1">
        <v>72.9551111489999</v>
      </c>
      <c r="W1051" s="1">
        <v>15.136054422</v>
      </c>
      <c r="X1051" s="1">
        <v>11.593533487</v>
      </c>
      <c r="Y1051" s="1">
        <v>72.13748486</v>
      </c>
      <c r="Z1051" s="1">
        <v>17.9</v>
      </c>
      <c r="AA1051" s="1">
        <v>7.83665113399999</v>
      </c>
      <c r="AB1051" s="1">
        <v>39381.0</v>
      </c>
      <c r="AC1051" s="1">
        <v>65.046559164</v>
      </c>
      <c r="AD1051" s="1">
        <v>72.324596543</v>
      </c>
      <c r="AE1051" s="1">
        <v>12.328937547</v>
      </c>
      <c r="AF1051" s="1">
        <v>0.4422406861</v>
      </c>
      <c r="AG1051" s="1">
        <v>0.1965514161</v>
      </c>
      <c r="AH1051" s="1">
        <v>0.4913785402</v>
      </c>
      <c r="AI1051" s="1">
        <v>0.0223353882</v>
      </c>
      <c r="AJ1051" s="1">
        <v>0.8889484499</v>
      </c>
      <c r="AK1051" s="1">
        <v>96.998123827</v>
      </c>
      <c r="AL1051" s="1">
        <v>0.4422924717</v>
      </c>
      <c r="AM1051" s="1">
        <v>50.991691236</v>
      </c>
      <c r="AN1051" s="1">
        <v>73.017640007</v>
      </c>
      <c r="AO1051" s="1">
        <v>18290.0</v>
      </c>
      <c r="AP1051" s="1">
        <v>26.2</v>
      </c>
      <c r="AQ1051" s="1">
        <v>10.2</v>
      </c>
      <c r="AR1051" s="1">
        <v>22.3</v>
      </c>
      <c r="AS1051" s="1">
        <v>16.3</v>
      </c>
      <c r="AT1051" s="1">
        <v>22.7</v>
      </c>
      <c r="AU1051" s="1">
        <v>30.7</v>
      </c>
      <c r="AV1051" s="1">
        <v>2.4</v>
      </c>
      <c r="AW1051" s="1">
        <v>0.1</v>
      </c>
      <c r="AX1051" s="1">
        <v>0.8147</v>
      </c>
      <c r="AY1051" s="1">
        <v>25.8</v>
      </c>
      <c r="AZ1051" s="1">
        <v>19.2</v>
      </c>
      <c r="BA1051" s="1">
        <v>24.3</v>
      </c>
      <c r="BB1051" s="1">
        <v>2.79</v>
      </c>
      <c r="BC1051" s="1" t="s">
        <v>1761</v>
      </c>
      <c r="BD1051" s="1">
        <v>19.4</v>
      </c>
      <c r="BE1051" s="1">
        <v>36.3</v>
      </c>
      <c r="BF1051" s="1">
        <v>28.0</v>
      </c>
      <c r="BG1051" s="1">
        <v>16.3</v>
      </c>
      <c r="BH1051" s="1" t="s">
        <v>1847</v>
      </c>
    </row>
    <row r="1052">
      <c r="A1052" s="1">
        <v>21117.0</v>
      </c>
      <c r="B1052" s="2" t="str">
        <f>IFERROR(__xludf.DUMMYFUNCTION("TO_TEXT(A1052)"),"21117")</f>
        <v>21117</v>
      </c>
      <c r="C1052" s="1">
        <v>163393.0</v>
      </c>
      <c r="D1052" s="1">
        <v>160.25188413579</v>
      </c>
      <c r="E1052" s="1" t="s">
        <v>1848</v>
      </c>
      <c r="F1052" s="1" t="s">
        <v>1849</v>
      </c>
      <c r="G1052" s="1">
        <v>1019.60111658686</v>
      </c>
      <c r="H1052" s="1">
        <v>15.9736822009999</v>
      </c>
      <c r="I1052" s="1">
        <v>4.2550260377</v>
      </c>
      <c r="J1052" s="1">
        <v>8.706928492</v>
      </c>
      <c r="K1052" s="1">
        <v>21.00643326</v>
      </c>
      <c r="L1052" s="1">
        <v>33.2</v>
      </c>
      <c r="M1052" s="1">
        <v>7.8</v>
      </c>
      <c r="N1052" s="1">
        <v>25.4</v>
      </c>
      <c r="O1052" s="1">
        <v>92.412346607</v>
      </c>
      <c r="P1052" s="1">
        <v>5.8115891717</v>
      </c>
      <c r="Q1052" s="1">
        <v>82.83001</v>
      </c>
      <c r="R1052" s="1">
        <v>91.994663109</v>
      </c>
      <c r="S1052" s="1">
        <v>14.1</v>
      </c>
      <c r="T1052" s="1">
        <v>38673.0</v>
      </c>
      <c r="U1052" s="1">
        <v>36.050991648</v>
      </c>
      <c r="V1052" s="1">
        <v>216.01805705</v>
      </c>
      <c r="W1052" s="1">
        <v>12.9173639329999</v>
      </c>
      <c r="X1052" s="1">
        <v>10.817478233</v>
      </c>
      <c r="Y1052" s="1">
        <v>76.01403526</v>
      </c>
      <c r="Z1052" s="1">
        <v>11.1</v>
      </c>
      <c r="AA1052" s="1">
        <v>6.4040456335</v>
      </c>
      <c r="AB1052" s="1">
        <v>64644.0</v>
      </c>
      <c r="AC1052" s="1">
        <v>53.827926414</v>
      </c>
      <c r="AD1052" s="1">
        <v>65.766815155</v>
      </c>
      <c r="AE1052" s="1">
        <v>10.295756675</v>
      </c>
      <c r="AF1052" s="1">
        <v>4.7196343292</v>
      </c>
      <c r="AG1052" s="1">
        <v>0.2420942963</v>
      </c>
      <c r="AH1052" s="1">
        <v>1.3531987161</v>
      </c>
      <c r="AI1052" s="1">
        <v>0.1511583791</v>
      </c>
      <c r="AJ1052" s="1">
        <v>3.3869112502</v>
      </c>
      <c r="AK1052" s="1">
        <v>88.332500256</v>
      </c>
      <c r="AL1052" s="1">
        <v>0.9253772166</v>
      </c>
      <c r="AM1052" s="1">
        <v>50.52423653</v>
      </c>
      <c r="AN1052" s="1">
        <v>6.9759579264</v>
      </c>
      <c r="AO1052" s="1">
        <v>28785.0</v>
      </c>
      <c r="AP1052" s="1">
        <v>13.6</v>
      </c>
      <c r="AQ1052" s="1">
        <v>6.5</v>
      </c>
      <c r="AR1052" s="1">
        <v>10.7</v>
      </c>
      <c r="AS1052" s="1">
        <v>12.7</v>
      </c>
      <c r="AT1052" s="1">
        <v>24.3</v>
      </c>
      <c r="AU1052" s="1">
        <v>14.0</v>
      </c>
      <c r="AV1052" s="1">
        <v>10.9</v>
      </c>
      <c r="AW1052" s="1">
        <v>0.8</v>
      </c>
      <c r="AX1052" s="1">
        <v>0.3878</v>
      </c>
      <c r="AY1052" s="1">
        <v>11.2</v>
      </c>
      <c r="AZ1052" s="1">
        <v>11.8</v>
      </c>
      <c r="BA1052" s="1">
        <v>14.2</v>
      </c>
      <c r="BB1052" s="1">
        <v>3.01</v>
      </c>
      <c r="BC1052" s="1" t="s">
        <v>1761</v>
      </c>
      <c r="BD1052" s="1">
        <v>10.1</v>
      </c>
      <c r="BE1052" s="1">
        <v>28.7</v>
      </c>
      <c r="BF1052" s="1">
        <v>29.5</v>
      </c>
      <c r="BG1052" s="1">
        <v>31.7</v>
      </c>
      <c r="BH1052" s="1" t="s">
        <v>1849</v>
      </c>
    </row>
    <row r="1053">
      <c r="A1053" s="1">
        <v>21119.0</v>
      </c>
      <c r="B1053" s="2" t="str">
        <f>IFERROR(__xludf.DUMMYFUNCTION("TO_TEXT(A1053)"),"21119")</f>
        <v>21119</v>
      </c>
      <c r="C1053" s="1">
        <v>15884.0</v>
      </c>
      <c r="D1053" s="1">
        <v>351.517886713142</v>
      </c>
      <c r="E1053" s="1" t="s">
        <v>1850</v>
      </c>
      <c r="F1053" s="1" t="s">
        <v>1851</v>
      </c>
      <c r="G1053" s="1">
        <v>45.1868897725885</v>
      </c>
      <c r="H1053" s="1">
        <v>28.611488954</v>
      </c>
      <c r="I1053" s="1">
        <v>5.5676528333</v>
      </c>
      <c r="J1053" s="1">
        <v>10.469011725</v>
      </c>
      <c r="K1053" s="1">
        <v>24.959567674</v>
      </c>
      <c r="L1053" s="1">
        <v>41.1</v>
      </c>
      <c r="M1053" s="1">
        <v>7.1</v>
      </c>
      <c r="N1053" s="1">
        <v>40.3</v>
      </c>
      <c r="O1053" s="1">
        <v>30.521228435</v>
      </c>
      <c r="P1053" s="1">
        <v>7.70536320429999</v>
      </c>
      <c r="Q1053" s="1">
        <v>32.69897</v>
      </c>
      <c r="R1053" s="1">
        <v>97.54601227</v>
      </c>
      <c r="S1053" s="1">
        <v>41.4</v>
      </c>
      <c r="T1053" s="1">
        <v>3129.0</v>
      </c>
      <c r="U1053" s="1">
        <v>35.922019815</v>
      </c>
      <c r="V1053" s="1">
        <v>19.878081103</v>
      </c>
      <c r="W1053" s="1">
        <v>10.634789777</v>
      </c>
      <c r="X1053" s="1">
        <v>7.3270708796</v>
      </c>
      <c r="Y1053" s="1">
        <v>71.484200451</v>
      </c>
      <c r="Z1053" s="1">
        <v>16.8</v>
      </c>
      <c r="AA1053" s="1">
        <v>0.4044550045</v>
      </c>
      <c r="AB1053" s="1">
        <v>32228.0</v>
      </c>
      <c r="AC1053" s="1">
        <v>77.9342723</v>
      </c>
      <c r="AD1053" s="1">
        <v>75.488342785</v>
      </c>
      <c r="AE1053" s="1">
        <v>9.643421746</v>
      </c>
      <c r="AF1053" s="1">
        <v>0.9321697739</v>
      </c>
      <c r="AG1053" s="1">
        <v>0.1652783287</v>
      </c>
      <c r="AH1053" s="1">
        <v>0.1388337961</v>
      </c>
      <c r="AI1053" s="1">
        <v>0.0264445326</v>
      </c>
      <c r="AJ1053" s="1">
        <v>1.0511701706</v>
      </c>
      <c r="AK1053" s="1">
        <v>96.872934021</v>
      </c>
      <c r="AL1053" s="1">
        <v>0.0885920676</v>
      </c>
      <c r="AM1053" s="1">
        <v>50.595001983</v>
      </c>
      <c r="AN1053" s="1">
        <v>100.0</v>
      </c>
      <c r="AO1053" s="1">
        <v>17761.0</v>
      </c>
      <c r="AP1053" s="1">
        <v>31.6</v>
      </c>
      <c r="AQ1053" s="1">
        <v>14.8</v>
      </c>
      <c r="AR1053" s="1">
        <v>28.3</v>
      </c>
      <c r="AS1053" s="1">
        <v>15.5</v>
      </c>
      <c r="AT1053" s="1">
        <v>20.9</v>
      </c>
      <c r="AU1053" s="1">
        <v>31.5</v>
      </c>
      <c r="AV1053" s="1">
        <v>2.6</v>
      </c>
      <c r="AW1053" s="1">
        <v>0.1</v>
      </c>
      <c r="AX1053" s="1">
        <v>0.8755</v>
      </c>
      <c r="AY1053" s="1">
        <v>30.5</v>
      </c>
      <c r="AZ1053" s="1">
        <v>23.1</v>
      </c>
      <c r="BA1053" s="1">
        <v>34.2</v>
      </c>
      <c r="BB1053" s="1">
        <v>2.88</v>
      </c>
      <c r="BC1053" s="1" t="s">
        <v>1761</v>
      </c>
      <c r="BD1053" s="1">
        <v>24.9</v>
      </c>
      <c r="BE1053" s="1">
        <v>33.7</v>
      </c>
      <c r="BF1053" s="1">
        <v>26.5</v>
      </c>
      <c r="BG1053" s="1">
        <v>14.9</v>
      </c>
      <c r="BH1053" s="1" t="s">
        <v>1851</v>
      </c>
    </row>
    <row r="1054">
      <c r="A1054" s="1">
        <v>21121.0</v>
      </c>
      <c r="B1054" s="2" t="str">
        <f>IFERROR(__xludf.DUMMYFUNCTION("TO_TEXT(A1054)"),"21121")</f>
        <v>21121</v>
      </c>
      <c r="C1054" s="1">
        <v>31740.0</v>
      </c>
      <c r="D1054" s="1">
        <v>386.298463755578</v>
      </c>
      <c r="E1054" s="1" t="s">
        <v>1224</v>
      </c>
      <c r="F1054" s="1" t="s">
        <v>1852</v>
      </c>
      <c r="G1054" s="1">
        <v>82.1644479023422</v>
      </c>
      <c r="H1054" s="1">
        <v>29.55367589</v>
      </c>
      <c r="I1054" s="1">
        <v>5.6333571944</v>
      </c>
      <c r="J1054" s="1">
        <v>10.793650794</v>
      </c>
      <c r="K1054" s="1">
        <v>28.05771658</v>
      </c>
      <c r="L1054" s="1">
        <v>39.4</v>
      </c>
      <c r="M1054" s="1">
        <v>6.3</v>
      </c>
      <c r="N1054" s="1">
        <v>34.0</v>
      </c>
      <c r="O1054" s="1">
        <v>45.187090299</v>
      </c>
      <c r="P1054" s="1">
        <v>6.8629798101</v>
      </c>
      <c r="Q1054" s="1">
        <v>22.4165</v>
      </c>
      <c r="R1054" s="1">
        <v>95.384615385</v>
      </c>
      <c r="S1054" s="1">
        <v>44.5</v>
      </c>
      <c r="T1054" s="1">
        <v>7288.0</v>
      </c>
      <c r="U1054" s="1">
        <v>36.306256861</v>
      </c>
      <c r="V1054" s="1">
        <v>66.151108031</v>
      </c>
      <c r="W1054" s="1">
        <v>13.538710985</v>
      </c>
      <c r="X1054" s="1">
        <v>11.590524535</v>
      </c>
      <c r="Y1054" s="1">
        <v>72.508488769</v>
      </c>
      <c r="Z1054" s="1">
        <v>12.5</v>
      </c>
      <c r="AA1054" s="1">
        <v>5.7057627436</v>
      </c>
      <c r="AB1054" s="1">
        <v>30742.0</v>
      </c>
      <c r="AC1054" s="1">
        <v>77.080152672</v>
      </c>
      <c r="AD1054" s="1">
        <v>63.863080685</v>
      </c>
      <c r="AE1054" s="1">
        <v>12.955428149</v>
      </c>
      <c r="AF1054" s="1">
        <v>1.2139023767</v>
      </c>
      <c r="AG1054" s="1">
        <v>0.2747252747</v>
      </c>
      <c r="AH1054" s="1">
        <v>0.3354203936</v>
      </c>
      <c r="AI1054" s="1">
        <v>0.0383337593</v>
      </c>
      <c r="AJ1054" s="1">
        <v>1.2682085357</v>
      </c>
      <c r="AK1054" s="1">
        <v>95.741758242</v>
      </c>
      <c r="AL1054" s="1">
        <v>0.1493297132</v>
      </c>
      <c r="AM1054" s="1">
        <v>51.009455661</v>
      </c>
      <c r="AN1054" s="1">
        <v>62.9238151989999</v>
      </c>
      <c r="AO1054" s="1">
        <v>15479.0</v>
      </c>
      <c r="AP1054" s="1">
        <v>34.4</v>
      </c>
      <c r="AQ1054" s="1">
        <v>13.3</v>
      </c>
      <c r="AR1054" s="1">
        <v>30.0</v>
      </c>
      <c r="AS1054" s="1">
        <v>16.9</v>
      </c>
      <c r="AT1054" s="1">
        <v>23.6</v>
      </c>
      <c r="AU1054" s="1">
        <v>17.6</v>
      </c>
      <c r="AV1054" s="1">
        <v>3.9</v>
      </c>
      <c r="AW1054" s="1">
        <v>0.1</v>
      </c>
      <c r="AX1054" s="1">
        <v>0.8806</v>
      </c>
      <c r="AY1054" s="1">
        <v>31.5</v>
      </c>
      <c r="AZ1054" s="1">
        <v>20.0</v>
      </c>
      <c r="BA1054" s="1">
        <v>27.3</v>
      </c>
      <c r="BB1054" s="1">
        <v>2.63</v>
      </c>
      <c r="BC1054" s="1" t="s">
        <v>1761</v>
      </c>
      <c r="BD1054" s="1">
        <v>26.5</v>
      </c>
      <c r="BE1054" s="1">
        <v>38.0</v>
      </c>
      <c r="BF1054" s="1">
        <v>21.3</v>
      </c>
      <c r="BG1054" s="1">
        <v>14.2</v>
      </c>
      <c r="BH1054" s="1" t="s">
        <v>1852</v>
      </c>
    </row>
    <row r="1055">
      <c r="A1055" s="1">
        <v>21123.0</v>
      </c>
      <c r="B1055" s="2" t="str">
        <f>IFERROR(__xludf.DUMMYFUNCTION("TO_TEXT(A1055)"),"21123")</f>
        <v>21123</v>
      </c>
      <c r="C1055" s="1">
        <v>14127.0</v>
      </c>
      <c r="D1055" s="1">
        <v>261.532382003876</v>
      </c>
      <c r="E1055" s="1" t="s">
        <v>1853</v>
      </c>
      <c r="F1055" s="1" t="s">
        <v>1854</v>
      </c>
      <c r="G1055" s="1">
        <v>54.0162556229486</v>
      </c>
      <c r="H1055" s="1">
        <v>21.9344113459999</v>
      </c>
      <c r="I1055" s="1">
        <v>4.7225078103</v>
      </c>
      <c r="J1055" s="1">
        <v>8.6222222222</v>
      </c>
      <c r="K1055" s="1">
        <v>21.336173044</v>
      </c>
      <c r="L1055" s="1">
        <v>36.1</v>
      </c>
      <c r="M1055" s="1">
        <v>8.2</v>
      </c>
      <c r="N1055" s="1">
        <v>31.1</v>
      </c>
      <c r="O1055" s="1">
        <v>55.2807722119999</v>
      </c>
      <c r="P1055" s="1">
        <v>6.9197207679</v>
      </c>
      <c r="Q1055" s="1">
        <v>7.03977</v>
      </c>
      <c r="R1055" s="1">
        <v>98.9189189189999</v>
      </c>
      <c r="S1055" s="1">
        <v>22.2</v>
      </c>
      <c r="T1055" s="1">
        <v>3016.0</v>
      </c>
      <c r="U1055" s="1">
        <v>30.50397878</v>
      </c>
      <c r="V1055" s="1">
        <v>56.565085201</v>
      </c>
      <c r="W1055" s="1">
        <v>13.85597083</v>
      </c>
      <c r="X1055" s="1">
        <v>11.23388582</v>
      </c>
      <c r="Y1055" s="1">
        <v>76.261436437</v>
      </c>
      <c r="Z1055" s="1">
        <v>10.2</v>
      </c>
      <c r="AA1055" s="1">
        <v>0.5173960179</v>
      </c>
      <c r="AB1055" s="1">
        <v>45458.0</v>
      </c>
      <c r="AC1055" s="1">
        <v>59.423318011</v>
      </c>
      <c r="AD1055" s="1">
        <v>73.523169438</v>
      </c>
      <c r="AE1055" s="1">
        <v>10.723466765</v>
      </c>
      <c r="AF1055" s="1">
        <v>2.970573845</v>
      </c>
      <c r="AG1055" s="1">
        <v>0.3564688614</v>
      </c>
      <c r="AH1055" s="1">
        <v>0.3355001048</v>
      </c>
      <c r="AI1055" s="1">
        <v>0.1397917104</v>
      </c>
      <c r="AJ1055" s="1">
        <v>3.2431676802</v>
      </c>
      <c r="AK1055" s="1">
        <v>91.3259243729999</v>
      </c>
      <c r="AL1055" s="1">
        <v>0.5738987851</v>
      </c>
      <c r="AM1055" s="1">
        <v>50.359963654</v>
      </c>
      <c r="AN1055" s="1">
        <v>75.952934545</v>
      </c>
      <c r="AO1055" s="1">
        <v>21204.0</v>
      </c>
      <c r="AP1055" s="1">
        <v>16.4</v>
      </c>
      <c r="AQ1055" s="1">
        <v>7.7</v>
      </c>
      <c r="AR1055" s="1">
        <v>15.9</v>
      </c>
      <c r="AS1055" s="1">
        <v>17.1</v>
      </c>
      <c r="AT1055" s="1">
        <v>22.1</v>
      </c>
      <c r="AU1055" s="1">
        <v>20.6</v>
      </c>
      <c r="AV1055" s="1">
        <v>8.2</v>
      </c>
      <c r="AW1055" s="1">
        <v>0.5</v>
      </c>
      <c r="AX1055" s="1">
        <v>0.5613</v>
      </c>
      <c r="AY1055" s="1">
        <v>15.4</v>
      </c>
      <c r="AZ1055" s="1">
        <v>14.2</v>
      </c>
      <c r="BA1055" s="1">
        <v>18.6</v>
      </c>
      <c r="BB1055" s="1">
        <v>2.66</v>
      </c>
      <c r="BC1055" s="1" t="s">
        <v>1761</v>
      </c>
      <c r="BD1055" s="1">
        <v>16.0</v>
      </c>
      <c r="BE1055" s="1">
        <v>39.2</v>
      </c>
      <c r="BF1055" s="1">
        <v>32.4</v>
      </c>
      <c r="BG1055" s="1">
        <v>12.4</v>
      </c>
      <c r="BH1055" s="1" t="s">
        <v>1854</v>
      </c>
    </row>
    <row r="1056">
      <c r="A1056" s="1">
        <v>21125.0</v>
      </c>
      <c r="B1056" s="2" t="str">
        <f>IFERROR(__xludf.DUMMYFUNCTION("TO_TEXT(A1056)"),"21125")</f>
        <v>21125</v>
      </c>
      <c r="C1056" s="1">
        <v>59950.0</v>
      </c>
      <c r="D1056" s="1">
        <v>433.957795403184</v>
      </c>
      <c r="E1056" s="1" t="s">
        <v>1855</v>
      </c>
      <c r="F1056" s="1" t="s">
        <v>1856</v>
      </c>
      <c r="G1056" s="1">
        <v>138.14707475021</v>
      </c>
      <c r="H1056" s="1">
        <v>22.694861545</v>
      </c>
      <c r="I1056" s="1">
        <v>4.86441546279999</v>
      </c>
      <c r="J1056" s="1">
        <v>8.5217391304</v>
      </c>
      <c r="K1056" s="1">
        <v>21.452020182</v>
      </c>
      <c r="L1056" s="1">
        <v>39.1</v>
      </c>
      <c r="M1056" s="1">
        <v>7.3</v>
      </c>
      <c r="N1056" s="1">
        <v>34.7</v>
      </c>
      <c r="O1056" s="1">
        <v>57.406243097</v>
      </c>
      <c r="P1056" s="1">
        <v>6.9028649606</v>
      </c>
      <c r="Q1056" s="1">
        <v>41.54618</v>
      </c>
      <c r="R1056" s="1">
        <v>92.0664206639999</v>
      </c>
      <c r="S1056" s="1">
        <v>29.4</v>
      </c>
      <c r="T1056" s="1">
        <v>13737.0</v>
      </c>
      <c r="U1056" s="1">
        <v>36.441726723</v>
      </c>
      <c r="V1056" s="1">
        <v>90.803065645</v>
      </c>
      <c r="W1056" s="1">
        <v>14.958749457</v>
      </c>
      <c r="X1056" s="1">
        <v>12.288135593</v>
      </c>
      <c r="Y1056" s="1">
        <v>74.719832977</v>
      </c>
      <c r="Z1056" s="1">
        <v>15.8</v>
      </c>
      <c r="AA1056" s="1">
        <v>4.4506582257</v>
      </c>
      <c r="AB1056" s="1">
        <v>41425.0</v>
      </c>
      <c r="AC1056" s="1">
        <v>69.2773557789999</v>
      </c>
      <c r="AD1056" s="1">
        <v>69.733890477</v>
      </c>
      <c r="AE1056" s="1">
        <v>12.710990248</v>
      </c>
      <c r="AF1056" s="1">
        <v>0.7104122369</v>
      </c>
      <c r="AG1056" s="1">
        <v>0.3659199921</v>
      </c>
      <c r="AH1056" s="1">
        <v>0.6477772833</v>
      </c>
      <c r="AI1056" s="1">
        <v>0.026372612</v>
      </c>
      <c r="AJ1056" s="1">
        <v>1.5675221283</v>
      </c>
      <c r="AK1056" s="1">
        <v>95.67983649</v>
      </c>
      <c r="AL1056" s="1">
        <v>0.0813540138</v>
      </c>
      <c r="AM1056" s="1">
        <v>51.00463169</v>
      </c>
      <c r="AN1056" s="1">
        <v>56.842087376</v>
      </c>
      <c r="AO1056" s="1">
        <v>19383.0</v>
      </c>
      <c r="AP1056" s="1">
        <v>22.8</v>
      </c>
      <c r="AQ1056" s="1">
        <v>9.9</v>
      </c>
      <c r="AR1056" s="1">
        <v>22.2</v>
      </c>
      <c r="AS1056" s="1">
        <v>14.9</v>
      </c>
      <c r="AT1056" s="1">
        <v>23.8</v>
      </c>
      <c r="AU1056" s="1">
        <v>18.0</v>
      </c>
      <c r="AV1056" s="1">
        <v>4.0</v>
      </c>
      <c r="AW1056" s="1">
        <v>0.2</v>
      </c>
      <c r="AX1056" s="1">
        <v>0.7456</v>
      </c>
      <c r="AY1056" s="1">
        <v>21.4</v>
      </c>
      <c r="AZ1056" s="1">
        <v>16.9</v>
      </c>
      <c r="BA1056" s="1">
        <v>23.8</v>
      </c>
      <c r="BB1056" s="1">
        <v>2.55</v>
      </c>
      <c r="BC1056" s="1" t="s">
        <v>1761</v>
      </c>
      <c r="BD1056" s="1">
        <v>18.9</v>
      </c>
      <c r="BE1056" s="1">
        <v>39.1</v>
      </c>
      <c r="BF1056" s="1">
        <v>27.5</v>
      </c>
      <c r="BG1056" s="1">
        <v>14.4</v>
      </c>
      <c r="BH1056" s="1" t="s">
        <v>1856</v>
      </c>
    </row>
    <row r="1057">
      <c r="A1057" s="1">
        <v>21127.0</v>
      </c>
      <c r="B1057" s="2" t="str">
        <f>IFERROR(__xludf.DUMMYFUNCTION("TO_TEXT(A1057)"),"21127")</f>
        <v>21127</v>
      </c>
      <c r="C1057" s="1">
        <v>15870.0</v>
      </c>
      <c r="D1057" s="1">
        <v>415.59483563475</v>
      </c>
      <c r="E1057" s="1" t="s">
        <v>138</v>
      </c>
      <c r="F1057" s="1" t="s">
        <v>1857</v>
      </c>
      <c r="G1057" s="1">
        <v>38.1862300472557</v>
      </c>
      <c r="H1057" s="1">
        <v>26.95010764</v>
      </c>
      <c r="I1057" s="1">
        <v>5.2131606348</v>
      </c>
      <c r="J1057" s="1">
        <v>10.9351432879999</v>
      </c>
      <c r="K1057" s="1">
        <v>22.9724708169999</v>
      </c>
      <c r="L1057" s="1">
        <v>39.7</v>
      </c>
      <c r="M1057" s="1">
        <v>6.7</v>
      </c>
      <c r="N1057" s="1">
        <v>32.9</v>
      </c>
      <c r="O1057" s="1">
        <v>49.880201765</v>
      </c>
      <c r="P1057" s="1">
        <v>6.8346162818</v>
      </c>
      <c r="Q1057" s="1">
        <v>38.17037</v>
      </c>
      <c r="R1057" s="1">
        <v>92.253521127</v>
      </c>
      <c r="S1057" s="1">
        <v>31.1</v>
      </c>
      <c r="T1057" s="1">
        <v>3714.0</v>
      </c>
      <c r="U1057" s="1">
        <v>24.555735057</v>
      </c>
      <c r="V1057" s="1">
        <v>60.181812423</v>
      </c>
      <c r="W1057" s="1">
        <v>11.400651466</v>
      </c>
      <c r="X1057" s="1">
        <v>8.7809036658</v>
      </c>
      <c r="Y1057" s="1">
        <v>72.236334345</v>
      </c>
      <c r="Z1057" s="1">
        <v>19.8</v>
      </c>
      <c r="AA1057" s="1">
        <v>9.00596870539999</v>
      </c>
      <c r="AB1057" s="1">
        <v>36667.0</v>
      </c>
      <c r="AC1057" s="1">
        <v>68.650947043</v>
      </c>
      <c r="AD1057" s="1">
        <v>75.218267293</v>
      </c>
      <c r="AE1057" s="1">
        <v>12.509349289</v>
      </c>
      <c r="AF1057" s="1">
        <v>0.3853317064</v>
      </c>
      <c r="AG1057" s="1">
        <v>0.1733992679</v>
      </c>
      <c r="AH1057" s="1">
        <v>0.30184317</v>
      </c>
      <c r="AI1057" s="1">
        <v>0.0449553657</v>
      </c>
      <c r="AJ1057" s="1">
        <v>1.3358165821</v>
      </c>
      <c r="AK1057" s="1">
        <v>96.2815490329999</v>
      </c>
      <c r="AL1057" s="1">
        <v>0.6160303276</v>
      </c>
      <c r="AM1057" s="1">
        <v>50.176610365</v>
      </c>
      <c r="AN1057" s="1">
        <v>77.10592686</v>
      </c>
      <c r="AO1057" s="1">
        <v>18410.0</v>
      </c>
      <c r="AP1057" s="1">
        <v>22.4</v>
      </c>
      <c r="AQ1057" s="1">
        <v>8.8</v>
      </c>
      <c r="AR1057" s="1">
        <v>22.3</v>
      </c>
      <c r="AS1057" s="1">
        <v>15.7</v>
      </c>
      <c r="AT1057" s="1">
        <v>23.4</v>
      </c>
      <c r="AU1057" s="1">
        <v>24.1</v>
      </c>
      <c r="AV1057" s="1">
        <v>2.6</v>
      </c>
      <c r="AW1057" s="1">
        <v>0.3</v>
      </c>
      <c r="AX1057" s="1">
        <v>0.6437</v>
      </c>
      <c r="AY1057" s="1">
        <v>23.4</v>
      </c>
      <c r="AZ1057" s="1">
        <v>19.6</v>
      </c>
      <c r="BA1057" s="1">
        <v>27.0</v>
      </c>
      <c r="BB1057" s="1">
        <v>2.79</v>
      </c>
      <c r="BC1057" s="1" t="s">
        <v>1761</v>
      </c>
      <c r="BD1057" s="1">
        <v>24.9</v>
      </c>
      <c r="BE1057" s="1">
        <v>42.5</v>
      </c>
      <c r="BF1057" s="1">
        <v>22.8</v>
      </c>
      <c r="BG1057" s="1">
        <v>9.8</v>
      </c>
      <c r="BH1057" s="1" t="s">
        <v>1857</v>
      </c>
    </row>
    <row r="1058">
      <c r="A1058" s="1">
        <v>21129.0</v>
      </c>
      <c r="B1058" s="2" t="str">
        <f>IFERROR(__xludf.DUMMYFUNCTION("TO_TEXT(A1058)"),"21129")</f>
        <v>21129</v>
      </c>
      <c r="C1058" s="1">
        <v>6896.0</v>
      </c>
      <c r="D1058" s="1">
        <v>208.857132478624</v>
      </c>
      <c r="E1058" s="1" t="s">
        <v>140</v>
      </c>
      <c r="F1058" s="1" t="s">
        <v>1858</v>
      </c>
      <c r="G1058" s="1">
        <v>33.0177854984472</v>
      </c>
      <c r="H1058" s="1">
        <v>27.844519664</v>
      </c>
      <c r="I1058" s="1">
        <v>5.6425099972</v>
      </c>
      <c r="J1058" s="1">
        <v>10.018214936</v>
      </c>
      <c r="K1058" s="1">
        <v>26.61471406</v>
      </c>
      <c r="L1058" s="1">
        <v>39.8</v>
      </c>
      <c r="M1058" s="1">
        <v>7.0</v>
      </c>
      <c r="N1058" s="1">
        <v>33.0</v>
      </c>
      <c r="O1058" s="1">
        <v>78.470901483</v>
      </c>
      <c r="P1058" s="1">
        <v>6.402976307</v>
      </c>
      <c r="Q1058" s="1">
        <v>30.4414</v>
      </c>
      <c r="R1058" s="1">
        <v>95.52238806</v>
      </c>
      <c r="S1058" s="1">
        <v>43.7</v>
      </c>
      <c r="T1058" s="1">
        <v>1378.0</v>
      </c>
      <c r="U1058" s="1">
        <v>51.306240929</v>
      </c>
      <c r="V1058" s="1">
        <v>29.167274318</v>
      </c>
      <c r="W1058" s="1">
        <v>21.453900709</v>
      </c>
      <c r="X1058" s="1">
        <v>18.2783882779999</v>
      </c>
      <c r="Y1058" s="1">
        <v>70.081306144</v>
      </c>
      <c r="Z1058" s="1">
        <v>11.6</v>
      </c>
      <c r="AA1058" s="1">
        <v>0.0140124297</v>
      </c>
      <c r="AB1058" s="1">
        <v>29124.0</v>
      </c>
      <c r="AC1058" s="1">
        <v>75.575027382</v>
      </c>
      <c r="AD1058" s="1">
        <v>70.00698324</v>
      </c>
      <c r="AE1058" s="1">
        <v>16.165718928</v>
      </c>
      <c r="AF1058" s="1">
        <v>2.1470211858</v>
      </c>
      <c r="AG1058" s="1">
        <v>0.5545286506</v>
      </c>
      <c r="AH1058" s="1">
        <v>0.2701549836</v>
      </c>
      <c r="AI1058" s="1">
        <v>0.0</v>
      </c>
      <c r="AJ1058" s="1">
        <v>1.1090573013</v>
      </c>
      <c r="AK1058" s="1">
        <v>95.051898194</v>
      </c>
      <c r="AL1058" s="1">
        <v>0.109460516</v>
      </c>
      <c r="AM1058" s="1">
        <v>45.826816437</v>
      </c>
      <c r="AN1058" s="1">
        <v>100.0</v>
      </c>
      <c r="AO1058" s="1">
        <v>13873.0</v>
      </c>
      <c r="AP1058" s="1">
        <v>38.4</v>
      </c>
      <c r="AQ1058" s="1">
        <v>13.8</v>
      </c>
      <c r="AR1058" s="1">
        <v>32.1</v>
      </c>
      <c r="AS1058" s="1">
        <v>16.2</v>
      </c>
      <c r="AT1058" s="1">
        <v>20.6</v>
      </c>
      <c r="AU1058" s="1">
        <v>32.0</v>
      </c>
      <c r="AV1058" s="1">
        <v>3.4</v>
      </c>
      <c r="AW1058" s="1">
        <v>0.0</v>
      </c>
      <c r="AX1058" s="1">
        <v>0.7813</v>
      </c>
      <c r="AY1058" s="1">
        <v>34.9</v>
      </c>
      <c r="AZ1058" s="1">
        <v>23.2</v>
      </c>
      <c r="BA1058" s="1">
        <v>31.8</v>
      </c>
      <c r="BB1058" s="1">
        <v>2.75</v>
      </c>
      <c r="BC1058" s="1" t="s">
        <v>1761</v>
      </c>
      <c r="BD1058" s="1">
        <v>31.9</v>
      </c>
      <c r="BE1058" s="1">
        <v>36.3</v>
      </c>
      <c r="BF1058" s="1">
        <v>23.5</v>
      </c>
      <c r="BG1058" s="1">
        <v>8.3</v>
      </c>
      <c r="BH1058" s="1" t="s">
        <v>1858</v>
      </c>
    </row>
    <row r="1059">
      <c r="A1059" s="1">
        <v>21131.0</v>
      </c>
      <c r="B1059" s="2" t="str">
        <f>IFERROR(__xludf.DUMMYFUNCTION("TO_TEXT(A1059)"),"21131")</f>
        <v>21131</v>
      </c>
      <c r="C1059" s="1">
        <v>10869.0</v>
      </c>
      <c r="D1059" s="1">
        <v>400.844051582908</v>
      </c>
      <c r="E1059" s="1" t="s">
        <v>1859</v>
      </c>
      <c r="F1059" s="1" t="s">
        <v>1860</v>
      </c>
      <c r="G1059" s="1">
        <v>27.1152832556177</v>
      </c>
      <c r="H1059" s="1">
        <v>26.987424043</v>
      </c>
      <c r="I1059" s="1">
        <v>5.5361215537</v>
      </c>
      <c r="J1059" s="1">
        <v>11.845102506</v>
      </c>
      <c r="K1059" s="1">
        <v>25.681661748</v>
      </c>
      <c r="L1059" s="1">
        <v>41.4</v>
      </c>
      <c r="M1059" s="1">
        <v>6.7</v>
      </c>
      <c r="N1059" s="1">
        <v>34.1</v>
      </c>
      <c r="O1059" s="1">
        <v>100.0</v>
      </c>
      <c r="P1059" s="1">
        <v>7.5328431963</v>
      </c>
      <c r="Q1059" s="1">
        <v>19.35359</v>
      </c>
      <c r="R1059" s="1">
        <v>99.173553719</v>
      </c>
      <c r="S1059" s="1">
        <v>38.8</v>
      </c>
      <c r="T1059" s="1">
        <v>2283.0</v>
      </c>
      <c r="U1059" s="1">
        <v>24.44152431</v>
      </c>
      <c r="V1059" s="1">
        <v>37.741189791</v>
      </c>
      <c r="W1059" s="1">
        <v>18.282208589</v>
      </c>
      <c r="X1059" s="1">
        <v>12.992125984</v>
      </c>
      <c r="Y1059" s="1">
        <v>71.450084019</v>
      </c>
      <c r="Z1059" s="1">
        <v>15.8</v>
      </c>
      <c r="AA1059" s="1">
        <v>1.6966902896</v>
      </c>
      <c r="AB1059" s="1">
        <v>31921.0</v>
      </c>
      <c r="AC1059" s="1">
        <v>74.749721913</v>
      </c>
      <c r="AD1059" s="1">
        <v>80.369405636</v>
      </c>
      <c r="AE1059" s="1">
        <v>13.3058984909999</v>
      </c>
      <c r="AF1059" s="1">
        <v>0.3647835946</v>
      </c>
      <c r="AG1059" s="1">
        <v>0.1873213053</v>
      </c>
      <c r="AH1059" s="1">
        <v>0.285911466</v>
      </c>
      <c r="AI1059" s="1">
        <v>0.0591540964</v>
      </c>
      <c r="AJ1059" s="1">
        <v>0.8971704624</v>
      </c>
      <c r="AK1059" s="1">
        <v>97.298629597</v>
      </c>
      <c r="AL1059" s="1">
        <v>0.0</v>
      </c>
      <c r="AM1059" s="1">
        <v>50.093660653</v>
      </c>
      <c r="AN1059" s="1">
        <v>100.0</v>
      </c>
      <c r="AO1059" s="1">
        <v>14653.0</v>
      </c>
      <c r="AP1059" s="1">
        <v>32.5</v>
      </c>
      <c r="AQ1059" s="1">
        <v>17.0</v>
      </c>
      <c r="AR1059" s="1">
        <v>36.3</v>
      </c>
      <c r="AS1059" s="1">
        <v>16.2</v>
      </c>
      <c r="AT1059" s="1">
        <v>22.0</v>
      </c>
      <c r="AU1059" s="1">
        <v>36.9</v>
      </c>
      <c r="AV1059" s="1">
        <v>2.0</v>
      </c>
      <c r="AW1059" s="1">
        <v>0.0</v>
      </c>
      <c r="AX1059" s="1">
        <v>0.7701</v>
      </c>
      <c r="AY1059" s="1">
        <v>32.3</v>
      </c>
      <c r="AZ1059" s="1">
        <v>23.7</v>
      </c>
      <c r="BA1059" s="1">
        <v>31.4</v>
      </c>
      <c r="BB1059" s="1">
        <v>2.81</v>
      </c>
      <c r="BC1059" s="1" t="s">
        <v>1761</v>
      </c>
      <c r="BD1059" s="1">
        <v>28.7</v>
      </c>
      <c r="BE1059" s="1">
        <v>41.9</v>
      </c>
      <c r="BF1059" s="1">
        <v>20.8</v>
      </c>
      <c r="BG1059" s="1">
        <v>8.7</v>
      </c>
      <c r="BH1059" s="1" t="s">
        <v>1860</v>
      </c>
    </row>
    <row r="1060">
      <c r="A1060" s="1">
        <v>21133.0</v>
      </c>
      <c r="B1060" s="2" t="str">
        <f>IFERROR(__xludf.DUMMYFUNCTION("TO_TEXT(A1060)"),"21133")</f>
        <v>21133</v>
      </c>
      <c r="C1060" s="1">
        <v>23382.0</v>
      </c>
      <c r="D1060" s="1">
        <v>337.913800118568</v>
      </c>
      <c r="E1060" s="1" t="s">
        <v>1861</v>
      </c>
      <c r="F1060" s="1" t="s">
        <v>1862</v>
      </c>
      <c r="G1060" s="1">
        <v>69.1951615820237</v>
      </c>
      <c r="H1060" s="1">
        <v>26.597046109</v>
      </c>
      <c r="I1060" s="1">
        <v>5.3800446525</v>
      </c>
      <c r="J1060" s="1">
        <v>11.952406706</v>
      </c>
      <c r="K1060" s="1">
        <v>26.006925731</v>
      </c>
      <c r="L1060" s="1">
        <v>38.9</v>
      </c>
      <c r="M1060" s="1">
        <v>7.7</v>
      </c>
      <c r="N1060" s="1">
        <v>35.3</v>
      </c>
      <c r="O1060" s="1">
        <v>60.287939965</v>
      </c>
      <c r="P1060" s="1">
        <v>6.32477672299999</v>
      </c>
      <c r="Q1060" s="1">
        <v>62.67067</v>
      </c>
      <c r="R1060" s="1">
        <v>97.328244275</v>
      </c>
      <c r="S1060" s="1">
        <v>36.0</v>
      </c>
      <c r="T1060" s="1">
        <v>4870.0</v>
      </c>
      <c r="U1060" s="1">
        <v>44.579055441</v>
      </c>
      <c r="V1060" s="1">
        <v>54.062236447</v>
      </c>
      <c r="W1060" s="1">
        <v>14.677983025</v>
      </c>
      <c r="X1060" s="1">
        <v>11.508264463</v>
      </c>
      <c r="Y1060" s="1">
        <v>71.314534976</v>
      </c>
      <c r="Z1060" s="1">
        <v>19.4</v>
      </c>
      <c r="AA1060" s="1">
        <v>6.508531482</v>
      </c>
      <c r="AB1060" s="1">
        <v>32321.0</v>
      </c>
      <c r="AC1060" s="1">
        <v>72.663089523</v>
      </c>
      <c r="AD1060" s="1">
        <v>75.5357864939999</v>
      </c>
      <c r="AE1060" s="1">
        <v>13.8758651479999</v>
      </c>
      <c r="AF1060" s="1">
        <v>0.5936344125</v>
      </c>
      <c r="AG1060" s="1">
        <v>0.1917895794</v>
      </c>
      <c r="AH1060" s="1">
        <v>0.2191880908</v>
      </c>
      <c r="AI1060" s="1">
        <v>0.0</v>
      </c>
      <c r="AJ1060" s="1">
        <v>0.8493538518</v>
      </c>
      <c r="AK1060" s="1">
        <v>97.388008585</v>
      </c>
      <c r="AL1060" s="1">
        <v>0.1873799597</v>
      </c>
      <c r="AM1060" s="1">
        <v>51.148454267</v>
      </c>
      <c r="AN1060" s="1">
        <v>100.0</v>
      </c>
      <c r="AO1060" s="1">
        <v>17181.0</v>
      </c>
      <c r="AP1060" s="1">
        <v>29.8</v>
      </c>
      <c r="AQ1060" s="1">
        <v>12.9</v>
      </c>
      <c r="AR1060" s="1">
        <v>24.9</v>
      </c>
      <c r="AS1060" s="1">
        <v>16.7</v>
      </c>
      <c r="AT1060" s="1">
        <v>21.8</v>
      </c>
      <c r="AU1060" s="1">
        <v>30.5</v>
      </c>
      <c r="AV1060" s="1">
        <v>2.1</v>
      </c>
      <c r="AW1060" s="1">
        <v>0.1</v>
      </c>
      <c r="AX1060" s="1">
        <v>0.8074</v>
      </c>
      <c r="AY1060" s="1">
        <v>28.9</v>
      </c>
      <c r="AZ1060" s="1">
        <v>22.4</v>
      </c>
      <c r="BA1060" s="1">
        <v>31.6</v>
      </c>
      <c r="BB1060" s="1">
        <v>2.92</v>
      </c>
      <c r="BC1060" s="1" t="s">
        <v>1761</v>
      </c>
      <c r="BD1060" s="1">
        <v>24.3</v>
      </c>
      <c r="BE1060" s="1">
        <v>37.0</v>
      </c>
      <c r="BF1060" s="1">
        <v>26.5</v>
      </c>
      <c r="BG1060" s="1">
        <v>12.1</v>
      </c>
      <c r="BH1060" s="1" t="s">
        <v>1862</v>
      </c>
    </row>
    <row r="1061">
      <c r="A1061" s="1">
        <v>21135.0</v>
      </c>
      <c r="B1061" s="2" t="str">
        <f>IFERROR(__xludf.DUMMYFUNCTION("TO_TEXT(A1061)"),"21135")</f>
        <v>21135</v>
      </c>
      <c r="C1061" s="1">
        <v>13646.0</v>
      </c>
      <c r="D1061" s="1">
        <v>482.836171142512</v>
      </c>
      <c r="E1061" s="1" t="s">
        <v>1126</v>
      </c>
      <c r="F1061" s="1" t="s">
        <v>1863</v>
      </c>
      <c r="G1061" s="1">
        <v>28.2621742437193</v>
      </c>
      <c r="H1061" s="1">
        <v>24.90260045</v>
      </c>
      <c r="I1061" s="1">
        <v>5.2163348639</v>
      </c>
      <c r="J1061" s="1">
        <v>8.58407079649999</v>
      </c>
      <c r="K1061" s="1">
        <v>25.187281239</v>
      </c>
      <c r="L1061" s="1">
        <v>43.3</v>
      </c>
      <c r="M1061" s="1">
        <v>7.3</v>
      </c>
      <c r="N1061" s="1">
        <v>37.4</v>
      </c>
      <c r="O1061" s="1">
        <v>51.564527758</v>
      </c>
      <c r="P1061" s="1">
        <v>6.9973015725</v>
      </c>
      <c r="Q1061" s="1">
        <v>22.49044</v>
      </c>
      <c r="R1061" s="1">
        <v>99.411764706</v>
      </c>
      <c r="S1061" s="1">
        <v>33.1</v>
      </c>
      <c r="T1061" s="1">
        <v>2938.0</v>
      </c>
      <c r="U1061" s="1">
        <v>32.232811436</v>
      </c>
      <c r="V1061" s="1">
        <v>32.786885246</v>
      </c>
      <c r="W1061" s="1">
        <v>13.720073665</v>
      </c>
      <c r="X1061" s="1">
        <v>10.0284360189999</v>
      </c>
      <c r="Y1061" s="1">
        <v>71.380365221</v>
      </c>
      <c r="Z1061" s="1">
        <v>13.5</v>
      </c>
      <c r="AA1061" s="1">
        <v>0.8603330829</v>
      </c>
      <c r="AB1061" s="1">
        <v>35751.0</v>
      </c>
      <c r="AC1061" s="1">
        <v>70.737122558</v>
      </c>
      <c r="AD1061" s="1">
        <v>75.105795768</v>
      </c>
      <c r="AE1061" s="1">
        <v>10.253164557</v>
      </c>
      <c r="AF1061" s="1">
        <v>0.3771592366</v>
      </c>
      <c r="AG1061" s="1">
        <v>0.2866410198</v>
      </c>
      <c r="AH1061" s="1">
        <v>0.0528022931</v>
      </c>
      <c r="AI1061" s="1">
        <v>0.0</v>
      </c>
      <c r="AJ1061" s="1">
        <v>0.7920343969</v>
      </c>
      <c r="AK1061" s="1">
        <v>97.7898468729999</v>
      </c>
      <c r="AL1061" s="1">
        <v>0.0</v>
      </c>
      <c r="AM1061" s="1">
        <v>50.0113147769999</v>
      </c>
      <c r="AN1061" s="1">
        <v>100.0</v>
      </c>
      <c r="AO1061" s="1">
        <v>17753.0</v>
      </c>
      <c r="AP1061" s="1">
        <v>28.2</v>
      </c>
      <c r="AQ1061" s="1">
        <v>6.8</v>
      </c>
      <c r="AR1061" s="1">
        <v>25.2</v>
      </c>
      <c r="AS1061" s="1">
        <v>16.8</v>
      </c>
      <c r="AT1061" s="1">
        <v>22.2</v>
      </c>
      <c r="AU1061" s="1">
        <v>23.1</v>
      </c>
      <c r="AV1061" s="1">
        <v>2.0</v>
      </c>
      <c r="AW1061" s="1">
        <v>0.0</v>
      </c>
      <c r="AX1061" s="1">
        <v>0.5361</v>
      </c>
      <c r="AY1061" s="1">
        <v>23.2</v>
      </c>
      <c r="AZ1061" s="1">
        <v>20.3</v>
      </c>
      <c r="BA1061" s="1">
        <v>28.6</v>
      </c>
      <c r="BB1061" s="1">
        <v>2.73</v>
      </c>
      <c r="BC1061" s="1" t="s">
        <v>1761</v>
      </c>
      <c r="BD1061" s="1">
        <v>24.2</v>
      </c>
      <c r="BE1061" s="1">
        <v>42.8</v>
      </c>
      <c r="BF1061" s="1">
        <v>24.0</v>
      </c>
      <c r="BG1061" s="1">
        <v>9.1</v>
      </c>
      <c r="BH1061" s="1" t="s">
        <v>1863</v>
      </c>
    </row>
    <row r="1062">
      <c r="A1062" s="1">
        <v>21137.0</v>
      </c>
      <c r="B1062" s="2" t="str">
        <f>IFERROR(__xludf.DUMMYFUNCTION("TO_TEXT(A1062)"),"21137")</f>
        <v>21137</v>
      </c>
      <c r="C1062" s="1">
        <v>24424.0</v>
      </c>
      <c r="D1062" s="1">
        <v>332.7325105072</v>
      </c>
      <c r="E1062" s="1" t="s">
        <v>353</v>
      </c>
      <c r="F1062" s="1" t="s">
        <v>1864</v>
      </c>
      <c r="G1062" s="1">
        <v>73.4043089530666</v>
      </c>
      <c r="H1062" s="1">
        <v>25.038415875</v>
      </c>
      <c r="I1062" s="1">
        <v>5.243404945</v>
      </c>
      <c r="J1062" s="1">
        <v>9.9309153713</v>
      </c>
      <c r="K1062" s="1">
        <v>23.064882036</v>
      </c>
      <c r="L1062" s="1">
        <v>38.0</v>
      </c>
      <c r="M1062" s="1">
        <v>6.7</v>
      </c>
      <c r="N1062" s="1">
        <v>27.1</v>
      </c>
      <c r="O1062" s="1">
        <v>38.307331663</v>
      </c>
      <c r="P1062" s="1">
        <v>7.9475230473</v>
      </c>
      <c r="Q1062" s="1">
        <v>32.71181</v>
      </c>
      <c r="R1062" s="1">
        <v>96.1722488039999</v>
      </c>
      <c r="S1062" s="1">
        <v>28.7</v>
      </c>
      <c r="T1062" s="1">
        <v>5680.0</v>
      </c>
      <c r="U1062" s="1">
        <v>27.764084507</v>
      </c>
      <c r="V1062" s="1">
        <v>37.952264485</v>
      </c>
      <c r="W1062" s="1">
        <v>12.397119342</v>
      </c>
      <c r="X1062" s="1">
        <v>9.4786729858</v>
      </c>
      <c r="Y1062" s="1">
        <v>74.237026949</v>
      </c>
      <c r="Z1062" s="1">
        <v>17.1</v>
      </c>
      <c r="AA1062" s="1">
        <v>11.432929262</v>
      </c>
      <c r="AB1062" s="1">
        <v>42190.0</v>
      </c>
      <c r="AC1062" s="1">
        <v>66.426920113</v>
      </c>
      <c r="AD1062" s="1">
        <v>77.045126726</v>
      </c>
      <c r="AE1062" s="1">
        <v>8.483012335</v>
      </c>
      <c r="AF1062" s="1">
        <v>2.2033760753</v>
      </c>
      <c r="AG1062" s="1">
        <v>0.2231780555</v>
      </c>
      <c r="AH1062" s="1">
        <v>0.259698101</v>
      </c>
      <c r="AI1062" s="1">
        <v>0.00811556569999999</v>
      </c>
      <c r="AJ1062" s="1">
        <v>1.6839798734</v>
      </c>
      <c r="AK1062" s="1">
        <v>94.266352865</v>
      </c>
      <c r="AL1062" s="1">
        <v>0.2934477926</v>
      </c>
      <c r="AM1062" s="1">
        <v>50.998214576</v>
      </c>
      <c r="AN1062" s="1">
        <v>81.658717969</v>
      </c>
      <c r="AO1062" s="1">
        <v>18720.0</v>
      </c>
      <c r="AP1062" s="1">
        <v>25.2</v>
      </c>
      <c r="AQ1062" s="1">
        <v>10.7</v>
      </c>
      <c r="AR1062" s="1">
        <v>22.5</v>
      </c>
      <c r="AS1062" s="1">
        <v>16.9</v>
      </c>
      <c r="AT1062" s="1">
        <v>23.7</v>
      </c>
      <c r="AU1062" s="1">
        <v>20.8</v>
      </c>
      <c r="AV1062" s="1">
        <v>5.6</v>
      </c>
      <c r="AW1062" s="1">
        <v>0.0</v>
      </c>
      <c r="AX1062" s="1">
        <v>0.7714</v>
      </c>
      <c r="AY1062" s="1">
        <v>19.7</v>
      </c>
      <c r="AZ1062" s="1">
        <v>16.9</v>
      </c>
      <c r="BA1062" s="1">
        <v>22.2</v>
      </c>
      <c r="BB1062" s="1">
        <v>2.64</v>
      </c>
      <c r="BC1062" s="1" t="s">
        <v>1761</v>
      </c>
      <c r="BD1062" s="1">
        <v>20.1</v>
      </c>
      <c r="BE1062" s="1">
        <v>42.7</v>
      </c>
      <c r="BF1062" s="1">
        <v>24.2</v>
      </c>
      <c r="BG1062" s="1">
        <v>13.0</v>
      </c>
      <c r="BH1062" s="1" t="s">
        <v>1864</v>
      </c>
    </row>
    <row r="1063">
      <c r="A1063" s="1">
        <v>21139.0</v>
      </c>
      <c r="B1063" s="2" t="str">
        <f>IFERROR(__xludf.DUMMYFUNCTION("TO_TEXT(A1063)"),"21139")</f>
        <v>21139</v>
      </c>
      <c r="C1063" s="1">
        <v>9353.0</v>
      </c>
      <c r="D1063" s="1">
        <v>313.128396902116</v>
      </c>
      <c r="E1063" s="1" t="s">
        <v>1231</v>
      </c>
      <c r="F1063" s="1" t="s">
        <v>1865</v>
      </c>
      <c r="G1063" s="1">
        <v>29.8695362430631</v>
      </c>
      <c r="H1063" s="1">
        <v>20.803121756</v>
      </c>
      <c r="I1063" s="1">
        <v>4.8268767229</v>
      </c>
      <c r="J1063" s="1">
        <v>7.98858773179999</v>
      </c>
      <c r="K1063" s="1">
        <v>19.92290794</v>
      </c>
      <c r="L1063" s="1">
        <v>32.3</v>
      </c>
      <c r="M1063" s="1">
        <v>7.4</v>
      </c>
      <c r="N1063" s="1">
        <v>31.2</v>
      </c>
      <c r="O1063" s="1">
        <v>43.649543019</v>
      </c>
      <c r="P1063" s="1">
        <v>6.0497237569</v>
      </c>
      <c r="Q1063" s="1">
        <v>32.36595</v>
      </c>
      <c r="R1063" s="1">
        <v>92.771084337</v>
      </c>
      <c r="S1063" s="1">
        <v>23.3</v>
      </c>
      <c r="T1063" s="1">
        <v>1926.0</v>
      </c>
      <c r="U1063" s="1">
        <v>22.9491173419999</v>
      </c>
      <c r="V1063" s="1">
        <v>59.1684148239999</v>
      </c>
      <c r="W1063" s="1">
        <v>10.695876289</v>
      </c>
      <c r="X1063" s="1">
        <v>7.5263157895</v>
      </c>
      <c r="Y1063" s="1">
        <v>73.656046684</v>
      </c>
      <c r="Z1063" s="1">
        <v>9.4</v>
      </c>
      <c r="AA1063" s="1">
        <v>6.4828319673</v>
      </c>
      <c r="AB1063" s="1">
        <v>48182.0</v>
      </c>
      <c r="AC1063" s="1">
        <v>65.545529122</v>
      </c>
      <c r="AD1063" s="1">
        <v>76.934711369</v>
      </c>
      <c r="AE1063" s="1">
        <v>9.0275761974</v>
      </c>
      <c r="AF1063" s="1">
        <v>0.5410084397</v>
      </c>
      <c r="AG1063" s="1">
        <v>0.4977277646</v>
      </c>
      <c r="AH1063" s="1">
        <v>0.4111664142</v>
      </c>
      <c r="AI1063" s="1">
        <v>0.0865613503999999</v>
      </c>
      <c r="AJ1063" s="1">
        <v>2.0450119022</v>
      </c>
      <c r="AK1063" s="1">
        <v>95.2066652239999</v>
      </c>
      <c r="AL1063" s="1">
        <v>0.0</v>
      </c>
      <c r="AM1063" s="1">
        <v>50.876433672</v>
      </c>
      <c r="AN1063" s="1">
        <v>95.377665721</v>
      </c>
      <c r="AO1063" s="1">
        <v>24203.0</v>
      </c>
      <c r="AP1063" s="1">
        <v>13.9</v>
      </c>
      <c r="AQ1063" s="1">
        <v>5.1</v>
      </c>
      <c r="AR1063" s="1">
        <v>17.5</v>
      </c>
      <c r="AS1063" s="1">
        <v>20.0</v>
      </c>
      <c r="AT1063" s="1">
        <v>20.4</v>
      </c>
      <c r="AU1063" s="1">
        <v>21.5</v>
      </c>
      <c r="AV1063" s="1">
        <v>3.9</v>
      </c>
      <c r="AW1063" s="1">
        <v>0.0</v>
      </c>
      <c r="AX1063" s="1">
        <v>0.2964</v>
      </c>
      <c r="AY1063" s="1">
        <v>12.2</v>
      </c>
      <c r="AZ1063" s="1">
        <v>15.4</v>
      </c>
      <c r="BA1063" s="1">
        <v>21.4</v>
      </c>
      <c r="BB1063" s="1">
        <v>2.71</v>
      </c>
      <c r="BC1063" s="1" t="s">
        <v>1761</v>
      </c>
      <c r="BD1063" s="1">
        <v>16.2</v>
      </c>
      <c r="BE1063" s="1">
        <v>43.6</v>
      </c>
      <c r="BF1063" s="1">
        <v>28.3</v>
      </c>
      <c r="BG1063" s="1">
        <v>11.8</v>
      </c>
      <c r="BH1063" s="1" t="s">
        <v>1865</v>
      </c>
    </row>
    <row r="1064">
      <c r="A1064" s="1">
        <v>21141.0</v>
      </c>
      <c r="B1064" s="2" t="str">
        <f>IFERROR(__xludf.DUMMYFUNCTION("TO_TEXT(A1064)"),"21141")</f>
        <v>21141</v>
      </c>
      <c r="C1064" s="1">
        <v>26757.0</v>
      </c>
      <c r="D1064" s="1">
        <v>552.131514849891</v>
      </c>
      <c r="E1064" s="1" t="s">
        <v>357</v>
      </c>
      <c r="F1064" s="1" t="s">
        <v>1866</v>
      </c>
      <c r="G1064" s="1">
        <v>48.4612801123559</v>
      </c>
      <c r="H1064" s="1">
        <v>21.8643999709999</v>
      </c>
      <c r="I1064" s="1">
        <v>4.8729646517</v>
      </c>
      <c r="J1064" s="1">
        <v>7.6953748006</v>
      </c>
      <c r="K1064" s="1">
        <v>22.226170724</v>
      </c>
      <c r="L1064" s="1">
        <v>38.4</v>
      </c>
      <c r="M1064" s="1">
        <v>7.4</v>
      </c>
      <c r="N1064" s="1">
        <v>28.5</v>
      </c>
      <c r="O1064" s="1">
        <v>40.5328861559999</v>
      </c>
      <c r="P1064" s="1">
        <v>6.90696185159999</v>
      </c>
      <c r="Q1064" s="1">
        <v>29.56393</v>
      </c>
      <c r="R1064" s="1">
        <v>89.411764706</v>
      </c>
      <c r="S1064" s="1">
        <v>26.5</v>
      </c>
      <c r="T1064" s="1">
        <v>6406.0</v>
      </c>
      <c r="U1064" s="1">
        <v>30.799250702</v>
      </c>
      <c r="V1064" s="1">
        <v>170.95922994</v>
      </c>
      <c r="W1064" s="1">
        <v>14.138576779</v>
      </c>
      <c r="X1064" s="1">
        <v>12.8462273159999</v>
      </c>
      <c r="Y1064" s="1">
        <v>75.591707491</v>
      </c>
      <c r="Z1064" s="1">
        <v>8.7</v>
      </c>
      <c r="AA1064" s="1">
        <v>6.9572443126</v>
      </c>
      <c r="AB1064" s="1">
        <v>46742.0</v>
      </c>
      <c r="AC1064" s="1">
        <v>58.310160428</v>
      </c>
      <c r="AD1064" s="1">
        <v>67.827733081</v>
      </c>
      <c r="AE1064" s="1">
        <v>12.71647201</v>
      </c>
      <c r="AF1064" s="1">
        <v>6.2729260069</v>
      </c>
      <c r="AG1064" s="1">
        <v>0.4853829338</v>
      </c>
      <c r="AH1064" s="1">
        <v>0.3038274853</v>
      </c>
      <c r="AI1064" s="1">
        <v>0.0333469191</v>
      </c>
      <c r="AJ1064" s="1">
        <v>2.8567194042</v>
      </c>
      <c r="AK1064" s="1">
        <v>88.550891104</v>
      </c>
      <c r="AL1064" s="1">
        <v>0.4933556139</v>
      </c>
      <c r="AM1064" s="1">
        <v>50.6799066289999</v>
      </c>
      <c r="AN1064" s="1">
        <v>74.980435998</v>
      </c>
      <c r="AO1064" s="1">
        <v>20385.0</v>
      </c>
      <c r="AP1064" s="1">
        <v>18.1</v>
      </c>
      <c r="AQ1064" s="1">
        <v>7.4</v>
      </c>
      <c r="AR1064" s="1">
        <v>21.3</v>
      </c>
      <c r="AS1064" s="1">
        <v>17.2</v>
      </c>
      <c r="AT1064" s="1">
        <v>24.0</v>
      </c>
      <c r="AU1064" s="1">
        <v>16.1</v>
      </c>
      <c r="AV1064" s="1">
        <v>11.2</v>
      </c>
      <c r="AW1064" s="1">
        <v>0.4</v>
      </c>
      <c r="AX1064" s="1">
        <v>0.5495</v>
      </c>
      <c r="AY1064" s="1">
        <v>15.3</v>
      </c>
      <c r="AZ1064" s="1">
        <v>13.9</v>
      </c>
      <c r="BA1064" s="1">
        <v>17.7</v>
      </c>
      <c r="BB1064" s="1">
        <v>2.7</v>
      </c>
      <c r="BC1064" s="1" t="s">
        <v>1761</v>
      </c>
      <c r="BD1064" s="1">
        <v>15.1</v>
      </c>
      <c r="BE1064" s="1">
        <v>44.5</v>
      </c>
      <c r="BF1064" s="1">
        <v>24.1</v>
      </c>
      <c r="BG1064" s="1">
        <v>16.4</v>
      </c>
      <c r="BH1064" s="1" t="s">
        <v>1866</v>
      </c>
    </row>
    <row r="1065">
      <c r="A1065" s="1">
        <v>21143.0</v>
      </c>
      <c r="B1065" s="2" t="str">
        <f>IFERROR(__xludf.DUMMYFUNCTION("TO_TEXT(A1065)"),"21143")</f>
        <v>21143</v>
      </c>
      <c r="C1065" s="1">
        <v>8325.0</v>
      </c>
      <c r="D1065" s="1">
        <v>213.840583425192</v>
      </c>
      <c r="E1065" s="1" t="s">
        <v>1526</v>
      </c>
      <c r="F1065" s="1" t="s">
        <v>1867</v>
      </c>
      <c r="G1065" s="1">
        <v>38.9308702148783</v>
      </c>
      <c r="H1065" s="1">
        <v>18.813385671</v>
      </c>
      <c r="I1065" s="1">
        <v>4.3244059389</v>
      </c>
      <c r="J1065" s="1">
        <v>7.33695652169999</v>
      </c>
      <c r="K1065" s="1">
        <v>18.931216957</v>
      </c>
      <c r="L1065" s="1">
        <v>26.5</v>
      </c>
      <c r="M1065" s="1">
        <v>8.2</v>
      </c>
      <c r="N1065" s="1">
        <v>31.2</v>
      </c>
      <c r="O1065" s="1">
        <v>68.438777965</v>
      </c>
      <c r="P1065" s="1">
        <v>6.4288514308</v>
      </c>
      <c r="Q1065" s="1">
        <v>37.11952</v>
      </c>
      <c r="R1065" s="1">
        <v>98.4375</v>
      </c>
      <c r="S1065" s="1">
        <v>20.1</v>
      </c>
      <c r="T1065" s="1">
        <v>1177.0</v>
      </c>
      <c r="U1065" s="1">
        <v>21.750212404</v>
      </c>
      <c r="V1065" s="1">
        <v>29.777857185</v>
      </c>
      <c r="W1065" s="1">
        <v>12.330827068</v>
      </c>
      <c r="X1065" s="1">
        <v>10.582822086</v>
      </c>
      <c r="Y1065" s="1">
        <v>76.347504919</v>
      </c>
      <c r="Z1065" s="1">
        <v>11.7</v>
      </c>
      <c r="AA1065" s="1">
        <v>1.0304570141</v>
      </c>
      <c r="AB1065" s="1">
        <v>48395.0</v>
      </c>
      <c r="AC1065" s="1">
        <v>58.656873033</v>
      </c>
      <c r="AD1065" s="1">
        <v>81.338244322</v>
      </c>
      <c r="AE1065" s="1">
        <v>10.799617713</v>
      </c>
      <c r="AF1065" s="1">
        <v>5.1067549007</v>
      </c>
      <c r="AG1065" s="1">
        <v>0.3995505057</v>
      </c>
      <c r="AH1065" s="1">
        <v>0.5743538519</v>
      </c>
      <c r="AI1065" s="1">
        <v>0.0124859533</v>
      </c>
      <c r="AJ1065" s="1">
        <v>2.1975277812</v>
      </c>
      <c r="AK1065" s="1">
        <v>90.410787864</v>
      </c>
      <c r="AL1065" s="1">
        <v>0.1516300227</v>
      </c>
      <c r="AM1065" s="1">
        <v>45.211636908</v>
      </c>
      <c r="AN1065" s="1">
        <v>100.0</v>
      </c>
      <c r="AO1065" s="1">
        <v>26105.0</v>
      </c>
      <c r="AP1065" s="1">
        <v>14.9</v>
      </c>
      <c r="AQ1065" s="1">
        <v>5.8</v>
      </c>
      <c r="AR1065" s="1">
        <v>12.3</v>
      </c>
      <c r="AS1065" s="1">
        <v>23.1</v>
      </c>
      <c r="AT1065" s="1">
        <v>14.4</v>
      </c>
      <c r="AU1065" s="1">
        <v>21.5</v>
      </c>
      <c r="AV1065" s="1">
        <v>8.8</v>
      </c>
      <c r="AW1065" s="1">
        <v>0.3</v>
      </c>
      <c r="AX1065" s="1">
        <v>0.3133</v>
      </c>
      <c r="AY1065" s="1">
        <v>14.5</v>
      </c>
      <c r="AZ1065" s="1">
        <v>14.6</v>
      </c>
      <c r="BA1065" s="1">
        <v>21.6</v>
      </c>
      <c r="BB1065" s="1">
        <v>2.76</v>
      </c>
      <c r="BC1065" s="1" t="s">
        <v>1761</v>
      </c>
      <c r="BD1065" s="1">
        <v>12.2</v>
      </c>
      <c r="BE1065" s="1">
        <v>41.1</v>
      </c>
      <c r="BF1065" s="1">
        <v>29.8</v>
      </c>
      <c r="BG1065" s="1">
        <v>16.9</v>
      </c>
      <c r="BH1065" s="1" t="s">
        <v>1867</v>
      </c>
    </row>
    <row r="1066">
      <c r="A1066" s="1">
        <v>21145.0</v>
      </c>
      <c r="B1066" s="2" t="str">
        <f>IFERROR(__xludf.DUMMYFUNCTION("TO_TEXT(A1066)"),"21145")</f>
        <v>21145</v>
      </c>
      <c r="C1066" s="1">
        <v>65292.0</v>
      </c>
      <c r="D1066" s="1">
        <v>248.746574891472</v>
      </c>
      <c r="E1066" s="1" t="s">
        <v>1868</v>
      </c>
      <c r="F1066" s="1" t="s">
        <v>1869</v>
      </c>
      <c r="G1066" s="1">
        <v>262.4840162261</v>
      </c>
      <c r="H1066" s="1">
        <v>21.49689521</v>
      </c>
      <c r="I1066" s="1">
        <v>4.5252884749</v>
      </c>
      <c r="J1066" s="1">
        <v>8.7107377648</v>
      </c>
      <c r="K1066" s="1">
        <v>21.050779934</v>
      </c>
      <c r="L1066" s="1">
        <v>30.0</v>
      </c>
      <c r="M1066" s="1">
        <v>7.0</v>
      </c>
      <c r="N1066" s="1">
        <v>28.3</v>
      </c>
      <c r="O1066" s="1">
        <v>75.316098528</v>
      </c>
      <c r="P1066" s="1">
        <v>5.8723895679</v>
      </c>
      <c r="Q1066" s="1">
        <v>94.82297</v>
      </c>
      <c r="R1066" s="1">
        <v>91.613924051</v>
      </c>
      <c r="S1066" s="1">
        <v>21.7</v>
      </c>
      <c r="T1066" s="1">
        <v>14137.0</v>
      </c>
      <c r="U1066" s="1">
        <v>38.9545165169999</v>
      </c>
      <c r="V1066" s="1">
        <v>233.3722287</v>
      </c>
      <c r="W1066" s="1">
        <v>14.203935599</v>
      </c>
      <c r="X1066" s="1">
        <v>12.3887375109999</v>
      </c>
      <c r="Y1066" s="1">
        <v>76.493651343</v>
      </c>
      <c r="Z1066" s="1">
        <v>11.5</v>
      </c>
      <c r="AA1066" s="1">
        <v>8.835927329</v>
      </c>
      <c r="AB1066" s="1">
        <v>48950.0</v>
      </c>
      <c r="AC1066" s="1">
        <v>56.966611182</v>
      </c>
      <c r="AD1066" s="1">
        <v>65.924356165</v>
      </c>
      <c r="AE1066" s="1">
        <v>14.141036661</v>
      </c>
      <c r="AF1066" s="1">
        <v>10.755057693</v>
      </c>
      <c r="AG1066" s="1">
        <v>0.3825788878</v>
      </c>
      <c r="AH1066" s="1">
        <v>0.9992960548</v>
      </c>
      <c r="AI1066" s="1">
        <v>0.0566216754</v>
      </c>
      <c r="AJ1066" s="1">
        <v>2.6061273835</v>
      </c>
      <c r="AK1066" s="1">
        <v>83.244575031</v>
      </c>
      <c r="AL1066" s="1">
        <v>0.3608045452</v>
      </c>
      <c r="AM1066" s="1">
        <v>51.958803905</v>
      </c>
      <c r="AN1066" s="1">
        <v>27.8242965</v>
      </c>
      <c r="AO1066" s="1">
        <v>28926.0</v>
      </c>
      <c r="AP1066" s="1">
        <v>17.8</v>
      </c>
      <c r="AQ1066" s="1">
        <v>5.1</v>
      </c>
      <c r="AR1066" s="1">
        <v>12.2</v>
      </c>
      <c r="AS1066" s="1">
        <v>18.1</v>
      </c>
      <c r="AT1066" s="1">
        <v>21.9</v>
      </c>
      <c r="AU1066" s="1">
        <v>16.0</v>
      </c>
      <c r="AV1066" s="1">
        <v>16.3</v>
      </c>
      <c r="AW1066" s="1">
        <v>0.3</v>
      </c>
      <c r="AX1066" s="1">
        <v>0.4534</v>
      </c>
      <c r="AY1066" s="1">
        <v>15.5</v>
      </c>
      <c r="AZ1066" s="1">
        <v>14.4</v>
      </c>
      <c r="BA1066" s="1">
        <v>18.7</v>
      </c>
      <c r="BB1066" s="1">
        <v>2.69</v>
      </c>
      <c r="BC1066" s="1" t="s">
        <v>1761</v>
      </c>
      <c r="BD1066" s="1">
        <v>9.5</v>
      </c>
      <c r="BE1066" s="1">
        <v>31.4</v>
      </c>
      <c r="BF1066" s="1">
        <v>34.9</v>
      </c>
      <c r="BG1066" s="1">
        <v>24.2</v>
      </c>
      <c r="BH1066" s="1" t="s">
        <v>1869</v>
      </c>
    </row>
    <row r="1067">
      <c r="A1067" s="1">
        <v>21147.0</v>
      </c>
      <c r="B1067" s="2" t="str">
        <f>IFERROR(__xludf.DUMMYFUNCTION("TO_TEXT(A1067)"),"21147")</f>
        <v>21147</v>
      </c>
      <c r="C1067" s="1">
        <v>17850.0</v>
      </c>
      <c r="D1067" s="1">
        <v>426.803611058664</v>
      </c>
      <c r="E1067" s="1" t="s">
        <v>1870</v>
      </c>
      <c r="F1067" s="1" t="s">
        <v>1871</v>
      </c>
      <c r="G1067" s="1">
        <v>41.8225140029252</v>
      </c>
      <c r="H1067" s="1">
        <v>34.252776174</v>
      </c>
      <c r="I1067" s="1">
        <v>5.9031286028</v>
      </c>
      <c r="J1067" s="1">
        <v>10.131578947</v>
      </c>
      <c r="K1067" s="1">
        <v>31.877699897</v>
      </c>
      <c r="L1067" s="1">
        <v>39.8</v>
      </c>
      <c r="M1067" s="1">
        <v>6.6</v>
      </c>
      <c r="N1067" s="1">
        <v>39.3</v>
      </c>
      <c r="O1067" s="1">
        <v>100.0</v>
      </c>
      <c r="P1067" s="1">
        <v>7.745933385</v>
      </c>
      <c r="Q1067" s="1">
        <v>22.90295</v>
      </c>
      <c r="R1067" s="1">
        <v>95.774647887</v>
      </c>
      <c r="S1067" s="1">
        <v>39.4</v>
      </c>
      <c r="T1067" s="1">
        <v>3699.0</v>
      </c>
      <c r="U1067" s="1">
        <v>26.33144093</v>
      </c>
      <c r="V1067" s="1">
        <v>36.39723381</v>
      </c>
      <c r="W1067" s="1">
        <v>22.08</v>
      </c>
      <c r="X1067" s="1">
        <v>21.42384106</v>
      </c>
      <c r="Y1067" s="1">
        <v>71.353856353</v>
      </c>
      <c r="Z1067" s="1">
        <v>14.3</v>
      </c>
      <c r="AA1067" s="1">
        <v>1.4921454005</v>
      </c>
      <c r="AB1067" s="1">
        <v>30029.0</v>
      </c>
      <c r="AC1067" s="1">
        <v>79.959169786</v>
      </c>
      <c r="AD1067" s="1">
        <v>70.3852974369999</v>
      </c>
      <c r="AE1067" s="1">
        <v>20.252469813</v>
      </c>
      <c r="AF1067" s="1">
        <v>5.3538602941</v>
      </c>
      <c r="AG1067" s="1">
        <v>0.7467830882</v>
      </c>
      <c r="AH1067" s="1">
        <v>0.3791360294</v>
      </c>
      <c r="AI1067" s="1">
        <v>0.0574448529</v>
      </c>
      <c r="AJ1067" s="1">
        <v>2.5965073529</v>
      </c>
      <c r="AK1067" s="1">
        <v>89.539292279</v>
      </c>
      <c r="AL1067" s="1">
        <v>0.5971409615</v>
      </c>
      <c r="AM1067" s="1">
        <v>45.645680147</v>
      </c>
      <c r="AN1067" s="1">
        <v>100.0</v>
      </c>
      <c r="AO1067" s="1">
        <v>11114.0</v>
      </c>
      <c r="AP1067" s="1">
        <v>42.5</v>
      </c>
      <c r="AQ1067" s="1">
        <v>17.6</v>
      </c>
      <c r="AR1067" s="1">
        <v>27.8</v>
      </c>
      <c r="AS1067" s="1">
        <v>13.8</v>
      </c>
      <c r="AT1067" s="1">
        <v>22.4</v>
      </c>
      <c r="AU1067" s="1">
        <v>25.7</v>
      </c>
      <c r="AV1067" s="1">
        <v>10.2</v>
      </c>
      <c r="AW1067" s="1">
        <v>0.4</v>
      </c>
      <c r="AX1067" s="1">
        <v>0.8752</v>
      </c>
      <c r="AY1067" s="1">
        <v>34.5</v>
      </c>
      <c r="AZ1067" s="1">
        <v>23.3</v>
      </c>
      <c r="BA1067" s="1">
        <v>30.7</v>
      </c>
      <c r="BB1067" s="1">
        <v>2.63</v>
      </c>
      <c r="BC1067" s="1" t="s">
        <v>1761</v>
      </c>
      <c r="BD1067" s="1">
        <v>23.4</v>
      </c>
      <c r="BE1067" s="1">
        <v>40.9</v>
      </c>
      <c r="BF1067" s="1">
        <v>28.4</v>
      </c>
      <c r="BG1067" s="1">
        <v>7.2</v>
      </c>
      <c r="BH1067" s="1" t="s">
        <v>1871</v>
      </c>
    </row>
    <row r="1068">
      <c r="A1068" s="1">
        <v>21149.0</v>
      </c>
      <c r="B1068" s="2" t="str">
        <f>IFERROR(__xludf.DUMMYFUNCTION("TO_TEXT(A1068)"),"21149")</f>
        <v>21149</v>
      </c>
      <c r="C1068" s="1">
        <v>9492.0</v>
      </c>
      <c r="D1068" s="1">
        <v>252.474539122946</v>
      </c>
      <c r="E1068" s="1" t="s">
        <v>1238</v>
      </c>
      <c r="F1068" s="1" t="s">
        <v>1872</v>
      </c>
      <c r="G1068" s="1">
        <v>37.5958701933811</v>
      </c>
      <c r="H1068" s="1">
        <v>21.5021493269999</v>
      </c>
      <c r="I1068" s="1">
        <v>4.8679292017</v>
      </c>
      <c r="J1068" s="1">
        <v>11.227154047</v>
      </c>
      <c r="K1068" s="1">
        <v>20.587922385</v>
      </c>
      <c r="L1068" s="1">
        <v>37.7</v>
      </c>
      <c r="M1068" s="1">
        <v>8.2</v>
      </c>
      <c r="N1068" s="1">
        <v>31.8</v>
      </c>
      <c r="O1068" s="1">
        <v>2.203336481</v>
      </c>
      <c r="P1068" s="1">
        <v>6.6847090663</v>
      </c>
      <c r="Q1068" s="1">
        <v>48.31939</v>
      </c>
      <c r="R1068" s="1">
        <v>92.1875</v>
      </c>
      <c r="S1068" s="1">
        <v>19.0</v>
      </c>
      <c r="T1068" s="1">
        <v>2238.0</v>
      </c>
      <c r="U1068" s="1">
        <v>24.709562109</v>
      </c>
      <c r="V1068" s="1">
        <v>63.134634608</v>
      </c>
      <c r="W1068" s="1">
        <v>9.0666666667</v>
      </c>
      <c r="X1068" s="1">
        <v>6.512890095</v>
      </c>
      <c r="Y1068" s="1">
        <v>73.955723544</v>
      </c>
      <c r="Z1068" s="1">
        <v>18.5</v>
      </c>
      <c r="AA1068" s="1">
        <v>0.2139076052</v>
      </c>
      <c r="AB1068" s="1">
        <v>48080.0</v>
      </c>
      <c r="AC1068" s="1">
        <v>52.4746192889999</v>
      </c>
      <c r="AD1068" s="1">
        <v>78.548978523</v>
      </c>
      <c r="AE1068" s="1">
        <v>7.71579239519999</v>
      </c>
      <c r="AF1068" s="1">
        <v>0.8322524859</v>
      </c>
      <c r="AG1068" s="1">
        <v>0.3566796368</v>
      </c>
      <c r="AH1068" s="1">
        <v>0.2485948984</v>
      </c>
      <c r="AI1068" s="1">
        <v>0.0216169477</v>
      </c>
      <c r="AJ1068" s="1">
        <v>1.6104626027</v>
      </c>
      <c r="AK1068" s="1">
        <v>95.871162992</v>
      </c>
      <c r="AL1068" s="1">
        <v>0.0</v>
      </c>
      <c r="AM1068" s="1">
        <v>50.810635538</v>
      </c>
      <c r="AN1068" s="1">
        <v>100.0</v>
      </c>
      <c r="AO1068" s="1">
        <v>21623.0</v>
      </c>
      <c r="AP1068" s="1">
        <v>18.3</v>
      </c>
      <c r="AQ1068" s="1">
        <v>7.4</v>
      </c>
      <c r="AR1068" s="1">
        <v>16.3</v>
      </c>
      <c r="AS1068" s="1">
        <v>18.9</v>
      </c>
      <c r="AT1068" s="1">
        <v>23.7</v>
      </c>
      <c r="AU1068" s="1">
        <v>18.0</v>
      </c>
      <c r="AV1068" s="1">
        <v>3.6</v>
      </c>
      <c r="AW1068" s="1">
        <v>0.0</v>
      </c>
      <c r="AX1068" s="1">
        <v>0.4635</v>
      </c>
      <c r="AY1068" s="1">
        <v>14.0</v>
      </c>
      <c r="AZ1068" s="1">
        <v>14.1</v>
      </c>
      <c r="BA1068" s="1">
        <v>19.8</v>
      </c>
      <c r="BB1068" s="1">
        <v>2.63</v>
      </c>
      <c r="BC1068" s="1" t="s">
        <v>1761</v>
      </c>
      <c r="BD1068" s="1">
        <v>12.7</v>
      </c>
      <c r="BE1068" s="1">
        <v>41.2</v>
      </c>
      <c r="BF1068" s="1">
        <v>32.6</v>
      </c>
      <c r="BG1068" s="1">
        <v>13.5</v>
      </c>
      <c r="BH1068" s="1" t="s">
        <v>1872</v>
      </c>
    </row>
    <row r="1069">
      <c r="A1069" s="1">
        <v>21151.0</v>
      </c>
      <c r="B1069" s="2" t="str">
        <f>IFERROR(__xludf.DUMMYFUNCTION("TO_TEXT(A1069)"),"21151")</f>
        <v>21151</v>
      </c>
      <c r="C1069" s="1">
        <v>87324.0</v>
      </c>
      <c r="D1069" s="1">
        <v>437.300642966961</v>
      </c>
      <c r="E1069" s="1" t="s">
        <v>148</v>
      </c>
      <c r="F1069" s="1" t="s">
        <v>1873</v>
      </c>
      <c r="G1069" s="1">
        <v>199.688707081543</v>
      </c>
      <c r="H1069" s="1">
        <v>20.135401131</v>
      </c>
      <c r="I1069" s="1">
        <v>4.675574711</v>
      </c>
      <c r="J1069" s="1">
        <v>9.0792656895</v>
      </c>
      <c r="K1069" s="1">
        <v>18.81744987</v>
      </c>
      <c r="L1069" s="1">
        <v>35.2</v>
      </c>
      <c r="M1069" s="1">
        <v>6.9</v>
      </c>
      <c r="N1069" s="1">
        <v>23.2</v>
      </c>
      <c r="O1069" s="1">
        <v>65.639924743</v>
      </c>
      <c r="P1069" s="1">
        <v>6.2140042437</v>
      </c>
      <c r="Q1069" s="1">
        <v>54.80894</v>
      </c>
      <c r="R1069" s="1">
        <v>95.414847162</v>
      </c>
      <c r="S1069" s="1">
        <v>17.6</v>
      </c>
      <c r="T1069" s="1">
        <v>18700.0</v>
      </c>
      <c r="U1069" s="1">
        <v>29.71657754</v>
      </c>
      <c r="V1069" s="1">
        <v>172.54875074</v>
      </c>
      <c r="W1069" s="1">
        <v>16.013576057</v>
      </c>
      <c r="X1069" s="1">
        <v>14.700374532</v>
      </c>
      <c r="Y1069" s="1">
        <v>76.334079277</v>
      </c>
      <c r="Z1069" s="1">
        <v>10.3</v>
      </c>
      <c r="AA1069" s="1">
        <v>10.8301749109999</v>
      </c>
      <c r="AB1069" s="1">
        <v>51897.0</v>
      </c>
      <c r="AC1069" s="1">
        <v>51.848407347</v>
      </c>
      <c r="AD1069" s="1">
        <v>58.3707002919999</v>
      </c>
      <c r="AE1069" s="1">
        <v>14.096025872</v>
      </c>
      <c r="AF1069" s="1">
        <v>4.40520526589999</v>
      </c>
      <c r="AG1069" s="1">
        <v>0.3431924476</v>
      </c>
      <c r="AH1069" s="1">
        <v>1.1724839771</v>
      </c>
      <c r="AI1069" s="1">
        <v>0.058461805</v>
      </c>
      <c r="AJ1069" s="1">
        <v>2.5441711415</v>
      </c>
      <c r="AK1069" s="1">
        <v>89.592716092</v>
      </c>
      <c r="AL1069" s="1">
        <v>0.4493637955</v>
      </c>
      <c r="AM1069" s="1">
        <v>51.420405335</v>
      </c>
      <c r="AN1069" s="1">
        <v>38.517294611</v>
      </c>
      <c r="AO1069" s="1">
        <v>22271.0</v>
      </c>
      <c r="AP1069" s="1">
        <v>21.3</v>
      </c>
      <c r="AQ1069" s="1">
        <v>7.7</v>
      </c>
      <c r="AR1069" s="1">
        <v>14.3</v>
      </c>
      <c r="AS1069" s="1">
        <v>12.7</v>
      </c>
      <c r="AT1069" s="1">
        <v>21.1</v>
      </c>
      <c r="AU1069" s="1">
        <v>16.0</v>
      </c>
      <c r="AV1069" s="1">
        <v>10.0</v>
      </c>
      <c r="AW1069" s="1">
        <v>0.4</v>
      </c>
      <c r="AX1069" s="1">
        <v>0.4967</v>
      </c>
      <c r="AY1069" s="1">
        <v>17.7</v>
      </c>
      <c r="AZ1069" s="1">
        <v>14.2</v>
      </c>
      <c r="BA1069" s="1">
        <v>16.3</v>
      </c>
      <c r="BB1069" s="1">
        <v>2.72</v>
      </c>
      <c r="BC1069" s="1" t="s">
        <v>1761</v>
      </c>
      <c r="BD1069" s="1">
        <v>12.5</v>
      </c>
      <c r="BE1069" s="1">
        <v>28.1</v>
      </c>
      <c r="BF1069" s="1">
        <v>28.7</v>
      </c>
      <c r="BG1069" s="1">
        <v>30.8</v>
      </c>
      <c r="BH1069" s="1" t="s">
        <v>1873</v>
      </c>
    </row>
    <row r="1070">
      <c r="A1070" s="1">
        <v>21153.0</v>
      </c>
      <c r="B1070" s="2" t="str">
        <f>IFERROR(__xludf.DUMMYFUNCTION("TO_TEXT(A1070)"),"21153")</f>
        <v>21153</v>
      </c>
      <c r="C1070" s="1">
        <v>12887.0</v>
      </c>
      <c r="D1070" s="1">
        <v>308.443999715239</v>
      </c>
      <c r="E1070" s="1" t="s">
        <v>1874</v>
      </c>
      <c r="F1070" s="1" t="s">
        <v>1875</v>
      </c>
      <c r="G1070" s="1">
        <v>41.780679837823</v>
      </c>
      <c r="H1070" s="1">
        <v>27.9159029569999</v>
      </c>
      <c r="I1070" s="1">
        <v>5.6070066195</v>
      </c>
      <c r="J1070" s="1">
        <v>10.380952381</v>
      </c>
      <c r="K1070" s="1">
        <v>25.305766413</v>
      </c>
      <c r="L1070" s="1">
        <v>36.6</v>
      </c>
      <c r="M1070" s="1">
        <v>6.4</v>
      </c>
      <c r="N1070" s="1">
        <v>31.5</v>
      </c>
      <c r="O1070" s="1">
        <v>5.8876471912</v>
      </c>
      <c r="P1070" s="1">
        <v>8.1833219811</v>
      </c>
      <c r="Q1070" s="1">
        <v>31.90301</v>
      </c>
      <c r="R1070" s="1">
        <v>93.9189189189999</v>
      </c>
      <c r="S1070" s="1">
        <v>37.6</v>
      </c>
      <c r="T1070" s="1">
        <v>2877.0</v>
      </c>
      <c r="U1070" s="1">
        <v>24.608967675</v>
      </c>
      <c r="V1070" s="1">
        <v>31.28054741</v>
      </c>
      <c r="W1070" s="1">
        <v>16.218905473</v>
      </c>
      <c r="X1070" s="1">
        <v>12.090163934</v>
      </c>
      <c r="Y1070" s="1">
        <v>72.503561849</v>
      </c>
      <c r="Z1070" s="1">
        <v>16.1</v>
      </c>
      <c r="AA1070" s="1">
        <v>0.9006344389</v>
      </c>
      <c r="AB1070" s="1">
        <v>30950.0</v>
      </c>
      <c r="AC1070" s="1">
        <v>79.184247539</v>
      </c>
      <c r="AD1070" s="1">
        <v>71.203776554</v>
      </c>
      <c r="AE1070" s="1">
        <v>14.766606822</v>
      </c>
      <c r="AF1070" s="1">
        <v>0.2345898722</v>
      </c>
      <c r="AG1070" s="1">
        <v>0.3397508494</v>
      </c>
      <c r="AH1070" s="1">
        <v>0.1132502831</v>
      </c>
      <c r="AI1070" s="1">
        <v>0.0</v>
      </c>
      <c r="AJ1070" s="1">
        <v>1.0839669956</v>
      </c>
      <c r="AK1070" s="1">
        <v>97.589386831</v>
      </c>
      <c r="AL1070" s="1">
        <v>0.0</v>
      </c>
      <c r="AM1070" s="1">
        <v>50.04044653</v>
      </c>
      <c r="AN1070" s="1">
        <v>100.0</v>
      </c>
      <c r="AO1070" s="1">
        <v>15710.0</v>
      </c>
      <c r="AP1070" s="1">
        <v>29.5</v>
      </c>
      <c r="AQ1070" s="1">
        <v>12.6</v>
      </c>
      <c r="AR1070" s="1">
        <v>30.6</v>
      </c>
      <c r="AS1070" s="1">
        <v>14.8</v>
      </c>
      <c r="AT1070" s="1">
        <v>23.3</v>
      </c>
      <c r="AU1070" s="1">
        <v>28.6</v>
      </c>
      <c r="AV1070" s="1">
        <v>1.1</v>
      </c>
      <c r="AW1070" s="1">
        <v>0.0</v>
      </c>
      <c r="AX1070" s="1">
        <v>0.8332</v>
      </c>
      <c r="AY1070" s="1">
        <v>29.4</v>
      </c>
      <c r="AZ1070" s="1">
        <v>24.7</v>
      </c>
      <c r="BA1070" s="1">
        <v>36.6</v>
      </c>
      <c r="BB1070" s="1">
        <v>2.85</v>
      </c>
      <c r="BC1070" s="1" t="s">
        <v>1761</v>
      </c>
      <c r="BD1070" s="1">
        <v>30.3</v>
      </c>
      <c r="BE1070" s="1">
        <v>36.4</v>
      </c>
      <c r="BF1070" s="1">
        <v>23.8</v>
      </c>
      <c r="BG1070" s="1">
        <v>9.5</v>
      </c>
      <c r="BH1070" s="1" t="s">
        <v>1875</v>
      </c>
    </row>
    <row r="1071">
      <c r="A1071" s="1">
        <v>21155.0</v>
      </c>
      <c r="B1071" s="2" t="str">
        <f>IFERROR(__xludf.DUMMYFUNCTION("TO_TEXT(A1071)"),"21155")</f>
        <v>21155</v>
      </c>
      <c r="C1071" s="1">
        <v>19497.0</v>
      </c>
      <c r="D1071" s="1">
        <v>343.009404043586</v>
      </c>
      <c r="E1071" s="1" t="s">
        <v>152</v>
      </c>
      <c r="F1071" s="1" t="s">
        <v>1876</v>
      </c>
      <c r="G1071" s="1">
        <v>56.8410071856878</v>
      </c>
      <c r="H1071" s="1">
        <v>23.568975659</v>
      </c>
      <c r="I1071" s="1">
        <v>5.0025467872</v>
      </c>
      <c r="J1071" s="1">
        <v>8.8637715645</v>
      </c>
      <c r="K1071" s="1">
        <v>23.30720998</v>
      </c>
      <c r="L1071" s="1">
        <v>36.9</v>
      </c>
      <c r="M1071" s="1">
        <v>8.0</v>
      </c>
      <c r="N1071" s="1">
        <v>38.2</v>
      </c>
      <c r="O1071" s="1">
        <v>48.16851665</v>
      </c>
      <c r="P1071" s="1">
        <v>6.2812006319</v>
      </c>
      <c r="Q1071" s="1">
        <v>46.40371</v>
      </c>
      <c r="R1071" s="1">
        <v>92.703862661</v>
      </c>
      <c r="S1071" s="1">
        <v>22.3</v>
      </c>
      <c r="T1071" s="1">
        <v>4689.0</v>
      </c>
      <c r="U1071" s="1">
        <v>40.093836639</v>
      </c>
      <c r="V1071" s="1">
        <v>99.76465773</v>
      </c>
      <c r="W1071" s="1">
        <v>14.180107527</v>
      </c>
      <c r="X1071" s="1">
        <v>10.36226931</v>
      </c>
      <c r="Y1071" s="1">
        <v>75.298725109</v>
      </c>
      <c r="Z1071" s="1">
        <v>12.9</v>
      </c>
      <c r="AA1071" s="1">
        <v>0.815789726</v>
      </c>
      <c r="AB1071" s="1">
        <v>45661.0</v>
      </c>
      <c r="AC1071" s="1">
        <v>64.259597806</v>
      </c>
      <c r="AD1071" s="1">
        <v>72.749228499</v>
      </c>
      <c r="AE1071" s="1">
        <v>10.945343001</v>
      </c>
      <c r="AF1071" s="1">
        <v>6.7769532055</v>
      </c>
      <c r="AG1071" s="1">
        <v>0.2164502165</v>
      </c>
      <c r="AH1071" s="1">
        <v>1.035868893</v>
      </c>
      <c r="AI1071" s="1">
        <v>0.0360750361</v>
      </c>
      <c r="AJ1071" s="1">
        <v>2.9633065347</v>
      </c>
      <c r="AK1071" s="1">
        <v>87.358276644</v>
      </c>
      <c r="AL1071" s="1">
        <v>0.5251810493</v>
      </c>
      <c r="AM1071" s="1">
        <v>50.499896928</v>
      </c>
      <c r="AN1071" s="1">
        <v>71.513622603</v>
      </c>
      <c r="AO1071" s="1">
        <v>20450.0</v>
      </c>
      <c r="AP1071" s="1">
        <v>19.1</v>
      </c>
      <c r="AQ1071" s="1">
        <v>8.7</v>
      </c>
      <c r="AR1071" s="1">
        <v>19.3</v>
      </c>
      <c r="AS1071" s="1">
        <v>15.2</v>
      </c>
      <c r="AT1071" s="1">
        <v>24.2</v>
      </c>
      <c r="AU1071" s="1">
        <v>17.0</v>
      </c>
      <c r="AV1071" s="1">
        <v>12.2</v>
      </c>
      <c r="AW1071" s="1">
        <v>0.5</v>
      </c>
      <c r="AX1071" s="1">
        <v>0.8067</v>
      </c>
      <c r="AY1071" s="1">
        <v>16.8</v>
      </c>
      <c r="AZ1071" s="1">
        <v>16.6</v>
      </c>
      <c r="BA1071" s="1">
        <v>22.7</v>
      </c>
      <c r="BB1071" s="1">
        <v>2.65</v>
      </c>
      <c r="BC1071" s="1" t="s">
        <v>1761</v>
      </c>
      <c r="BD1071" s="1">
        <v>18.5</v>
      </c>
      <c r="BE1071" s="1">
        <v>45.3</v>
      </c>
      <c r="BF1071" s="1">
        <v>23.5</v>
      </c>
      <c r="BG1071" s="1">
        <v>12.6</v>
      </c>
      <c r="BH1071" s="1" t="s">
        <v>1876</v>
      </c>
    </row>
    <row r="1072">
      <c r="A1072" s="1">
        <v>21157.0</v>
      </c>
      <c r="B1072" s="2" t="str">
        <f>IFERROR(__xludf.DUMMYFUNCTION("TO_TEXT(A1072)"),"21157")</f>
        <v>21157</v>
      </c>
      <c r="C1072" s="1">
        <v>31213.0</v>
      </c>
      <c r="D1072" s="1">
        <v>301.266084383494</v>
      </c>
      <c r="E1072" s="1" t="s">
        <v>154</v>
      </c>
      <c r="F1072" s="1" t="s">
        <v>1877</v>
      </c>
      <c r="G1072" s="1">
        <v>103.606086506131</v>
      </c>
      <c r="H1072" s="1">
        <v>18.663700817</v>
      </c>
      <c r="I1072" s="1">
        <v>4.6273596997</v>
      </c>
      <c r="J1072" s="1">
        <v>7.1492805755</v>
      </c>
      <c r="K1072" s="1">
        <v>19.052655904</v>
      </c>
      <c r="L1072" s="1">
        <v>38.2</v>
      </c>
      <c r="M1072" s="1">
        <v>8.4</v>
      </c>
      <c r="N1072" s="1">
        <v>28.0</v>
      </c>
      <c r="O1072" s="1">
        <v>57.393156958</v>
      </c>
      <c r="P1072" s="1">
        <v>6.1200213298</v>
      </c>
      <c r="Q1072" s="1">
        <v>41.42502</v>
      </c>
      <c r="R1072" s="1">
        <v>95.9627329189999</v>
      </c>
      <c r="S1072" s="1">
        <v>17.6</v>
      </c>
      <c r="T1072" s="1">
        <v>6291.0</v>
      </c>
      <c r="U1072" s="1">
        <v>22.190430774</v>
      </c>
      <c r="V1072" s="1">
        <v>85.403976925</v>
      </c>
      <c r="W1072" s="1">
        <v>10.8129132629999</v>
      </c>
      <c r="X1072" s="1">
        <v>8.4119496855</v>
      </c>
      <c r="Y1072" s="1">
        <v>75.010211736</v>
      </c>
      <c r="Z1072" s="1">
        <v>10.7</v>
      </c>
      <c r="AA1072" s="1">
        <v>1.3560750558</v>
      </c>
      <c r="AB1072" s="1">
        <v>52388.0</v>
      </c>
      <c r="AC1072" s="1">
        <v>52.685737806</v>
      </c>
      <c r="AD1072" s="1">
        <v>78.707991038</v>
      </c>
      <c r="AE1072" s="1">
        <v>9.0045533051</v>
      </c>
      <c r="AF1072" s="1">
        <v>0.461671636</v>
      </c>
      <c r="AG1072" s="1">
        <v>0.2596902953</v>
      </c>
      <c r="AH1072" s="1">
        <v>0.4680837421</v>
      </c>
      <c r="AI1072" s="1">
        <v>0.0320605303</v>
      </c>
      <c r="AJ1072" s="1">
        <v>1.8050078548</v>
      </c>
      <c r="AK1072" s="1">
        <v>96.056554775</v>
      </c>
      <c r="AL1072" s="1">
        <v>0.0</v>
      </c>
      <c r="AM1072" s="1">
        <v>51.008303677</v>
      </c>
      <c r="AN1072" s="1">
        <v>85.859196133</v>
      </c>
      <c r="AO1072" s="1">
        <v>25138.0</v>
      </c>
      <c r="AP1072" s="1">
        <v>10.5</v>
      </c>
      <c r="AQ1072" s="1">
        <v>6.8</v>
      </c>
      <c r="AR1072" s="1">
        <v>14.1</v>
      </c>
      <c r="AS1072" s="1">
        <v>21.0</v>
      </c>
      <c r="AT1072" s="1">
        <v>20.5</v>
      </c>
      <c r="AU1072" s="1">
        <v>16.2</v>
      </c>
      <c r="AV1072" s="1">
        <v>3.1</v>
      </c>
      <c r="AW1072" s="1">
        <v>0.1</v>
      </c>
      <c r="AX1072" s="1">
        <v>0.2184</v>
      </c>
      <c r="AY1072" s="1">
        <v>11.8</v>
      </c>
      <c r="AZ1072" s="1">
        <v>12.8</v>
      </c>
      <c r="BA1072" s="1">
        <v>16.7</v>
      </c>
      <c r="BB1072" s="1">
        <v>2.88</v>
      </c>
      <c r="BC1072" s="1" t="s">
        <v>1761</v>
      </c>
      <c r="BD1072" s="1">
        <v>11.3</v>
      </c>
      <c r="BE1072" s="1">
        <v>38.2</v>
      </c>
      <c r="BF1072" s="1">
        <v>31.2</v>
      </c>
      <c r="BG1072" s="1">
        <v>19.2</v>
      </c>
      <c r="BH1072" s="1" t="s">
        <v>1877</v>
      </c>
    </row>
    <row r="1073">
      <c r="A1073" s="1">
        <v>21159.0</v>
      </c>
      <c r="B1073" s="2" t="str">
        <f>IFERROR(__xludf.DUMMYFUNCTION("TO_TEXT(A1073)"),"21159")</f>
        <v>21159</v>
      </c>
      <c r="C1073" s="1">
        <v>12478.0</v>
      </c>
      <c r="D1073" s="1">
        <v>229.615612685002</v>
      </c>
      <c r="E1073" s="1" t="s">
        <v>750</v>
      </c>
      <c r="F1073" s="1" t="s">
        <v>1878</v>
      </c>
      <c r="G1073" s="1">
        <v>54.342994599056</v>
      </c>
      <c r="H1073" s="1">
        <v>27.5962711309999</v>
      </c>
      <c r="I1073" s="1">
        <v>5.3050366554</v>
      </c>
      <c r="J1073" s="1">
        <v>11.40776699</v>
      </c>
      <c r="K1073" s="1">
        <v>25.287830126</v>
      </c>
      <c r="L1073" s="1">
        <v>40.5</v>
      </c>
      <c r="M1073" s="1">
        <v>7.2</v>
      </c>
      <c r="N1073" s="1">
        <v>35.0</v>
      </c>
      <c r="O1073" s="1">
        <v>48.9055611419999</v>
      </c>
      <c r="P1073" s="1">
        <v>7.3218432954</v>
      </c>
      <c r="Q1073" s="1">
        <v>34.9284</v>
      </c>
      <c r="R1073" s="1">
        <v>98.260869565</v>
      </c>
      <c r="S1073" s="1">
        <v>44.1</v>
      </c>
      <c r="T1073" s="1">
        <v>2392.0</v>
      </c>
      <c r="U1073" s="1">
        <v>23.118729097</v>
      </c>
      <c r="V1073" s="1">
        <v>60.513151525</v>
      </c>
      <c r="W1073" s="1">
        <v>14.318975553</v>
      </c>
      <c r="X1073" s="1">
        <v>11.234866828</v>
      </c>
      <c r="Y1073" s="1">
        <v>72.262466231</v>
      </c>
      <c r="Z1073" s="1">
        <v>15.5</v>
      </c>
      <c r="AA1073" s="1">
        <v>0.0240790354</v>
      </c>
      <c r="AB1073" s="1">
        <v>28925.0</v>
      </c>
      <c r="AC1073" s="1">
        <v>74.780361757</v>
      </c>
      <c r="AD1073" s="1">
        <v>72.251945525</v>
      </c>
      <c r="AE1073" s="1">
        <v>12.531189354</v>
      </c>
      <c r="AF1073" s="1">
        <v>6.5265389031</v>
      </c>
      <c r="AG1073" s="1">
        <v>0.4150843416</v>
      </c>
      <c r="AH1073" s="1">
        <v>0.2119579617</v>
      </c>
      <c r="AI1073" s="1">
        <v>0.0176631635</v>
      </c>
      <c r="AJ1073" s="1">
        <v>3.3471694781</v>
      </c>
      <c r="AK1073" s="1">
        <v>88.775059613</v>
      </c>
      <c r="AL1073" s="1">
        <v>0.1941233566</v>
      </c>
      <c r="AM1073" s="1">
        <v>45.076393182</v>
      </c>
      <c r="AN1073" s="1">
        <v>100.0</v>
      </c>
      <c r="AO1073" s="1">
        <v>14938.0</v>
      </c>
      <c r="AP1073" s="1">
        <v>32.4</v>
      </c>
      <c r="AQ1073" s="1">
        <v>18.6</v>
      </c>
      <c r="AR1073" s="1">
        <v>27.5</v>
      </c>
      <c r="AS1073" s="1">
        <v>13.5</v>
      </c>
      <c r="AT1073" s="1">
        <v>20.8</v>
      </c>
      <c r="AU1073" s="1">
        <v>29.9</v>
      </c>
      <c r="AV1073" s="1">
        <v>7.4</v>
      </c>
      <c r="AW1073" s="1">
        <v>0.3</v>
      </c>
      <c r="AX1073" s="1">
        <v>0.8625</v>
      </c>
      <c r="AY1073" s="1">
        <v>34.4</v>
      </c>
      <c r="AZ1073" s="1">
        <v>21.0</v>
      </c>
      <c r="BA1073" s="1">
        <v>25.5</v>
      </c>
      <c r="BB1073" s="1">
        <v>2.81</v>
      </c>
      <c r="BC1073" s="1" t="s">
        <v>1761</v>
      </c>
      <c r="BD1073" s="1">
        <v>25.6</v>
      </c>
      <c r="BE1073" s="1">
        <v>39.0</v>
      </c>
      <c r="BF1073" s="1">
        <v>23.7</v>
      </c>
      <c r="BG1073" s="1">
        <v>11.7</v>
      </c>
      <c r="BH1073" s="1" t="s">
        <v>1878</v>
      </c>
    </row>
    <row r="1074">
      <c r="A1074" s="1">
        <v>21161.0</v>
      </c>
      <c r="B1074" s="2" t="str">
        <f>IFERROR(__xludf.DUMMYFUNCTION("TO_TEXT(A1074)"),"21161")</f>
        <v>21161</v>
      </c>
      <c r="C1074" s="1">
        <v>17229.0</v>
      </c>
      <c r="D1074" s="1">
        <v>240.127614540044</v>
      </c>
      <c r="E1074" s="1" t="s">
        <v>1246</v>
      </c>
      <c r="F1074" s="1" t="s">
        <v>1879</v>
      </c>
      <c r="G1074" s="1">
        <v>71.7493489159985</v>
      </c>
      <c r="H1074" s="1">
        <v>21.140409802</v>
      </c>
      <c r="I1074" s="1">
        <v>4.7023768642</v>
      </c>
      <c r="J1074" s="1">
        <v>7.9301075269</v>
      </c>
      <c r="K1074" s="1">
        <v>22.345549446</v>
      </c>
      <c r="L1074" s="1">
        <v>34.3</v>
      </c>
      <c r="M1074" s="1">
        <v>7.1</v>
      </c>
      <c r="N1074" s="1">
        <v>32.1</v>
      </c>
      <c r="O1074" s="1">
        <v>68.7364208119999</v>
      </c>
      <c r="P1074" s="1">
        <v>6.5541714948</v>
      </c>
      <c r="Q1074" s="1">
        <v>69.87306</v>
      </c>
      <c r="R1074" s="1">
        <v>94.029850746</v>
      </c>
      <c r="S1074" s="1">
        <v>24.8</v>
      </c>
      <c r="T1074" s="1">
        <v>3879.0</v>
      </c>
      <c r="U1074" s="1">
        <v>33.462232534</v>
      </c>
      <c r="V1074" s="1">
        <v>163.51797238</v>
      </c>
      <c r="W1074" s="1">
        <v>11.609110948</v>
      </c>
      <c r="X1074" s="1">
        <v>8.1141998497</v>
      </c>
      <c r="Y1074" s="1">
        <v>73.994989259</v>
      </c>
      <c r="Z1074" s="1">
        <v>12.3</v>
      </c>
      <c r="AA1074" s="1">
        <v>7.2412507862</v>
      </c>
      <c r="AB1074" s="1">
        <v>41807.0</v>
      </c>
      <c r="AC1074" s="1">
        <v>60.478400571</v>
      </c>
      <c r="AD1074" s="1">
        <v>65.131873044</v>
      </c>
      <c r="AE1074" s="1">
        <v>8.9428297668</v>
      </c>
      <c r="AF1074" s="1">
        <v>5.9591836735</v>
      </c>
      <c r="AG1074" s="1">
        <v>0.3731778426</v>
      </c>
      <c r="AH1074" s="1">
        <v>0.944606414</v>
      </c>
      <c r="AI1074" s="1">
        <v>0.0349854227</v>
      </c>
      <c r="AJ1074" s="1">
        <v>1.970845481</v>
      </c>
      <c r="AK1074" s="1">
        <v>88.7521865889999</v>
      </c>
      <c r="AL1074" s="1">
        <v>0.8812759883</v>
      </c>
      <c r="AM1074" s="1">
        <v>51.574344023</v>
      </c>
      <c r="AN1074" s="1">
        <v>55.397369926</v>
      </c>
      <c r="AO1074" s="1">
        <v>24124.0</v>
      </c>
      <c r="AP1074" s="1">
        <v>20.4</v>
      </c>
      <c r="AQ1074" s="1">
        <v>6.6</v>
      </c>
      <c r="AR1074" s="1">
        <v>17.2</v>
      </c>
      <c r="AS1074" s="1">
        <v>16.4</v>
      </c>
      <c r="AT1074" s="1">
        <v>23.2</v>
      </c>
      <c r="AU1074" s="1">
        <v>18.6</v>
      </c>
      <c r="AV1074" s="1">
        <v>10.5</v>
      </c>
      <c r="AW1074" s="1">
        <v>0.7</v>
      </c>
      <c r="AX1074" s="1">
        <v>0.7182</v>
      </c>
      <c r="AY1074" s="1">
        <v>15.7</v>
      </c>
      <c r="AZ1074" s="1">
        <v>15.7</v>
      </c>
      <c r="BA1074" s="1">
        <v>20.6</v>
      </c>
      <c r="BB1074" s="1">
        <v>2.78</v>
      </c>
      <c r="BC1074" s="1" t="s">
        <v>1761</v>
      </c>
      <c r="BD1074" s="1">
        <v>13.7</v>
      </c>
      <c r="BE1074" s="1">
        <v>34.7</v>
      </c>
      <c r="BF1074" s="1">
        <v>32.1</v>
      </c>
      <c r="BG1074" s="1">
        <v>19.5</v>
      </c>
      <c r="BH1074" s="1" t="s">
        <v>1879</v>
      </c>
    </row>
    <row r="1075">
      <c r="A1075" s="1">
        <v>21163.0</v>
      </c>
      <c r="B1075" s="2" t="str">
        <f>IFERROR(__xludf.DUMMYFUNCTION("TO_TEXT(A1075)"),"21163")</f>
        <v>21163</v>
      </c>
      <c r="C1075" s="1">
        <v>28751.0</v>
      </c>
      <c r="D1075" s="1">
        <v>305.423805237598</v>
      </c>
      <c r="E1075" s="1" t="s">
        <v>1679</v>
      </c>
      <c r="F1075" s="1" t="s">
        <v>1880</v>
      </c>
      <c r="G1075" s="1">
        <v>94.134771117902</v>
      </c>
      <c r="H1075" s="1">
        <v>20.453884799</v>
      </c>
      <c r="I1075" s="1">
        <v>4.6409858727</v>
      </c>
      <c r="J1075" s="1">
        <v>7.310565635</v>
      </c>
      <c r="K1075" s="1">
        <v>21.334399977</v>
      </c>
      <c r="L1075" s="1">
        <v>36.6</v>
      </c>
      <c r="M1075" s="1">
        <v>7.7</v>
      </c>
      <c r="N1075" s="1">
        <v>30.0</v>
      </c>
      <c r="O1075" s="1">
        <v>46.930284595</v>
      </c>
      <c r="P1075" s="1">
        <v>5.7855028969</v>
      </c>
      <c r="Q1075" s="1">
        <v>21.31136</v>
      </c>
      <c r="R1075" s="1">
        <v>95.894428152</v>
      </c>
      <c r="S1075" s="1">
        <v>15.7</v>
      </c>
      <c r="T1075" s="1">
        <v>6438.0</v>
      </c>
      <c r="U1075" s="1">
        <v>21.186703945</v>
      </c>
      <c r="V1075" s="1">
        <v>77.020025207</v>
      </c>
      <c r="W1075" s="1">
        <v>11.759172154</v>
      </c>
      <c r="X1075" s="1">
        <v>9.7596153846</v>
      </c>
      <c r="Y1075" s="1">
        <v>76.154918479</v>
      </c>
      <c r="Z1075" s="1">
        <v>13.6</v>
      </c>
      <c r="AA1075" s="1">
        <v>7.7751645236</v>
      </c>
      <c r="AB1075" s="1">
        <v>57613.0</v>
      </c>
      <c r="AC1075" s="1">
        <v>53.349378259</v>
      </c>
      <c r="AD1075" s="1">
        <v>72.250423012</v>
      </c>
      <c r="AE1075" s="1">
        <v>9.1051805338</v>
      </c>
      <c r="AF1075" s="1">
        <v>3.6705554588</v>
      </c>
      <c r="AG1075" s="1">
        <v>0.6581925823</v>
      </c>
      <c r="AH1075" s="1">
        <v>0.9124151141</v>
      </c>
      <c r="AI1075" s="1">
        <v>0.1706425213</v>
      </c>
      <c r="AJ1075" s="1">
        <v>3.712345464</v>
      </c>
      <c r="AK1075" s="1">
        <v>89.071913634</v>
      </c>
      <c r="AL1075" s="1">
        <v>0.1153574219</v>
      </c>
      <c r="AM1075" s="1">
        <v>49.643043705</v>
      </c>
      <c r="AN1075" s="1">
        <v>85.899587441</v>
      </c>
      <c r="AO1075" s="1">
        <v>24018.0</v>
      </c>
      <c r="AP1075" s="1">
        <v>15.6</v>
      </c>
      <c r="AQ1075" s="1">
        <v>9.0</v>
      </c>
      <c r="AR1075" s="1">
        <v>13.5</v>
      </c>
      <c r="AS1075" s="1">
        <v>12.4</v>
      </c>
      <c r="AT1075" s="1">
        <v>24.8</v>
      </c>
      <c r="AU1075" s="1">
        <v>17.7</v>
      </c>
      <c r="AV1075" s="1">
        <v>10.6</v>
      </c>
      <c r="AW1075" s="1">
        <v>0.2</v>
      </c>
      <c r="AX1075" s="1">
        <v>0.4594</v>
      </c>
      <c r="AY1075" s="1">
        <v>11.4</v>
      </c>
      <c r="AZ1075" s="1">
        <v>12.6</v>
      </c>
      <c r="BA1075" s="1">
        <v>16.0</v>
      </c>
      <c r="BB1075" s="1">
        <v>2.91</v>
      </c>
      <c r="BC1075" s="1" t="s">
        <v>1761</v>
      </c>
      <c r="BD1075" s="1">
        <v>11.3</v>
      </c>
      <c r="BE1075" s="1">
        <v>35.5</v>
      </c>
      <c r="BF1075" s="1">
        <v>33.8</v>
      </c>
      <c r="BG1075" s="1">
        <v>19.4</v>
      </c>
      <c r="BH1075" s="1" t="s">
        <v>1880</v>
      </c>
    </row>
    <row r="1076">
      <c r="A1076" s="1">
        <v>21165.0</v>
      </c>
      <c r="B1076" s="2" t="str">
        <f>IFERROR(__xludf.DUMMYFUNCTION("TO_TEXT(A1076)"),"21165")</f>
        <v>21165</v>
      </c>
      <c r="C1076" s="1">
        <v>6345.0</v>
      </c>
      <c r="D1076" s="1">
        <v>203.584943259497</v>
      </c>
      <c r="E1076" s="1" t="s">
        <v>1881</v>
      </c>
      <c r="F1076" s="1" t="s">
        <v>1882</v>
      </c>
      <c r="G1076" s="1">
        <v>31.1663519826827</v>
      </c>
      <c r="H1076" s="1">
        <v>23.120550821</v>
      </c>
      <c r="I1076" s="1">
        <v>4.9405229349</v>
      </c>
      <c r="J1076" s="1">
        <v>7.7235772358</v>
      </c>
      <c r="K1076" s="1">
        <v>21.258876109</v>
      </c>
      <c r="L1076" s="1">
        <v>32.9</v>
      </c>
      <c r="M1076" s="1">
        <v>7.8</v>
      </c>
      <c r="N1076" s="1">
        <v>33.7</v>
      </c>
      <c r="O1076" s="1">
        <v>84.23723438</v>
      </c>
      <c r="P1076" s="1">
        <v>7.0713022982</v>
      </c>
      <c r="Q1076" s="1">
        <v>46.4756</v>
      </c>
      <c r="R1076" s="1">
        <v>97.183098592</v>
      </c>
      <c r="S1076" s="1">
        <v>39.2</v>
      </c>
      <c r="T1076" s="1">
        <v>1334.0</v>
      </c>
      <c r="U1076" s="1">
        <v>31.4092953519999</v>
      </c>
      <c r="V1076" s="1">
        <v>31.668118122</v>
      </c>
      <c r="W1076" s="1">
        <v>10.912698413</v>
      </c>
      <c r="X1076" s="1">
        <v>8.8270858525</v>
      </c>
      <c r="Y1076" s="1">
        <v>72.624788522</v>
      </c>
      <c r="Z1076" s="1">
        <v>22.9</v>
      </c>
      <c r="AA1076" s="1">
        <v>0.744382727999999</v>
      </c>
      <c r="AB1076" s="1">
        <v>34002.0</v>
      </c>
      <c r="AC1076" s="1">
        <v>80.889787664</v>
      </c>
      <c r="AD1076" s="1">
        <v>82.645584265</v>
      </c>
      <c r="AE1076" s="1">
        <v>8.8383838384</v>
      </c>
      <c r="AF1076" s="1">
        <v>2.8522709657</v>
      </c>
      <c r="AG1076" s="1">
        <v>0.2480235622</v>
      </c>
      <c r="AH1076" s="1">
        <v>0.1860176717</v>
      </c>
      <c r="AI1076" s="1">
        <v>0.0310029453</v>
      </c>
      <c r="AJ1076" s="1">
        <v>1.2091148659</v>
      </c>
      <c r="AK1076" s="1">
        <v>94.326461014</v>
      </c>
      <c r="AL1076" s="1">
        <v>0.0</v>
      </c>
      <c r="AM1076" s="1">
        <v>49.139668268</v>
      </c>
      <c r="AN1076" s="1">
        <v>100.0</v>
      </c>
      <c r="AO1076" s="1">
        <v>18995.0</v>
      </c>
      <c r="AP1076" s="1">
        <v>24.1</v>
      </c>
      <c r="AQ1076" s="1">
        <v>10.7</v>
      </c>
      <c r="AR1076" s="1">
        <v>23.0</v>
      </c>
      <c r="AS1076" s="1">
        <v>18.0</v>
      </c>
      <c r="AT1076" s="1">
        <v>21.4</v>
      </c>
      <c r="AU1076" s="1">
        <v>21.6</v>
      </c>
      <c r="AV1076" s="1">
        <v>2.2</v>
      </c>
      <c r="AW1076" s="1">
        <v>0.0</v>
      </c>
      <c r="AX1076" s="1">
        <v>0.6326</v>
      </c>
      <c r="AY1076" s="1">
        <v>26.1</v>
      </c>
      <c r="AZ1076" s="1">
        <v>17.8</v>
      </c>
      <c r="BA1076" s="1">
        <v>28.7</v>
      </c>
      <c r="BB1076" s="1">
        <v>2.73</v>
      </c>
      <c r="BC1076" s="1" t="s">
        <v>1761</v>
      </c>
      <c r="BD1076" s="1">
        <v>22.6</v>
      </c>
      <c r="BE1076" s="1">
        <v>44.7</v>
      </c>
      <c r="BF1076" s="1">
        <v>21.5</v>
      </c>
      <c r="BG1076" s="1">
        <v>11.2</v>
      </c>
      <c r="BH1076" s="1" t="s">
        <v>1882</v>
      </c>
    </row>
    <row r="1077">
      <c r="A1077" s="1">
        <v>21167.0</v>
      </c>
      <c r="B1077" s="2" t="str">
        <f>IFERROR(__xludf.DUMMYFUNCTION("TO_TEXT(A1077)"),"21167")</f>
        <v>21167</v>
      </c>
      <c r="C1077" s="1">
        <v>21411.0</v>
      </c>
      <c r="D1077" s="1">
        <v>248.832278724616</v>
      </c>
      <c r="E1077" s="1" t="s">
        <v>1252</v>
      </c>
      <c r="F1077" s="1" t="s">
        <v>1883</v>
      </c>
      <c r="G1077" s="1">
        <v>86.0459105616907</v>
      </c>
      <c r="H1077" s="1">
        <v>20.88604296</v>
      </c>
      <c r="I1077" s="1">
        <v>4.7831704859</v>
      </c>
      <c r="J1077" s="1">
        <v>8.88758093</v>
      </c>
      <c r="K1077" s="1">
        <v>20.510978039</v>
      </c>
      <c r="L1077" s="1">
        <v>27.1</v>
      </c>
      <c r="M1077" s="1">
        <v>7.3</v>
      </c>
      <c r="N1077" s="1">
        <v>28.6</v>
      </c>
      <c r="O1077" s="1">
        <v>61.670807745</v>
      </c>
      <c r="P1077" s="1">
        <v>6.7358999369</v>
      </c>
      <c r="Q1077" s="1">
        <v>23.23312</v>
      </c>
      <c r="R1077" s="1">
        <v>94.693877551</v>
      </c>
      <c r="S1077" s="1">
        <v>20.8</v>
      </c>
      <c r="T1077" s="1">
        <v>4703.0</v>
      </c>
      <c r="U1077" s="1">
        <v>28.130980225</v>
      </c>
      <c r="V1077" s="1">
        <v>95.65945235</v>
      </c>
      <c r="W1077" s="1">
        <v>13.0459444129999</v>
      </c>
      <c r="X1077" s="1">
        <v>10.793832096</v>
      </c>
      <c r="Y1077" s="1">
        <v>74.698463413</v>
      </c>
      <c r="Z1077" s="1">
        <v>14.6</v>
      </c>
      <c r="AA1077" s="1">
        <v>9.4254598179</v>
      </c>
      <c r="AB1077" s="1">
        <v>53921.0</v>
      </c>
      <c r="AC1077" s="1">
        <v>56.7479191439999</v>
      </c>
      <c r="AD1077" s="1">
        <v>71.263563178</v>
      </c>
      <c r="AE1077" s="1">
        <v>10.870605118</v>
      </c>
      <c r="AF1077" s="1">
        <v>3.4352897952</v>
      </c>
      <c r="AG1077" s="1">
        <v>0.3214843391</v>
      </c>
      <c r="AH1077" s="1">
        <v>0.6659318453</v>
      </c>
      <c r="AI1077" s="1">
        <v>0.110223202</v>
      </c>
      <c r="AJ1077" s="1">
        <v>3.2148433912</v>
      </c>
      <c r="AK1077" s="1">
        <v>90.57591623</v>
      </c>
      <c r="AL1077" s="1">
        <v>0.577492596199999</v>
      </c>
      <c r="AM1077" s="1">
        <v>50.9368972169999</v>
      </c>
      <c r="AN1077" s="1">
        <v>59.1439688719999</v>
      </c>
      <c r="AO1077" s="1">
        <v>24079.0</v>
      </c>
      <c r="AP1077" s="1">
        <v>18.1</v>
      </c>
      <c r="AQ1077" s="1">
        <v>9.3</v>
      </c>
      <c r="AR1077" s="1">
        <v>15.3</v>
      </c>
      <c r="AS1077" s="1">
        <v>17.8</v>
      </c>
      <c r="AT1077" s="1">
        <v>22.4</v>
      </c>
      <c r="AU1077" s="1">
        <v>19.3</v>
      </c>
      <c r="AV1077" s="1">
        <v>8.5</v>
      </c>
      <c r="AW1077" s="1">
        <v>0.7</v>
      </c>
      <c r="AX1077" s="1">
        <v>0.4406</v>
      </c>
      <c r="AY1077" s="1">
        <v>13.8</v>
      </c>
      <c r="AZ1077" s="1">
        <v>14.2</v>
      </c>
      <c r="BA1077" s="1">
        <v>17.5</v>
      </c>
      <c r="BB1077" s="1">
        <v>2.7</v>
      </c>
      <c r="BC1077" s="1" t="s">
        <v>1761</v>
      </c>
      <c r="BD1077" s="1">
        <v>15.6</v>
      </c>
      <c r="BE1077" s="1">
        <v>36.8</v>
      </c>
      <c r="BF1077" s="1">
        <v>29.1</v>
      </c>
      <c r="BG1077" s="1">
        <v>18.5</v>
      </c>
      <c r="BH1077" s="1" t="s">
        <v>1883</v>
      </c>
    </row>
    <row r="1078">
      <c r="A1078" s="1">
        <v>21169.0</v>
      </c>
      <c r="B1078" s="2" t="str">
        <f>IFERROR(__xludf.DUMMYFUNCTION("TO_TEXT(A1078)"),"21169")</f>
        <v>21169</v>
      </c>
      <c r="C1078" s="1">
        <v>9983.0</v>
      </c>
      <c r="D1078" s="1">
        <v>289.645389477146</v>
      </c>
      <c r="E1078" s="1" t="s">
        <v>1884</v>
      </c>
      <c r="F1078" s="1" t="s">
        <v>1885</v>
      </c>
      <c r="G1078" s="1">
        <v>34.4662831264839</v>
      </c>
      <c r="H1078" s="1">
        <v>24.850384953</v>
      </c>
      <c r="I1078" s="1">
        <v>5.1512282756</v>
      </c>
      <c r="J1078" s="1">
        <v>7.6923076923</v>
      </c>
      <c r="K1078" s="1">
        <v>24.082175302</v>
      </c>
      <c r="L1078" s="1">
        <v>33.6</v>
      </c>
      <c r="M1078" s="1">
        <v>8.0</v>
      </c>
      <c r="N1078" s="1">
        <v>33.3</v>
      </c>
      <c r="O1078" s="1">
        <v>54.6984849989999</v>
      </c>
      <c r="P1078" s="1">
        <v>6.637113656</v>
      </c>
      <c r="Q1078" s="1">
        <v>19.78827</v>
      </c>
      <c r="R1078" s="1">
        <v>94.444444444</v>
      </c>
      <c r="S1078" s="1">
        <v>37.0</v>
      </c>
      <c r="T1078" s="1">
        <v>2283.0</v>
      </c>
      <c r="U1078" s="1">
        <v>31.362242663</v>
      </c>
      <c r="V1078" s="1">
        <v>65.593622282</v>
      </c>
      <c r="W1078" s="1">
        <v>9.94897959179999</v>
      </c>
      <c r="X1078" s="1">
        <v>8.9960886571</v>
      </c>
      <c r="Y1078" s="1">
        <v>74.475173128</v>
      </c>
      <c r="Z1078" s="1">
        <v>12.3</v>
      </c>
      <c r="AA1078" s="1">
        <v>0.534019096599999</v>
      </c>
      <c r="AB1078" s="1">
        <v>35906.0</v>
      </c>
      <c r="AC1078" s="1">
        <v>73.341523342</v>
      </c>
      <c r="AD1078" s="1">
        <v>77.213606803</v>
      </c>
      <c r="AE1078" s="1">
        <v>9.5688748686</v>
      </c>
      <c r="AF1078" s="1">
        <v>1.5952143569</v>
      </c>
      <c r="AG1078" s="1">
        <v>0.2891326022</v>
      </c>
      <c r="AH1078" s="1">
        <v>0.2991026919</v>
      </c>
      <c r="AI1078" s="1">
        <v>0.0099700897</v>
      </c>
      <c r="AJ1078" s="1">
        <v>1.924227318</v>
      </c>
      <c r="AK1078" s="1">
        <v>94.865403789</v>
      </c>
      <c r="AL1078" s="1">
        <v>0.2770083102</v>
      </c>
      <c r="AM1078" s="1">
        <v>50.4187437689999</v>
      </c>
      <c r="AN1078" s="1">
        <v>100.0</v>
      </c>
      <c r="AO1078" s="1">
        <v>18141.0</v>
      </c>
      <c r="AP1078" s="1">
        <v>22.8</v>
      </c>
      <c r="AQ1078" s="1">
        <v>7.1</v>
      </c>
      <c r="AR1078" s="1">
        <v>24.0</v>
      </c>
      <c r="AS1078" s="1">
        <v>18.6</v>
      </c>
      <c r="AT1078" s="1">
        <v>22.9</v>
      </c>
      <c r="AU1078" s="1">
        <v>23.3</v>
      </c>
      <c r="AV1078" s="1">
        <v>6.5</v>
      </c>
      <c r="AW1078" s="1">
        <v>0.0</v>
      </c>
      <c r="AX1078" s="1">
        <v>0.6011</v>
      </c>
      <c r="AY1078" s="1">
        <v>22.6</v>
      </c>
      <c r="AZ1078" s="1">
        <v>17.0</v>
      </c>
      <c r="BA1078" s="1">
        <v>23.5</v>
      </c>
      <c r="BB1078" s="1">
        <v>2.65</v>
      </c>
      <c r="BC1078" s="1" t="s">
        <v>1761</v>
      </c>
      <c r="BD1078" s="1">
        <v>24.4</v>
      </c>
      <c r="BE1078" s="1">
        <v>38.6</v>
      </c>
      <c r="BF1078" s="1">
        <v>24.0</v>
      </c>
      <c r="BG1078" s="1">
        <v>13.0</v>
      </c>
      <c r="BH1078" s="1" t="s">
        <v>1885</v>
      </c>
    </row>
    <row r="1079">
      <c r="A1079" s="1">
        <v>21171.0</v>
      </c>
      <c r="B1079" s="2" t="str">
        <f>IFERROR(__xludf.DUMMYFUNCTION("TO_TEXT(A1079)"),"21171")</f>
        <v>21171</v>
      </c>
      <c r="C1079" s="1">
        <v>10692.0</v>
      </c>
      <c r="D1079" s="1">
        <v>329.373321562374</v>
      </c>
      <c r="E1079" s="1" t="s">
        <v>158</v>
      </c>
      <c r="F1079" s="1" t="s">
        <v>1886</v>
      </c>
      <c r="G1079" s="1">
        <v>32.4616454947923</v>
      </c>
      <c r="H1079" s="1">
        <v>23.82316115</v>
      </c>
      <c r="I1079" s="1">
        <v>5.0095895366</v>
      </c>
      <c r="J1079" s="1">
        <v>8.718487395</v>
      </c>
      <c r="K1079" s="1">
        <v>23.155207438</v>
      </c>
      <c r="L1079" s="1">
        <v>36.8</v>
      </c>
      <c r="M1079" s="1">
        <v>7.8</v>
      </c>
      <c r="N1079" s="1">
        <v>35.6</v>
      </c>
      <c r="O1079" s="1">
        <v>45.735656298</v>
      </c>
      <c r="P1079" s="1">
        <v>8.210180624</v>
      </c>
      <c r="Q1079" s="1">
        <v>46.90872</v>
      </c>
      <c r="R1079" s="1">
        <v>98.5507246379999</v>
      </c>
      <c r="S1079" s="1">
        <v>34.6</v>
      </c>
      <c r="T1079" s="1">
        <v>2346.0</v>
      </c>
      <c r="U1079" s="1">
        <v>28.687127025</v>
      </c>
      <c r="V1079" s="1">
        <v>28.561907935</v>
      </c>
      <c r="W1079" s="1">
        <v>14.253393665</v>
      </c>
      <c r="X1079" s="1">
        <v>10.486111111</v>
      </c>
      <c r="Y1079" s="1">
        <v>72.511294108</v>
      </c>
      <c r="Z1079" s="1">
        <v>19.4</v>
      </c>
      <c r="AA1079" s="1">
        <v>1.4031863576</v>
      </c>
      <c r="AB1079" s="1">
        <v>35596.0</v>
      </c>
      <c r="AC1079" s="1">
        <v>71.069518717</v>
      </c>
      <c r="AD1079" s="1">
        <v>71.13729044</v>
      </c>
      <c r="AE1079" s="1">
        <v>11.346633416</v>
      </c>
      <c r="AF1079" s="1">
        <v>2.1086023512</v>
      </c>
      <c r="AG1079" s="1">
        <v>0.1586116813</v>
      </c>
      <c r="AH1079" s="1">
        <v>0.2892330659</v>
      </c>
      <c r="AI1079" s="1">
        <v>0.0559805934</v>
      </c>
      <c r="AJ1079" s="1">
        <v>3.2002239224</v>
      </c>
      <c r="AK1079" s="1">
        <v>93.151707408</v>
      </c>
      <c r="AL1079" s="1">
        <v>0.440484533</v>
      </c>
      <c r="AM1079" s="1">
        <v>50.149281582</v>
      </c>
      <c r="AN1079" s="1">
        <v>100.0</v>
      </c>
      <c r="AO1079" s="1">
        <v>19969.0</v>
      </c>
      <c r="AP1079" s="1">
        <v>26.1</v>
      </c>
      <c r="AQ1079" s="1">
        <v>9.0</v>
      </c>
      <c r="AR1079" s="1">
        <v>24.8</v>
      </c>
      <c r="AS1079" s="1">
        <v>18.2</v>
      </c>
      <c r="AT1079" s="1">
        <v>22.6</v>
      </c>
      <c r="AU1079" s="1">
        <v>23.0</v>
      </c>
      <c r="AV1079" s="1">
        <v>6.2</v>
      </c>
      <c r="AW1079" s="1">
        <v>0.5</v>
      </c>
      <c r="AX1079" s="1">
        <v>0.844</v>
      </c>
      <c r="AY1079" s="1">
        <v>21.7</v>
      </c>
      <c r="AZ1079" s="1">
        <v>17.2</v>
      </c>
      <c r="BA1079" s="1">
        <v>23.9</v>
      </c>
      <c r="BB1079" s="1">
        <v>2.75</v>
      </c>
      <c r="BC1079" s="1" t="s">
        <v>1761</v>
      </c>
      <c r="BD1079" s="1">
        <v>25.2</v>
      </c>
      <c r="BE1079" s="1">
        <v>39.3</v>
      </c>
      <c r="BF1079" s="1">
        <v>21.1</v>
      </c>
      <c r="BG1079" s="1">
        <v>14.4</v>
      </c>
      <c r="BH1079" s="1" t="s">
        <v>1886</v>
      </c>
    </row>
    <row r="1080">
      <c r="A1080" s="1">
        <v>21173.0</v>
      </c>
      <c r="B1080" s="2" t="str">
        <f>IFERROR(__xludf.DUMMYFUNCTION("TO_TEXT(A1080)"),"21173")</f>
        <v>21173</v>
      </c>
      <c r="C1080" s="1">
        <v>27391.0</v>
      </c>
      <c r="D1080" s="1">
        <v>197.366632711083</v>
      </c>
      <c r="E1080" s="1" t="s">
        <v>160</v>
      </c>
      <c r="F1080" s="1" t="s">
        <v>1887</v>
      </c>
      <c r="G1080" s="1">
        <v>138.782324163662</v>
      </c>
      <c r="H1080" s="1">
        <v>22.425612966</v>
      </c>
      <c r="I1080" s="1">
        <v>5.01771325</v>
      </c>
      <c r="J1080" s="1">
        <v>9.0208172706</v>
      </c>
      <c r="K1080" s="1">
        <v>23.2173359369999</v>
      </c>
      <c r="L1080" s="1">
        <v>32.7</v>
      </c>
      <c r="M1080" s="1">
        <v>7.2</v>
      </c>
      <c r="N1080" s="1">
        <v>34.7</v>
      </c>
      <c r="O1080" s="1">
        <v>66.6779878489999</v>
      </c>
      <c r="P1080" s="1">
        <v>6.1779064242</v>
      </c>
      <c r="Q1080" s="1">
        <v>50.1289</v>
      </c>
      <c r="R1080" s="1">
        <v>97.385620915</v>
      </c>
      <c r="S1080" s="1">
        <v>21.1</v>
      </c>
      <c r="T1080" s="1">
        <v>6634.0</v>
      </c>
      <c r="U1080" s="1">
        <v>39.719626168</v>
      </c>
      <c r="V1080" s="1">
        <v>135.704851</v>
      </c>
      <c r="W1080" s="1">
        <v>12.3898139079999</v>
      </c>
      <c r="X1080" s="1">
        <v>10.296631473</v>
      </c>
      <c r="Y1080" s="1">
        <v>74.714215317</v>
      </c>
      <c r="Z1080" s="1">
        <v>13.5</v>
      </c>
      <c r="AA1080" s="1">
        <v>5.0584828008</v>
      </c>
      <c r="AB1080" s="1">
        <v>46629.0</v>
      </c>
      <c r="AC1080" s="1">
        <v>59.339503576</v>
      </c>
      <c r="AD1080" s="1">
        <v>66.396103896</v>
      </c>
      <c r="AE1080" s="1">
        <v>10.72356586</v>
      </c>
      <c r="AF1080" s="1">
        <v>2.6167428997</v>
      </c>
      <c r="AG1080" s="1">
        <v>0.2801120448</v>
      </c>
      <c r="AH1080" s="1">
        <v>0.411303762</v>
      </c>
      <c r="AI1080" s="1">
        <v>0.0673687196</v>
      </c>
      <c r="AJ1080" s="1">
        <v>2.875580612</v>
      </c>
      <c r="AK1080" s="1">
        <v>92.60716945</v>
      </c>
      <c r="AL1080" s="1">
        <v>0.3660604192</v>
      </c>
      <c r="AM1080" s="1">
        <v>51.10449243</v>
      </c>
      <c r="AN1080" s="1">
        <v>59.111664591</v>
      </c>
      <c r="AO1080" s="1">
        <v>20437.0</v>
      </c>
      <c r="AP1080" s="1">
        <v>25.1</v>
      </c>
      <c r="AQ1080" s="1">
        <v>8.9</v>
      </c>
      <c r="AR1080" s="1">
        <v>18.3</v>
      </c>
      <c r="AS1080" s="1">
        <v>14.8</v>
      </c>
      <c r="AT1080" s="1">
        <v>24.2</v>
      </c>
      <c r="AU1080" s="1">
        <v>20.5</v>
      </c>
      <c r="AV1080" s="1">
        <v>6.9</v>
      </c>
      <c r="AW1080" s="1">
        <v>0.6</v>
      </c>
      <c r="AX1080" s="1">
        <v>0.8341</v>
      </c>
      <c r="AY1080" s="1">
        <v>15.8</v>
      </c>
      <c r="AZ1080" s="1">
        <v>17.0</v>
      </c>
      <c r="BA1080" s="1">
        <v>22.2</v>
      </c>
      <c r="BB1080" s="1">
        <v>2.71</v>
      </c>
      <c r="BC1080" s="1" t="s">
        <v>1761</v>
      </c>
      <c r="BD1080" s="1">
        <v>15.2</v>
      </c>
      <c r="BE1080" s="1">
        <v>40.3</v>
      </c>
      <c r="BF1080" s="1">
        <v>28.9</v>
      </c>
      <c r="BG1080" s="1">
        <v>15.7</v>
      </c>
      <c r="BH1080" s="1" t="s">
        <v>1887</v>
      </c>
    </row>
    <row r="1081">
      <c r="A1081" s="1">
        <v>21175.0</v>
      </c>
      <c r="B1081" s="2" t="str">
        <f>IFERROR(__xludf.DUMMYFUNCTION("TO_TEXT(A1081)"),"21175")</f>
        <v>21175</v>
      </c>
      <c r="C1081" s="1">
        <v>13379.0</v>
      </c>
      <c r="D1081" s="1">
        <v>381.127117042914</v>
      </c>
      <c r="E1081" s="1" t="s">
        <v>162</v>
      </c>
      <c r="F1081" s="1" t="s">
        <v>1888</v>
      </c>
      <c r="G1081" s="1">
        <v>35.1037735226106</v>
      </c>
      <c r="H1081" s="1">
        <v>25.965002343</v>
      </c>
      <c r="I1081" s="1">
        <v>5.0815114587</v>
      </c>
      <c r="J1081" s="1">
        <v>10.213243547</v>
      </c>
      <c r="K1081" s="1">
        <v>24.9701097219999</v>
      </c>
      <c r="L1081" s="1">
        <v>37.6</v>
      </c>
      <c r="M1081" s="1">
        <v>6.7</v>
      </c>
      <c r="N1081" s="1">
        <v>33.2</v>
      </c>
      <c r="O1081" s="1">
        <v>56.834015658</v>
      </c>
      <c r="P1081" s="1">
        <v>7.8084555651</v>
      </c>
      <c r="Q1081" s="1">
        <v>22.74795</v>
      </c>
      <c r="R1081" s="1">
        <v>93.023255814</v>
      </c>
      <c r="S1081" s="1">
        <v>32.2</v>
      </c>
      <c r="T1081" s="1">
        <v>2392.0</v>
      </c>
      <c r="U1081" s="1">
        <v>35.702341137</v>
      </c>
      <c r="V1081" s="1">
        <v>22.77904328</v>
      </c>
      <c r="W1081" s="1">
        <v>9.9089989889</v>
      </c>
      <c r="X1081" s="1">
        <v>8.893442623</v>
      </c>
      <c r="Y1081" s="1">
        <v>74.877783404</v>
      </c>
      <c r="Z1081" s="1">
        <v>10.9</v>
      </c>
      <c r="AA1081" s="1">
        <v>8.5195057777</v>
      </c>
      <c r="AB1081" s="1">
        <v>35848.0</v>
      </c>
      <c r="AC1081" s="1">
        <v>71.0526315789999</v>
      </c>
      <c r="AD1081" s="1">
        <v>73.295683743</v>
      </c>
      <c r="AE1081" s="1">
        <v>10.8042421559999</v>
      </c>
      <c r="AF1081" s="1">
        <v>4.6908954665</v>
      </c>
      <c r="AG1081" s="1">
        <v>0.284750843</v>
      </c>
      <c r="AH1081" s="1">
        <v>0.5769951293</v>
      </c>
      <c r="AI1081" s="1">
        <v>0.0299737729</v>
      </c>
      <c r="AJ1081" s="1">
        <v>1.0266017235</v>
      </c>
      <c r="AK1081" s="1">
        <v>92.551517422</v>
      </c>
      <c r="AL1081" s="1">
        <v>0.0158015327</v>
      </c>
      <c r="AM1081" s="1">
        <v>42.84750843</v>
      </c>
      <c r="AN1081" s="1">
        <v>100.0</v>
      </c>
      <c r="AO1081" s="1">
        <v>16780.0</v>
      </c>
      <c r="AP1081" s="1">
        <v>24.9</v>
      </c>
      <c r="AQ1081" s="1">
        <v>8.5</v>
      </c>
      <c r="AR1081" s="1">
        <v>26.6</v>
      </c>
      <c r="AS1081" s="1">
        <v>14.8</v>
      </c>
      <c r="AT1081" s="1">
        <v>19.1</v>
      </c>
      <c r="AU1081" s="1">
        <v>25.1</v>
      </c>
      <c r="AV1081" s="1">
        <v>6.7</v>
      </c>
      <c r="AW1081" s="1">
        <v>0.2</v>
      </c>
      <c r="AX1081" s="1">
        <v>0.7864</v>
      </c>
      <c r="AY1081" s="1">
        <v>26.5</v>
      </c>
      <c r="AZ1081" s="1">
        <v>19.2</v>
      </c>
      <c r="BA1081" s="1">
        <v>27.4</v>
      </c>
      <c r="BB1081" s="1">
        <v>2.75</v>
      </c>
      <c r="BC1081" s="1" t="s">
        <v>1761</v>
      </c>
      <c r="BD1081" s="1">
        <v>23.7</v>
      </c>
      <c r="BE1081" s="1">
        <v>41.4</v>
      </c>
      <c r="BF1081" s="1">
        <v>22.4</v>
      </c>
      <c r="BG1081" s="1">
        <v>12.5</v>
      </c>
      <c r="BH1081" s="1" t="s">
        <v>1888</v>
      </c>
    </row>
    <row r="1082">
      <c r="A1082" s="1">
        <v>21177.0</v>
      </c>
      <c r="B1082" s="2" t="str">
        <f>IFERROR(__xludf.DUMMYFUNCTION("TO_TEXT(A1082)"),"21177")</f>
        <v>21177</v>
      </c>
      <c r="C1082" s="1">
        <v>31216.0</v>
      </c>
      <c r="D1082" s="1">
        <v>467.080924976978</v>
      </c>
      <c r="E1082" s="1" t="s">
        <v>1889</v>
      </c>
      <c r="F1082" s="1" t="s">
        <v>1890</v>
      </c>
      <c r="G1082" s="1">
        <v>66.8321019565049</v>
      </c>
      <c r="H1082" s="1">
        <v>22.7680834409999</v>
      </c>
      <c r="I1082" s="1">
        <v>4.7970069598</v>
      </c>
      <c r="J1082" s="1">
        <v>7.9721995094</v>
      </c>
      <c r="K1082" s="1">
        <v>21.759222839</v>
      </c>
      <c r="L1082" s="1">
        <v>35.8</v>
      </c>
      <c r="M1082" s="1">
        <v>7.6</v>
      </c>
      <c r="N1082" s="1">
        <v>34.8</v>
      </c>
      <c r="O1082" s="1">
        <v>51.757198641</v>
      </c>
      <c r="P1082" s="1">
        <v>6.8126933017</v>
      </c>
      <c r="Q1082" s="1">
        <v>45.43094</v>
      </c>
      <c r="R1082" s="1">
        <v>89.920424403</v>
      </c>
      <c r="S1082" s="1">
        <v>22.7</v>
      </c>
      <c r="T1082" s="1">
        <v>6339.0</v>
      </c>
      <c r="U1082" s="1">
        <v>28.774254614</v>
      </c>
      <c r="V1082" s="1">
        <v>78.819952708</v>
      </c>
      <c r="W1082" s="1">
        <v>8.6446568202</v>
      </c>
      <c r="X1082" s="1">
        <v>6.5026362039</v>
      </c>
      <c r="Y1082" s="1">
        <v>75.299662052</v>
      </c>
      <c r="Z1082" s="1">
        <v>12.0</v>
      </c>
      <c r="AA1082" s="1">
        <v>2.2556655314</v>
      </c>
      <c r="AB1082" s="1">
        <v>43722.0</v>
      </c>
      <c r="AC1082" s="1">
        <v>57.610301879</v>
      </c>
      <c r="AD1082" s="1">
        <v>78.731112486</v>
      </c>
      <c r="AE1082" s="1">
        <v>7.3598238047</v>
      </c>
      <c r="AF1082" s="1">
        <v>4.7702606096</v>
      </c>
      <c r="AG1082" s="1">
        <v>0.217716254</v>
      </c>
      <c r="AH1082" s="1">
        <v>0.3087021512</v>
      </c>
      <c r="AI1082" s="1">
        <v>0.019496978</v>
      </c>
      <c r="AJ1082" s="1">
        <v>1.54026125949999</v>
      </c>
      <c r="AK1082" s="1">
        <v>92.0549814779999</v>
      </c>
      <c r="AL1082" s="1">
        <v>0.1222369359</v>
      </c>
      <c r="AM1082" s="1">
        <v>48.9569116789999</v>
      </c>
      <c r="AN1082" s="1">
        <v>68.433918537</v>
      </c>
      <c r="AO1082" s="1">
        <v>19934.0</v>
      </c>
      <c r="AP1082" s="1">
        <v>19.7</v>
      </c>
      <c r="AQ1082" s="1">
        <v>8.4</v>
      </c>
      <c r="AR1082" s="1">
        <v>20.5</v>
      </c>
      <c r="AS1082" s="1">
        <v>17.6</v>
      </c>
      <c r="AT1082" s="1">
        <v>21.1</v>
      </c>
      <c r="AU1082" s="1">
        <v>21.0</v>
      </c>
      <c r="AV1082" s="1">
        <v>7.7</v>
      </c>
      <c r="AW1082" s="1">
        <v>0.2</v>
      </c>
      <c r="AX1082" s="1">
        <v>0.6749</v>
      </c>
      <c r="AY1082" s="1">
        <v>18.8</v>
      </c>
      <c r="AZ1082" s="1">
        <v>16.3</v>
      </c>
      <c r="BA1082" s="1">
        <v>22.0</v>
      </c>
      <c r="BB1082" s="1">
        <v>2.63</v>
      </c>
      <c r="BC1082" s="1" t="s">
        <v>1761</v>
      </c>
      <c r="BD1082" s="1">
        <v>17.9</v>
      </c>
      <c r="BE1082" s="1">
        <v>44.8</v>
      </c>
      <c r="BF1082" s="1">
        <v>24.8</v>
      </c>
      <c r="BG1082" s="1">
        <v>12.6</v>
      </c>
      <c r="BH1082" s="1" t="s">
        <v>1890</v>
      </c>
    </row>
    <row r="1083">
      <c r="A1083" s="1">
        <v>21179.0</v>
      </c>
      <c r="B1083" s="2" t="str">
        <f>IFERROR(__xludf.DUMMYFUNCTION("TO_TEXT(A1083)"),"21179")</f>
        <v>21179</v>
      </c>
      <c r="C1083" s="1">
        <v>44875.0</v>
      </c>
      <c r="D1083" s="1">
        <v>417.513145969856</v>
      </c>
      <c r="E1083" s="1" t="s">
        <v>1891</v>
      </c>
      <c r="F1083" s="1" t="s">
        <v>1892</v>
      </c>
      <c r="G1083" s="1">
        <v>107.481645627607</v>
      </c>
      <c r="H1083" s="1">
        <v>17.681061183</v>
      </c>
      <c r="I1083" s="1">
        <v>4.3908229513</v>
      </c>
      <c r="J1083" s="1">
        <v>8.2273747195</v>
      </c>
      <c r="K1083" s="1">
        <v>18.512715884</v>
      </c>
      <c r="L1083" s="1">
        <v>35.2</v>
      </c>
      <c r="M1083" s="1">
        <v>8.2</v>
      </c>
      <c r="N1083" s="1">
        <v>26.7</v>
      </c>
      <c r="O1083" s="1">
        <v>75.002877731</v>
      </c>
      <c r="P1083" s="1">
        <v>5.2399252181</v>
      </c>
      <c r="Q1083" s="1">
        <v>46.01227</v>
      </c>
      <c r="R1083" s="1">
        <v>96.131528046</v>
      </c>
      <c r="S1083" s="1">
        <v>16.4</v>
      </c>
      <c r="T1083" s="1">
        <v>10926.0</v>
      </c>
      <c r="U1083" s="1">
        <v>25.050338642</v>
      </c>
      <c r="V1083" s="1">
        <v>107.50662219</v>
      </c>
      <c r="W1083" s="1">
        <v>10.879025239</v>
      </c>
      <c r="X1083" s="1">
        <v>8.6408904511</v>
      </c>
      <c r="Y1083" s="1">
        <v>75.809977355</v>
      </c>
      <c r="Z1083" s="1">
        <v>11.5</v>
      </c>
      <c r="AA1083" s="1">
        <v>4.0362650457</v>
      </c>
      <c r="AB1083" s="1">
        <v>55602.0</v>
      </c>
      <c r="AC1083" s="1">
        <v>55.641970255</v>
      </c>
      <c r="AD1083" s="1">
        <v>76.639414556</v>
      </c>
      <c r="AE1083" s="1">
        <v>9.2154200366</v>
      </c>
      <c r="AF1083" s="1">
        <v>5.0075243724</v>
      </c>
      <c r="AG1083" s="1">
        <v>0.224640684</v>
      </c>
      <c r="AH1083" s="1">
        <v>0.538701446</v>
      </c>
      <c r="AI1083" s="1">
        <v>0.0632483479</v>
      </c>
      <c r="AJ1083" s="1">
        <v>2.2180541319</v>
      </c>
      <c r="AK1083" s="1">
        <v>90.408060893</v>
      </c>
      <c r="AL1083" s="1">
        <v>0.247111153</v>
      </c>
      <c r="AM1083" s="1">
        <v>50.655383743</v>
      </c>
      <c r="AN1083" s="1">
        <v>56.9445403689999</v>
      </c>
      <c r="AO1083" s="1">
        <v>26353.0</v>
      </c>
      <c r="AP1083" s="1">
        <v>13.9</v>
      </c>
      <c r="AQ1083" s="1">
        <v>7.1</v>
      </c>
      <c r="AR1083" s="1">
        <v>11.0</v>
      </c>
      <c r="AS1083" s="1">
        <v>13.3</v>
      </c>
      <c r="AT1083" s="1">
        <v>25.0</v>
      </c>
      <c r="AU1083" s="1">
        <v>16.6</v>
      </c>
      <c r="AV1083" s="1">
        <v>9.4</v>
      </c>
      <c r="AW1083" s="1">
        <v>0.4</v>
      </c>
      <c r="AX1083" s="1">
        <v>0.3416</v>
      </c>
      <c r="AY1083" s="1">
        <v>10.5</v>
      </c>
      <c r="AZ1083" s="1">
        <v>12.1</v>
      </c>
      <c r="BA1083" s="1">
        <v>15.2</v>
      </c>
      <c r="BB1083" s="1">
        <v>2.87</v>
      </c>
      <c r="BC1083" s="1" t="s">
        <v>1761</v>
      </c>
      <c r="BD1083" s="1">
        <v>10.2</v>
      </c>
      <c r="BE1083" s="1">
        <v>37.2</v>
      </c>
      <c r="BF1083" s="1">
        <v>34.5</v>
      </c>
      <c r="BG1083" s="1">
        <v>18.0</v>
      </c>
      <c r="BH1083" s="1" t="s">
        <v>1892</v>
      </c>
    </row>
    <row r="1084">
      <c r="A1084" s="1">
        <v>21181.0</v>
      </c>
      <c r="B1084" s="2" t="str">
        <f>IFERROR(__xludf.DUMMYFUNCTION("TO_TEXT(A1084)"),"21181")</f>
        <v>21181</v>
      </c>
      <c r="C1084" s="1">
        <v>7062.0</v>
      </c>
      <c r="D1084" s="1">
        <v>195.16895093794</v>
      </c>
      <c r="E1084" s="1" t="s">
        <v>1893</v>
      </c>
      <c r="F1084" s="1" t="s">
        <v>1894</v>
      </c>
      <c r="G1084" s="1">
        <v>36.1840342229722</v>
      </c>
      <c r="H1084" s="1">
        <v>24.813315265</v>
      </c>
      <c r="I1084" s="1">
        <v>5.1891119228</v>
      </c>
      <c r="J1084" s="1">
        <v>9.7444089457</v>
      </c>
      <c r="K1084" s="1">
        <v>24.2784886969999</v>
      </c>
      <c r="L1084" s="1">
        <v>33.2</v>
      </c>
      <c r="M1084" s="1">
        <v>7.5</v>
      </c>
      <c r="N1084" s="1">
        <v>37.0</v>
      </c>
      <c r="O1084" s="1">
        <v>13.538892782</v>
      </c>
      <c r="P1084" s="1">
        <v>8.0928803142</v>
      </c>
      <c r="Q1084" s="1">
        <v>14.02525</v>
      </c>
      <c r="R1084" s="1">
        <v>96.8085106379999</v>
      </c>
      <c r="S1084" s="1">
        <v>28.2</v>
      </c>
      <c r="T1084" s="1">
        <v>1635.0</v>
      </c>
      <c r="U1084" s="1">
        <v>30.703363914</v>
      </c>
      <c r="V1084" s="1">
        <v>84.793668739</v>
      </c>
      <c r="W1084" s="1">
        <v>12.8623188409999</v>
      </c>
      <c r="X1084" s="1">
        <v>7.7695167286</v>
      </c>
      <c r="Y1084" s="1">
        <v>73.169699849</v>
      </c>
      <c r="Z1084" s="1">
        <v>15.7</v>
      </c>
      <c r="AA1084" s="1">
        <v>0.1889929813</v>
      </c>
      <c r="AB1084" s="1">
        <v>41428.0</v>
      </c>
      <c r="AC1084" s="1">
        <v>62.184115523</v>
      </c>
      <c r="AD1084" s="1">
        <v>71.455085375</v>
      </c>
      <c r="AE1084" s="1">
        <v>7.5623800384</v>
      </c>
      <c r="AF1084" s="1">
        <v>0.8372871895</v>
      </c>
      <c r="AG1084" s="1">
        <v>0.1814122244</v>
      </c>
      <c r="AH1084" s="1">
        <v>0.2790957298</v>
      </c>
      <c r="AI1084" s="1">
        <v>0.0</v>
      </c>
      <c r="AJ1084" s="1">
        <v>2.4002232766</v>
      </c>
      <c r="AK1084" s="1">
        <v>95.422830031</v>
      </c>
      <c r="AL1084" s="1">
        <v>0.5270290619</v>
      </c>
      <c r="AM1084" s="1">
        <v>50.4605079539999</v>
      </c>
      <c r="AN1084" s="1">
        <v>100.0</v>
      </c>
      <c r="AO1084" s="1">
        <v>22438.0</v>
      </c>
      <c r="AP1084" s="1">
        <v>26.0</v>
      </c>
      <c r="AQ1084" s="1">
        <v>7.8</v>
      </c>
      <c r="AR1084" s="1">
        <v>20.6</v>
      </c>
      <c r="AS1084" s="1">
        <v>17.1</v>
      </c>
      <c r="AT1084" s="1">
        <v>22.6</v>
      </c>
      <c r="AU1084" s="1">
        <v>22.0</v>
      </c>
      <c r="AV1084" s="1">
        <v>3.9</v>
      </c>
      <c r="AW1084" s="1">
        <v>0.5</v>
      </c>
      <c r="AX1084" s="1">
        <v>0.7507</v>
      </c>
      <c r="AY1084" s="1">
        <v>17.3</v>
      </c>
      <c r="AZ1084" s="1">
        <v>18.3</v>
      </c>
      <c r="BA1084" s="1">
        <v>27.9</v>
      </c>
      <c r="BB1084" s="1">
        <v>2.75</v>
      </c>
      <c r="BC1084" s="1" t="s">
        <v>1761</v>
      </c>
      <c r="BD1084" s="1">
        <v>24.2</v>
      </c>
      <c r="BE1084" s="1">
        <v>42.1</v>
      </c>
      <c r="BF1084" s="1">
        <v>24.8</v>
      </c>
      <c r="BG1084" s="1">
        <v>8.9</v>
      </c>
      <c r="BH1084" s="1" t="s">
        <v>1894</v>
      </c>
    </row>
    <row r="1085">
      <c r="A1085" s="1">
        <v>21183.0</v>
      </c>
      <c r="B1085" s="2" t="str">
        <f>IFERROR(__xludf.DUMMYFUNCTION("TO_TEXT(A1085)"),"21183")</f>
        <v>21183</v>
      </c>
      <c r="C1085" s="1">
        <v>24152.0</v>
      </c>
      <c r="D1085" s="1">
        <v>587.27387178294</v>
      </c>
      <c r="E1085" s="1" t="s">
        <v>1386</v>
      </c>
      <c r="F1085" s="1" t="s">
        <v>1895</v>
      </c>
      <c r="G1085" s="1">
        <v>41.1256164465065</v>
      </c>
      <c r="H1085" s="1">
        <v>23.88559732</v>
      </c>
      <c r="I1085" s="1">
        <v>5.23640392529999</v>
      </c>
      <c r="J1085" s="1">
        <v>8.3088954057</v>
      </c>
      <c r="K1085" s="1">
        <v>22.561980205</v>
      </c>
      <c r="L1085" s="1">
        <v>35.9</v>
      </c>
      <c r="M1085" s="1">
        <v>7.2</v>
      </c>
      <c r="N1085" s="1">
        <v>39.0</v>
      </c>
      <c r="O1085" s="1">
        <v>39.468165422</v>
      </c>
      <c r="P1085" s="1">
        <v>6.2436341414</v>
      </c>
      <c r="Q1085" s="1">
        <v>28.94715</v>
      </c>
      <c r="R1085" s="1">
        <v>94.262295082</v>
      </c>
      <c r="S1085" s="1">
        <v>25.0</v>
      </c>
      <c r="T1085" s="1">
        <v>5737.0</v>
      </c>
      <c r="U1085" s="1">
        <v>31.863343211</v>
      </c>
      <c r="V1085" s="1">
        <v>122.09254201</v>
      </c>
      <c r="W1085" s="1">
        <v>13.605823068</v>
      </c>
      <c r="X1085" s="1">
        <v>10.889395667</v>
      </c>
      <c r="Y1085" s="1">
        <v>74.833098614</v>
      </c>
      <c r="Z1085" s="1">
        <v>12.6</v>
      </c>
      <c r="AA1085" s="1">
        <v>8.3503013971</v>
      </c>
      <c r="AB1085" s="1">
        <v>44751.0</v>
      </c>
      <c r="AC1085" s="1">
        <v>65.297646516</v>
      </c>
      <c r="AD1085" s="1">
        <v>75.650066108</v>
      </c>
      <c r="AE1085" s="1">
        <v>10.814234712</v>
      </c>
      <c r="AF1085" s="1">
        <v>1.0212977955</v>
      </c>
      <c r="AG1085" s="1">
        <v>0.3196745132</v>
      </c>
      <c r="AH1085" s="1">
        <v>0.2947648109</v>
      </c>
      <c r="AI1085" s="1">
        <v>0.0332129364</v>
      </c>
      <c r="AJ1085" s="1">
        <v>3.4333873044</v>
      </c>
      <c r="AK1085" s="1">
        <v>94.2375555279999</v>
      </c>
      <c r="AL1085" s="1">
        <v>0.176382397</v>
      </c>
      <c r="AM1085" s="1">
        <v>50.217959895</v>
      </c>
      <c r="AN1085" s="1">
        <v>73.487962419</v>
      </c>
      <c r="AO1085" s="1">
        <v>19963.0</v>
      </c>
      <c r="AP1085" s="1">
        <v>21.2</v>
      </c>
      <c r="AQ1085" s="1">
        <v>10.7</v>
      </c>
      <c r="AR1085" s="1">
        <v>20.8</v>
      </c>
      <c r="AS1085" s="1">
        <v>17.2</v>
      </c>
      <c r="AT1085" s="1">
        <v>24.0</v>
      </c>
      <c r="AU1085" s="1">
        <v>20.8</v>
      </c>
      <c r="AV1085" s="1">
        <v>5.8</v>
      </c>
      <c r="AW1085" s="1">
        <v>1.1</v>
      </c>
      <c r="AX1085" s="1">
        <v>0.7791</v>
      </c>
      <c r="AY1085" s="1">
        <v>15.6</v>
      </c>
      <c r="AZ1085" s="1">
        <v>16.1</v>
      </c>
      <c r="BA1085" s="1">
        <v>24.6</v>
      </c>
      <c r="BB1085" s="1">
        <v>2.53</v>
      </c>
      <c r="BC1085" s="1" t="s">
        <v>1761</v>
      </c>
      <c r="BD1085" s="1">
        <v>16.7</v>
      </c>
      <c r="BE1085" s="1">
        <v>43.0</v>
      </c>
      <c r="BF1085" s="1">
        <v>26.7</v>
      </c>
      <c r="BG1085" s="1">
        <v>13.6</v>
      </c>
      <c r="BH1085" s="1" t="s">
        <v>1895</v>
      </c>
    </row>
    <row r="1086">
      <c r="A1086" s="1">
        <v>21185.0</v>
      </c>
      <c r="B1086" s="2" t="str">
        <f>IFERROR(__xludf.DUMMYFUNCTION("TO_TEXT(A1086)"),"21185")</f>
        <v>21185</v>
      </c>
      <c r="C1086" s="1">
        <v>63876.0</v>
      </c>
      <c r="D1086" s="1">
        <v>187.23314749615</v>
      </c>
      <c r="E1086" s="1" t="s">
        <v>1896</v>
      </c>
      <c r="F1086" s="1" t="s">
        <v>1897</v>
      </c>
      <c r="G1086" s="1">
        <v>341.157539966652</v>
      </c>
      <c r="H1086" s="1">
        <v>15.041677141</v>
      </c>
      <c r="I1086" s="1">
        <v>3.9375286473</v>
      </c>
      <c r="J1086" s="1">
        <v>7.1317427386</v>
      </c>
      <c r="K1086" s="1">
        <v>15.983121435</v>
      </c>
      <c r="L1086" s="1">
        <v>21.6</v>
      </c>
      <c r="M1086" s="1">
        <v>8.6</v>
      </c>
      <c r="N1086" s="1">
        <v>20.2</v>
      </c>
      <c r="O1086" s="1">
        <v>93.958485311</v>
      </c>
      <c r="P1086" s="1">
        <v>3.8085883203</v>
      </c>
      <c r="Q1086" s="1">
        <v>60.22736</v>
      </c>
      <c r="R1086" s="1">
        <v>97.55826859</v>
      </c>
      <c r="S1086" s="1">
        <v>5.1</v>
      </c>
      <c r="T1086" s="1">
        <v>16711.0</v>
      </c>
      <c r="U1086" s="1">
        <v>16.6058284959999</v>
      </c>
      <c r="V1086" s="1">
        <v>81.593323335</v>
      </c>
      <c r="W1086" s="1">
        <v>8.3870967742</v>
      </c>
      <c r="X1086" s="1">
        <v>7.25729972549999</v>
      </c>
      <c r="Y1086" s="1">
        <v>79.683348388</v>
      </c>
      <c r="Z1086" s="1">
        <v>8.7</v>
      </c>
      <c r="AA1086" s="1">
        <v>7.181283301</v>
      </c>
      <c r="AB1086" s="1">
        <v>102136.0</v>
      </c>
      <c r="AC1086" s="1">
        <v>20.387811634</v>
      </c>
      <c r="AD1086" s="1">
        <v>84.874354893</v>
      </c>
      <c r="AE1086" s="1">
        <v>6.8968909878</v>
      </c>
      <c r="AF1086" s="1">
        <v>4.2154355348</v>
      </c>
      <c r="AG1086" s="1">
        <v>0.4302692944</v>
      </c>
      <c r="AH1086" s="1">
        <v>1.7406348729</v>
      </c>
      <c r="AI1086" s="1">
        <v>0.0722130284</v>
      </c>
      <c r="AJ1086" s="1">
        <v>4.0680006018</v>
      </c>
      <c r="AK1086" s="1">
        <v>88.245825184</v>
      </c>
      <c r="AL1086" s="1">
        <v>0.3895372233</v>
      </c>
      <c r="AM1086" s="1">
        <v>47.630510005</v>
      </c>
      <c r="AN1086" s="1">
        <v>20.327939519</v>
      </c>
      <c r="AO1086" s="1">
        <v>35795.0</v>
      </c>
      <c r="AP1086" s="1">
        <v>6.0</v>
      </c>
      <c r="AQ1086" s="1">
        <v>4.1</v>
      </c>
      <c r="AR1086" s="1">
        <v>7.2</v>
      </c>
      <c r="AS1086" s="1">
        <v>11.6</v>
      </c>
      <c r="AT1086" s="1">
        <v>26.0</v>
      </c>
      <c r="AU1086" s="1">
        <v>9.3</v>
      </c>
      <c r="AV1086" s="1">
        <v>11.4</v>
      </c>
      <c r="AW1086" s="1">
        <v>0.3</v>
      </c>
      <c r="AX1086" s="1">
        <v>0.0344</v>
      </c>
      <c r="AY1086" s="1">
        <v>4.9</v>
      </c>
      <c r="AZ1086" s="1">
        <v>6.9</v>
      </c>
      <c r="BA1086" s="1">
        <v>7.7</v>
      </c>
      <c r="BB1086" s="1">
        <v>2.98</v>
      </c>
      <c r="BC1086" s="1" t="s">
        <v>1761</v>
      </c>
      <c r="BD1086" s="1">
        <v>6.2</v>
      </c>
      <c r="BE1086" s="1">
        <v>20.7</v>
      </c>
      <c r="BF1086" s="1">
        <v>30.8</v>
      </c>
      <c r="BG1086" s="1">
        <v>42.4</v>
      </c>
      <c r="BH1086" s="1" t="s">
        <v>1897</v>
      </c>
    </row>
    <row r="1087">
      <c r="A1087" s="1">
        <v>21187.0</v>
      </c>
      <c r="B1087" s="2" t="str">
        <f>IFERROR(__xludf.DUMMYFUNCTION("TO_TEXT(A1087)"),"21187")</f>
        <v>21187</v>
      </c>
      <c r="C1087" s="1">
        <v>10673.0</v>
      </c>
      <c r="D1087" s="1">
        <v>351.107874574588</v>
      </c>
      <c r="E1087" s="1" t="s">
        <v>1389</v>
      </c>
      <c r="F1087" s="1" t="s">
        <v>1898</v>
      </c>
      <c r="G1087" s="1">
        <v>30.3980650189965</v>
      </c>
      <c r="H1087" s="1">
        <v>21.219555592</v>
      </c>
      <c r="I1087" s="1">
        <v>4.7808966509</v>
      </c>
      <c r="J1087" s="1">
        <v>8.5794655415</v>
      </c>
      <c r="K1087" s="1">
        <v>20.786306288</v>
      </c>
      <c r="L1087" s="1">
        <v>35.6</v>
      </c>
      <c r="M1087" s="1">
        <v>7.9</v>
      </c>
      <c r="N1087" s="1">
        <v>34.8</v>
      </c>
      <c r="O1087" s="1">
        <v>15.422931464</v>
      </c>
      <c r="P1087" s="1">
        <v>6.4339493498</v>
      </c>
      <c r="Q1087" s="1">
        <v>37.15745</v>
      </c>
      <c r="R1087" s="1">
        <v>94.814814815</v>
      </c>
      <c r="S1087" s="1">
        <v>21.9</v>
      </c>
      <c r="T1087" s="1">
        <v>2601.0</v>
      </c>
      <c r="U1087" s="1">
        <v>38.831218762</v>
      </c>
      <c r="V1087" s="1">
        <v>18.753809368</v>
      </c>
      <c r="W1087" s="1">
        <v>18.124207858</v>
      </c>
      <c r="X1087" s="1">
        <v>12.817226352</v>
      </c>
      <c r="Y1087" s="1">
        <v>75.58296218</v>
      </c>
      <c r="Z1087" s="1">
        <v>18.2</v>
      </c>
      <c r="AA1087" s="1">
        <v>4.2561024761</v>
      </c>
      <c r="AB1087" s="1">
        <v>48998.0</v>
      </c>
      <c r="AC1087" s="1">
        <v>65.025906736</v>
      </c>
      <c r="AD1087" s="1">
        <v>73.093598572</v>
      </c>
      <c r="AE1087" s="1">
        <v>13.562533839</v>
      </c>
      <c r="AF1087" s="1">
        <v>1.0294117647</v>
      </c>
      <c r="AG1087" s="1">
        <v>0.3768382353</v>
      </c>
      <c r="AH1087" s="1">
        <v>0.1838235294</v>
      </c>
      <c r="AI1087" s="1">
        <v>0.0091911765</v>
      </c>
      <c r="AJ1087" s="1">
        <v>3.0238970588</v>
      </c>
      <c r="AK1087" s="1">
        <v>94.512867647</v>
      </c>
      <c r="AL1087" s="1">
        <v>0.3429691328</v>
      </c>
      <c r="AM1087" s="1">
        <v>50.3400735289999</v>
      </c>
      <c r="AN1087" s="1">
        <v>100.0</v>
      </c>
      <c r="AO1087" s="1">
        <v>22151.0</v>
      </c>
      <c r="AP1087" s="1">
        <v>17.7</v>
      </c>
      <c r="AQ1087" s="1">
        <v>8.5</v>
      </c>
      <c r="AR1087" s="1">
        <v>16.5</v>
      </c>
      <c r="AS1087" s="1">
        <v>16.7</v>
      </c>
      <c r="AT1087" s="1">
        <v>24.2</v>
      </c>
      <c r="AU1087" s="1">
        <v>20.9</v>
      </c>
      <c r="AV1087" s="1">
        <v>5.0</v>
      </c>
      <c r="AW1087" s="1">
        <v>0.1</v>
      </c>
      <c r="AX1087" s="1">
        <v>0.552999999999999</v>
      </c>
      <c r="AY1087" s="1">
        <v>15.7</v>
      </c>
      <c r="AZ1087" s="1">
        <v>14.8</v>
      </c>
      <c r="BA1087" s="1">
        <v>19.4</v>
      </c>
      <c r="BB1087" s="1">
        <v>2.86</v>
      </c>
      <c r="BC1087" s="1" t="s">
        <v>1761</v>
      </c>
      <c r="BD1087" s="1">
        <v>20.7</v>
      </c>
      <c r="BE1087" s="1">
        <v>46.4</v>
      </c>
      <c r="BF1087" s="1">
        <v>21.9</v>
      </c>
      <c r="BG1087" s="1">
        <v>10.9</v>
      </c>
      <c r="BH1087" s="1" t="s">
        <v>1898</v>
      </c>
    </row>
    <row r="1088">
      <c r="A1088" s="1">
        <v>21189.0</v>
      </c>
      <c r="B1088" s="2" t="str">
        <f>IFERROR(__xludf.DUMMYFUNCTION("TO_TEXT(A1088)"),"21189")</f>
        <v>21189</v>
      </c>
      <c r="C1088" s="1">
        <v>4552.0</v>
      </c>
      <c r="D1088" s="1">
        <v>197.407368788695</v>
      </c>
      <c r="E1088" s="1" t="s">
        <v>1899</v>
      </c>
      <c r="F1088" s="1" t="s">
        <v>1900</v>
      </c>
      <c r="G1088" s="1">
        <v>23.0589163308916</v>
      </c>
      <c r="H1088" s="1">
        <v>26.613177718</v>
      </c>
      <c r="I1088" s="1">
        <v>5.4368479438</v>
      </c>
      <c r="J1088" s="1">
        <v>10.0</v>
      </c>
      <c r="K1088" s="1">
        <v>26.140393121</v>
      </c>
      <c r="L1088" s="1">
        <v>46.3</v>
      </c>
      <c r="M1088" s="1">
        <v>6.9</v>
      </c>
      <c r="N1088" s="1">
        <v>26.1</v>
      </c>
      <c r="O1088" s="1">
        <v>86.687697161</v>
      </c>
      <c r="P1088" s="1">
        <v>6.1107938321</v>
      </c>
      <c r="Q1088" s="1">
        <v>48.31939</v>
      </c>
      <c r="R1088" s="1">
        <v>85.454545455</v>
      </c>
      <c r="S1088" s="1">
        <v>47.8</v>
      </c>
      <c r="T1088" s="1">
        <v>897.0</v>
      </c>
      <c r="U1088" s="1">
        <v>41.806020067</v>
      </c>
      <c r="V1088" s="1">
        <v>78.229772016</v>
      </c>
      <c r="W1088" s="1">
        <v>17.857142857</v>
      </c>
      <c r="X1088" s="1">
        <v>14.60815047</v>
      </c>
      <c r="Y1088" s="1">
        <v>69.016212377</v>
      </c>
      <c r="Z1088" s="1">
        <v>11.4</v>
      </c>
      <c r="AA1088" s="1">
        <v>0.501065487</v>
      </c>
      <c r="AB1088" s="1">
        <v>26278.0</v>
      </c>
      <c r="AC1088" s="1">
        <v>82.9355608589999</v>
      </c>
      <c r="AD1088" s="1">
        <v>69.771634615</v>
      </c>
      <c r="AE1088" s="1">
        <v>13.201094391</v>
      </c>
      <c r="AF1088" s="1">
        <v>0.5590339893</v>
      </c>
      <c r="AG1088" s="1">
        <v>0.313059034</v>
      </c>
      <c r="AH1088" s="1">
        <v>0.0894454383</v>
      </c>
      <c r="AI1088" s="1">
        <v>0.0670840787</v>
      </c>
      <c r="AJ1088" s="1">
        <v>1.58765652949999</v>
      </c>
      <c r="AK1088" s="1">
        <v>96.578711986</v>
      </c>
      <c r="AL1088" s="1">
        <v>0.0</v>
      </c>
      <c r="AM1088" s="1">
        <v>50.626118068</v>
      </c>
      <c r="AN1088" s="1">
        <v>100.0</v>
      </c>
      <c r="AO1088" s="1">
        <v>16533.0</v>
      </c>
      <c r="AP1088" s="1">
        <v>37.1</v>
      </c>
      <c r="AQ1088" s="1">
        <v>8.4</v>
      </c>
      <c r="AR1088" s="1">
        <v>29.8</v>
      </c>
      <c r="AS1088" s="1">
        <v>16.3</v>
      </c>
      <c r="AT1088" s="1">
        <v>21.4</v>
      </c>
      <c r="AU1088" s="1">
        <v>28.1</v>
      </c>
      <c r="AV1088" s="1">
        <v>6.0</v>
      </c>
      <c r="AW1088" s="1">
        <v>0.0</v>
      </c>
      <c r="AX1088" s="1">
        <v>0.8243</v>
      </c>
      <c r="AY1088" s="1">
        <v>35.5</v>
      </c>
      <c r="AZ1088" s="1">
        <v>23.7</v>
      </c>
      <c r="BA1088" s="1">
        <v>28.9</v>
      </c>
      <c r="BB1088" s="1">
        <v>2.84</v>
      </c>
      <c r="BC1088" s="1" t="s">
        <v>1761</v>
      </c>
      <c r="BD1088" s="1">
        <v>31.2</v>
      </c>
      <c r="BE1088" s="1">
        <v>36.8</v>
      </c>
      <c r="BF1088" s="1">
        <v>15.8</v>
      </c>
      <c r="BG1088" s="1">
        <v>16.2</v>
      </c>
      <c r="BH1088" s="1" t="s">
        <v>1900</v>
      </c>
    </row>
    <row r="1089">
      <c r="A1089" s="1">
        <v>21191.0</v>
      </c>
      <c r="B1089" s="2" t="str">
        <f>IFERROR(__xludf.DUMMYFUNCTION("TO_TEXT(A1089)"),"21191")</f>
        <v>21191</v>
      </c>
      <c r="C1089" s="1">
        <v>14509.0</v>
      </c>
      <c r="D1089" s="1">
        <v>277.159194427925</v>
      </c>
      <c r="E1089" s="1" t="s">
        <v>1901</v>
      </c>
      <c r="F1089" s="1" t="s">
        <v>1902</v>
      </c>
      <c r="G1089" s="1">
        <v>52.3489759376284</v>
      </c>
      <c r="H1089" s="1">
        <v>18.837650178</v>
      </c>
      <c r="I1089" s="1">
        <v>4.457594519</v>
      </c>
      <c r="J1089" s="1">
        <v>8.1715210356</v>
      </c>
      <c r="K1089" s="1">
        <v>19.88975986</v>
      </c>
      <c r="L1089" s="1">
        <v>33.2</v>
      </c>
      <c r="M1089" s="1">
        <v>8.3</v>
      </c>
      <c r="N1089" s="1">
        <v>26.8</v>
      </c>
      <c r="O1089" s="1">
        <v>35.101162869</v>
      </c>
      <c r="P1089" s="1">
        <v>6.0794756247</v>
      </c>
      <c r="Q1089" s="1">
        <v>20.58602</v>
      </c>
      <c r="R1089" s="1">
        <v>94.857142857</v>
      </c>
      <c r="S1089" s="1">
        <v>22.7</v>
      </c>
      <c r="T1089" s="1">
        <v>3310.0</v>
      </c>
      <c r="U1089" s="1">
        <v>34.833836858</v>
      </c>
      <c r="V1089" s="1">
        <v>56.733564995</v>
      </c>
      <c r="W1089" s="1">
        <v>10.670443815</v>
      </c>
      <c r="X1089" s="1">
        <v>9.1848450057</v>
      </c>
      <c r="Y1089" s="1">
        <v>74.368250321</v>
      </c>
      <c r="Z1089" s="1">
        <v>7.5</v>
      </c>
      <c r="AA1089" s="1">
        <v>0.2386584225</v>
      </c>
      <c r="AB1089" s="1">
        <v>54583.0</v>
      </c>
      <c r="AC1089" s="1">
        <v>62.139573757</v>
      </c>
      <c r="AD1089" s="1">
        <v>74.63878327</v>
      </c>
      <c r="AE1089" s="1">
        <v>13.4750350909999</v>
      </c>
      <c r="AF1089" s="1">
        <v>0.8672310551</v>
      </c>
      <c r="AG1089" s="1">
        <v>0.3303737353</v>
      </c>
      <c r="AH1089" s="1">
        <v>0.2340147292</v>
      </c>
      <c r="AI1089" s="1">
        <v>0.0481795030999999</v>
      </c>
      <c r="AJ1089" s="1">
        <v>1.3765572304</v>
      </c>
      <c r="AK1089" s="1">
        <v>96.035515177</v>
      </c>
      <c r="AL1089" s="1">
        <v>0.1534863324</v>
      </c>
      <c r="AM1089" s="1">
        <v>49.02608576</v>
      </c>
      <c r="AN1089" s="1">
        <v>100.0</v>
      </c>
      <c r="AO1089" s="1">
        <v>23578.0</v>
      </c>
      <c r="AP1089" s="1">
        <v>14.8</v>
      </c>
      <c r="AQ1089" s="1">
        <v>5.6</v>
      </c>
      <c r="AR1089" s="1">
        <v>15.3</v>
      </c>
      <c r="AS1089" s="1">
        <v>14.7</v>
      </c>
      <c r="AT1089" s="1">
        <v>22.6</v>
      </c>
      <c r="AU1089" s="1">
        <v>18.4</v>
      </c>
      <c r="AV1089" s="1">
        <v>3.0</v>
      </c>
      <c r="AW1089" s="1">
        <v>0.1</v>
      </c>
      <c r="AX1089" s="1">
        <v>0.2187</v>
      </c>
      <c r="AY1089" s="1">
        <v>12.4</v>
      </c>
      <c r="AZ1089" s="1">
        <v>14.1</v>
      </c>
      <c r="BA1089" s="1">
        <v>19.0</v>
      </c>
      <c r="BB1089" s="1">
        <v>2.99</v>
      </c>
      <c r="BC1089" s="1" t="s">
        <v>1761</v>
      </c>
      <c r="BD1089" s="1">
        <v>16.2</v>
      </c>
      <c r="BE1089" s="1">
        <v>43.8</v>
      </c>
      <c r="BF1089" s="1">
        <v>26.8</v>
      </c>
      <c r="BG1089" s="1">
        <v>13.2</v>
      </c>
      <c r="BH1089" s="1" t="s">
        <v>1902</v>
      </c>
    </row>
    <row r="1090">
      <c r="A1090" s="1">
        <v>21193.0</v>
      </c>
      <c r="B1090" s="2" t="str">
        <f>IFERROR(__xludf.DUMMYFUNCTION("TO_TEXT(A1090)"),"21193")</f>
        <v>21193</v>
      </c>
      <c r="C1090" s="1">
        <v>27818.0</v>
      </c>
      <c r="D1090" s="1">
        <v>339.67328276275</v>
      </c>
      <c r="E1090" s="1" t="s">
        <v>164</v>
      </c>
      <c r="F1090" s="1" t="s">
        <v>1903</v>
      </c>
      <c r="G1090" s="1">
        <v>81.8963439624715</v>
      </c>
      <c r="H1090" s="1">
        <v>26.014191491</v>
      </c>
      <c r="I1090" s="1">
        <v>5.1787763928</v>
      </c>
      <c r="J1090" s="1">
        <v>10.816944024</v>
      </c>
      <c r="K1090" s="1">
        <v>24.53343114</v>
      </c>
      <c r="L1090" s="1">
        <v>41.0</v>
      </c>
      <c r="M1090" s="1">
        <v>7.3</v>
      </c>
      <c r="N1090" s="1">
        <v>35.9</v>
      </c>
      <c r="O1090" s="1">
        <v>78.845082196</v>
      </c>
      <c r="P1090" s="1">
        <v>6.6887936201</v>
      </c>
      <c r="Q1090" s="1">
        <v>128.0458</v>
      </c>
      <c r="R1090" s="1">
        <v>97.0779220779999</v>
      </c>
      <c r="S1090" s="1">
        <v>37.0</v>
      </c>
      <c r="T1090" s="1">
        <v>5834.0</v>
      </c>
      <c r="U1090" s="1">
        <v>34.950291395</v>
      </c>
      <c r="V1090" s="1">
        <v>61.5997825889999</v>
      </c>
      <c r="W1090" s="1">
        <v>14.492099323</v>
      </c>
      <c r="X1090" s="1">
        <v>10.650329877</v>
      </c>
      <c r="Y1090" s="1">
        <v>69.168418275</v>
      </c>
      <c r="Z1090" s="1">
        <v>16.0</v>
      </c>
      <c r="AA1090" s="1">
        <v>1.1948476691</v>
      </c>
      <c r="AB1090" s="1">
        <v>33108.0</v>
      </c>
      <c r="AC1090" s="1">
        <v>69.644253323</v>
      </c>
      <c r="AD1090" s="1">
        <v>74.6509129969999</v>
      </c>
      <c r="AE1090" s="1">
        <v>12.762359495</v>
      </c>
      <c r="AF1090" s="1">
        <v>1.6633450866</v>
      </c>
      <c r="AG1090" s="1">
        <v>0.2337881343</v>
      </c>
      <c r="AH1090" s="1">
        <v>0.5480607083</v>
      </c>
      <c r="AI1090" s="1">
        <v>0.0536562931</v>
      </c>
      <c r="AJ1090" s="1">
        <v>1.0462977158</v>
      </c>
      <c r="AK1090" s="1">
        <v>95.335735091</v>
      </c>
      <c r="AL1090" s="1">
        <v>0.0436646554</v>
      </c>
      <c r="AM1090" s="1">
        <v>50.804844397</v>
      </c>
      <c r="AN1090" s="1">
        <v>74.0735580939999</v>
      </c>
      <c r="AO1090" s="1">
        <v>19697.0</v>
      </c>
      <c r="AP1090" s="1">
        <v>27.4</v>
      </c>
      <c r="AQ1090" s="1">
        <v>15.2</v>
      </c>
      <c r="AR1090" s="1">
        <v>25.1</v>
      </c>
      <c r="AS1090" s="1">
        <v>15.0</v>
      </c>
      <c r="AT1090" s="1">
        <v>22.0</v>
      </c>
      <c r="AU1090" s="1">
        <v>29.7</v>
      </c>
      <c r="AV1090" s="1">
        <v>4.3</v>
      </c>
      <c r="AW1090" s="1">
        <v>0.1</v>
      </c>
      <c r="AX1090" s="1">
        <v>0.9</v>
      </c>
      <c r="AY1090" s="1">
        <v>24.2</v>
      </c>
      <c r="AZ1090" s="1">
        <v>20.8</v>
      </c>
      <c r="BA1090" s="1">
        <v>28.0</v>
      </c>
      <c r="BB1090" s="1">
        <v>2.87</v>
      </c>
      <c r="BC1090" s="1" t="s">
        <v>1761</v>
      </c>
      <c r="BD1090" s="1">
        <v>23.1</v>
      </c>
      <c r="BE1090" s="1">
        <v>33.0</v>
      </c>
      <c r="BF1090" s="1">
        <v>29.5</v>
      </c>
      <c r="BG1090" s="1">
        <v>14.4</v>
      </c>
      <c r="BH1090" s="1" t="s">
        <v>1903</v>
      </c>
    </row>
    <row r="1091">
      <c r="A1091" s="1">
        <v>21195.0</v>
      </c>
      <c r="B1091" s="2" t="str">
        <f>IFERROR(__xludf.DUMMYFUNCTION("TO_TEXT(A1091)"),"21195")</f>
        <v>21195</v>
      </c>
      <c r="C1091" s="1">
        <v>62791.0</v>
      </c>
      <c r="D1091" s="1">
        <v>786.819339856344</v>
      </c>
      <c r="E1091" s="1" t="s">
        <v>168</v>
      </c>
      <c r="F1091" s="1" t="s">
        <v>1904</v>
      </c>
      <c r="G1091" s="1">
        <v>79.8035798299827</v>
      </c>
      <c r="H1091" s="1">
        <v>25.639343305</v>
      </c>
      <c r="I1091" s="1">
        <v>5.6013300184</v>
      </c>
      <c r="J1091" s="1">
        <v>10.208866155</v>
      </c>
      <c r="K1091" s="1">
        <v>23.211840361</v>
      </c>
      <c r="L1091" s="1">
        <v>38.7</v>
      </c>
      <c r="M1091" s="1">
        <v>7.3</v>
      </c>
      <c r="N1091" s="1">
        <v>37.9</v>
      </c>
      <c r="O1091" s="1">
        <v>45.115649606</v>
      </c>
      <c r="P1091" s="1">
        <v>6.9310108705</v>
      </c>
      <c r="Q1091" s="1">
        <v>88.3107199999999</v>
      </c>
      <c r="R1091" s="1">
        <v>96.52294854</v>
      </c>
      <c r="S1091" s="1">
        <v>31.5</v>
      </c>
      <c r="T1091" s="1">
        <v>12514.0</v>
      </c>
      <c r="U1091" s="1">
        <v>33.2427681</v>
      </c>
      <c r="V1091" s="1">
        <v>47.508233418</v>
      </c>
      <c r="W1091" s="1">
        <v>13.7664346479999</v>
      </c>
      <c r="X1091" s="1">
        <v>12.2096486</v>
      </c>
      <c r="Y1091" s="1">
        <v>73.097161713</v>
      </c>
      <c r="Z1091" s="1">
        <v>17.9</v>
      </c>
      <c r="AA1091" s="1">
        <v>0.7780155764</v>
      </c>
      <c r="AB1091" s="1">
        <v>37124.0</v>
      </c>
      <c r="AC1091" s="1">
        <v>66.775277467</v>
      </c>
      <c r="AD1091" s="1">
        <v>72.624961192</v>
      </c>
      <c r="AE1091" s="1">
        <v>13.909806977</v>
      </c>
      <c r="AF1091" s="1">
        <v>0.7602479367</v>
      </c>
      <c r="AG1091" s="1">
        <v>0.13355707</v>
      </c>
      <c r="AH1091" s="1">
        <v>0.4742988254</v>
      </c>
      <c r="AI1091" s="1">
        <v>0.0359576727</v>
      </c>
      <c r="AJ1091" s="1">
        <v>1.046197048</v>
      </c>
      <c r="AK1091" s="1">
        <v>96.861408856</v>
      </c>
      <c r="AL1091" s="1">
        <v>0.1066620038</v>
      </c>
      <c r="AM1091" s="1">
        <v>51.20201363</v>
      </c>
      <c r="AN1091" s="1">
        <v>87.7983513779999</v>
      </c>
      <c r="AO1091" s="1">
        <v>20128.0</v>
      </c>
      <c r="AP1091" s="1">
        <v>25.2</v>
      </c>
      <c r="AQ1091" s="1">
        <v>10.2</v>
      </c>
      <c r="AR1091" s="1">
        <v>25.0</v>
      </c>
      <c r="AS1091" s="1">
        <v>16.0</v>
      </c>
      <c r="AT1091" s="1">
        <v>21.2</v>
      </c>
      <c r="AU1091" s="1">
        <v>28.6</v>
      </c>
      <c r="AV1091" s="1">
        <v>2.9</v>
      </c>
      <c r="AW1091" s="1">
        <v>0.1</v>
      </c>
      <c r="AX1091" s="1">
        <v>0.7418</v>
      </c>
      <c r="AY1091" s="1">
        <v>24.0</v>
      </c>
      <c r="AZ1091" s="1">
        <v>19.6</v>
      </c>
      <c r="BA1091" s="1">
        <v>27.6</v>
      </c>
      <c r="BB1091" s="1">
        <v>2.87</v>
      </c>
      <c r="BC1091" s="1" t="s">
        <v>1761</v>
      </c>
      <c r="BD1091" s="1">
        <v>23.0</v>
      </c>
      <c r="BE1091" s="1">
        <v>39.4</v>
      </c>
      <c r="BF1091" s="1">
        <v>24.5</v>
      </c>
      <c r="BG1091" s="1">
        <v>13.0</v>
      </c>
      <c r="BH1091" s="1" t="s">
        <v>1904</v>
      </c>
    </row>
    <row r="1092">
      <c r="A1092" s="1">
        <v>21197.0</v>
      </c>
      <c r="B1092" s="2" t="str">
        <f>IFERROR(__xludf.DUMMYFUNCTION("TO_TEXT(A1092)"),"21197")</f>
        <v>21197</v>
      </c>
      <c r="C1092" s="1">
        <v>12387.0</v>
      </c>
      <c r="D1092" s="1">
        <v>178.979735776955</v>
      </c>
      <c r="E1092" s="1" t="s">
        <v>1905</v>
      </c>
      <c r="F1092" s="1" t="s">
        <v>1906</v>
      </c>
      <c r="G1092" s="1">
        <v>69.2089523220475</v>
      </c>
      <c r="H1092" s="1">
        <v>23.669364097</v>
      </c>
      <c r="I1092" s="1">
        <v>5.2469022222</v>
      </c>
      <c r="J1092" s="1">
        <v>8.611599297</v>
      </c>
      <c r="K1092" s="1">
        <v>23.916493823</v>
      </c>
      <c r="L1092" s="1">
        <v>32.6</v>
      </c>
      <c r="M1092" s="1">
        <v>7.5</v>
      </c>
      <c r="N1092" s="1">
        <v>29.8</v>
      </c>
      <c r="O1092" s="1">
        <v>86.3712043129999</v>
      </c>
      <c r="P1092" s="1">
        <v>6.4329775776</v>
      </c>
      <c r="Q1092" s="1">
        <v>8.08146</v>
      </c>
      <c r="R1092" s="1">
        <v>88.6792452829999</v>
      </c>
      <c r="S1092" s="1">
        <v>32.9</v>
      </c>
      <c r="T1092" s="1">
        <v>2856.0</v>
      </c>
      <c r="U1092" s="1">
        <v>39.775910364</v>
      </c>
      <c r="V1092" s="1">
        <v>60.84945844</v>
      </c>
      <c r="W1092" s="1">
        <v>18.4567257559999</v>
      </c>
      <c r="X1092" s="1">
        <v>13.631522897</v>
      </c>
      <c r="Y1092" s="1">
        <v>69.694158625</v>
      </c>
      <c r="Z1092" s="1">
        <v>17.6</v>
      </c>
      <c r="AA1092" s="1">
        <v>1.3708086821</v>
      </c>
      <c r="AB1092" s="1">
        <v>37776.0</v>
      </c>
      <c r="AC1092" s="1">
        <v>73.958771561</v>
      </c>
      <c r="AD1092" s="1">
        <v>70.109708135</v>
      </c>
      <c r="AE1092" s="1">
        <v>11.040802967</v>
      </c>
      <c r="AF1092" s="1">
        <v>0.9885870439</v>
      </c>
      <c r="AG1092" s="1">
        <v>0.3938273589</v>
      </c>
      <c r="AH1092" s="1">
        <v>0.2250442051</v>
      </c>
      <c r="AI1092" s="1">
        <v>0.0401864652</v>
      </c>
      <c r="AJ1092" s="1">
        <v>1.7601671757</v>
      </c>
      <c r="AK1092" s="1">
        <v>95.659861759</v>
      </c>
      <c r="AL1092" s="1">
        <v>0.0954115708</v>
      </c>
      <c r="AM1092" s="1">
        <v>50.3536408939999</v>
      </c>
      <c r="AN1092" s="1">
        <v>67.105367478</v>
      </c>
      <c r="AO1092" s="1">
        <v>18158.0</v>
      </c>
      <c r="AP1092" s="1">
        <v>26.0</v>
      </c>
      <c r="AQ1092" s="1">
        <v>7.4</v>
      </c>
      <c r="AR1092" s="1">
        <v>22.8</v>
      </c>
      <c r="AS1092" s="1">
        <v>14.2</v>
      </c>
      <c r="AT1092" s="1">
        <v>24.4</v>
      </c>
      <c r="AU1092" s="1">
        <v>23.1</v>
      </c>
      <c r="AV1092" s="1">
        <v>3.5</v>
      </c>
      <c r="AW1092" s="1">
        <v>0.1</v>
      </c>
      <c r="AX1092" s="1">
        <v>0.7931</v>
      </c>
      <c r="AY1092" s="1">
        <v>21.5</v>
      </c>
      <c r="AZ1092" s="1">
        <v>18.1</v>
      </c>
      <c r="BA1092" s="1">
        <v>24.0</v>
      </c>
      <c r="BB1092" s="1">
        <v>2.78</v>
      </c>
      <c r="BC1092" s="1" t="s">
        <v>1761</v>
      </c>
      <c r="BD1092" s="1">
        <v>19.7</v>
      </c>
      <c r="BE1092" s="1">
        <v>40.0</v>
      </c>
      <c r="BF1092" s="1">
        <v>24.4</v>
      </c>
      <c r="BG1092" s="1">
        <v>15.9</v>
      </c>
      <c r="BH1092" s="1" t="s">
        <v>1906</v>
      </c>
    </row>
    <row r="1093">
      <c r="A1093" s="1">
        <v>21199.0</v>
      </c>
      <c r="B1093" s="2" t="str">
        <f>IFERROR(__xludf.DUMMYFUNCTION("TO_TEXT(A1093)"),"21199")</f>
        <v>21199</v>
      </c>
      <c r="C1093" s="1">
        <v>63772.0</v>
      </c>
      <c r="D1093" s="1">
        <v>658.409934381404</v>
      </c>
      <c r="E1093" s="1" t="s">
        <v>387</v>
      </c>
      <c r="F1093" s="1" t="s">
        <v>1907</v>
      </c>
      <c r="G1093" s="1">
        <v>96.8575907954908</v>
      </c>
      <c r="H1093" s="1">
        <v>23.548771965</v>
      </c>
      <c r="I1093" s="1">
        <v>5.0725125709</v>
      </c>
      <c r="J1093" s="1">
        <v>8.2068037671</v>
      </c>
      <c r="K1093" s="1">
        <v>24.3825250059999</v>
      </c>
      <c r="L1093" s="1">
        <v>36.7</v>
      </c>
      <c r="M1093" s="1">
        <v>7.0</v>
      </c>
      <c r="N1093" s="1">
        <v>32.7</v>
      </c>
      <c r="O1093" s="1">
        <v>72.915972916</v>
      </c>
      <c r="P1093" s="1">
        <v>6.8694608924</v>
      </c>
      <c r="Q1093" s="1">
        <v>76.02911</v>
      </c>
      <c r="R1093" s="1">
        <v>96.092619392</v>
      </c>
      <c r="S1093" s="1">
        <v>26.4</v>
      </c>
      <c r="T1093" s="1">
        <v>13995.0</v>
      </c>
      <c r="U1093" s="1">
        <v>35.076813148</v>
      </c>
      <c r="V1093" s="1">
        <v>119.00753975</v>
      </c>
      <c r="W1093" s="1">
        <v>16.976334833</v>
      </c>
      <c r="X1093" s="1">
        <v>15.501095836</v>
      </c>
      <c r="Y1093" s="1">
        <v>73.778815642</v>
      </c>
      <c r="Z1093" s="1">
        <v>13.7</v>
      </c>
      <c r="AA1093" s="1">
        <v>7.8515089766</v>
      </c>
      <c r="AB1093" s="1">
        <v>41541.0</v>
      </c>
      <c r="AC1093" s="1">
        <v>66.223908918</v>
      </c>
      <c r="AD1093" s="1">
        <v>69.009858551</v>
      </c>
      <c r="AE1093" s="1">
        <v>14.803136539</v>
      </c>
      <c r="AF1093" s="1">
        <v>1.0847531065</v>
      </c>
      <c r="AG1093" s="1">
        <v>0.3667424911</v>
      </c>
      <c r="AH1093" s="1">
        <v>0.8232363091</v>
      </c>
      <c r="AI1093" s="1">
        <v>0.0402333535</v>
      </c>
      <c r="AJ1093" s="1">
        <v>2.5780294941</v>
      </c>
      <c r="AK1093" s="1">
        <v>94.102718846</v>
      </c>
      <c r="AL1093" s="1">
        <v>0.2561771754</v>
      </c>
      <c r="AM1093" s="1">
        <v>51.153614038</v>
      </c>
      <c r="AN1093" s="1">
        <v>53.947639662</v>
      </c>
      <c r="AO1093" s="1">
        <v>21083.0</v>
      </c>
      <c r="AP1093" s="1">
        <v>25.0</v>
      </c>
      <c r="AQ1093" s="1">
        <v>9.2</v>
      </c>
      <c r="AR1093" s="1">
        <v>19.1</v>
      </c>
      <c r="AS1093" s="1">
        <v>17.7</v>
      </c>
      <c r="AT1093" s="1">
        <v>22.5</v>
      </c>
      <c r="AU1093" s="1">
        <v>21.7</v>
      </c>
      <c r="AV1093" s="1">
        <v>5.5</v>
      </c>
      <c r="AW1093" s="1">
        <v>0.4</v>
      </c>
      <c r="AX1093" s="1">
        <v>0.7587</v>
      </c>
      <c r="AY1093" s="1">
        <v>22.5</v>
      </c>
      <c r="AZ1093" s="1">
        <v>17.1</v>
      </c>
      <c r="BA1093" s="1">
        <v>21.7</v>
      </c>
      <c r="BB1093" s="1">
        <v>2.55</v>
      </c>
      <c r="BC1093" s="1" t="s">
        <v>1761</v>
      </c>
      <c r="BD1093" s="1">
        <v>17.2</v>
      </c>
      <c r="BE1093" s="1">
        <v>35.7</v>
      </c>
      <c r="BF1093" s="1">
        <v>30.7</v>
      </c>
      <c r="BG1093" s="1">
        <v>16.5</v>
      </c>
      <c r="BH1093" s="1" t="s">
        <v>1907</v>
      </c>
    </row>
    <row r="1094">
      <c r="A1094" s="1">
        <v>21201.0</v>
      </c>
      <c r="B1094" s="2" t="str">
        <f>IFERROR(__xludf.DUMMYFUNCTION("TO_TEXT(A1094)"),"21201")</f>
        <v>21201</v>
      </c>
      <c r="C1094" s="1">
        <v>2191.0</v>
      </c>
      <c r="D1094" s="1">
        <v>99.91317246157</v>
      </c>
      <c r="E1094" s="1" t="s">
        <v>1908</v>
      </c>
      <c r="F1094" s="1" t="s">
        <v>1909</v>
      </c>
      <c r="G1094" s="1">
        <v>21.9290404460206</v>
      </c>
      <c r="H1094" s="1">
        <v>24.90134307</v>
      </c>
      <c r="I1094" s="1">
        <v>5.2786951383</v>
      </c>
      <c r="J1094" s="1">
        <v>8.9743589744</v>
      </c>
      <c r="K1094" s="1">
        <v>23.137216015</v>
      </c>
      <c r="L1094" s="1">
        <v>26.9</v>
      </c>
      <c r="M1094" s="1">
        <v>4.3</v>
      </c>
      <c r="N1094" s="1">
        <v>29.5</v>
      </c>
      <c r="O1094" s="1">
        <v>2.9798422436</v>
      </c>
      <c r="P1094" s="1">
        <v>7.6225045372</v>
      </c>
      <c r="Q1094" s="1">
        <v>48.31939</v>
      </c>
      <c r="R1094" s="1">
        <v>100.0</v>
      </c>
      <c r="S1094" s="1">
        <v>28.9</v>
      </c>
      <c r="T1094" s="1">
        <v>397.0</v>
      </c>
      <c r="U1094" s="1">
        <v>33.753148615</v>
      </c>
      <c r="V1094" s="1">
        <v>0.0</v>
      </c>
      <c r="W1094" s="1">
        <v>9.8958333333</v>
      </c>
      <c r="X1094" s="1">
        <v>9.7267759563</v>
      </c>
      <c r="Y1094" s="1">
        <v>73.588556167</v>
      </c>
      <c r="Z1094" s="1">
        <v>24.7</v>
      </c>
      <c r="AA1094" s="1">
        <v>35.179231596</v>
      </c>
      <c r="AB1094" s="1">
        <v>45146.0</v>
      </c>
      <c r="AC1094" s="1">
        <v>68.148148148</v>
      </c>
      <c r="AD1094" s="1">
        <v>78.824833703</v>
      </c>
      <c r="AE1094" s="1">
        <v>11.876484561</v>
      </c>
      <c r="AF1094" s="1">
        <v>0.6557377049</v>
      </c>
      <c r="AG1094" s="1">
        <v>0.4683840749</v>
      </c>
      <c r="AH1094" s="1">
        <v>0.093676815</v>
      </c>
      <c r="AI1094" s="1">
        <v>0.0</v>
      </c>
      <c r="AJ1094" s="1">
        <v>1.4051522248</v>
      </c>
      <c r="AK1094" s="1">
        <v>96.44028103</v>
      </c>
      <c r="AL1094" s="1">
        <v>0.0</v>
      </c>
      <c r="AM1094" s="1">
        <v>49.4613583139999</v>
      </c>
      <c r="AN1094" s="1">
        <v>100.0</v>
      </c>
      <c r="AO1094" s="1">
        <v>22702.0</v>
      </c>
      <c r="AP1094" s="1">
        <v>24.4</v>
      </c>
      <c r="AQ1094" s="1">
        <v>5.8</v>
      </c>
      <c r="AR1094" s="1">
        <v>25.1</v>
      </c>
      <c r="AS1094" s="1">
        <v>25.7</v>
      </c>
      <c r="AT1094" s="1">
        <v>17.8</v>
      </c>
      <c r="AU1094" s="1">
        <v>19.6</v>
      </c>
      <c r="AV1094" s="1">
        <v>3.7</v>
      </c>
      <c r="AW1094" s="1">
        <v>0.0</v>
      </c>
      <c r="AX1094" s="1">
        <v>0.4862</v>
      </c>
      <c r="AY1094" s="1">
        <v>22.0</v>
      </c>
      <c r="AZ1094" s="1">
        <v>16.4</v>
      </c>
      <c r="BA1094" s="1">
        <v>29.0</v>
      </c>
      <c r="BB1094" s="1">
        <v>2.67</v>
      </c>
      <c r="BC1094" s="1" t="s">
        <v>1761</v>
      </c>
      <c r="BD1094" s="1">
        <v>15.3</v>
      </c>
      <c r="BE1094" s="1">
        <v>38.3</v>
      </c>
      <c r="BF1094" s="1">
        <v>30.1</v>
      </c>
      <c r="BG1094" s="1">
        <v>16.3</v>
      </c>
      <c r="BH1094" s="1" t="s">
        <v>1909</v>
      </c>
    </row>
    <row r="1095">
      <c r="A1095" s="1">
        <v>21203.0</v>
      </c>
      <c r="B1095" s="2" t="str">
        <f>IFERROR(__xludf.DUMMYFUNCTION("TO_TEXT(A1095)"),"21203")</f>
        <v>21203</v>
      </c>
      <c r="C1095" s="1">
        <v>16893.0</v>
      </c>
      <c r="D1095" s="1">
        <v>316.545237053174</v>
      </c>
      <c r="E1095" s="1" t="s">
        <v>1910</v>
      </c>
      <c r="F1095" s="1" t="s">
        <v>1911</v>
      </c>
      <c r="G1095" s="1">
        <v>53.3667799182909</v>
      </c>
      <c r="H1095" s="1">
        <v>23.821632069</v>
      </c>
      <c r="I1095" s="1">
        <v>5.0129344135</v>
      </c>
      <c r="J1095" s="1">
        <v>10.602409639</v>
      </c>
      <c r="K1095" s="1">
        <v>23.572164964</v>
      </c>
      <c r="L1095" s="1">
        <v>33.8</v>
      </c>
      <c r="M1095" s="1">
        <v>7.8</v>
      </c>
      <c r="N1095" s="1">
        <v>35.5</v>
      </c>
      <c r="O1095" s="1">
        <v>31.121013133</v>
      </c>
      <c r="P1095" s="1">
        <v>6.4324002382</v>
      </c>
      <c r="Q1095" s="1">
        <v>41.92119</v>
      </c>
      <c r="R1095" s="1">
        <v>97.714285714</v>
      </c>
      <c r="S1095" s="1">
        <v>30.2</v>
      </c>
      <c r="T1095" s="1">
        <v>3676.0</v>
      </c>
      <c r="U1095" s="1">
        <v>34.031556039</v>
      </c>
      <c r="V1095" s="1">
        <v>74.213797582</v>
      </c>
      <c r="W1095" s="1">
        <v>13.867488444</v>
      </c>
      <c r="X1095" s="1">
        <v>11.57480315</v>
      </c>
      <c r="Y1095" s="1">
        <v>73.610783772</v>
      </c>
      <c r="Z1095" s="1">
        <v>13.1</v>
      </c>
      <c r="AA1095" s="1">
        <v>0.9461373782</v>
      </c>
      <c r="AB1095" s="1">
        <v>37732.0</v>
      </c>
      <c r="AC1095" s="1">
        <v>68.525618682</v>
      </c>
      <c r="AD1095" s="1">
        <v>76.61302682</v>
      </c>
      <c r="AE1095" s="1">
        <v>11.846001974</v>
      </c>
      <c r="AF1095" s="1">
        <v>0.423880597</v>
      </c>
      <c r="AG1095" s="1">
        <v>0.3940298507</v>
      </c>
      <c r="AH1095" s="1">
        <v>0.1313432836</v>
      </c>
      <c r="AI1095" s="1">
        <v>0.023880597</v>
      </c>
      <c r="AJ1095" s="1">
        <v>0.9731343284</v>
      </c>
      <c r="AK1095" s="1">
        <v>96.985074627</v>
      </c>
      <c r="AL1095" s="1">
        <v>0.0502165589</v>
      </c>
      <c r="AM1095" s="1">
        <v>51.134328358</v>
      </c>
      <c r="AN1095" s="1">
        <v>83.718339587</v>
      </c>
      <c r="AO1095" s="1">
        <v>17930.0</v>
      </c>
      <c r="AP1095" s="1">
        <v>23.4</v>
      </c>
      <c r="AQ1095" s="1">
        <v>11.2</v>
      </c>
      <c r="AR1095" s="1">
        <v>23.3</v>
      </c>
      <c r="AS1095" s="1">
        <v>16.7</v>
      </c>
      <c r="AT1095" s="1">
        <v>22.1</v>
      </c>
      <c r="AU1095" s="1">
        <v>23.2</v>
      </c>
      <c r="AV1095" s="1">
        <v>2.3</v>
      </c>
      <c r="AW1095" s="1">
        <v>0.0</v>
      </c>
      <c r="AX1095" s="1">
        <v>0.8045</v>
      </c>
      <c r="AY1095" s="1">
        <v>21.0</v>
      </c>
      <c r="AZ1095" s="1">
        <v>16.9</v>
      </c>
      <c r="BA1095" s="1">
        <v>22.7</v>
      </c>
      <c r="BB1095" s="1">
        <v>2.61</v>
      </c>
      <c r="BC1095" s="1" t="s">
        <v>1761</v>
      </c>
      <c r="BD1095" s="1">
        <v>21.6</v>
      </c>
      <c r="BE1095" s="1">
        <v>43.4</v>
      </c>
      <c r="BF1095" s="1">
        <v>23.6</v>
      </c>
      <c r="BG1095" s="1">
        <v>11.4</v>
      </c>
      <c r="BH1095" s="1" t="s">
        <v>1911</v>
      </c>
    </row>
    <row r="1096">
      <c r="A1096" s="1">
        <v>21205.0</v>
      </c>
      <c r="B1096" s="2" t="str">
        <f>IFERROR(__xludf.DUMMYFUNCTION("TO_TEXT(A1096)"),"21205")</f>
        <v>21205</v>
      </c>
      <c r="C1096" s="1">
        <v>24302.0</v>
      </c>
      <c r="D1096" s="1">
        <v>279.818272724294</v>
      </c>
      <c r="E1096" s="1" t="s">
        <v>1912</v>
      </c>
      <c r="F1096" s="1" t="s">
        <v>1913</v>
      </c>
      <c r="G1096" s="1">
        <v>86.8492245463356</v>
      </c>
      <c r="H1096" s="1">
        <v>23.058514458</v>
      </c>
      <c r="I1096" s="1">
        <v>5.2721166706</v>
      </c>
      <c r="J1096" s="1">
        <v>9.194214876</v>
      </c>
      <c r="K1096" s="1">
        <v>23.69344843</v>
      </c>
      <c r="L1096" s="1">
        <v>38.1</v>
      </c>
      <c r="M1096" s="1">
        <v>7.0</v>
      </c>
      <c r="N1096" s="1">
        <v>29.3</v>
      </c>
      <c r="O1096" s="1">
        <v>97.578536836</v>
      </c>
      <c r="P1096" s="1">
        <v>7.1154594474</v>
      </c>
      <c r="Q1096" s="1">
        <v>77.49725</v>
      </c>
      <c r="R1096" s="1">
        <v>97.222222222</v>
      </c>
      <c r="S1096" s="1">
        <v>23.9</v>
      </c>
      <c r="T1096" s="1">
        <v>4567.0</v>
      </c>
      <c r="U1096" s="1">
        <v>38.734398949</v>
      </c>
      <c r="V1096" s="1">
        <v>79.857097825</v>
      </c>
      <c r="W1096" s="1">
        <v>16.401179941</v>
      </c>
      <c r="X1096" s="1">
        <v>15.024038462</v>
      </c>
      <c r="Y1096" s="1">
        <v>74.734049105</v>
      </c>
      <c r="Z1096" s="1">
        <v>12.7</v>
      </c>
      <c r="AA1096" s="1">
        <v>4.0247448331</v>
      </c>
      <c r="AB1096" s="1">
        <v>41196.0</v>
      </c>
      <c r="AC1096" s="1">
        <v>65.244444444</v>
      </c>
      <c r="AD1096" s="1">
        <v>59.6942974719999</v>
      </c>
      <c r="AE1096" s="1">
        <v>14.285714286</v>
      </c>
      <c r="AF1096" s="1">
        <v>1.60273359639999</v>
      </c>
      <c r="AG1096" s="1">
        <v>0.2237318472</v>
      </c>
      <c r="AH1096" s="1">
        <v>0.8664524265</v>
      </c>
      <c r="AI1096" s="1">
        <v>0.0203392588</v>
      </c>
      <c r="AJ1096" s="1">
        <v>1.7247691494</v>
      </c>
      <c r="AK1096" s="1">
        <v>94.528739373</v>
      </c>
      <c r="AL1096" s="1">
        <v>0.8455565142</v>
      </c>
      <c r="AM1096" s="1">
        <v>51.572224708</v>
      </c>
      <c r="AN1096" s="1">
        <v>68.790982728</v>
      </c>
      <c r="AO1096" s="1">
        <v>18743.0</v>
      </c>
      <c r="AP1096" s="1">
        <v>25.9</v>
      </c>
      <c r="AQ1096" s="1">
        <v>6.3</v>
      </c>
      <c r="AR1096" s="1">
        <v>19.0</v>
      </c>
      <c r="AS1096" s="1">
        <v>13.0</v>
      </c>
      <c r="AT1096" s="1">
        <v>18.9</v>
      </c>
      <c r="AU1096" s="1">
        <v>16.5</v>
      </c>
      <c r="AV1096" s="1">
        <v>5.4</v>
      </c>
      <c r="AW1096" s="1">
        <v>1.6</v>
      </c>
      <c r="AX1096" s="1">
        <v>0.7071</v>
      </c>
      <c r="AY1096" s="1">
        <v>23.3</v>
      </c>
      <c r="AZ1096" s="1">
        <v>17.0</v>
      </c>
      <c r="BA1096" s="1">
        <v>22.2</v>
      </c>
      <c r="BB1096" s="1">
        <v>2.75</v>
      </c>
      <c r="BC1096" s="1" t="s">
        <v>1761</v>
      </c>
      <c r="BD1096" s="1">
        <v>15.8</v>
      </c>
      <c r="BE1096" s="1">
        <v>33.4</v>
      </c>
      <c r="BF1096" s="1">
        <v>25.7</v>
      </c>
      <c r="BG1096" s="1">
        <v>25.1</v>
      </c>
      <c r="BH1096" s="1" t="s">
        <v>1913</v>
      </c>
    </row>
    <row r="1097">
      <c r="A1097" s="1">
        <v>21207.0</v>
      </c>
      <c r="B1097" s="2" t="str">
        <f>IFERROR(__xludf.DUMMYFUNCTION("TO_TEXT(A1097)"),"21207")</f>
        <v>21207</v>
      </c>
      <c r="C1097" s="1">
        <v>17684.0</v>
      </c>
      <c r="D1097" s="1">
        <v>253.657242908326</v>
      </c>
      <c r="E1097" s="1" t="s">
        <v>172</v>
      </c>
      <c r="F1097" s="1" t="s">
        <v>1914</v>
      </c>
      <c r="G1097" s="1">
        <v>69.7161247880911</v>
      </c>
      <c r="H1097" s="1">
        <v>23.913328422</v>
      </c>
      <c r="I1097" s="1">
        <v>5.1296942957</v>
      </c>
      <c r="J1097" s="1">
        <v>9.6686950642</v>
      </c>
      <c r="K1097" s="1">
        <v>22.994512158</v>
      </c>
      <c r="L1097" s="1">
        <v>32.3</v>
      </c>
      <c r="M1097" s="1">
        <v>7.6</v>
      </c>
      <c r="N1097" s="1">
        <v>34.3</v>
      </c>
      <c r="O1097" s="1">
        <v>83.996584116</v>
      </c>
      <c r="P1097" s="1">
        <v>8.0567032341</v>
      </c>
      <c r="Q1097" s="1">
        <v>33.75527</v>
      </c>
      <c r="R1097" s="1">
        <v>96.8085106379999</v>
      </c>
      <c r="S1097" s="1">
        <v>30.5</v>
      </c>
      <c r="T1097" s="1">
        <v>3991.0</v>
      </c>
      <c r="U1097" s="1">
        <v>36.5572538209999</v>
      </c>
      <c r="V1097" s="1">
        <v>70.438408655</v>
      </c>
      <c r="W1097" s="1">
        <v>14.971751412</v>
      </c>
      <c r="X1097" s="1">
        <v>11.713665944</v>
      </c>
      <c r="Y1097" s="1">
        <v>73.259996597</v>
      </c>
      <c r="Z1097" s="1">
        <v>12.2</v>
      </c>
      <c r="AA1097" s="1">
        <v>0.4155742922</v>
      </c>
      <c r="AB1097" s="1">
        <v>34648.0</v>
      </c>
      <c r="AC1097" s="1">
        <v>69.851994852</v>
      </c>
      <c r="AD1097" s="1">
        <v>73.986053793</v>
      </c>
      <c r="AE1097" s="1">
        <v>9.76415802909999</v>
      </c>
      <c r="AF1097" s="1">
        <v>0.7855900342</v>
      </c>
      <c r="AG1097" s="1">
        <v>0.5106335222</v>
      </c>
      <c r="AH1097" s="1">
        <v>0.5162448796</v>
      </c>
      <c r="AI1097" s="1">
        <v>0.0056113574</v>
      </c>
      <c r="AJ1097" s="1">
        <v>3.7820548791</v>
      </c>
      <c r="AK1097" s="1">
        <v>93.558161719</v>
      </c>
      <c r="AL1097" s="1">
        <v>1.0366109413</v>
      </c>
      <c r="AM1097" s="1">
        <v>50.866954716</v>
      </c>
      <c r="AN1097" s="1">
        <v>100.0</v>
      </c>
      <c r="AO1097" s="1">
        <v>17702.0</v>
      </c>
      <c r="AP1097" s="1">
        <v>26.5</v>
      </c>
      <c r="AQ1097" s="1">
        <v>10.6</v>
      </c>
      <c r="AR1097" s="1">
        <v>26.3</v>
      </c>
      <c r="AS1097" s="1">
        <v>18.6</v>
      </c>
      <c r="AT1097" s="1">
        <v>22.5</v>
      </c>
      <c r="AU1097" s="1">
        <v>20.2</v>
      </c>
      <c r="AV1097" s="1">
        <v>5.8</v>
      </c>
      <c r="AW1097" s="1">
        <v>1.4</v>
      </c>
      <c r="AX1097" s="1">
        <v>0.8918</v>
      </c>
      <c r="AY1097" s="1">
        <v>22.6</v>
      </c>
      <c r="AZ1097" s="1">
        <v>17.2</v>
      </c>
      <c r="BA1097" s="1">
        <v>22.6</v>
      </c>
      <c r="BB1097" s="1">
        <v>2.59</v>
      </c>
      <c r="BC1097" s="1" t="s">
        <v>1761</v>
      </c>
      <c r="BD1097" s="1">
        <v>21.5</v>
      </c>
      <c r="BE1097" s="1">
        <v>38.0</v>
      </c>
      <c r="BF1097" s="1">
        <v>25.9</v>
      </c>
      <c r="BG1097" s="1">
        <v>14.7</v>
      </c>
      <c r="BH1097" s="1" t="s">
        <v>1914</v>
      </c>
    </row>
    <row r="1098">
      <c r="A1098" s="1">
        <v>21209.0</v>
      </c>
      <c r="B1098" s="2" t="str">
        <f>IFERROR(__xludf.DUMMYFUNCTION("TO_TEXT(A1098)"),"21209")</f>
        <v>21209</v>
      </c>
      <c r="C1098" s="1">
        <v>51348.0</v>
      </c>
      <c r="D1098" s="1">
        <v>281.770182813746</v>
      </c>
      <c r="E1098" s="1" t="s">
        <v>394</v>
      </c>
      <c r="F1098" s="1" t="s">
        <v>1915</v>
      </c>
      <c r="G1098" s="1">
        <v>182.233618501577</v>
      </c>
      <c r="H1098" s="1">
        <v>17.722407338</v>
      </c>
      <c r="I1098" s="1">
        <v>4.3756107902</v>
      </c>
      <c r="J1098" s="1">
        <v>8.0285834384</v>
      </c>
      <c r="K1098" s="1">
        <v>18.333509538</v>
      </c>
      <c r="L1098" s="1">
        <v>34.0</v>
      </c>
      <c r="M1098" s="1">
        <v>7.8</v>
      </c>
      <c r="N1098" s="1">
        <v>26.8</v>
      </c>
      <c r="O1098" s="1">
        <v>82.269518581</v>
      </c>
      <c r="P1098" s="1">
        <v>5.2738762571</v>
      </c>
      <c r="Q1098" s="1">
        <v>56.49409</v>
      </c>
      <c r="R1098" s="1">
        <v>92.7404718689999</v>
      </c>
      <c r="S1098" s="1">
        <v>10.9</v>
      </c>
      <c r="T1098" s="1">
        <v>13476.0</v>
      </c>
      <c r="U1098" s="1">
        <v>27.396853666</v>
      </c>
      <c r="V1098" s="1">
        <v>161.41119502</v>
      </c>
      <c r="W1098" s="1">
        <v>10.362146445</v>
      </c>
      <c r="X1098" s="1">
        <v>7.690260777</v>
      </c>
      <c r="Y1098" s="1">
        <v>76.649551499</v>
      </c>
      <c r="Z1098" s="1">
        <v>8.2</v>
      </c>
      <c r="AA1098" s="1">
        <v>8.6703628494</v>
      </c>
      <c r="AB1098" s="1">
        <v>73500.0</v>
      </c>
      <c r="AC1098" s="1">
        <v>43.2902743669999</v>
      </c>
      <c r="AD1098" s="1">
        <v>68.959714936</v>
      </c>
      <c r="AE1098" s="1">
        <v>8.1221904373</v>
      </c>
      <c r="AF1098" s="1">
        <v>5.3042065999</v>
      </c>
      <c r="AG1098" s="1">
        <v>0.3569452624</v>
      </c>
      <c r="AH1098" s="1">
        <v>1.3082043869</v>
      </c>
      <c r="AI1098" s="1">
        <v>0.0446181578</v>
      </c>
      <c r="AJ1098" s="1">
        <v>4.3529474755</v>
      </c>
      <c r="AK1098" s="1">
        <v>87.0107619</v>
      </c>
      <c r="AL1098" s="1">
        <v>1.1382959569</v>
      </c>
      <c r="AM1098" s="1">
        <v>50.6523174669999</v>
      </c>
      <c r="AN1098" s="1">
        <v>32.463485468</v>
      </c>
      <c r="AO1098" s="1">
        <v>29345.0</v>
      </c>
      <c r="AP1098" s="1">
        <v>10.7</v>
      </c>
      <c r="AQ1098" s="1">
        <v>5.3</v>
      </c>
      <c r="AR1098" s="1">
        <v>10.0</v>
      </c>
      <c r="AS1098" s="1">
        <v>10.7</v>
      </c>
      <c r="AT1098" s="1">
        <v>25.8</v>
      </c>
      <c r="AU1098" s="1">
        <v>11.6</v>
      </c>
      <c r="AV1098" s="1">
        <v>12.8</v>
      </c>
      <c r="AW1098" s="1">
        <v>1.1</v>
      </c>
      <c r="AX1098" s="1">
        <v>0.3012</v>
      </c>
      <c r="AY1098" s="1">
        <v>8.6</v>
      </c>
      <c r="AZ1098" s="1">
        <v>11.0</v>
      </c>
      <c r="BA1098" s="1">
        <v>13.5</v>
      </c>
      <c r="BB1098" s="1">
        <v>3.06</v>
      </c>
      <c r="BC1098" s="1" t="s">
        <v>1761</v>
      </c>
      <c r="BD1098" s="1">
        <v>9.0</v>
      </c>
      <c r="BE1098" s="1">
        <v>30.3</v>
      </c>
      <c r="BF1098" s="1">
        <v>32.3</v>
      </c>
      <c r="BG1098" s="1">
        <v>28.4</v>
      </c>
      <c r="BH1098" s="1" t="s">
        <v>1915</v>
      </c>
    </row>
    <row r="1099">
      <c r="A1099" s="1">
        <v>21211.0</v>
      </c>
      <c r="B1099" s="2" t="str">
        <f>IFERROR(__xludf.DUMMYFUNCTION("TO_TEXT(A1099)"),"21211")</f>
        <v>21211</v>
      </c>
      <c r="C1099" s="1">
        <v>44967.0</v>
      </c>
      <c r="D1099" s="1">
        <v>379.63747876992</v>
      </c>
      <c r="E1099" s="1" t="s">
        <v>176</v>
      </c>
      <c r="F1099" s="1" t="s">
        <v>1916</v>
      </c>
      <c r="G1099" s="1">
        <v>118.447209547644</v>
      </c>
      <c r="H1099" s="1">
        <v>18.8418139</v>
      </c>
      <c r="I1099" s="1">
        <v>4.4298368858</v>
      </c>
      <c r="J1099" s="1">
        <v>7.838880849</v>
      </c>
      <c r="K1099" s="1">
        <v>18.715624235</v>
      </c>
      <c r="L1099" s="1">
        <v>30.7</v>
      </c>
      <c r="M1099" s="1">
        <v>8.3</v>
      </c>
      <c r="N1099" s="1">
        <v>26.5</v>
      </c>
      <c r="O1099" s="1">
        <v>73.610781005</v>
      </c>
      <c r="P1099" s="1">
        <v>8.0007150336</v>
      </c>
      <c r="Q1099" s="1">
        <v>37.95787</v>
      </c>
      <c r="R1099" s="1">
        <v>93.8034188029999</v>
      </c>
      <c r="S1099" s="1">
        <v>13.6</v>
      </c>
      <c r="T1099" s="1">
        <v>10962.0</v>
      </c>
      <c r="U1099" s="1">
        <v>25.515416895</v>
      </c>
      <c r="V1099" s="1">
        <v>117.60050997</v>
      </c>
      <c r="W1099" s="1">
        <v>13.76744186</v>
      </c>
      <c r="X1099" s="1">
        <v>10.040816327</v>
      </c>
      <c r="Y1099" s="1">
        <v>78.027086566</v>
      </c>
      <c r="Z1099" s="1">
        <v>11.9</v>
      </c>
      <c r="AA1099" s="1">
        <v>3.246238856</v>
      </c>
      <c r="AB1099" s="1">
        <v>66056.0</v>
      </c>
      <c r="AC1099" s="1">
        <v>50.479632977</v>
      </c>
      <c r="AD1099" s="1">
        <v>69.720562496</v>
      </c>
      <c r="AE1099" s="1">
        <v>10.861118075</v>
      </c>
      <c r="AF1099" s="1">
        <v>6.8386990395</v>
      </c>
      <c r="AG1099" s="1">
        <v>0.5791664949</v>
      </c>
      <c r="AH1099" s="1">
        <v>1.2428377097</v>
      </c>
      <c r="AI1099" s="1">
        <v>0.2122923451</v>
      </c>
      <c r="AJ1099" s="1">
        <v>9.9880456738</v>
      </c>
      <c r="AK1099" s="1">
        <v>79.7023784989999</v>
      </c>
      <c r="AL1099" s="1">
        <v>2.5668645291</v>
      </c>
      <c r="AM1099" s="1">
        <v>51.397419514</v>
      </c>
      <c r="AN1099" s="1">
        <v>47.007653182</v>
      </c>
      <c r="AO1099" s="1">
        <v>28502.0</v>
      </c>
      <c r="AP1099" s="1">
        <v>12.9</v>
      </c>
      <c r="AQ1099" s="1">
        <v>4.9</v>
      </c>
      <c r="AR1099" s="1">
        <v>14.2</v>
      </c>
      <c r="AS1099" s="1">
        <v>13.7</v>
      </c>
      <c r="AT1099" s="1">
        <v>24.1</v>
      </c>
      <c r="AU1099" s="1">
        <v>12.9</v>
      </c>
      <c r="AV1099" s="1">
        <v>19.5</v>
      </c>
      <c r="AW1099" s="1">
        <v>2.9</v>
      </c>
      <c r="AX1099" s="1">
        <v>0.4069</v>
      </c>
      <c r="AY1099" s="1">
        <v>9.4</v>
      </c>
      <c r="AZ1099" s="1">
        <v>11.5</v>
      </c>
      <c r="BA1099" s="1">
        <v>13.9</v>
      </c>
      <c r="BB1099" s="1">
        <v>2.94</v>
      </c>
      <c r="BC1099" s="1" t="s">
        <v>1761</v>
      </c>
      <c r="BD1099" s="1">
        <v>13.5</v>
      </c>
      <c r="BE1099" s="1">
        <v>30.3</v>
      </c>
      <c r="BF1099" s="1">
        <v>31.3</v>
      </c>
      <c r="BG1099" s="1">
        <v>24.9</v>
      </c>
      <c r="BH1099" s="1" t="s">
        <v>1916</v>
      </c>
    </row>
    <row r="1100">
      <c r="A1100" s="1">
        <v>21213.0</v>
      </c>
      <c r="B1100" s="2" t="str">
        <f>IFERROR(__xludf.DUMMYFUNCTION("TO_TEXT(A1100)"),"21213")</f>
        <v>21213</v>
      </c>
      <c r="C1100" s="1">
        <v>17856.0</v>
      </c>
      <c r="D1100" s="1">
        <v>234.203330703282</v>
      </c>
      <c r="E1100" s="1" t="s">
        <v>1917</v>
      </c>
      <c r="F1100" s="1" t="s">
        <v>1918</v>
      </c>
      <c r="G1100" s="1">
        <v>76.2414434772587</v>
      </c>
      <c r="H1100" s="1">
        <v>20.921245462</v>
      </c>
      <c r="I1100" s="1">
        <v>4.7217335489</v>
      </c>
      <c r="J1100" s="1">
        <v>9.2843326886</v>
      </c>
      <c r="K1100" s="1">
        <v>20.830966794</v>
      </c>
      <c r="L1100" s="1">
        <v>38.1</v>
      </c>
      <c r="M1100" s="1">
        <v>7.4</v>
      </c>
      <c r="N1100" s="1">
        <v>24.4</v>
      </c>
      <c r="O1100" s="1">
        <v>78.143937208</v>
      </c>
      <c r="P1100" s="1">
        <v>6.1091942358</v>
      </c>
      <c r="Q1100" s="1">
        <v>38.65695</v>
      </c>
      <c r="R1100" s="1">
        <v>93.80952381</v>
      </c>
      <c r="S1100" s="1">
        <v>21.5</v>
      </c>
      <c r="T1100" s="1">
        <v>4377.0</v>
      </c>
      <c r="U1100" s="1">
        <v>29.860635138</v>
      </c>
      <c r="V1100" s="1">
        <v>180.28012758</v>
      </c>
      <c r="W1100" s="1">
        <v>12.6436781609999</v>
      </c>
      <c r="X1100" s="1">
        <v>10.7142857139999</v>
      </c>
      <c r="Y1100" s="1">
        <v>74.240182685</v>
      </c>
      <c r="Z1100" s="1">
        <v>12.9</v>
      </c>
      <c r="AA1100" s="1">
        <v>5.7420426674</v>
      </c>
      <c r="AB1100" s="1">
        <v>51769.0</v>
      </c>
      <c r="AC1100" s="1">
        <v>64.564564565</v>
      </c>
      <c r="AD1100" s="1">
        <v>64.998553659</v>
      </c>
      <c r="AE1100" s="1">
        <v>9.4947336285</v>
      </c>
      <c r="AF1100" s="1">
        <v>9.3744940364</v>
      </c>
      <c r="AG1100" s="1">
        <v>0.361595337</v>
      </c>
      <c r="AH1100" s="1">
        <v>0.8311295807</v>
      </c>
      <c r="AI1100" s="1">
        <v>0.0701602893</v>
      </c>
      <c r="AJ1100" s="1">
        <v>2.5743429219</v>
      </c>
      <c r="AK1100" s="1">
        <v>85.023476712</v>
      </c>
      <c r="AL1100" s="1">
        <v>1.0439527849</v>
      </c>
      <c r="AM1100" s="1">
        <v>50.785255545</v>
      </c>
      <c r="AN1100" s="1">
        <v>45.218445201</v>
      </c>
      <c r="AO1100" s="1">
        <v>21122.0</v>
      </c>
      <c r="AP1100" s="1">
        <v>19.1</v>
      </c>
      <c r="AQ1100" s="1">
        <v>5.5</v>
      </c>
      <c r="AR1100" s="1">
        <v>16.0</v>
      </c>
      <c r="AS1100" s="1">
        <v>15.5</v>
      </c>
      <c r="AT1100" s="1">
        <v>24.5</v>
      </c>
      <c r="AU1100" s="1">
        <v>14.3</v>
      </c>
      <c r="AV1100" s="1">
        <v>14.7</v>
      </c>
      <c r="AW1100" s="1">
        <v>0.5</v>
      </c>
      <c r="AX1100" s="1">
        <v>0.3983</v>
      </c>
      <c r="AY1100" s="1">
        <v>12.5</v>
      </c>
      <c r="AZ1100" s="1">
        <v>12.7</v>
      </c>
      <c r="BA1100" s="1">
        <v>17.2</v>
      </c>
      <c r="BB1100" s="1">
        <v>3.03</v>
      </c>
      <c r="BC1100" s="1" t="s">
        <v>1761</v>
      </c>
      <c r="BD1100" s="1">
        <v>13.0</v>
      </c>
      <c r="BE1100" s="1">
        <v>44.9</v>
      </c>
      <c r="BF1100" s="1">
        <v>27.9</v>
      </c>
      <c r="BG1100" s="1">
        <v>14.2</v>
      </c>
      <c r="BH1100" s="1" t="s">
        <v>1918</v>
      </c>
    </row>
    <row r="1101">
      <c r="A1101" s="1">
        <v>21215.0</v>
      </c>
      <c r="B1101" s="2" t="str">
        <f>IFERROR(__xludf.DUMMYFUNCTION("TO_TEXT(A1101)"),"21215")</f>
        <v>21215</v>
      </c>
      <c r="C1101" s="1">
        <v>17798.0</v>
      </c>
      <c r="D1101" s="1">
        <v>186.677937453373</v>
      </c>
      <c r="E1101" s="1" t="s">
        <v>1410</v>
      </c>
      <c r="F1101" s="1" t="s">
        <v>1919</v>
      </c>
      <c r="G1101" s="1">
        <v>95.3406719765444</v>
      </c>
      <c r="H1101" s="1">
        <v>16.587959889</v>
      </c>
      <c r="I1101" s="1">
        <v>4.2772159612</v>
      </c>
      <c r="J1101" s="1">
        <v>7.7794561934</v>
      </c>
      <c r="K1101" s="1">
        <v>18.175387652</v>
      </c>
      <c r="L1101" s="1">
        <v>36.5</v>
      </c>
      <c r="M1101" s="1">
        <v>7.7</v>
      </c>
      <c r="N1101" s="1">
        <v>29.1</v>
      </c>
      <c r="O1101" s="1">
        <v>53.6310884469999</v>
      </c>
      <c r="P1101" s="1">
        <v>5.1377977304</v>
      </c>
      <c r="Q1101" s="1">
        <v>43.22689</v>
      </c>
      <c r="R1101" s="1">
        <v>96.48241206</v>
      </c>
      <c r="S1101" s="1">
        <v>9.7</v>
      </c>
      <c r="T1101" s="1">
        <v>4105.0</v>
      </c>
      <c r="U1101" s="1">
        <v>22.3873325209999</v>
      </c>
      <c r="V1101" s="1">
        <v>44.655316774</v>
      </c>
      <c r="W1101" s="1">
        <v>9.0697674419</v>
      </c>
      <c r="X1101" s="1">
        <v>7.2</v>
      </c>
      <c r="Y1101" s="1">
        <v>77.051846654</v>
      </c>
      <c r="Z1101" s="1">
        <v>19.1</v>
      </c>
      <c r="AA1101" s="1">
        <v>6.508531482</v>
      </c>
      <c r="AB1101" s="1">
        <v>85899.0</v>
      </c>
      <c r="AC1101" s="1">
        <v>44.256868587</v>
      </c>
      <c r="AD1101" s="1">
        <v>85.0201222239999</v>
      </c>
      <c r="AE1101" s="1">
        <v>7.6244102876</v>
      </c>
      <c r="AF1101" s="1">
        <v>1.6973502182</v>
      </c>
      <c r="AG1101" s="1">
        <v>0.3192508247</v>
      </c>
      <c r="AH1101" s="1">
        <v>0.3671384484</v>
      </c>
      <c r="AI1101" s="1">
        <v>0.0904544003</v>
      </c>
      <c r="AJ1101" s="1">
        <v>2.224114079</v>
      </c>
      <c r="AK1101" s="1">
        <v>94.253485155</v>
      </c>
      <c r="AL1101" s="1">
        <v>0.2722743599</v>
      </c>
      <c r="AM1101" s="1">
        <v>49.372140045</v>
      </c>
      <c r="AN1101" s="1">
        <v>100.0</v>
      </c>
      <c r="AO1101" s="1">
        <v>27227.0</v>
      </c>
      <c r="AP1101" s="1">
        <v>10.1</v>
      </c>
      <c r="AQ1101" s="1">
        <v>6.7</v>
      </c>
      <c r="AR1101" s="1">
        <v>10.5</v>
      </c>
      <c r="AS1101" s="1">
        <v>12.3</v>
      </c>
      <c r="AT1101" s="1">
        <v>23.9</v>
      </c>
      <c r="AU1101" s="1">
        <v>13.7</v>
      </c>
      <c r="AV1101" s="1">
        <v>5.5</v>
      </c>
      <c r="AW1101" s="1">
        <v>0.0</v>
      </c>
      <c r="AX1101" s="1">
        <v>0.0866</v>
      </c>
      <c r="AY1101" s="1">
        <v>7.3</v>
      </c>
      <c r="AZ1101" s="1">
        <v>9.4</v>
      </c>
      <c r="BA1101" s="1">
        <v>11.4</v>
      </c>
      <c r="BB1101" s="1">
        <v>2.94</v>
      </c>
      <c r="BC1101" s="1" t="s">
        <v>1761</v>
      </c>
      <c r="BD1101" s="1">
        <v>9.6</v>
      </c>
      <c r="BE1101" s="1">
        <v>36.3</v>
      </c>
      <c r="BF1101" s="1">
        <v>33.8</v>
      </c>
      <c r="BG1101" s="1">
        <v>20.3</v>
      </c>
      <c r="BH1101" s="1" t="s">
        <v>1919</v>
      </c>
    </row>
    <row r="1102">
      <c r="A1102" s="1">
        <v>21217.0</v>
      </c>
      <c r="B1102" s="2" t="str">
        <f>IFERROR(__xludf.DUMMYFUNCTION("TO_TEXT(A1102)"),"21217")</f>
        <v>21217</v>
      </c>
      <c r="C1102" s="1">
        <v>25315.0</v>
      </c>
      <c r="D1102" s="1">
        <v>266.336790503208</v>
      </c>
      <c r="E1102" s="1" t="s">
        <v>786</v>
      </c>
      <c r="F1102" s="1" t="s">
        <v>1920</v>
      </c>
      <c r="G1102" s="1">
        <v>95.0488287861796</v>
      </c>
      <c r="H1102" s="1">
        <v>23.27877774</v>
      </c>
      <c r="I1102" s="1">
        <v>5.0412550275</v>
      </c>
      <c r="J1102" s="1">
        <v>8.6567164179</v>
      </c>
      <c r="K1102" s="1">
        <v>22.0618515519999</v>
      </c>
      <c r="L1102" s="1">
        <v>35.7</v>
      </c>
      <c r="M1102" s="1">
        <v>6.9</v>
      </c>
      <c r="N1102" s="1">
        <v>31.9</v>
      </c>
      <c r="O1102" s="1">
        <v>83.151109661</v>
      </c>
      <c r="P1102" s="1">
        <v>6.2902730899</v>
      </c>
      <c r="Q1102" s="1">
        <v>66.73995</v>
      </c>
      <c r="R1102" s="1">
        <v>96.381578947</v>
      </c>
      <c r="S1102" s="1">
        <v>26.7</v>
      </c>
      <c r="T1102" s="1">
        <v>5794.0</v>
      </c>
      <c r="U1102" s="1">
        <v>45.3572661369999</v>
      </c>
      <c r="V1102" s="1">
        <v>161.11066911</v>
      </c>
      <c r="W1102" s="1">
        <v>14.828116983</v>
      </c>
      <c r="X1102" s="1">
        <v>13.642522147</v>
      </c>
      <c r="Y1102" s="1">
        <v>75.825528808</v>
      </c>
      <c r="Z1102" s="1">
        <v>10.8</v>
      </c>
      <c r="AA1102" s="1">
        <v>8.4624819485</v>
      </c>
      <c r="AB1102" s="1">
        <v>45429.0</v>
      </c>
      <c r="AC1102" s="1">
        <v>62.197049526</v>
      </c>
      <c r="AD1102" s="1">
        <v>62.817840767</v>
      </c>
      <c r="AE1102" s="1">
        <v>12.342844649</v>
      </c>
      <c r="AF1102" s="1">
        <v>5.0765196289</v>
      </c>
      <c r="AG1102" s="1">
        <v>0.227014756</v>
      </c>
      <c r="AH1102" s="1">
        <v>0.9002309288</v>
      </c>
      <c r="AI1102" s="1">
        <v>0.0665388078</v>
      </c>
      <c r="AJ1102" s="1">
        <v>2.5128185056</v>
      </c>
      <c r="AK1102" s="1">
        <v>89.40858742</v>
      </c>
      <c r="AL1102" s="1">
        <v>0.0842921566</v>
      </c>
      <c r="AM1102" s="1">
        <v>51.140944851</v>
      </c>
      <c r="AN1102" s="1">
        <v>52.190763708</v>
      </c>
      <c r="AO1102" s="1">
        <v>18613.0</v>
      </c>
      <c r="AP1102" s="1">
        <v>25.2</v>
      </c>
      <c r="AQ1102" s="1">
        <v>8.8</v>
      </c>
      <c r="AR1102" s="1">
        <v>15.9</v>
      </c>
      <c r="AS1102" s="1">
        <v>17.1</v>
      </c>
      <c r="AT1102" s="1">
        <v>22.1</v>
      </c>
      <c r="AU1102" s="1">
        <v>20.2</v>
      </c>
      <c r="AV1102" s="1">
        <v>9.9</v>
      </c>
      <c r="AW1102" s="1">
        <v>0.1</v>
      </c>
      <c r="AX1102" s="1">
        <v>0.7829</v>
      </c>
      <c r="AY1102" s="1">
        <v>16.4</v>
      </c>
      <c r="AZ1102" s="1">
        <v>17.5</v>
      </c>
      <c r="BA1102" s="1">
        <v>23.4</v>
      </c>
      <c r="BB1102" s="1">
        <v>2.58</v>
      </c>
      <c r="BC1102" s="1" t="s">
        <v>1761</v>
      </c>
      <c r="BD1102" s="1">
        <v>12.9</v>
      </c>
      <c r="BE1102" s="1">
        <v>39.2</v>
      </c>
      <c r="BF1102" s="1">
        <v>28.3</v>
      </c>
      <c r="BG1102" s="1">
        <v>19.6</v>
      </c>
      <c r="BH1102" s="1" t="s">
        <v>1920</v>
      </c>
    </row>
    <row r="1103">
      <c r="A1103" s="1">
        <v>21219.0</v>
      </c>
      <c r="B1103" s="2" t="str">
        <f>IFERROR(__xludf.DUMMYFUNCTION("TO_TEXT(A1103)"),"21219")</f>
        <v>21219</v>
      </c>
      <c r="C1103" s="1">
        <v>12465.0</v>
      </c>
      <c r="D1103" s="1">
        <v>374.496575427752</v>
      </c>
      <c r="E1103" s="1" t="s">
        <v>1921</v>
      </c>
      <c r="F1103" s="1" t="s">
        <v>1922</v>
      </c>
      <c r="G1103" s="1">
        <v>33.2846835401964</v>
      </c>
      <c r="H1103" s="1">
        <v>21.6121304369999</v>
      </c>
      <c r="I1103" s="1">
        <v>4.897008308</v>
      </c>
      <c r="J1103" s="1">
        <v>8.8050314465</v>
      </c>
      <c r="K1103" s="1">
        <v>22.231141908</v>
      </c>
      <c r="L1103" s="1">
        <v>35.8</v>
      </c>
      <c r="M1103" s="1">
        <v>8.0</v>
      </c>
      <c r="N1103" s="1">
        <v>39.0</v>
      </c>
      <c r="O1103" s="1">
        <v>1.9502407705</v>
      </c>
      <c r="P1103" s="1">
        <v>8.8871176646</v>
      </c>
      <c r="Q1103" s="1">
        <v>16.33587</v>
      </c>
      <c r="R1103" s="1">
        <v>99.1228070179999</v>
      </c>
      <c r="S1103" s="1">
        <v>24.2</v>
      </c>
      <c r="T1103" s="1">
        <v>3295.0</v>
      </c>
      <c r="U1103" s="1">
        <v>21.547799697</v>
      </c>
      <c r="V1103" s="1">
        <v>83.732057416</v>
      </c>
      <c r="W1103" s="1">
        <v>11.90738699</v>
      </c>
      <c r="X1103" s="1">
        <v>10.055991041</v>
      </c>
      <c r="Y1103" s="1">
        <v>74.0822385589999</v>
      </c>
      <c r="Z1103" s="1">
        <v>11.5</v>
      </c>
      <c r="AA1103" s="1">
        <v>0.2189622969</v>
      </c>
      <c r="AB1103" s="1">
        <v>51027.0</v>
      </c>
      <c r="AC1103" s="1">
        <v>65.034619189</v>
      </c>
      <c r="AD1103" s="1">
        <v>69.182929445</v>
      </c>
      <c r="AE1103" s="1">
        <v>8.4045255137</v>
      </c>
      <c r="AF1103" s="1">
        <v>7.7491674113</v>
      </c>
      <c r="AG1103" s="1">
        <v>0.2518073268</v>
      </c>
      <c r="AH1103" s="1">
        <v>0.2924214117</v>
      </c>
      <c r="AI1103" s="1">
        <v>0.048736902</v>
      </c>
      <c r="AJ1103" s="1">
        <v>3.8502152547</v>
      </c>
      <c r="AK1103" s="1">
        <v>86.434895622</v>
      </c>
      <c r="AL1103" s="1">
        <v>1.6400593213</v>
      </c>
      <c r="AM1103" s="1">
        <v>50.21525465</v>
      </c>
      <c r="AN1103" s="1">
        <v>100.0</v>
      </c>
      <c r="AO1103" s="1">
        <v>19165.0</v>
      </c>
      <c r="AP1103" s="1">
        <v>17.2</v>
      </c>
      <c r="AQ1103" s="1">
        <v>7.9</v>
      </c>
      <c r="AR1103" s="1">
        <v>23.1</v>
      </c>
      <c r="AS1103" s="1">
        <v>15.9</v>
      </c>
      <c r="AT1103" s="1">
        <v>26.9</v>
      </c>
      <c r="AU1103" s="1">
        <v>14.3</v>
      </c>
      <c r="AV1103" s="1">
        <v>14.3</v>
      </c>
      <c r="AW1103" s="1">
        <v>0.7</v>
      </c>
      <c r="AX1103" s="1">
        <v>0.7399</v>
      </c>
      <c r="AY1103" s="1">
        <v>17.1</v>
      </c>
      <c r="AZ1103" s="1">
        <v>13.8</v>
      </c>
      <c r="BA1103" s="1">
        <v>16.5</v>
      </c>
      <c r="BB1103" s="1">
        <v>2.86</v>
      </c>
      <c r="BC1103" s="1" t="s">
        <v>1761</v>
      </c>
      <c r="BD1103" s="1">
        <v>22.5</v>
      </c>
      <c r="BE1103" s="1">
        <v>40.5</v>
      </c>
      <c r="BF1103" s="1">
        <v>23.7</v>
      </c>
      <c r="BG1103" s="1">
        <v>13.2</v>
      </c>
      <c r="BH1103" s="1" t="s">
        <v>1922</v>
      </c>
    </row>
    <row r="1104">
      <c r="A1104" s="1">
        <v>21221.0</v>
      </c>
      <c r="B1104" s="2" t="str">
        <f>IFERROR(__xludf.DUMMYFUNCTION("TO_TEXT(A1104)"),"21221")</f>
        <v>21221</v>
      </c>
      <c r="C1104" s="1">
        <v>14267.0</v>
      </c>
      <c r="D1104" s="1">
        <v>441.43336834979</v>
      </c>
      <c r="E1104" s="1" t="s">
        <v>1923</v>
      </c>
      <c r="F1104" s="1" t="s">
        <v>1924</v>
      </c>
      <c r="G1104" s="1">
        <v>32.3197135126742</v>
      </c>
      <c r="H1104" s="1">
        <v>20.648499575</v>
      </c>
      <c r="I1104" s="1">
        <v>4.5875869451</v>
      </c>
      <c r="J1104" s="1">
        <v>7.1428571429</v>
      </c>
      <c r="K1104" s="1">
        <v>20.149778402</v>
      </c>
      <c r="L1104" s="1">
        <v>32.8</v>
      </c>
      <c r="M1104" s="1">
        <v>7.6</v>
      </c>
      <c r="N1104" s="1">
        <v>30.0</v>
      </c>
      <c r="O1104" s="1">
        <v>59.509031313</v>
      </c>
      <c r="P1104" s="1">
        <v>7.436311446</v>
      </c>
      <c r="Q1104" s="1">
        <v>20.76987</v>
      </c>
      <c r="R1104" s="1">
        <v>91.463414634</v>
      </c>
      <c r="S1104" s="1">
        <v>25.0</v>
      </c>
      <c r="T1104" s="1">
        <v>2976.0</v>
      </c>
      <c r="U1104" s="1">
        <v>27.217741935</v>
      </c>
      <c r="V1104" s="1">
        <v>112.29252202</v>
      </c>
      <c r="W1104" s="1">
        <v>9.8744769874</v>
      </c>
      <c r="X1104" s="1">
        <v>6.4461407973</v>
      </c>
      <c r="Y1104" s="1">
        <v>77.446012529</v>
      </c>
      <c r="Z1104" s="1">
        <v>13.3</v>
      </c>
      <c r="AA1104" s="1">
        <v>5.940155476</v>
      </c>
      <c r="AB1104" s="1">
        <v>49767.0</v>
      </c>
      <c r="AC1104" s="1">
        <v>61.293436293</v>
      </c>
      <c r="AD1104" s="1">
        <v>82.4455611389999</v>
      </c>
      <c r="AE1104" s="1">
        <v>7.93706911789999</v>
      </c>
      <c r="AF1104" s="1">
        <v>6.9726149013</v>
      </c>
      <c r="AG1104" s="1">
        <v>0.355118486599999</v>
      </c>
      <c r="AH1104" s="1">
        <v>0.3414600833</v>
      </c>
      <c r="AI1104" s="1">
        <v>0.0682920167</v>
      </c>
      <c r="AJ1104" s="1">
        <v>2.2741241549</v>
      </c>
      <c r="AK1104" s="1">
        <v>87.939629857</v>
      </c>
      <c r="AL1104" s="1">
        <v>0.3328894807</v>
      </c>
      <c r="AM1104" s="1">
        <v>50.4268251039999</v>
      </c>
      <c r="AN1104" s="1">
        <v>79.356998396</v>
      </c>
      <c r="AO1104" s="1">
        <v>26068.0</v>
      </c>
      <c r="AP1104" s="1">
        <v>16.2</v>
      </c>
      <c r="AQ1104" s="1">
        <v>10.1</v>
      </c>
      <c r="AR1104" s="1">
        <v>15.8</v>
      </c>
      <c r="AS1104" s="1">
        <v>21.3</v>
      </c>
      <c r="AT1104" s="1">
        <v>22.3</v>
      </c>
      <c r="AU1104" s="1">
        <v>17.2</v>
      </c>
      <c r="AV1104" s="1">
        <v>11.8</v>
      </c>
      <c r="AW1104" s="1">
        <v>0.1</v>
      </c>
      <c r="AX1104" s="1">
        <v>0.5231</v>
      </c>
      <c r="AY1104" s="1">
        <v>14.6</v>
      </c>
      <c r="AZ1104" s="1">
        <v>12.1</v>
      </c>
      <c r="BA1104" s="1">
        <v>15.9</v>
      </c>
      <c r="BB1104" s="1">
        <v>2.89</v>
      </c>
      <c r="BC1104" s="1" t="s">
        <v>1761</v>
      </c>
      <c r="BD1104" s="1">
        <v>12.0</v>
      </c>
      <c r="BE1104" s="1">
        <v>33.2</v>
      </c>
      <c r="BF1104" s="1">
        <v>38.3</v>
      </c>
      <c r="BG1104" s="1">
        <v>16.6</v>
      </c>
      <c r="BH1104" s="1" t="s">
        <v>1924</v>
      </c>
    </row>
    <row r="1105">
      <c r="A1105" s="1">
        <v>21223.0</v>
      </c>
      <c r="B1105" s="2" t="str">
        <f>IFERROR(__xludf.DUMMYFUNCTION("TO_TEXT(A1105)"),"21223")</f>
        <v>21223</v>
      </c>
      <c r="C1105" s="1">
        <v>8751.0</v>
      </c>
      <c r="D1105" s="1">
        <v>151.647822688337</v>
      </c>
      <c r="E1105" s="1" t="s">
        <v>1925</v>
      </c>
      <c r="F1105" s="1" t="s">
        <v>1926</v>
      </c>
      <c r="G1105" s="1">
        <v>57.706070848012</v>
      </c>
      <c r="H1105" s="1">
        <v>20.519415884</v>
      </c>
      <c r="I1105" s="1">
        <v>4.7098832288</v>
      </c>
      <c r="J1105" s="1">
        <v>9.1042584435</v>
      </c>
      <c r="K1105" s="1">
        <v>20.518275487</v>
      </c>
      <c r="L1105" s="1">
        <v>36.9</v>
      </c>
      <c r="M1105" s="1">
        <v>8.2</v>
      </c>
      <c r="N1105" s="1">
        <v>33.1</v>
      </c>
      <c r="O1105" s="1">
        <v>62.129640141</v>
      </c>
      <c r="P1105" s="1">
        <v>6.3724098779</v>
      </c>
      <c r="Q1105" s="1">
        <v>23.36176</v>
      </c>
      <c r="R1105" s="1">
        <v>93.258426966</v>
      </c>
      <c r="S1105" s="1">
        <v>20.6</v>
      </c>
      <c r="T1105" s="1">
        <v>1837.0</v>
      </c>
      <c r="U1105" s="1">
        <v>41.589548176</v>
      </c>
      <c r="V1105" s="1">
        <v>34.123869647</v>
      </c>
      <c r="W1105" s="1">
        <v>10.970464135</v>
      </c>
      <c r="X1105" s="1">
        <v>8.8793103448</v>
      </c>
      <c r="Y1105" s="1">
        <v>73.972260638</v>
      </c>
      <c r="Z1105" s="1">
        <v>14.8</v>
      </c>
      <c r="AA1105" s="1">
        <v>2.3582765021</v>
      </c>
      <c r="AB1105" s="1">
        <v>51674.0</v>
      </c>
      <c r="AC1105" s="1">
        <v>60.528422738</v>
      </c>
      <c r="AD1105" s="1">
        <v>75.332963374</v>
      </c>
      <c r="AE1105" s="1">
        <v>10.50282654</v>
      </c>
      <c r="AF1105" s="1">
        <v>0.5402231356</v>
      </c>
      <c r="AG1105" s="1">
        <v>0.7633587786</v>
      </c>
      <c r="AH1105" s="1">
        <v>0.6106870229</v>
      </c>
      <c r="AI1105" s="1">
        <v>0.0822078685</v>
      </c>
      <c r="AJ1105" s="1">
        <v>3.3705226072</v>
      </c>
      <c r="AK1105" s="1">
        <v>93.752201996</v>
      </c>
      <c r="AL1105" s="1">
        <v>0.6969067123</v>
      </c>
      <c r="AM1105" s="1">
        <v>49.888432179</v>
      </c>
      <c r="AN1105" s="1">
        <v>94.698603701</v>
      </c>
      <c r="AO1105" s="1">
        <v>24515.0</v>
      </c>
      <c r="AP1105" s="1">
        <v>18.0</v>
      </c>
      <c r="AQ1105" s="1">
        <v>15.0</v>
      </c>
      <c r="AR1105" s="1">
        <v>16.8</v>
      </c>
      <c r="AS1105" s="1">
        <v>16.0</v>
      </c>
      <c r="AT1105" s="1">
        <v>23.6</v>
      </c>
      <c r="AU1105" s="1">
        <v>16.8</v>
      </c>
      <c r="AV1105" s="1">
        <v>3.5</v>
      </c>
      <c r="AW1105" s="1">
        <v>0.2</v>
      </c>
      <c r="AX1105" s="1">
        <v>0.5524</v>
      </c>
      <c r="AY1105" s="1">
        <v>11.9</v>
      </c>
      <c r="AZ1105" s="1">
        <v>15.2</v>
      </c>
      <c r="BA1105" s="1">
        <v>21.0</v>
      </c>
      <c r="BB1105" s="1">
        <v>2.76</v>
      </c>
      <c r="BC1105" s="1" t="s">
        <v>1761</v>
      </c>
      <c r="BD1105" s="1">
        <v>17.2</v>
      </c>
      <c r="BE1105" s="1">
        <v>46.3</v>
      </c>
      <c r="BF1105" s="1">
        <v>22.4</v>
      </c>
      <c r="BG1105" s="1">
        <v>14.1</v>
      </c>
      <c r="BH1105" s="1" t="s">
        <v>1926</v>
      </c>
    </row>
    <row r="1106">
      <c r="A1106" s="1">
        <v>21225.0</v>
      </c>
      <c r="B1106" s="2" t="str">
        <f>IFERROR(__xludf.DUMMYFUNCTION("TO_TEXT(A1106)"),"21225")</f>
        <v>21225</v>
      </c>
      <c r="C1106" s="1">
        <v>15065.0</v>
      </c>
      <c r="D1106" s="1">
        <v>342.848803372278</v>
      </c>
      <c r="E1106" s="1" t="s">
        <v>406</v>
      </c>
      <c r="F1106" s="1" t="s">
        <v>1927</v>
      </c>
      <c r="G1106" s="1">
        <v>43.9406521236763</v>
      </c>
      <c r="H1106" s="1">
        <v>23.234061874</v>
      </c>
      <c r="I1106" s="1">
        <v>4.8987077117</v>
      </c>
      <c r="J1106" s="1">
        <v>11.331679074</v>
      </c>
      <c r="K1106" s="1">
        <v>22.414372005</v>
      </c>
      <c r="L1106" s="1">
        <v>31.4</v>
      </c>
      <c r="M1106" s="1">
        <v>7.1</v>
      </c>
      <c r="N1106" s="1">
        <v>36.7</v>
      </c>
      <c r="O1106" s="1">
        <v>61.831145465</v>
      </c>
      <c r="P1106" s="1">
        <v>7.3468052033</v>
      </c>
      <c r="Q1106" s="1">
        <v>20.45269</v>
      </c>
      <c r="R1106" s="1">
        <v>95.833333333</v>
      </c>
      <c r="S1106" s="1">
        <v>21.9</v>
      </c>
      <c r="T1106" s="1">
        <v>2831.0</v>
      </c>
      <c r="U1106" s="1">
        <v>35.0759448959999</v>
      </c>
      <c r="V1106" s="1">
        <v>96.760201528</v>
      </c>
      <c r="W1106" s="1">
        <v>10.781671159</v>
      </c>
      <c r="X1106" s="1">
        <v>9.1056617382</v>
      </c>
      <c r="Y1106" s="1">
        <v>73.840529645</v>
      </c>
      <c r="Z1106" s="1">
        <v>13.9</v>
      </c>
      <c r="AA1106" s="1">
        <v>4.618409363</v>
      </c>
      <c r="AB1106" s="1">
        <v>47067.0</v>
      </c>
      <c r="AC1106" s="1">
        <v>61.725562184</v>
      </c>
      <c r="AD1106" s="1">
        <v>69.277218664</v>
      </c>
      <c r="AE1106" s="1">
        <v>6.96250956389999</v>
      </c>
      <c r="AF1106" s="1">
        <v>13.209238194</v>
      </c>
      <c r="AG1106" s="1">
        <v>0.2895553257</v>
      </c>
      <c r="AH1106" s="1">
        <v>0.6549465701</v>
      </c>
      <c r="AI1106" s="1">
        <v>0.0551533954</v>
      </c>
      <c r="AJ1106" s="1">
        <v>2.006204757</v>
      </c>
      <c r="AK1106" s="1">
        <v>82.0406756289999</v>
      </c>
      <c r="AL1106" s="1">
        <v>0.1426024955</v>
      </c>
      <c r="AM1106" s="1">
        <v>47.907618063</v>
      </c>
      <c r="AN1106" s="1">
        <v>65.282867995</v>
      </c>
      <c r="AO1106" s="1">
        <v>21063.0</v>
      </c>
      <c r="AP1106" s="1">
        <v>24.0</v>
      </c>
      <c r="AQ1106" s="1">
        <v>8.4</v>
      </c>
      <c r="AR1106" s="1">
        <v>15.1</v>
      </c>
      <c r="AS1106" s="1">
        <v>15.0</v>
      </c>
      <c r="AT1106" s="1">
        <v>20.2</v>
      </c>
      <c r="AU1106" s="1">
        <v>19.8</v>
      </c>
      <c r="AV1106" s="1">
        <v>17.3</v>
      </c>
      <c r="AW1106" s="1">
        <v>0.3</v>
      </c>
      <c r="AX1106" s="1">
        <v>0.6141</v>
      </c>
      <c r="AY1106" s="1">
        <v>17.3</v>
      </c>
      <c r="AZ1106" s="1">
        <v>16.3</v>
      </c>
      <c r="BA1106" s="1">
        <v>19.1</v>
      </c>
      <c r="BB1106" s="1">
        <v>2.76</v>
      </c>
      <c r="BC1106" s="1" t="s">
        <v>1761</v>
      </c>
      <c r="BD1106" s="1">
        <v>10.0</v>
      </c>
      <c r="BE1106" s="1">
        <v>47.8</v>
      </c>
      <c r="BF1106" s="1">
        <v>31.1</v>
      </c>
      <c r="BG1106" s="1">
        <v>11.1</v>
      </c>
      <c r="BH1106" s="1" t="s">
        <v>1927</v>
      </c>
    </row>
    <row r="1107">
      <c r="A1107" s="1">
        <v>21227.0</v>
      </c>
      <c r="B1107" s="2" t="str">
        <f>IFERROR(__xludf.DUMMYFUNCTION("TO_TEXT(A1107)"),"21227")</f>
        <v>21227</v>
      </c>
      <c r="C1107" s="1">
        <v>121066.0</v>
      </c>
      <c r="D1107" s="1">
        <v>541.6021673625</v>
      </c>
      <c r="E1107" s="1" t="s">
        <v>1045</v>
      </c>
      <c r="F1107" s="1" t="s">
        <v>1928</v>
      </c>
      <c r="G1107" s="1">
        <v>223.533078882547</v>
      </c>
      <c r="H1107" s="1">
        <v>19.447167369</v>
      </c>
      <c r="I1107" s="1">
        <v>4.4957190909</v>
      </c>
      <c r="J1107" s="1">
        <v>8.8052516411</v>
      </c>
      <c r="K1107" s="1">
        <v>19.827325188</v>
      </c>
      <c r="L1107" s="1">
        <v>29.5</v>
      </c>
      <c r="M1107" s="1">
        <v>7.4</v>
      </c>
      <c r="N1107" s="1">
        <v>23.7</v>
      </c>
      <c r="O1107" s="1">
        <v>54.611044713</v>
      </c>
      <c r="P1107" s="1">
        <v>7.3156464639</v>
      </c>
      <c r="Q1107" s="1">
        <v>70.6275</v>
      </c>
      <c r="R1107" s="1">
        <v>95.857026807</v>
      </c>
      <c r="S1107" s="1">
        <v>19.6</v>
      </c>
      <c r="T1107" s="1">
        <v>28231.0</v>
      </c>
      <c r="U1107" s="1">
        <v>34.961567072</v>
      </c>
      <c r="V1107" s="1">
        <v>221.59053673</v>
      </c>
      <c r="W1107" s="1">
        <v>16.052202284</v>
      </c>
      <c r="X1107" s="1">
        <v>13.192757783</v>
      </c>
      <c r="Y1107" s="1">
        <v>77.209047881</v>
      </c>
      <c r="Z1107" s="1">
        <v>8.2</v>
      </c>
      <c r="AA1107" s="1">
        <v>5.5885230479</v>
      </c>
      <c r="AB1107" s="1">
        <v>53478.0</v>
      </c>
      <c r="AC1107" s="1">
        <v>55.494808647</v>
      </c>
      <c r="AD1107" s="1">
        <v>58.236816427</v>
      </c>
      <c r="AE1107" s="1">
        <v>12.688643084</v>
      </c>
      <c r="AF1107" s="1">
        <v>9.5136518771</v>
      </c>
      <c r="AG1107" s="1">
        <v>0.3199658703</v>
      </c>
      <c r="AH1107" s="1">
        <v>4.58770112139999</v>
      </c>
      <c r="AI1107" s="1">
        <v>0.4197647489</v>
      </c>
      <c r="AJ1107" s="1">
        <v>5.5841662604</v>
      </c>
      <c r="AK1107" s="1">
        <v>77.82255607</v>
      </c>
      <c r="AL1107" s="1">
        <v>2.8526764967</v>
      </c>
      <c r="AM1107" s="1">
        <v>51.087122136</v>
      </c>
      <c r="AN1107" s="1">
        <v>31.184969066</v>
      </c>
      <c r="AO1107" s="1">
        <v>24060.0</v>
      </c>
      <c r="AP1107" s="1">
        <v>19.2</v>
      </c>
      <c r="AQ1107" s="1">
        <v>6.8</v>
      </c>
      <c r="AR1107" s="1">
        <v>12.3</v>
      </c>
      <c r="AS1107" s="1">
        <v>11.9</v>
      </c>
      <c r="AT1107" s="1">
        <v>22.5</v>
      </c>
      <c r="AU1107" s="1">
        <v>14.8</v>
      </c>
      <c r="AV1107" s="1">
        <v>19.7</v>
      </c>
      <c r="AW1107" s="1">
        <v>2.9</v>
      </c>
      <c r="AX1107" s="1">
        <v>0.7173</v>
      </c>
      <c r="AY1107" s="1">
        <v>15.4</v>
      </c>
      <c r="AZ1107" s="1">
        <v>13.5</v>
      </c>
      <c r="BA1107" s="1">
        <v>16.2</v>
      </c>
      <c r="BB1107" s="1">
        <v>2.76</v>
      </c>
      <c r="BC1107" s="1" t="s">
        <v>1761</v>
      </c>
      <c r="BD1107" s="1">
        <v>11.9</v>
      </c>
      <c r="BE1107" s="1">
        <v>26.6</v>
      </c>
      <c r="BF1107" s="1">
        <v>29.3</v>
      </c>
      <c r="BG1107" s="1">
        <v>32.2</v>
      </c>
      <c r="BH1107" s="1" t="s">
        <v>1928</v>
      </c>
    </row>
    <row r="1108">
      <c r="A1108" s="1">
        <v>21229.0</v>
      </c>
      <c r="B1108" s="2" t="str">
        <f>IFERROR(__xludf.DUMMYFUNCTION("TO_TEXT(A1108)"),"21229")</f>
        <v>21229</v>
      </c>
      <c r="C1108" s="1">
        <v>12017.0</v>
      </c>
      <c r="D1108" s="1">
        <v>297.271925603037</v>
      </c>
      <c r="E1108" s="1" t="s">
        <v>188</v>
      </c>
      <c r="F1108" s="1" t="s">
        <v>1929</v>
      </c>
      <c r="G1108" s="1">
        <v>40.4242680354784</v>
      </c>
      <c r="H1108" s="1">
        <v>20.188538815</v>
      </c>
      <c r="I1108" s="1">
        <v>4.593725012</v>
      </c>
      <c r="J1108" s="1">
        <v>8.5148514851</v>
      </c>
      <c r="K1108" s="1">
        <v>20.010615637</v>
      </c>
      <c r="L1108" s="1">
        <v>34.6</v>
      </c>
      <c r="M1108" s="1">
        <v>7.6</v>
      </c>
      <c r="N1108" s="1">
        <v>25.2</v>
      </c>
      <c r="O1108" s="1">
        <v>2.6030553896</v>
      </c>
      <c r="P1108" s="1">
        <v>7.3568643546</v>
      </c>
      <c r="Q1108" s="1">
        <v>32.98697</v>
      </c>
      <c r="R1108" s="1">
        <v>97.457627119</v>
      </c>
      <c r="S1108" s="1">
        <v>20.9</v>
      </c>
      <c r="T1108" s="1">
        <v>2825.0</v>
      </c>
      <c r="U1108" s="1">
        <v>25.026548673</v>
      </c>
      <c r="V1108" s="1">
        <v>54.094540613</v>
      </c>
      <c r="W1108" s="1">
        <v>10.13363029</v>
      </c>
      <c r="X1108" s="1">
        <v>8.229988726</v>
      </c>
      <c r="Y1108" s="1">
        <v>75.2929363</v>
      </c>
      <c r="Z1108" s="1">
        <v>15.8</v>
      </c>
      <c r="AA1108" s="1">
        <v>8.02515977769999</v>
      </c>
      <c r="AB1108" s="1">
        <v>50246.0</v>
      </c>
      <c r="AC1108" s="1">
        <v>63.7579988369999</v>
      </c>
      <c r="AD1108" s="1">
        <v>75.573173345</v>
      </c>
      <c r="AE1108" s="1">
        <v>6.1355109247</v>
      </c>
      <c r="AF1108" s="1">
        <v>5.4617676266</v>
      </c>
      <c r="AG1108" s="1">
        <v>0.2151605429</v>
      </c>
      <c r="AH1108" s="1">
        <v>0.9020191989</v>
      </c>
      <c r="AI1108" s="1">
        <v>0.049652433</v>
      </c>
      <c r="AJ1108" s="1">
        <v>4.6011254551</v>
      </c>
      <c r="AK1108" s="1">
        <v>87.313803376</v>
      </c>
      <c r="AL1108" s="1">
        <v>0.7943512798</v>
      </c>
      <c r="AM1108" s="1">
        <v>50.513075141</v>
      </c>
      <c r="AN1108" s="1">
        <v>100.0</v>
      </c>
      <c r="AO1108" s="1">
        <v>20834.0</v>
      </c>
      <c r="AP1108" s="1">
        <v>17.6</v>
      </c>
      <c r="AQ1108" s="1">
        <v>5.8</v>
      </c>
      <c r="AR1108" s="1">
        <v>17.8</v>
      </c>
      <c r="AS1108" s="1">
        <v>17.1</v>
      </c>
      <c r="AT1108" s="1">
        <v>23.1</v>
      </c>
      <c r="AU1108" s="1">
        <v>18.9</v>
      </c>
      <c r="AV1108" s="1">
        <v>11.9</v>
      </c>
      <c r="AW1108" s="1">
        <v>0.6</v>
      </c>
      <c r="AX1108" s="1">
        <v>0.5871</v>
      </c>
      <c r="AY1108" s="1">
        <v>14.4</v>
      </c>
      <c r="AZ1108" s="1">
        <v>13.5</v>
      </c>
      <c r="BA1108" s="1">
        <v>16.1</v>
      </c>
      <c r="BB1108" s="1">
        <v>2.67</v>
      </c>
      <c r="BC1108" s="1" t="s">
        <v>1761</v>
      </c>
      <c r="BD1108" s="1">
        <v>16.0</v>
      </c>
      <c r="BE1108" s="1">
        <v>42.4</v>
      </c>
      <c r="BF1108" s="1">
        <v>22.8</v>
      </c>
      <c r="BG1108" s="1">
        <v>18.8</v>
      </c>
      <c r="BH1108" s="1" t="s">
        <v>1929</v>
      </c>
    </row>
    <row r="1109">
      <c r="A1109" s="1">
        <v>21231.0</v>
      </c>
      <c r="B1109" s="2" t="str">
        <f>IFERROR(__xludf.DUMMYFUNCTION("TO_TEXT(A1109)"),"21231")</f>
        <v>21231</v>
      </c>
      <c r="C1109" s="1">
        <v>20557.0</v>
      </c>
      <c r="D1109" s="1">
        <v>458.182545696966</v>
      </c>
      <c r="E1109" s="1" t="s">
        <v>1048</v>
      </c>
      <c r="F1109" s="1" t="s">
        <v>1930</v>
      </c>
      <c r="G1109" s="1">
        <v>44.8663970137266</v>
      </c>
      <c r="H1109" s="1">
        <v>26.599263646</v>
      </c>
      <c r="I1109" s="1">
        <v>5.1650251309</v>
      </c>
      <c r="J1109" s="1">
        <v>8.8807785888</v>
      </c>
      <c r="K1109" s="1">
        <v>24.049804996</v>
      </c>
      <c r="L1109" s="1">
        <v>40.1</v>
      </c>
      <c r="M1109" s="1">
        <v>6.9</v>
      </c>
      <c r="N1109" s="1">
        <v>36.9</v>
      </c>
      <c r="O1109" s="1">
        <v>65.478306827</v>
      </c>
      <c r="P1109" s="1">
        <v>7.7956149666</v>
      </c>
      <c r="Q1109" s="1">
        <v>62.75343</v>
      </c>
      <c r="R1109" s="1">
        <v>95.219123506</v>
      </c>
      <c r="S1109" s="1">
        <v>36.0</v>
      </c>
      <c r="T1109" s="1">
        <v>4204.0</v>
      </c>
      <c r="U1109" s="1">
        <v>26.665080875</v>
      </c>
      <c r="V1109" s="1">
        <v>77.980309972</v>
      </c>
      <c r="W1109" s="1">
        <v>14.668367347</v>
      </c>
      <c r="X1109" s="1">
        <v>11.29980405</v>
      </c>
      <c r="Y1109" s="1">
        <v>75.80741631</v>
      </c>
      <c r="Z1109" s="1">
        <v>12.9</v>
      </c>
      <c r="AA1109" s="1">
        <v>8.141932071</v>
      </c>
      <c r="AB1109" s="1">
        <v>33701.0</v>
      </c>
      <c r="AC1109" s="1">
        <v>76.619804401</v>
      </c>
      <c r="AD1109" s="1">
        <v>71.517645592</v>
      </c>
      <c r="AE1109" s="1">
        <v>10.908849322</v>
      </c>
      <c r="AF1109" s="1">
        <v>1.6464725425</v>
      </c>
      <c r="AG1109" s="1">
        <v>0.3810826656</v>
      </c>
      <c r="AH1109" s="1">
        <v>0.4445964432</v>
      </c>
      <c r="AI1109" s="1">
        <v>0.1025991792</v>
      </c>
      <c r="AJ1109" s="1">
        <v>3.4541723666</v>
      </c>
      <c r="AK1109" s="1">
        <v>92.945085011</v>
      </c>
      <c r="AL1109" s="1">
        <v>0.2716694859</v>
      </c>
      <c r="AM1109" s="1">
        <v>50.293140512</v>
      </c>
      <c r="AN1109" s="1">
        <v>67.731706145</v>
      </c>
      <c r="AO1109" s="1">
        <v>16104.0</v>
      </c>
      <c r="AP1109" s="1">
        <v>25.4</v>
      </c>
      <c r="AQ1109" s="1">
        <v>12.8</v>
      </c>
      <c r="AR1109" s="1">
        <v>29.2</v>
      </c>
      <c r="AS1109" s="1">
        <v>18.1</v>
      </c>
      <c r="AT1109" s="1">
        <v>21.5</v>
      </c>
      <c r="AU1109" s="1">
        <v>25.3</v>
      </c>
      <c r="AV1109" s="1">
        <v>6.2</v>
      </c>
      <c r="AW1109" s="1">
        <v>0.9</v>
      </c>
      <c r="AX1109" s="1">
        <v>0.8656</v>
      </c>
      <c r="AY1109" s="1">
        <v>23.8</v>
      </c>
      <c r="AZ1109" s="1">
        <v>18.7</v>
      </c>
      <c r="BA1109" s="1">
        <v>25.5</v>
      </c>
      <c r="BB1109" s="1">
        <v>2.66</v>
      </c>
      <c r="BC1109" s="1" t="s">
        <v>1761</v>
      </c>
      <c r="BD1109" s="1">
        <v>25.4</v>
      </c>
      <c r="BE1109" s="1">
        <v>38.7</v>
      </c>
      <c r="BF1109" s="1">
        <v>23.6</v>
      </c>
      <c r="BG1109" s="1">
        <v>12.3</v>
      </c>
      <c r="BH1109" s="1" t="s">
        <v>1930</v>
      </c>
    </row>
    <row r="1110">
      <c r="A1110" s="1">
        <v>21233.0</v>
      </c>
      <c r="B1110" s="2" t="str">
        <f>IFERROR(__xludf.DUMMYFUNCTION("TO_TEXT(A1110)"),"21233")</f>
        <v>21233</v>
      </c>
      <c r="C1110" s="1">
        <v>13331.0</v>
      </c>
      <c r="D1110" s="1">
        <v>331.943480954244</v>
      </c>
      <c r="E1110" s="1" t="s">
        <v>1050</v>
      </c>
      <c r="F1110" s="1" t="s">
        <v>1931</v>
      </c>
      <c r="G1110" s="1">
        <v>40.1604512963386</v>
      </c>
      <c r="H1110" s="1">
        <v>23.3327265609999</v>
      </c>
      <c r="I1110" s="1">
        <v>5.0194497854</v>
      </c>
      <c r="J1110" s="1">
        <v>9.5673876872</v>
      </c>
      <c r="K1110" s="1">
        <v>23.2425188259999</v>
      </c>
      <c r="L1110" s="1">
        <v>35.8</v>
      </c>
      <c r="M1110" s="1">
        <v>7.9</v>
      </c>
      <c r="N1110" s="1">
        <v>31.4</v>
      </c>
      <c r="O1110" s="1">
        <v>28.874531973</v>
      </c>
      <c r="P1110" s="1">
        <v>8.326155613</v>
      </c>
      <c r="Q1110" s="1">
        <v>23.04501</v>
      </c>
      <c r="R1110" s="1">
        <v>88.461538462</v>
      </c>
      <c r="S1110" s="1">
        <v>22.0</v>
      </c>
      <c r="T1110" s="1">
        <v>3009.0</v>
      </c>
      <c r="U1110" s="1">
        <v>34.164174144</v>
      </c>
      <c r="V1110" s="1">
        <v>48.1444333</v>
      </c>
      <c r="W1110" s="1">
        <v>12.074001947</v>
      </c>
      <c r="X1110" s="1">
        <v>8.9566929134</v>
      </c>
      <c r="Y1110" s="1">
        <v>74.076040531</v>
      </c>
      <c r="Z1110" s="1">
        <v>12.5</v>
      </c>
      <c r="AA1110" s="1">
        <v>1.0737329939</v>
      </c>
      <c r="AB1110" s="1">
        <v>47132.0</v>
      </c>
      <c r="AC1110" s="1">
        <v>58.653431161</v>
      </c>
      <c r="AD1110" s="1">
        <v>72.964824121</v>
      </c>
      <c r="AE1110" s="1">
        <v>8.55638437909999</v>
      </c>
      <c r="AF1110" s="1">
        <v>3.8135916406</v>
      </c>
      <c r="AG1110" s="1">
        <v>0.3813591641</v>
      </c>
      <c r="AH1110" s="1">
        <v>0.549157196199999</v>
      </c>
      <c r="AI1110" s="1">
        <v>0.4118678972</v>
      </c>
      <c r="AJ1110" s="1">
        <v>5.750896194</v>
      </c>
      <c r="AK1110" s="1">
        <v>88.0482037979999</v>
      </c>
      <c r="AL1110" s="1">
        <v>0.766747376899999</v>
      </c>
      <c r="AM1110" s="1">
        <v>50.522462055</v>
      </c>
      <c r="AN1110" s="1">
        <v>100.0</v>
      </c>
      <c r="AO1110" s="1">
        <v>20117.0</v>
      </c>
      <c r="AP1110" s="1">
        <v>20.1</v>
      </c>
      <c r="AQ1110" s="1">
        <v>7.1</v>
      </c>
      <c r="AR1110" s="1">
        <v>21.5</v>
      </c>
      <c r="AS1110" s="1">
        <v>16.1</v>
      </c>
      <c r="AT1110" s="1">
        <v>22.7</v>
      </c>
      <c r="AU1110" s="1">
        <v>20.4</v>
      </c>
      <c r="AV1110" s="1">
        <v>11.1</v>
      </c>
      <c r="AW1110" s="1">
        <v>0.6</v>
      </c>
      <c r="AX1110" s="1">
        <v>0.7612</v>
      </c>
      <c r="AY1110" s="1">
        <v>16.3</v>
      </c>
      <c r="AZ1110" s="1">
        <v>16.7</v>
      </c>
      <c r="BA1110" s="1">
        <v>23.2</v>
      </c>
      <c r="BB1110" s="1">
        <v>2.69</v>
      </c>
      <c r="BC1110" s="1" t="s">
        <v>1761</v>
      </c>
      <c r="BD1110" s="1">
        <v>17.5</v>
      </c>
      <c r="BE1110" s="1">
        <v>47.0</v>
      </c>
      <c r="BF1110" s="1">
        <v>25.4</v>
      </c>
      <c r="BG1110" s="1">
        <v>10.0</v>
      </c>
      <c r="BH1110" s="1" t="s">
        <v>1931</v>
      </c>
    </row>
    <row r="1111">
      <c r="A1111" s="1">
        <v>21235.0</v>
      </c>
      <c r="B1111" s="2" t="str">
        <f>IFERROR(__xludf.DUMMYFUNCTION("TO_TEXT(A1111)"),"21235")</f>
        <v>21235</v>
      </c>
      <c r="C1111" s="1">
        <v>35842.0</v>
      </c>
      <c r="D1111" s="1">
        <v>437.830526649048</v>
      </c>
      <c r="E1111" s="1" t="s">
        <v>1440</v>
      </c>
      <c r="F1111" s="1" t="s">
        <v>1932</v>
      </c>
      <c r="G1111" s="1">
        <v>81.8627250007395</v>
      </c>
      <c r="H1111" s="1">
        <v>26.414008428</v>
      </c>
      <c r="I1111" s="1">
        <v>5.3392038907</v>
      </c>
      <c r="J1111" s="1">
        <v>10.9918200409999</v>
      </c>
      <c r="K1111" s="1">
        <v>23.996334379</v>
      </c>
      <c r="L1111" s="1">
        <v>33.3</v>
      </c>
      <c r="M1111" s="1">
        <v>7.0</v>
      </c>
      <c r="N1111" s="1">
        <v>36.3</v>
      </c>
      <c r="O1111" s="1">
        <v>79.46235654</v>
      </c>
      <c r="P1111" s="1">
        <v>6.18715083799999</v>
      </c>
      <c r="Q1111" s="1">
        <v>77.3181599999999</v>
      </c>
      <c r="R1111" s="1">
        <v>94.967177243</v>
      </c>
      <c r="S1111" s="1">
        <v>33.9</v>
      </c>
      <c r="T1111" s="1">
        <v>8852.0</v>
      </c>
      <c r="U1111" s="1">
        <v>32.354270221</v>
      </c>
      <c r="V1111" s="1">
        <v>97.2168212879999</v>
      </c>
      <c r="W1111" s="1">
        <v>13.453973249</v>
      </c>
      <c r="X1111" s="1">
        <v>11.952998379</v>
      </c>
      <c r="Y1111" s="1">
        <v>70.350993103</v>
      </c>
      <c r="Z1111" s="1">
        <v>11.5</v>
      </c>
      <c r="AA1111" s="1">
        <v>7.0229340414</v>
      </c>
      <c r="AB1111" s="1">
        <v>36863.0</v>
      </c>
      <c r="AC1111" s="1">
        <v>70.971679688</v>
      </c>
      <c r="AD1111" s="1">
        <v>69.34347478</v>
      </c>
      <c r="AE1111" s="1">
        <v>13.534822602</v>
      </c>
      <c r="AF1111" s="1">
        <v>0.8167319684</v>
      </c>
      <c r="AG1111" s="1">
        <v>0.314552177</v>
      </c>
      <c r="AH1111" s="1">
        <v>0.4635505767</v>
      </c>
      <c r="AI1111" s="1">
        <v>0.0386292147</v>
      </c>
      <c r="AJ1111" s="1">
        <v>1.2913194636</v>
      </c>
      <c r="AK1111" s="1">
        <v>95.891507091</v>
      </c>
      <c r="AL1111" s="1">
        <v>0.1616863285</v>
      </c>
      <c r="AM1111" s="1">
        <v>50.789139672</v>
      </c>
      <c r="AN1111" s="1">
        <v>65.156999747</v>
      </c>
      <c r="AO1111" s="1">
        <v>17520.0</v>
      </c>
      <c r="AP1111" s="1">
        <v>27.0</v>
      </c>
      <c r="AQ1111" s="1">
        <v>9.8</v>
      </c>
      <c r="AR1111" s="1">
        <v>22.6</v>
      </c>
      <c r="AS1111" s="1">
        <v>14.8</v>
      </c>
      <c r="AT1111" s="1">
        <v>24.2</v>
      </c>
      <c r="AU1111" s="1">
        <v>19.7</v>
      </c>
      <c r="AV1111" s="1">
        <v>3.9</v>
      </c>
      <c r="AW1111" s="1">
        <v>0.1</v>
      </c>
      <c r="AX1111" s="1">
        <v>0.7679</v>
      </c>
      <c r="AY1111" s="1">
        <v>22.6</v>
      </c>
      <c r="AZ1111" s="1">
        <v>18.3</v>
      </c>
      <c r="BA1111" s="1">
        <v>23.6</v>
      </c>
      <c r="BB1111" s="1">
        <v>2.7</v>
      </c>
      <c r="BC1111" s="1" t="s">
        <v>1761</v>
      </c>
      <c r="BD1111" s="1">
        <v>18.6</v>
      </c>
      <c r="BE1111" s="1">
        <v>36.9</v>
      </c>
      <c r="BF1111" s="1">
        <v>24.1</v>
      </c>
      <c r="BG1111" s="1">
        <v>20.4</v>
      </c>
      <c r="BH1111" s="1" t="s">
        <v>1932</v>
      </c>
    </row>
    <row r="1112">
      <c r="A1112" s="1">
        <v>21237.0</v>
      </c>
      <c r="B1112" s="2" t="str">
        <f>IFERROR(__xludf.DUMMYFUNCTION("TO_TEXT(A1112)"),"21237")</f>
        <v>21237</v>
      </c>
      <c r="C1112" s="1">
        <v>7221.0</v>
      </c>
      <c r="D1112" s="1">
        <v>222.17055801268</v>
      </c>
      <c r="E1112" s="1" t="s">
        <v>1933</v>
      </c>
      <c r="F1112" s="1" t="s">
        <v>1934</v>
      </c>
      <c r="G1112" s="1">
        <v>32.5020563687284</v>
      </c>
      <c r="H1112" s="1">
        <v>30.665273089</v>
      </c>
      <c r="I1112" s="1">
        <v>5.87841394659999</v>
      </c>
      <c r="J1112" s="1">
        <v>9.3247588424</v>
      </c>
      <c r="K1112" s="1">
        <v>29.076769358</v>
      </c>
      <c r="L1112" s="1">
        <v>36.1</v>
      </c>
      <c r="M1112" s="1">
        <v>6.5</v>
      </c>
      <c r="N1112" s="1">
        <v>37.9</v>
      </c>
      <c r="O1112" s="1">
        <v>54.126444596</v>
      </c>
      <c r="P1112" s="1">
        <v>6.7039106145</v>
      </c>
      <c r="Q1112" s="1">
        <v>13.76652</v>
      </c>
      <c r="R1112" s="1">
        <v>96.428571429</v>
      </c>
      <c r="S1112" s="1">
        <v>43.6</v>
      </c>
      <c r="T1112" s="1">
        <v>1653.0</v>
      </c>
      <c r="U1112" s="1">
        <v>38.294010889</v>
      </c>
      <c r="V1112" s="1">
        <v>76.035114398</v>
      </c>
      <c r="W1112" s="1">
        <v>22.068965517</v>
      </c>
      <c r="X1112" s="1">
        <v>22.423146474</v>
      </c>
      <c r="Y1112" s="1">
        <v>71.52565106</v>
      </c>
      <c r="Z1112" s="1">
        <v>12.4</v>
      </c>
      <c r="AA1112" s="1">
        <v>0.869939214</v>
      </c>
      <c r="AB1112" s="1">
        <v>30144.0</v>
      </c>
      <c r="AC1112" s="1">
        <v>80.153256705</v>
      </c>
      <c r="AD1112" s="1">
        <v>62.939297125</v>
      </c>
      <c r="AE1112" s="1">
        <v>17.04</v>
      </c>
      <c r="AF1112" s="1">
        <v>0.3344015605</v>
      </c>
      <c r="AG1112" s="1">
        <v>0.4040685523</v>
      </c>
      <c r="AH1112" s="1">
        <v>0.1254005852</v>
      </c>
      <c r="AI1112" s="1">
        <v>0.0</v>
      </c>
      <c r="AJ1112" s="1">
        <v>0.9892712833</v>
      </c>
      <c r="AK1112" s="1">
        <v>97.19938693</v>
      </c>
      <c r="AL1112" s="1">
        <v>0.0</v>
      </c>
      <c r="AM1112" s="1">
        <v>51.024104779</v>
      </c>
      <c r="AN1112" s="1">
        <v>100.0</v>
      </c>
      <c r="AO1112" s="1">
        <v>14274.0</v>
      </c>
      <c r="AP1112" s="1">
        <v>40.8</v>
      </c>
      <c r="AQ1112" s="1">
        <v>10.2</v>
      </c>
      <c r="AR1112" s="1">
        <v>30.5</v>
      </c>
      <c r="AS1112" s="1">
        <v>17.7</v>
      </c>
      <c r="AT1112" s="1">
        <v>23.7</v>
      </c>
      <c r="AU1112" s="1">
        <v>31.0</v>
      </c>
      <c r="AV1112" s="1">
        <v>1.7</v>
      </c>
      <c r="AW1112" s="1">
        <v>0.0</v>
      </c>
      <c r="AX1112" s="1">
        <v>0.8415</v>
      </c>
      <c r="AY1112" s="1">
        <v>30.1</v>
      </c>
      <c r="AZ1112" s="1">
        <v>24.4</v>
      </c>
      <c r="BA1112" s="1">
        <v>32.6</v>
      </c>
      <c r="BB1112" s="1">
        <v>2.76</v>
      </c>
      <c r="BC1112" s="1" t="s">
        <v>1761</v>
      </c>
      <c r="BD1112" s="1">
        <v>28.2</v>
      </c>
      <c r="BE1112" s="1">
        <v>37.4</v>
      </c>
      <c r="BF1112" s="1">
        <v>25.7</v>
      </c>
      <c r="BG1112" s="1">
        <v>8.7</v>
      </c>
      <c r="BH1112" s="1" t="s">
        <v>1934</v>
      </c>
    </row>
    <row r="1113">
      <c r="A1113" s="1">
        <v>21239.0</v>
      </c>
      <c r="B1113" s="2" t="str">
        <f>IFERROR(__xludf.DUMMYFUNCTION("TO_TEXT(A1113)"),"21239")</f>
        <v>21239</v>
      </c>
      <c r="C1113" s="1">
        <v>25591.0</v>
      </c>
      <c r="D1113" s="1">
        <v>188.828682736888</v>
      </c>
      <c r="E1113" s="1" t="s">
        <v>1306</v>
      </c>
      <c r="F1113" s="1" t="s">
        <v>1935</v>
      </c>
      <c r="G1113" s="1">
        <v>135.524961722358</v>
      </c>
      <c r="H1113" s="1">
        <v>18.064538911</v>
      </c>
      <c r="I1113" s="1">
        <v>4.3848079836</v>
      </c>
      <c r="J1113" s="1">
        <v>8.0767289248</v>
      </c>
      <c r="K1113" s="1">
        <v>17.990421804</v>
      </c>
      <c r="L1113" s="1">
        <v>32.3</v>
      </c>
      <c r="M1113" s="1">
        <v>7.5</v>
      </c>
      <c r="N1113" s="1">
        <v>22.6</v>
      </c>
      <c r="O1113" s="1">
        <v>76.823449216</v>
      </c>
      <c r="P1113" s="1">
        <v>7.3809075504</v>
      </c>
      <c r="Q1113" s="1">
        <v>68.26456</v>
      </c>
      <c r="R1113" s="1">
        <v>96.907216495</v>
      </c>
      <c r="S1113" s="1">
        <v>13.2</v>
      </c>
      <c r="T1113" s="1">
        <v>5840.0</v>
      </c>
      <c r="U1113" s="1">
        <v>35.856164384</v>
      </c>
      <c r="V1113" s="1">
        <v>77.969669798</v>
      </c>
      <c r="W1113" s="1">
        <v>11.879699248</v>
      </c>
      <c r="X1113" s="1">
        <v>10.601313795</v>
      </c>
      <c r="Y1113" s="1">
        <v>78.507805526</v>
      </c>
      <c r="Z1113" s="1">
        <v>9.0</v>
      </c>
      <c r="AA1113" s="1">
        <v>11.564111544</v>
      </c>
      <c r="AB1113" s="1">
        <v>66164.0</v>
      </c>
      <c r="AC1113" s="1">
        <v>47.341211226</v>
      </c>
      <c r="AD1113" s="1">
        <v>69.297901549</v>
      </c>
      <c r="AE1113" s="1">
        <v>11.08688882</v>
      </c>
      <c r="AF1113" s="1">
        <v>4.782723401</v>
      </c>
      <c r="AG1113" s="1">
        <v>0.2638224098</v>
      </c>
      <c r="AH1113" s="1">
        <v>0.7160893981</v>
      </c>
      <c r="AI1113" s="1">
        <v>0.1846756869</v>
      </c>
      <c r="AJ1113" s="1">
        <v>6.9837560773</v>
      </c>
      <c r="AK1113" s="1">
        <v>85.8741943989999</v>
      </c>
      <c r="AL1113" s="1">
        <v>1.7548135511</v>
      </c>
      <c r="AM1113" s="1">
        <v>51.859947989</v>
      </c>
      <c r="AN1113" s="1">
        <v>36.15622118</v>
      </c>
      <c r="AO1113" s="1">
        <v>30786.0</v>
      </c>
      <c r="AP1113" s="1">
        <v>14.4</v>
      </c>
      <c r="AQ1113" s="1">
        <v>4.3</v>
      </c>
      <c r="AR1113" s="1">
        <v>11.9</v>
      </c>
      <c r="AS1113" s="1">
        <v>15.8</v>
      </c>
      <c r="AT1113" s="1">
        <v>22.9</v>
      </c>
      <c r="AU1113" s="1">
        <v>13.3</v>
      </c>
      <c r="AV1113" s="1">
        <v>13.7</v>
      </c>
      <c r="AW1113" s="1">
        <v>2.2</v>
      </c>
      <c r="AX1113" s="1">
        <v>0.1713</v>
      </c>
      <c r="AY1113" s="1">
        <v>8.3</v>
      </c>
      <c r="AZ1113" s="1">
        <v>11.6</v>
      </c>
      <c r="BA1113" s="1">
        <v>16.2</v>
      </c>
      <c r="BB1113" s="1">
        <v>3.18</v>
      </c>
      <c r="BC1113" s="1" t="s">
        <v>1761</v>
      </c>
      <c r="BD1113" s="1">
        <v>8.9</v>
      </c>
      <c r="BE1113" s="1">
        <v>29.8</v>
      </c>
      <c r="BF1113" s="1">
        <v>27.5</v>
      </c>
      <c r="BG1113" s="1">
        <v>33.8</v>
      </c>
      <c r="BH1113" s="1" t="s">
        <v>1935</v>
      </c>
    </row>
    <row r="1114">
      <c r="A1114" s="1">
        <v>22001.0</v>
      </c>
      <c r="B1114" s="2" t="str">
        <f>IFERROR(__xludf.DUMMYFUNCTION("TO_TEXT(A1114)"),"22001")</f>
        <v>22001</v>
      </c>
      <c r="C1114" s="1">
        <v>62372.0</v>
      </c>
      <c r="D1114" s="1">
        <v>655.129284374908</v>
      </c>
      <c r="E1114" s="1" t="s">
        <v>1936</v>
      </c>
      <c r="F1114" s="1" t="s">
        <v>1937</v>
      </c>
      <c r="G1114" s="1">
        <v>95.205635723508</v>
      </c>
      <c r="H1114" s="1">
        <v>20.890035316</v>
      </c>
      <c r="I1114" s="1">
        <v>4.9960995667</v>
      </c>
      <c r="J1114" s="1">
        <v>9.51456310679999</v>
      </c>
      <c r="K1114" s="1">
        <v>21.534088073</v>
      </c>
      <c r="L1114" s="1">
        <v>38.4</v>
      </c>
      <c r="M1114" s="1">
        <v>7.8</v>
      </c>
      <c r="N1114" s="1">
        <v>35.3</v>
      </c>
      <c r="O1114" s="1">
        <v>42.525051398</v>
      </c>
      <c r="P1114" s="1">
        <v>10.6658072339999</v>
      </c>
      <c r="Q1114" s="1">
        <v>36.74708</v>
      </c>
      <c r="R1114" s="1">
        <v>90.9</v>
      </c>
      <c r="S1114" s="1">
        <v>35.4</v>
      </c>
      <c r="T1114" s="1">
        <v>16250.0</v>
      </c>
      <c r="U1114" s="1">
        <v>33.415384615</v>
      </c>
      <c r="V1114" s="1">
        <v>443.40685619</v>
      </c>
      <c r="W1114" s="1">
        <v>12.271021849</v>
      </c>
      <c r="X1114" s="1">
        <v>7.866726297</v>
      </c>
      <c r="Y1114" s="1">
        <v>75.440695653</v>
      </c>
      <c r="Z1114" s="1">
        <v>11.4</v>
      </c>
      <c r="AA1114" s="1">
        <v>0.6019980049</v>
      </c>
      <c r="AB1114" s="1">
        <v>40484.0</v>
      </c>
      <c r="AC1114" s="1">
        <v>46.1561927999999</v>
      </c>
      <c r="AD1114" s="1">
        <v>70.758730722</v>
      </c>
      <c r="AE1114" s="1">
        <v>9.5810633102</v>
      </c>
      <c r="AF1114" s="1">
        <v>17.925711529</v>
      </c>
      <c r="AG1114" s="1">
        <v>0.3843061585</v>
      </c>
      <c r="AH1114" s="1">
        <v>0.3199871362</v>
      </c>
      <c r="AI1114" s="1">
        <v>0.0321595112</v>
      </c>
      <c r="AJ1114" s="1">
        <v>2.7271265477</v>
      </c>
      <c r="AK1114" s="1">
        <v>77.268049526</v>
      </c>
      <c r="AL1114" s="1">
        <v>1.2455485403</v>
      </c>
      <c r="AM1114" s="1">
        <v>51.210805596</v>
      </c>
      <c r="AN1114" s="1">
        <v>51.69896233</v>
      </c>
      <c r="AO1114" s="1">
        <v>20887.0</v>
      </c>
      <c r="AP1114" s="1">
        <v>20.6</v>
      </c>
      <c r="AQ1114" s="1">
        <v>9.1</v>
      </c>
      <c r="AR1114" s="1">
        <v>24.5</v>
      </c>
      <c r="AS1114" s="1">
        <v>13.5</v>
      </c>
      <c r="AT1114" s="1">
        <v>26.8</v>
      </c>
      <c r="AU1114" s="1">
        <v>18.0</v>
      </c>
      <c r="AV1114" s="1">
        <v>22.2</v>
      </c>
      <c r="AW1114" s="1">
        <v>1.0</v>
      </c>
      <c r="AX1114" s="1">
        <v>0.9109</v>
      </c>
      <c r="AY1114" s="1">
        <v>20.3</v>
      </c>
      <c r="AZ1114" s="1">
        <v>17.5</v>
      </c>
      <c r="BA1114" s="1">
        <v>27.4</v>
      </c>
      <c r="BB1114" s="1">
        <v>3.04</v>
      </c>
      <c r="BC1114" s="1" t="s">
        <v>1938</v>
      </c>
      <c r="BD1114" s="1">
        <v>21.0</v>
      </c>
      <c r="BE1114" s="1">
        <v>41.3</v>
      </c>
      <c r="BF1114" s="1">
        <v>24.3</v>
      </c>
      <c r="BG1114" s="1">
        <v>13.3</v>
      </c>
      <c r="BH1114" s="1" t="s">
        <v>1937</v>
      </c>
    </row>
    <row r="1115">
      <c r="A1115" s="1">
        <v>22003.0</v>
      </c>
      <c r="B1115" s="2" t="str">
        <f>IFERROR(__xludf.DUMMYFUNCTION("TO_TEXT(A1115)"),"22003")</f>
        <v>22003</v>
      </c>
      <c r="C1115" s="1">
        <v>25619.0</v>
      </c>
      <c r="D1115" s="1">
        <v>761.811601347599</v>
      </c>
      <c r="E1115" s="1" t="s">
        <v>1310</v>
      </c>
      <c r="F1115" s="1" t="s">
        <v>1939</v>
      </c>
      <c r="G1115" s="1">
        <v>33.6290494325388</v>
      </c>
      <c r="H1115" s="1">
        <v>21.312153507</v>
      </c>
      <c r="I1115" s="1">
        <v>4.9419847038</v>
      </c>
      <c r="J1115" s="1">
        <v>9.4618834081</v>
      </c>
      <c r="K1115" s="1">
        <v>22.0389876309999</v>
      </c>
      <c r="L1115" s="1">
        <v>37.0</v>
      </c>
      <c r="M1115" s="1">
        <v>7.3</v>
      </c>
      <c r="N1115" s="1">
        <v>40.7</v>
      </c>
      <c r="O1115" s="1">
        <v>73.187393262</v>
      </c>
      <c r="P1115" s="1">
        <v>9.3275852416</v>
      </c>
      <c r="Q1115" s="1">
        <v>19.51524</v>
      </c>
      <c r="R1115" s="1">
        <v>92.3</v>
      </c>
      <c r="S1115" s="1">
        <v>22.7</v>
      </c>
      <c r="T1115" s="1">
        <v>5766.0</v>
      </c>
      <c r="U1115" s="1">
        <v>38.015955602</v>
      </c>
      <c r="V1115" s="1">
        <v>124.36665131</v>
      </c>
      <c r="W1115" s="1">
        <v>11.484771574</v>
      </c>
      <c r="X1115" s="1">
        <v>6.2020460358</v>
      </c>
      <c r="Y1115" s="1">
        <v>74.944040845</v>
      </c>
      <c r="Z1115" s="1">
        <v>19.2</v>
      </c>
      <c r="AA1115" s="1">
        <v>11.548553011</v>
      </c>
      <c r="AB1115" s="1">
        <v>44395.0</v>
      </c>
      <c r="AC1115" s="1">
        <v>50.0695088039999</v>
      </c>
      <c r="AD1115" s="1">
        <v>74.090909091</v>
      </c>
      <c r="AE1115" s="1">
        <v>6.5789473684</v>
      </c>
      <c r="AF1115" s="1">
        <v>22.315953915</v>
      </c>
      <c r="AG1115" s="1">
        <v>2.3198594025</v>
      </c>
      <c r="AH1115" s="1">
        <v>0.6678383128</v>
      </c>
      <c r="AI1115" s="1">
        <v>0.0351493849</v>
      </c>
      <c r="AJ1115" s="1">
        <v>2.2534661199</v>
      </c>
      <c r="AK1115" s="1">
        <v>70.970513572</v>
      </c>
      <c r="AL1115" s="1">
        <v>1.821433027</v>
      </c>
      <c r="AM1115" s="1">
        <v>43.307947666</v>
      </c>
      <c r="AN1115" s="1">
        <v>69.42244993</v>
      </c>
      <c r="AO1115" s="1">
        <v>20296.0</v>
      </c>
      <c r="AP1115" s="1">
        <v>15.9</v>
      </c>
      <c r="AQ1115" s="1">
        <v>9.3</v>
      </c>
      <c r="AR1115" s="1">
        <v>20.8</v>
      </c>
      <c r="AS1115" s="1">
        <v>13.6</v>
      </c>
      <c r="AT1115" s="1">
        <v>21.3</v>
      </c>
      <c r="AU1115" s="1">
        <v>22.0</v>
      </c>
      <c r="AV1115" s="1">
        <v>28.9</v>
      </c>
      <c r="AW1115" s="1">
        <v>1.8</v>
      </c>
      <c r="AX1115" s="1">
        <v>0.88</v>
      </c>
      <c r="AY1115" s="1">
        <v>21.6</v>
      </c>
      <c r="AZ1115" s="1">
        <v>15.8</v>
      </c>
      <c r="BA1115" s="1">
        <v>24.5</v>
      </c>
      <c r="BB1115" s="1">
        <v>2.79</v>
      </c>
      <c r="BC1115" s="1" t="s">
        <v>1938</v>
      </c>
      <c r="BD1115" s="1">
        <v>20.3</v>
      </c>
      <c r="BE1115" s="1">
        <v>44.3</v>
      </c>
      <c r="BF1115" s="1">
        <v>24.1</v>
      </c>
      <c r="BG1115" s="1">
        <v>11.3</v>
      </c>
      <c r="BH1115" s="1" t="s">
        <v>1939</v>
      </c>
    </row>
    <row r="1116">
      <c r="A1116" s="1">
        <v>22005.0</v>
      </c>
      <c r="B1116" s="2" t="str">
        <f>IFERROR(__xludf.DUMMYFUNCTION("TO_TEXT(A1116)"),"22005")</f>
        <v>22005</v>
      </c>
      <c r="C1116" s="1">
        <v>117009.0</v>
      </c>
      <c r="D1116" s="1">
        <v>289.973965367962</v>
      </c>
      <c r="E1116" s="1" t="s">
        <v>1940</v>
      </c>
      <c r="F1116" s="1" t="s">
        <v>1941</v>
      </c>
      <c r="G1116" s="1">
        <v>403.515535787917</v>
      </c>
      <c r="H1116" s="1">
        <v>16.66091447</v>
      </c>
      <c r="I1116" s="1">
        <v>4.3021303029</v>
      </c>
      <c r="J1116" s="1">
        <v>8.9027789509</v>
      </c>
      <c r="K1116" s="1">
        <v>18.155452803</v>
      </c>
      <c r="L1116" s="1">
        <v>33.1</v>
      </c>
      <c r="M1116" s="1">
        <v>8.1</v>
      </c>
      <c r="N1116" s="1">
        <v>30.8</v>
      </c>
      <c r="O1116" s="1">
        <v>72.706244462</v>
      </c>
      <c r="P1116" s="1">
        <v>7.06536831</v>
      </c>
      <c r="Q1116" s="1">
        <v>39.85425</v>
      </c>
      <c r="R1116" s="1">
        <v>88.1</v>
      </c>
      <c r="S1116" s="1">
        <v>14.2</v>
      </c>
      <c r="T1116" s="1">
        <v>32674.0</v>
      </c>
      <c r="U1116" s="1">
        <v>31.41947726</v>
      </c>
      <c r="V1116" s="1">
        <v>337.42989494</v>
      </c>
      <c r="W1116" s="1">
        <v>10.832411164</v>
      </c>
      <c r="X1116" s="1">
        <v>8.2333833083</v>
      </c>
      <c r="Y1116" s="1">
        <v>78.733676249</v>
      </c>
      <c r="Z1116" s="1">
        <v>13.2</v>
      </c>
      <c r="AA1116" s="1">
        <v>8.0983133447</v>
      </c>
      <c r="AB1116" s="1">
        <v>77758.0</v>
      </c>
      <c r="AC1116" s="1">
        <v>34.248301309</v>
      </c>
      <c r="AD1116" s="1">
        <v>80.095664611</v>
      </c>
      <c r="AE1116" s="1">
        <v>9.4636915248</v>
      </c>
      <c r="AF1116" s="1">
        <v>23.23536961</v>
      </c>
      <c r="AG1116" s="1">
        <v>0.4660228439</v>
      </c>
      <c r="AH1116" s="1">
        <v>1.40689168379999</v>
      </c>
      <c r="AI1116" s="1">
        <v>0.0858252053</v>
      </c>
      <c r="AJ1116" s="1">
        <v>5.7430698152</v>
      </c>
      <c r="AK1116" s="1">
        <v>68.142806725</v>
      </c>
      <c r="AL1116" s="1">
        <v>1.0978265701</v>
      </c>
      <c r="AM1116" s="1">
        <v>50.626443789</v>
      </c>
      <c r="AN1116" s="1">
        <v>13.2164342679999</v>
      </c>
      <c r="AO1116" s="1">
        <v>30094.0</v>
      </c>
      <c r="AP1116" s="1">
        <v>11.5</v>
      </c>
      <c r="AQ1116" s="1">
        <v>5.9</v>
      </c>
      <c r="AR1116" s="1">
        <v>11.8</v>
      </c>
      <c r="AS1116" s="1">
        <v>10.3</v>
      </c>
      <c r="AT1116" s="1">
        <v>27.7</v>
      </c>
      <c r="AU1116" s="1">
        <v>11.6</v>
      </c>
      <c r="AV1116" s="1">
        <v>30.5</v>
      </c>
      <c r="AW1116" s="1">
        <v>0.7</v>
      </c>
      <c r="AX1116" s="1">
        <v>0.3279</v>
      </c>
      <c r="AY1116" s="1">
        <v>9.6</v>
      </c>
      <c r="AZ1116" s="1">
        <v>10.9</v>
      </c>
      <c r="BA1116" s="1">
        <v>17.1</v>
      </c>
      <c r="BB1116" s="1">
        <v>3.38</v>
      </c>
      <c r="BC1116" s="1" t="s">
        <v>1938</v>
      </c>
      <c r="BD1116" s="1">
        <v>11.4</v>
      </c>
      <c r="BE1116" s="1">
        <v>32.3</v>
      </c>
      <c r="BF1116" s="1">
        <v>29.9</v>
      </c>
      <c r="BG1116" s="1">
        <v>26.4</v>
      </c>
      <c r="BH1116" s="1" t="s">
        <v>1941</v>
      </c>
    </row>
    <row r="1117">
      <c r="A1117" s="1">
        <v>22007.0</v>
      </c>
      <c r="B1117" s="2" t="str">
        <f>IFERROR(__xludf.DUMMYFUNCTION("TO_TEXT(A1117)"),"22007")</f>
        <v>22007</v>
      </c>
      <c r="C1117" s="1">
        <v>22973.0</v>
      </c>
      <c r="D1117" s="1">
        <v>338.6629600068</v>
      </c>
      <c r="E1117" s="1" t="s">
        <v>1942</v>
      </c>
      <c r="F1117" s="1" t="s">
        <v>1943</v>
      </c>
      <c r="G1117" s="1">
        <v>67.8344038554991</v>
      </c>
      <c r="H1117" s="1">
        <v>21.59669348</v>
      </c>
      <c r="I1117" s="1">
        <v>5.006212054</v>
      </c>
      <c r="J1117" s="1">
        <v>10.858725762</v>
      </c>
      <c r="K1117" s="1">
        <v>21.032197224</v>
      </c>
      <c r="L1117" s="1">
        <v>42.1</v>
      </c>
      <c r="M1117" s="1">
        <v>6.7</v>
      </c>
      <c r="N1117" s="1">
        <v>34.1</v>
      </c>
      <c r="O1117" s="1">
        <v>35.369967124</v>
      </c>
      <c r="P1117" s="1">
        <v>10.268340186</v>
      </c>
      <c r="Q1117" s="1">
        <v>13.31794</v>
      </c>
      <c r="R1117" s="1">
        <v>89.7</v>
      </c>
      <c r="S1117" s="1">
        <v>28.7</v>
      </c>
      <c r="T1117" s="1">
        <v>4993.0</v>
      </c>
      <c r="U1117" s="1">
        <v>45.884237933</v>
      </c>
      <c r="V1117" s="1">
        <v>318.59642997</v>
      </c>
      <c r="W1117" s="1">
        <v>9.9135446686</v>
      </c>
      <c r="X1117" s="1">
        <v>7.9716144293</v>
      </c>
      <c r="Y1117" s="1">
        <v>77.632458855</v>
      </c>
      <c r="Z1117" s="1">
        <v>16.3</v>
      </c>
      <c r="AA1117" s="1">
        <v>14.313555415</v>
      </c>
      <c r="AB1117" s="1">
        <v>48120.0</v>
      </c>
      <c r="AC1117" s="1">
        <v>69.587777457</v>
      </c>
      <c r="AD1117" s="1">
        <v>77.380140877</v>
      </c>
      <c r="AE1117" s="1">
        <v>8.1023185484</v>
      </c>
      <c r="AF1117" s="1">
        <v>29.381165919</v>
      </c>
      <c r="AG1117" s="1">
        <v>0.7578475336</v>
      </c>
      <c r="AH1117" s="1">
        <v>0.4304932735</v>
      </c>
      <c r="AI1117" s="1">
        <v>0.067264574</v>
      </c>
      <c r="AJ1117" s="1">
        <v>3.1434977578</v>
      </c>
      <c r="AK1117" s="1">
        <v>65.448430493</v>
      </c>
      <c r="AL1117" s="1">
        <v>0.8842967514</v>
      </c>
      <c r="AM1117" s="1">
        <v>51.484304933</v>
      </c>
      <c r="AN1117" s="1">
        <v>44.993808975</v>
      </c>
      <c r="AO1117" s="1">
        <v>24207.0</v>
      </c>
      <c r="AP1117" s="1">
        <v>18.4</v>
      </c>
      <c r="AQ1117" s="1">
        <v>8.2</v>
      </c>
      <c r="AR1117" s="1">
        <v>27.3</v>
      </c>
      <c r="AS1117" s="1">
        <v>15.4</v>
      </c>
      <c r="AT1117" s="1">
        <v>22.9</v>
      </c>
      <c r="AU1117" s="1">
        <v>19.6</v>
      </c>
      <c r="AV1117" s="1">
        <v>34.0</v>
      </c>
      <c r="AW1117" s="1">
        <v>0.9</v>
      </c>
      <c r="AX1117" s="1">
        <v>0.7135</v>
      </c>
      <c r="AY1117" s="1">
        <v>18.8</v>
      </c>
      <c r="AZ1117" s="1">
        <v>16.5</v>
      </c>
      <c r="BA1117" s="1">
        <v>27.0</v>
      </c>
      <c r="BB1117" s="1">
        <v>2.96</v>
      </c>
      <c r="BC1117" s="1" t="s">
        <v>1938</v>
      </c>
      <c r="BD1117" s="1">
        <v>25.6</v>
      </c>
      <c r="BE1117" s="1">
        <v>45.1</v>
      </c>
      <c r="BF1117" s="1">
        <v>19.7</v>
      </c>
      <c r="BG1117" s="1">
        <v>9.6</v>
      </c>
      <c r="BH1117" s="1" t="s">
        <v>1943</v>
      </c>
    </row>
    <row r="1118">
      <c r="A1118" s="1">
        <v>22009.0</v>
      </c>
      <c r="B1118" s="2" t="str">
        <f>IFERROR(__xludf.DUMMYFUNCTION("TO_TEXT(A1118)"),"22009")</f>
        <v>22009</v>
      </c>
      <c r="C1118" s="1">
        <v>41252.0</v>
      </c>
      <c r="D1118" s="1">
        <v>832.380160415608</v>
      </c>
      <c r="E1118" s="1" t="s">
        <v>1944</v>
      </c>
      <c r="F1118" s="1" t="s">
        <v>1945</v>
      </c>
      <c r="G1118" s="1">
        <v>49.5590860543851</v>
      </c>
      <c r="H1118" s="1">
        <v>24.494734265</v>
      </c>
      <c r="I1118" s="1">
        <v>5.3310225322</v>
      </c>
      <c r="J1118" s="1">
        <v>11.7432150309999</v>
      </c>
      <c r="K1118" s="1">
        <v>22.94656752</v>
      </c>
      <c r="L1118" s="1">
        <v>44.7</v>
      </c>
      <c r="M1118" s="1">
        <v>6.6</v>
      </c>
      <c r="N1118" s="1">
        <v>35.8</v>
      </c>
      <c r="O1118" s="1">
        <v>24.35766406</v>
      </c>
      <c r="P1118" s="1">
        <v>10.242020344</v>
      </c>
      <c r="Q1118" s="1">
        <v>26.84236</v>
      </c>
      <c r="R1118" s="1">
        <v>79.3</v>
      </c>
      <c r="S1118" s="1">
        <v>36.9</v>
      </c>
      <c r="T1118" s="1">
        <v>9587.0</v>
      </c>
      <c r="U1118" s="1">
        <v>44.414311046</v>
      </c>
      <c r="V1118" s="1">
        <v>584.49416793</v>
      </c>
      <c r="W1118" s="1">
        <v>13.5864135859999</v>
      </c>
      <c r="X1118" s="1">
        <v>10.2917954</v>
      </c>
      <c r="Y1118" s="1">
        <v>73.799994383</v>
      </c>
      <c r="Z1118" s="1">
        <v>13.1</v>
      </c>
      <c r="AA1118" s="1">
        <v>9.3407157301</v>
      </c>
      <c r="AB1118" s="1">
        <v>37731.0</v>
      </c>
      <c r="AC1118" s="1">
        <v>58.192553715</v>
      </c>
      <c r="AD1118" s="1">
        <v>70.348027842</v>
      </c>
      <c r="AE1118" s="1">
        <v>12.646182901</v>
      </c>
      <c r="AF1118" s="1">
        <v>29.556126736</v>
      </c>
      <c r="AG1118" s="1">
        <v>1.1838268005</v>
      </c>
      <c r="AH1118" s="1">
        <v>0.6425782215</v>
      </c>
      <c r="AI1118" s="1">
        <v>0.0173001829</v>
      </c>
      <c r="AJ1118" s="1">
        <v>1.9870495774</v>
      </c>
      <c r="AK1118" s="1">
        <v>64.981958381</v>
      </c>
      <c r="AL1118" s="1">
        <v>0.4516095153</v>
      </c>
      <c r="AM1118" s="1">
        <v>49.562552518</v>
      </c>
      <c r="AN1118" s="1">
        <v>63.781997956</v>
      </c>
      <c r="AO1118" s="1">
        <v>19595.0</v>
      </c>
      <c r="AP1118" s="1">
        <v>23.1</v>
      </c>
      <c r="AQ1118" s="1">
        <v>8.5</v>
      </c>
      <c r="AR1118" s="1">
        <v>26.8</v>
      </c>
      <c r="AS1118" s="1">
        <v>15.5</v>
      </c>
      <c r="AT1118" s="1">
        <v>23.9</v>
      </c>
      <c r="AU1118" s="1">
        <v>18.2</v>
      </c>
      <c r="AV1118" s="1">
        <v>34.4</v>
      </c>
      <c r="AW1118" s="1">
        <v>0.5</v>
      </c>
      <c r="AX1118" s="1">
        <v>0.936</v>
      </c>
      <c r="AY1118" s="1">
        <v>24.4</v>
      </c>
      <c r="AZ1118" s="1">
        <v>18.0</v>
      </c>
      <c r="BA1118" s="1">
        <v>27.2</v>
      </c>
      <c r="BB1118" s="1">
        <v>3.06</v>
      </c>
      <c r="BC1118" s="1" t="s">
        <v>1938</v>
      </c>
      <c r="BD1118" s="1">
        <v>23.2</v>
      </c>
      <c r="BE1118" s="1">
        <v>37.8</v>
      </c>
      <c r="BF1118" s="1">
        <v>26.7</v>
      </c>
      <c r="BG1118" s="1">
        <v>12.3</v>
      </c>
      <c r="BH1118" s="1" t="s">
        <v>1945</v>
      </c>
    </row>
    <row r="1119">
      <c r="A1119" s="1">
        <v>22011.0</v>
      </c>
      <c r="B1119" s="2" t="str">
        <f>IFERROR(__xludf.DUMMYFUNCTION("TO_TEXT(A1119)"),"22011")</f>
        <v>22011</v>
      </c>
      <c r="C1119" s="1">
        <v>36435.0</v>
      </c>
      <c r="D1119" s="1">
        <v>1157.34158322744</v>
      </c>
      <c r="E1119" s="1" t="s">
        <v>1946</v>
      </c>
      <c r="F1119" s="1" t="s">
        <v>1947</v>
      </c>
      <c r="G1119" s="1">
        <v>31.4816304261659</v>
      </c>
      <c r="H1119" s="1">
        <v>19.8806091</v>
      </c>
      <c r="I1119" s="1">
        <v>5.0018193217</v>
      </c>
      <c r="J1119" s="1">
        <v>9.5774647887</v>
      </c>
      <c r="K1119" s="1">
        <v>20.721538129</v>
      </c>
      <c r="L1119" s="1">
        <v>36.1</v>
      </c>
      <c r="M1119" s="1">
        <v>7.2</v>
      </c>
      <c r="N1119" s="1">
        <v>27.5</v>
      </c>
      <c r="O1119" s="1">
        <v>15.462500701</v>
      </c>
      <c r="P1119" s="1">
        <v>9.5390460954</v>
      </c>
      <c r="Q1119" s="1">
        <v>40.61958</v>
      </c>
      <c r="R1119" s="1">
        <v>94.7</v>
      </c>
      <c r="S1119" s="1">
        <v>18.7</v>
      </c>
      <c r="T1119" s="1">
        <v>9061.0</v>
      </c>
      <c r="U1119" s="1">
        <v>32.148769451</v>
      </c>
      <c r="V1119" s="1">
        <v>108.60898018</v>
      </c>
      <c r="W1119" s="1">
        <v>11.598626478</v>
      </c>
      <c r="X1119" s="1">
        <v>8.532922603</v>
      </c>
      <c r="Y1119" s="1">
        <v>74.380840646</v>
      </c>
      <c r="Z1119" s="1">
        <v>14.0</v>
      </c>
      <c r="AA1119" s="1">
        <v>13.795462608</v>
      </c>
      <c r="AB1119" s="1">
        <v>57005.0</v>
      </c>
      <c r="AC1119" s="1">
        <v>52.453525373</v>
      </c>
      <c r="AD1119" s="1">
        <v>77.744156139</v>
      </c>
      <c r="AE1119" s="1">
        <v>8.692185008</v>
      </c>
      <c r="AF1119" s="1">
        <v>12.01513972</v>
      </c>
      <c r="AG1119" s="1">
        <v>1.2347998819</v>
      </c>
      <c r="AH1119" s="1">
        <v>0.6576651545</v>
      </c>
      <c r="AI1119" s="1">
        <v>0.1181112931</v>
      </c>
      <c r="AJ1119" s="1">
        <v>3.8171422436</v>
      </c>
      <c r="AK1119" s="1">
        <v>80.213674067</v>
      </c>
      <c r="AL1119" s="1">
        <v>0.2591956199</v>
      </c>
      <c r="AM1119" s="1">
        <v>49.298043111</v>
      </c>
      <c r="AN1119" s="1">
        <v>66.494642957</v>
      </c>
      <c r="AO1119" s="1">
        <v>23141.0</v>
      </c>
      <c r="AP1119" s="1">
        <v>19.0</v>
      </c>
      <c r="AQ1119" s="1">
        <v>7.0</v>
      </c>
      <c r="AR1119" s="1">
        <v>15.5</v>
      </c>
      <c r="AS1119" s="1">
        <v>14.4</v>
      </c>
      <c r="AT1119" s="1">
        <v>25.1</v>
      </c>
      <c r="AU1119" s="1">
        <v>21.0</v>
      </c>
      <c r="AV1119" s="1">
        <v>20.2</v>
      </c>
      <c r="AW1119" s="1">
        <v>0.7</v>
      </c>
      <c r="AX1119" s="1">
        <v>0.6737</v>
      </c>
      <c r="AY1119" s="1">
        <v>14.3</v>
      </c>
      <c r="AZ1119" s="1">
        <v>15.2</v>
      </c>
      <c r="BA1119" s="1">
        <v>22.6</v>
      </c>
      <c r="BB1119" s="1">
        <v>3.15</v>
      </c>
      <c r="BC1119" s="1" t="s">
        <v>1938</v>
      </c>
      <c r="BD1119" s="1">
        <v>14.7</v>
      </c>
      <c r="BE1119" s="1">
        <v>38.1</v>
      </c>
      <c r="BF1119" s="1">
        <v>29.5</v>
      </c>
      <c r="BG1119" s="1">
        <v>17.8</v>
      </c>
      <c r="BH1119" s="1" t="s">
        <v>1947</v>
      </c>
    </row>
    <row r="1120">
      <c r="A1120" s="1">
        <v>22013.0</v>
      </c>
      <c r="B1120" s="2" t="str">
        <f>IFERROR(__xludf.DUMMYFUNCTION("TO_TEXT(A1120)"),"22013")</f>
        <v>22013</v>
      </c>
      <c r="C1120" s="1">
        <v>13924.0</v>
      </c>
      <c r="D1120" s="1">
        <v>811.28036797174</v>
      </c>
      <c r="E1120" s="1" t="s">
        <v>1948</v>
      </c>
      <c r="F1120" s="1" t="s">
        <v>1949</v>
      </c>
      <c r="G1120" s="1">
        <v>17.1629938917553</v>
      </c>
      <c r="H1120" s="1">
        <v>23.67248002</v>
      </c>
      <c r="I1120" s="1">
        <v>5.2389988816</v>
      </c>
      <c r="J1120" s="1">
        <v>14.705882353</v>
      </c>
      <c r="K1120" s="1">
        <v>21.6123874569999</v>
      </c>
      <c r="L1120" s="1">
        <v>45.3</v>
      </c>
      <c r="M1120" s="1">
        <v>6.1</v>
      </c>
      <c r="N1120" s="1">
        <v>25.8</v>
      </c>
      <c r="O1120" s="1">
        <v>21.41712534</v>
      </c>
      <c r="P1120" s="1">
        <v>8.9628325146</v>
      </c>
      <c r="Q1120" s="1">
        <v>14.66491</v>
      </c>
      <c r="R1120" s="1">
        <v>89.6</v>
      </c>
      <c r="S1120" s="1">
        <v>36.3</v>
      </c>
      <c r="T1120" s="1">
        <v>3077.0</v>
      </c>
      <c r="U1120" s="1">
        <v>53.136171596</v>
      </c>
      <c r="V1120" s="1">
        <v>409.69483478</v>
      </c>
      <c r="W1120" s="1">
        <v>10.9756097559999</v>
      </c>
      <c r="X1120" s="1">
        <v>9.2266666667</v>
      </c>
      <c r="Y1120" s="1">
        <v>74.421697803</v>
      </c>
      <c r="Z1120" s="1">
        <v>23.9</v>
      </c>
      <c r="AA1120" s="1">
        <v>12.237310608</v>
      </c>
      <c r="AB1120" s="1">
        <v>34047.0</v>
      </c>
      <c r="AC1120" s="1">
        <v>63.6444444439999</v>
      </c>
      <c r="AD1120" s="1">
        <v>73.116089613</v>
      </c>
      <c r="AE1120" s="1">
        <v>11.98156682</v>
      </c>
      <c r="AF1120" s="1">
        <v>41.471295461</v>
      </c>
      <c r="AG1120" s="1">
        <v>0.4433423505</v>
      </c>
      <c r="AH1120" s="1">
        <v>0.3381424707</v>
      </c>
      <c r="AI1120" s="1">
        <v>0.0</v>
      </c>
      <c r="AJ1120" s="1">
        <v>1.9461977758</v>
      </c>
      <c r="AK1120" s="1">
        <v>54.553651939</v>
      </c>
      <c r="AL1120" s="1">
        <v>0.2728406611</v>
      </c>
      <c r="AM1120" s="1">
        <v>52.051397656</v>
      </c>
      <c r="AN1120" s="1">
        <v>79.836967881</v>
      </c>
      <c r="AO1120" s="1">
        <v>22123.0</v>
      </c>
      <c r="AP1120" s="1">
        <v>25.0</v>
      </c>
      <c r="AQ1120" s="1">
        <v>10.0</v>
      </c>
      <c r="AR1120" s="1">
        <v>17.1</v>
      </c>
      <c r="AS1120" s="1">
        <v>19.0</v>
      </c>
      <c r="AT1120" s="1">
        <v>22.9</v>
      </c>
      <c r="AU1120" s="1">
        <v>20.7</v>
      </c>
      <c r="AV1120" s="1">
        <v>45.7</v>
      </c>
      <c r="AW1120" s="1">
        <v>0.3</v>
      </c>
      <c r="AX1120" s="1">
        <v>0.9032</v>
      </c>
      <c r="AY1120" s="1">
        <v>24.4</v>
      </c>
      <c r="AZ1120" s="1">
        <v>20.0</v>
      </c>
      <c r="BA1120" s="1">
        <v>31.3</v>
      </c>
      <c r="BB1120" s="1">
        <v>3.11</v>
      </c>
      <c r="BC1120" s="1" t="s">
        <v>1938</v>
      </c>
      <c r="BD1120" s="1">
        <v>15.9</v>
      </c>
      <c r="BE1120" s="1">
        <v>44.5</v>
      </c>
      <c r="BF1120" s="1">
        <v>26.7</v>
      </c>
      <c r="BG1120" s="1">
        <v>12.8</v>
      </c>
      <c r="BH1120" s="1" t="s">
        <v>1949</v>
      </c>
    </row>
    <row r="1121">
      <c r="A1121" s="1">
        <v>22015.0</v>
      </c>
      <c r="B1121" s="2" t="str">
        <f>IFERROR(__xludf.DUMMYFUNCTION("TO_TEXT(A1121)"),"22015")</f>
        <v>22015</v>
      </c>
      <c r="C1121" s="1">
        <v>124720.0</v>
      </c>
      <c r="D1121" s="1">
        <v>840.228024879776</v>
      </c>
      <c r="E1121" s="1" t="s">
        <v>1950</v>
      </c>
      <c r="F1121" s="1" t="s">
        <v>1951</v>
      </c>
      <c r="G1121" s="1">
        <v>148.435896336409</v>
      </c>
      <c r="H1121" s="1">
        <v>18.601481071</v>
      </c>
      <c r="I1121" s="1">
        <v>4.8037464777</v>
      </c>
      <c r="J1121" s="1">
        <v>10.372875896</v>
      </c>
      <c r="K1121" s="1">
        <v>18.88651436</v>
      </c>
      <c r="L1121" s="1">
        <v>30.8</v>
      </c>
      <c r="M1121" s="1">
        <v>7.5</v>
      </c>
      <c r="N1121" s="1">
        <v>27.0</v>
      </c>
      <c r="O1121" s="1">
        <v>76.338488105</v>
      </c>
      <c r="P1121" s="1">
        <v>8.7482489587</v>
      </c>
      <c r="Q1121" s="1">
        <v>43.09197</v>
      </c>
      <c r="R1121" s="1">
        <v>83.3</v>
      </c>
      <c r="S1121" s="1">
        <v>20.2</v>
      </c>
      <c r="T1121" s="1">
        <v>31268.0</v>
      </c>
      <c r="U1121" s="1">
        <v>36.78201356</v>
      </c>
      <c r="V1121" s="1">
        <v>480.06289658</v>
      </c>
      <c r="W1121" s="1">
        <v>14.7142406059999</v>
      </c>
      <c r="X1121" s="1">
        <v>12.252964427</v>
      </c>
      <c r="Y1121" s="1">
        <v>77.906399867</v>
      </c>
      <c r="Z1121" s="1">
        <v>11.7</v>
      </c>
      <c r="AA1121" s="1">
        <v>7.9291347555</v>
      </c>
      <c r="AB1121" s="1">
        <v>56754.0</v>
      </c>
      <c r="AC1121" s="1">
        <v>38.244041014</v>
      </c>
      <c r="AD1121" s="1">
        <v>62.416491307</v>
      </c>
      <c r="AE1121" s="1">
        <v>12.27694351</v>
      </c>
      <c r="AF1121" s="1">
        <v>22.460982034</v>
      </c>
      <c r="AG1121" s="1">
        <v>0.6321500177</v>
      </c>
      <c r="AH1121" s="1">
        <v>1.9113889216</v>
      </c>
      <c r="AI1121" s="1">
        <v>0.1446711483</v>
      </c>
      <c r="AJ1121" s="1">
        <v>6.765734953</v>
      </c>
      <c r="AK1121" s="1">
        <v>66.236584503</v>
      </c>
      <c r="AL1121" s="1">
        <v>0.7671499398</v>
      </c>
      <c r="AM1121" s="1">
        <v>50.529543578</v>
      </c>
      <c r="AN1121" s="1">
        <v>24.34197591</v>
      </c>
      <c r="AO1121" s="1">
        <v>27210.0</v>
      </c>
      <c r="AP1121" s="1">
        <v>15.5</v>
      </c>
      <c r="AQ1121" s="1">
        <v>5.7</v>
      </c>
      <c r="AR1121" s="1">
        <v>11.8</v>
      </c>
      <c r="AS1121" s="1">
        <v>12.7</v>
      </c>
      <c r="AT1121" s="1">
        <v>25.3</v>
      </c>
      <c r="AU1121" s="1">
        <v>12.5</v>
      </c>
      <c r="AV1121" s="1">
        <v>31.9</v>
      </c>
      <c r="AW1121" s="1">
        <v>1.1</v>
      </c>
      <c r="AX1121" s="1">
        <v>0.575</v>
      </c>
      <c r="AY1121" s="1">
        <v>16.4</v>
      </c>
      <c r="AZ1121" s="1">
        <v>13.4</v>
      </c>
      <c r="BA1121" s="1">
        <v>20.3</v>
      </c>
      <c r="BB1121" s="1">
        <v>3.14</v>
      </c>
      <c r="BC1121" s="1" t="s">
        <v>1938</v>
      </c>
      <c r="BD1121" s="1">
        <v>10.3</v>
      </c>
      <c r="BE1121" s="1">
        <v>29.7</v>
      </c>
      <c r="BF1121" s="1">
        <v>34.8</v>
      </c>
      <c r="BG1121" s="1">
        <v>25.2</v>
      </c>
      <c r="BH1121" s="1" t="s">
        <v>1951</v>
      </c>
    </row>
    <row r="1122">
      <c r="A1122" s="1">
        <v>22017.0</v>
      </c>
      <c r="B1122" s="2" t="str">
        <f>IFERROR(__xludf.DUMMYFUNCTION("TO_TEXT(A1122)"),"22017")</f>
        <v>22017</v>
      </c>
      <c r="C1122" s="1">
        <v>253125.0</v>
      </c>
      <c r="D1122" s="1">
        <v>878.51930539998</v>
      </c>
      <c r="E1122" s="1" t="s">
        <v>1952</v>
      </c>
      <c r="F1122" s="1" t="s">
        <v>1953</v>
      </c>
      <c r="G1122" s="1">
        <v>288.126849853066</v>
      </c>
      <c r="H1122" s="1">
        <v>22.8753292119999</v>
      </c>
      <c r="I1122" s="1">
        <v>5.2110943682</v>
      </c>
      <c r="J1122" s="1">
        <v>14.22640127</v>
      </c>
      <c r="K1122" s="1">
        <v>21.923980452</v>
      </c>
      <c r="L1122" s="1">
        <v>39.9</v>
      </c>
      <c r="M1122" s="1">
        <v>5.8</v>
      </c>
      <c r="N1122" s="1">
        <v>30.8</v>
      </c>
      <c r="O1122" s="1">
        <v>85.18565002</v>
      </c>
      <c r="P1122" s="1">
        <v>8.6488047521</v>
      </c>
      <c r="Q1122" s="1">
        <v>114.36404</v>
      </c>
      <c r="R1122" s="1">
        <v>73.8</v>
      </c>
      <c r="S1122" s="1">
        <v>35.6</v>
      </c>
      <c r="T1122" s="1">
        <v>59075.0</v>
      </c>
      <c r="U1122" s="1">
        <v>53.420228523</v>
      </c>
      <c r="V1122" s="1">
        <v>687.63024056</v>
      </c>
      <c r="W1122" s="1">
        <v>17.252166778</v>
      </c>
      <c r="X1122" s="1">
        <v>15.438854978</v>
      </c>
      <c r="Y1122" s="1">
        <v>74.903312853</v>
      </c>
      <c r="Z1122" s="1">
        <v>13.0</v>
      </c>
      <c r="AA1122" s="1">
        <v>14.140473276</v>
      </c>
      <c r="AB1122" s="1">
        <v>40467.0</v>
      </c>
      <c r="AC1122" s="1">
        <v>52.64623263</v>
      </c>
      <c r="AD1122" s="1">
        <v>59.325446243</v>
      </c>
      <c r="AE1122" s="1">
        <v>17.935928137</v>
      </c>
      <c r="AF1122" s="1">
        <v>49.395279143</v>
      </c>
      <c r="AG1122" s="1">
        <v>0.502630473999999</v>
      </c>
      <c r="AH1122" s="1">
        <v>1.275306477</v>
      </c>
      <c r="AI1122" s="1">
        <v>0.062571525</v>
      </c>
      <c r="AJ1122" s="1">
        <v>2.8836416628</v>
      </c>
      <c r="AK1122" s="1">
        <v>44.5587472519999</v>
      </c>
      <c r="AL1122" s="1">
        <v>0.4923934301</v>
      </c>
      <c r="AM1122" s="1">
        <v>52.672462766</v>
      </c>
      <c r="AN1122" s="1">
        <v>14.435088187</v>
      </c>
      <c r="AO1122" s="1">
        <v>25206.0</v>
      </c>
      <c r="AP1122" s="1">
        <v>22.4</v>
      </c>
      <c r="AQ1122" s="1">
        <v>7.1</v>
      </c>
      <c r="AR1122" s="1">
        <v>13.9</v>
      </c>
      <c r="AS1122" s="1">
        <v>14.8</v>
      </c>
      <c r="AT1122" s="1">
        <v>24.4</v>
      </c>
      <c r="AU1122" s="1">
        <v>15.1</v>
      </c>
      <c r="AV1122" s="1">
        <v>54.0</v>
      </c>
      <c r="AW1122" s="1">
        <v>0.6</v>
      </c>
      <c r="AX1122" s="1">
        <v>0.8026</v>
      </c>
      <c r="AY1122" s="1">
        <v>24.1</v>
      </c>
      <c r="AZ1122" s="1">
        <v>17.4</v>
      </c>
      <c r="BA1122" s="1">
        <v>27.0</v>
      </c>
      <c r="BB1122" s="1">
        <v>3.15</v>
      </c>
      <c r="BC1122" s="1" t="s">
        <v>1938</v>
      </c>
      <c r="BD1122" s="1">
        <v>13.0</v>
      </c>
      <c r="BE1122" s="1">
        <v>33.7</v>
      </c>
      <c r="BF1122" s="1">
        <v>29.8</v>
      </c>
      <c r="BG1122" s="1">
        <v>23.5</v>
      </c>
      <c r="BH1122" s="1" t="s">
        <v>1953</v>
      </c>
    </row>
    <row r="1123">
      <c r="A1123" s="1">
        <v>22019.0</v>
      </c>
      <c r="B1123" s="2" t="str">
        <f>IFERROR(__xludf.DUMMYFUNCTION("TO_TEXT(A1123)"),"22019")</f>
        <v>22019</v>
      </c>
      <c r="C1123" s="1">
        <v>197233.0</v>
      </c>
      <c r="D1123" s="1">
        <v>1064.3049120964</v>
      </c>
      <c r="E1123" s="1" t="s">
        <v>1954</v>
      </c>
      <c r="F1123" s="1" t="s">
        <v>1955</v>
      </c>
      <c r="G1123" s="1">
        <v>185.316254541664</v>
      </c>
      <c r="H1123" s="1">
        <v>19.326450598</v>
      </c>
      <c r="I1123" s="1">
        <v>4.5514733124</v>
      </c>
      <c r="J1123" s="1">
        <v>9.8837496908</v>
      </c>
      <c r="K1123" s="1">
        <v>20.245888383</v>
      </c>
      <c r="L1123" s="1">
        <v>35.4</v>
      </c>
      <c r="M1123" s="1">
        <v>7.3</v>
      </c>
      <c r="N1123" s="1">
        <v>29.8</v>
      </c>
      <c r="O1123" s="1">
        <v>74.745289675</v>
      </c>
      <c r="P1123" s="1">
        <v>8.8325141999</v>
      </c>
      <c r="Q1123" s="1">
        <v>76.56401</v>
      </c>
      <c r="R1123" s="1">
        <v>84.0</v>
      </c>
      <c r="S1123" s="1">
        <v>21.1</v>
      </c>
      <c r="T1123" s="1">
        <v>49529.0</v>
      </c>
      <c r="U1123" s="1">
        <v>39.766601385</v>
      </c>
      <c r="V1123" s="1">
        <v>625.73852581</v>
      </c>
      <c r="W1123" s="1">
        <v>12.940867969</v>
      </c>
      <c r="X1123" s="1">
        <v>10.791223404</v>
      </c>
      <c r="Y1123" s="1">
        <v>75.13583341</v>
      </c>
      <c r="Z1123" s="1">
        <v>11.3</v>
      </c>
      <c r="AA1123" s="1">
        <v>9.2951433032</v>
      </c>
      <c r="AB1123" s="1">
        <v>50531.0</v>
      </c>
      <c r="AC1123" s="1">
        <v>45.738595116</v>
      </c>
      <c r="AD1123" s="1">
        <v>67.098777411</v>
      </c>
      <c r="AE1123" s="1">
        <v>11.5314076109999</v>
      </c>
      <c r="AF1123" s="1">
        <v>25.3722084369999</v>
      </c>
      <c r="AG1123" s="1">
        <v>0.5829296152</v>
      </c>
      <c r="AH1123" s="1">
        <v>1.3559021624</v>
      </c>
      <c r="AI1123" s="1">
        <v>0.0605577218</v>
      </c>
      <c r="AJ1123" s="1">
        <v>3.7742723227</v>
      </c>
      <c r="AK1123" s="1">
        <v>67.171314349</v>
      </c>
      <c r="AL1123" s="1">
        <v>0.7049707964</v>
      </c>
      <c r="AM1123" s="1">
        <v>51.10431683</v>
      </c>
      <c r="AN1123" s="1">
        <v>20.500290505</v>
      </c>
      <c r="AO1123" s="1">
        <v>25249.0</v>
      </c>
      <c r="AP1123" s="1">
        <v>17.2</v>
      </c>
      <c r="AQ1123" s="1">
        <v>7.4</v>
      </c>
      <c r="AR1123" s="1">
        <v>14.6</v>
      </c>
      <c r="AS1123" s="1">
        <v>13.7</v>
      </c>
      <c r="AT1123" s="1">
        <v>24.9</v>
      </c>
      <c r="AU1123" s="1">
        <v>16.6</v>
      </c>
      <c r="AV1123" s="1">
        <v>31.5</v>
      </c>
      <c r="AW1123" s="1">
        <v>0.6</v>
      </c>
      <c r="AX1123" s="1">
        <v>0.7475</v>
      </c>
      <c r="AY1123" s="1">
        <v>18.9</v>
      </c>
      <c r="AZ1123" s="1">
        <v>13.9</v>
      </c>
      <c r="BA1123" s="1">
        <v>21.9</v>
      </c>
      <c r="BB1123" s="1">
        <v>3.23</v>
      </c>
      <c r="BC1123" s="1" t="s">
        <v>1938</v>
      </c>
      <c r="BD1123" s="1">
        <v>13.2</v>
      </c>
      <c r="BE1123" s="1">
        <v>34.1</v>
      </c>
      <c r="BF1123" s="1">
        <v>30.5</v>
      </c>
      <c r="BG1123" s="1">
        <v>22.3</v>
      </c>
      <c r="BH1123" s="1" t="s">
        <v>1955</v>
      </c>
    </row>
    <row r="1124">
      <c r="A1124" s="1">
        <v>22021.0</v>
      </c>
      <c r="B1124" s="2" t="str">
        <f>IFERROR(__xludf.DUMMYFUNCTION("TO_TEXT(A1124)"),"22021")</f>
        <v>22021</v>
      </c>
      <c r="C1124" s="1">
        <v>9997.0</v>
      </c>
      <c r="D1124" s="1">
        <v>529.42454117066</v>
      </c>
      <c r="E1124" s="1" t="s">
        <v>1787</v>
      </c>
      <c r="F1124" s="1" t="s">
        <v>1956</v>
      </c>
      <c r="G1124" s="1">
        <v>18.8827665183308</v>
      </c>
      <c r="H1124" s="1">
        <v>21.75242789</v>
      </c>
      <c r="I1124" s="1">
        <v>5.110631089</v>
      </c>
      <c r="J1124" s="1">
        <v>9.2165898618</v>
      </c>
      <c r="K1124" s="1">
        <v>23.444715055</v>
      </c>
      <c r="L1124" s="1">
        <v>39.7</v>
      </c>
      <c r="M1124" s="1">
        <v>7.5</v>
      </c>
      <c r="N1124" s="1">
        <v>27.3</v>
      </c>
      <c r="O1124" s="1">
        <v>37.238452428</v>
      </c>
      <c r="P1124" s="1">
        <v>11.10821382</v>
      </c>
      <c r="Q1124" s="1">
        <v>30.15075</v>
      </c>
      <c r="R1124" s="1">
        <v>90.1</v>
      </c>
      <c r="S1124" s="1">
        <v>30.1</v>
      </c>
      <c r="T1124" s="1">
        <v>2316.0</v>
      </c>
      <c r="U1124" s="1">
        <v>37.737478411</v>
      </c>
      <c r="V1124" s="1">
        <v>221.20557036</v>
      </c>
      <c r="W1124" s="1">
        <v>13.892709766</v>
      </c>
      <c r="X1124" s="1">
        <v>11.9718309859999</v>
      </c>
      <c r="Y1124" s="1">
        <v>73.535302726</v>
      </c>
      <c r="Z1124" s="1">
        <v>15.2</v>
      </c>
      <c r="AA1124" s="1">
        <v>3.2332510242</v>
      </c>
      <c r="AB1124" s="1">
        <v>40842.0</v>
      </c>
      <c r="AC1124" s="1">
        <v>56.075373619</v>
      </c>
      <c r="AD1124" s="1">
        <v>74.284155986</v>
      </c>
      <c r="AE1124" s="1">
        <v>11.299261084</v>
      </c>
      <c r="AF1124" s="1">
        <v>15.813253012</v>
      </c>
      <c r="AG1124" s="1">
        <v>0.4016064257</v>
      </c>
      <c r="AH1124" s="1">
        <v>0.3915662651</v>
      </c>
      <c r="AI1124" s="1">
        <v>0.0301204819</v>
      </c>
      <c r="AJ1124" s="1">
        <v>3.1827309237</v>
      </c>
      <c r="AK1124" s="1">
        <v>79.156626506</v>
      </c>
      <c r="AL1124" s="1">
        <v>1.6949152542</v>
      </c>
      <c r="AM1124" s="1">
        <v>48.554216867</v>
      </c>
      <c r="AN1124" s="1">
        <v>100.0</v>
      </c>
      <c r="AO1124" s="1">
        <v>19774.0</v>
      </c>
      <c r="AP1124" s="1">
        <v>25.1</v>
      </c>
      <c r="AQ1124" s="1">
        <v>10.9</v>
      </c>
      <c r="AR1124" s="1">
        <v>24.1</v>
      </c>
      <c r="AS1124" s="1">
        <v>16.4</v>
      </c>
      <c r="AT1124" s="1">
        <v>23.2</v>
      </c>
      <c r="AU1124" s="1">
        <v>14.3</v>
      </c>
      <c r="AV1124" s="1">
        <v>20.9</v>
      </c>
      <c r="AW1124" s="1">
        <v>1.3</v>
      </c>
      <c r="AX1124" s="1">
        <v>0.8879</v>
      </c>
      <c r="AY1124" s="1">
        <v>19.5</v>
      </c>
      <c r="AZ1124" s="1">
        <v>17.3</v>
      </c>
      <c r="BA1124" s="1">
        <v>26.6</v>
      </c>
      <c r="BB1124" s="1">
        <v>3.04</v>
      </c>
      <c r="BC1124" s="1" t="s">
        <v>1938</v>
      </c>
      <c r="BD1124" s="1">
        <v>23.3</v>
      </c>
      <c r="BE1124" s="1">
        <v>42.5</v>
      </c>
      <c r="BF1124" s="1">
        <v>20.3</v>
      </c>
      <c r="BG1124" s="1">
        <v>13.8</v>
      </c>
      <c r="BH1124" s="1" t="s">
        <v>1956</v>
      </c>
    </row>
    <row r="1125">
      <c r="A1125" s="1">
        <v>22023.0</v>
      </c>
      <c r="B1125" s="2" t="str">
        <f>IFERROR(__xludf.DUMMYFUNCTION("TO_TEXT(A1125)"),"22023")</f>
        <v>22023</v>
      </c>
      <c r="C1125" s="1">
        <v>6739.0</v>
      </c>
      <c r="D1125" s="1">
        <v>1284.88447156684</v>
      </c>
      <c r="E1125" s="1" t="s">
        <v>1957</v>
      </c>
      <c r="F1125" s="1" t="s">
        <v>1958</v>
      </c>
      <c r="G1125" s="1">
        <v>5.24482951512535</v>
      </c>
      <c r="H1125" s="1">
        <v>16.8235872309999</v>
      </c>
      <c r="I1125" s="1">
        <v>4.6807558454</v>
      </c>
      <c r="J1125" s="1">
        <v>8.3857442348</v>
      </c>
      <c r="K1125" s="1">
        <v>18.6835779259999</v>
      </c>
      <c r="L1125" s="1">
        <v>35.1</v>
      </c>
      <c r="M1125" s="1">
        <v>9.0</v>
      </c>
      <c r="N1125" s="1">
        <v>33.4</v>
      </c>
      <c r="O1125" s="1">
        <v>60.505921918</v>
      </c>
      <c r="P1125" s="1">
        <v>9.4003801624</v>
      </c>
      <c r="Q1125" s="1">
        <v>28.93519</v>
      </c>
      <c r="R1125" s="1">
        <v>91.1</v>
      </c>
      <c r="S1125" s="1">
        <v>19.6</v>
      </c>
      <c r="T1125" s="1">
        <v>1474.0</v>
      </c>
      <c r="U1125" s="1">
        <v>21.302578019</v>
      </c>
      <c r="V1125" s="1">
        <v>251.57232704</v>
      </c>
      <c r="W1125" s="1">
        <v>6.9679849341</v>
      </c>
      <c r="X1125" s="1">
        <v>2.5845686051</v>
      </c>
      <c r="Y1125" s="1">
        <v>81.963176358</v>
      </c>
      <c r="Z1125" s="1">
        <v>19.4</v>
      </c>
      <c r="AA1125" s="1">
        <v>5.9952900141</v>
      </c>
      <c r="AB1125" s="1">
        <v>57299.0</v>
      </c>
      <c r="AC1125" s="1">
        <v>39.528023599</v>
      </c>
      <c r="AD1125" s="1">
        <v>86.975717439</v>
      </c>
      <c r="AE1125" s="1">
        <v>3.7549407115</v>
      </c>
      <c r="AF1125" s="1">
        <v>3.9896670494</v>
      </c>
      <c r="AG1125" s="1">
        <v>0.7893226177</v>
      </c>
      <c r="AH1125" s="1">
        <v>0.3013777268</v>
      </c>
      <c r="AI1125" s="1">
        <v>0.0574052813</v>
      </c>
      <c r="AJ1125" s="1">
        <v>4.2623421355</v>
      </c>
      <c r="AK1125" s="1">
        <v>89.437428243</v>
      </c>
      <c r="AL1125" s="1">
        <v>2.723378213</v>
      </c>
      <c r="AM1125" s="1">
        <v>50.229621125</v>
      </c>
      <c r="AN1125" s="1">
        <v>100.0</v>
      </c>
      <c r="AO1125" s="1">
        <v>31007.0</v>
      </c>
      <c r="AP1125" s="1">
        <v>8.9</v>
      </c>
      <c r="AQ1125" s="1">
        <v>3.5</v>
      </c>
      <c r="AR1125" s="1">
        <v>16.5</v>
      </c>
      <c r="AS1125" s="1">
        <v>15.3</v>
      </c>
      <c r="AT1125" s="1">
        <v>23.3</v>
      </c>
      <c r="AU1125" s="1">
        <v>16.5</v>
      </c>
      <c r="AV1125" s="1">
        <v>7.3</v>
      </c>
      <c r="AW1125" s="1">
        <v>0.6</v>
      </c>
      <c r="AX1125" s="1">
        <v>0.1471</v>
      </c>
      <c r="AY1125" s="1">
        <v>13.7</v>
      </c>
      <c r="AZ1125" s="1">
        <v>10.3</v>
      </c>
      <c r="BA1125" s="1">
        <v>16.9</v>
      </c>
      <c r="BB1125" s="1">
        <v>2.87</v>
      </c>
      <c r="BC1125" s="1" t="s">
        <v>1938</v>
      </c>
      <c r="BD1125" s="1">
        <v>15.3</v>
      </c>
      <c r="BE1125" s="1">
        <v>40.3</v>
      </c>
      <c r="BF1125" s="1">
        <v>31.8</v>
      </c>
      <c r="BG1125" s="1">
        <v>12.7</v>
      </c>
      <c r="BH1125" s="1" t="s">
        <v>1958</v>
      </c>
    </row>
    <row r="1126">
      <c r="A1126" s="1">
        <v>22025.0</v>
      </c>
      <c r="B1126" s="2" t="str">
        <f>IFERROR(__xludf.DUMMYFUNCTION("TO_TEXT(A1126)"),"22025")</f>
        <v>22025</v>
      </c>
      <c r="C1126" s="1">
        <v>10145.0</v>
      </c>
      <c r="D1126" s="1">
        <v>708.027249502922</v>
      </c>
      <c r="E1126" s="1" t="s">
        <v>1959</v>
      </c>
      <c r="F1126" s="1" t="s">
        <v>1960</v>
      </c>
      <c r="G1126" s="1">
        <v>14.3285445681961</v>
      </c>
      <c r="H1126" s="1">
        <v>22.4185963009999</v>
      </c>
      <c r="I1126" s="1">
        <v>5.0434693851</v>
      </c>
      <c r="J1126" s="1">
        <v>10.87962963</v>
      </c>
      <c r="K1126" s="1">
        <v>22.540613834</v>
      </c>
      <c r="L1126" s="1">
        <v>37.1</v>
      </c>
      <c r="M1126" s="1">
        <v>6.6</v>
      </c>
      <c r="N1126" s="1">
        <v>39.7</v>
      </c>
      <c r="O1126" s="1">
        <v>16.152589603</v>
      </c>
      <c r="P1126" s="1">
        <v>10.659415364</v>
      </c>
      <c r="Q1126" s="1">
        <v>10.12658</v>
      </c>
      <c r="R1126" s="1">
        <v>87.8</v>
      </c>
      <c r="S1126" s="1">
        <v>37.0</v>
      </c>
      <c r="T1126" s="1">
        <v>2179.0</v>
      </c>
      <c r="U1126" s="1">
        <v>42.542450665</v>
      </c>
      <c r="V1126" s="1">
        <v>377.43345252</v>
      </c>
      <c r="W1126" s="1">
        <v>11.528150134</v>
      </c>
      <c r="X1126" s="1">
        <v>9.5225102319</v>
      </c>
      <c r="Y1126" s="1">
        <v>73.633535569</v>
      </c>
      <c r="Z1126" s="1">
        <v>12.9</v>
      </c>
      <c r="AA1126" s="1">
        <v>10.599468362</v>
      </c>
      <c r="AB1126" s="1">
        <v>35812.0</v>
      </c>
      <c r="AC1126" s="1">
        <v>54.294720252</v>
      </c>
      <c r="AD1126" s="1">
        <v>77.830319889</v>
      </c>
      <c r="AE1126" s="1">
        <v>10.226928896</v>
      </c>
      <c r="AF1126" s="1">
        <v>30.5058284759999</v>
      </c>
      <c r="AG1126" s="1">
        <v>0.4891756869</v>
      </c>
      <c r="AH1126" s="1">
        <v>0.06244796</v>
      </c>
      <c r="AI1126" s="1">
        <v>0.0208159867</v>
      </c>
      <c r="AJ1126" s="1">
        <v>1.7381348876</v>
      </c>
      <c r="AK1126" s="1">
        <v>66.184429642</v>
      </c>
      <c r="AL1126" s="1">
        <v>0.1397398689</v>
      </c>
      <c r="AM1126" s="1">
        <v>47.148209825</v>
      </c>
      <c r="AN1126" s="1">
        <v>100.0</v>
      </c>
      <c r="AO1126" s="1">
        <v>21870.0</v>
      </c>
      <c r="AP1126" s="1">
        <v>20.5</v>
      </c>
      <c r="AQ1126" s="1">
        <v>7.3</v>
      </c>
      <c r="AR1126" s="1">
        <v>23.0</v>
      </c>
      <c r="AS1126" s="1">
        <v>15.8</v>
      </c>
      <c r="AT1126" s="1">
        <v>22.0</v>
      </c>
      <c r="AU1126" s="1">
        <v>14.5</v>
      </c>
      <c r="AV1126" s="1">
        <v>33.8</v>
      </c>
      <c r="AW1126" s="1">
        <v>0.1</v>
      </c>
      <c r="AX1126" s="1">
        <v>0.687</v>
      </c>
      <c r="AY1126" s="1">
        <v>26.4</v>
      </c>
      <c r="AZ1126" s="1">
        <v>16.6</v>
      </c>
      <c r="BA1126" s="1">
        <v>27.1</v>
      </c>
      <c r="BB1126" s="1">
        <v>3.02</v>
      </c>
      <c r="BC1126" s="1" t="s">
        <v>1938</v>
      </c>
      <c r="BD1126" s="1">
        <v>25.7</v>
      </c>
      <c r="BE1126" s="1">
        <v>39.4</v>
      </c>
      <c r="BF1126" s="1">
        <v>21.1</v>
      </c>
      <c r="BG1126" s="1">
        <v>13.8</v>
      </c>
      <c r="BH1126" s="1" t="s">
        <v>1960</v>
      </c>
    </row>
    <row r="1127">
      <c r="A1127" s="1">
        <v>22027.0</v>
      </c>
      <c r="B1127" s="2" t="str">
        <f>IFERROR(__xludf.DUMMYFUNCTION("TO_TEXT(A1127)"),"22027")</f>
        <v>22027</v>
      </c>
      <c r="C1127" s="1">
        <v>16452.0</v>
      </c>
      <c r="D1127" s="1">
        <v>754.877823715882</v>
      </c>
      <c r="E1127" s="1" t="s">
        <v>1961</v>
      </c>
      <c r="F1127" s="1" t="s">
        <v>1962</v>
      </c>
      <c r="G1127" s="1">
        <v>21.7942552862596</v>
      </c>
      <c r="H1127" s="1">
        <v>28.267475228</v>
      </c>
      <c r="I1127" s="1">
        <v>5.2658225252</v>
      </c>
      <c r="J1127" s="1">
        <v>16.206589492</v>
      </c>
      <c r="K1127" s="1">
        <v>26.259880003</v>
      </c>
      <c r="L1127" s="1">
        <v>37.9</v>
      </c>
      <c r="M1127" s="1">
        <v>6.1</v>
      </c>
      <c r="N1127" s="1">
        <v>34.9</v>
      </c>
      <c r="O1127" s="1">
        <v>39.255597557</v>
      </c>
      <c r="P1127" s="1">
        <v>11.104536489</v>
      </c>
      <c r="Q1127" s="1">
        <v>37.5728</v>
      </c>
      <c r="R1127" s="1">
        <v>90.2</v>
      </c>
      <c r="S1127" s="1">
        <v>41.1</v>
      </c>
      <c r="T1127" s="1">
        <v>2918.0</v>
      </c>
      <c r="U1127" s="1">
        <v>52.570253598</v>
      </c>
      <c r="V1127" s="1">
        <v>154.9648349</v>
      </c>
      <c r="W1127" s="1">
        <v>19.468267581</v>
      </c>
      <c r="X1127" s="1">
        <v>15.919085312</v>
      </c>
      <c r="Y1127" s="1">
        <v>75.856799856</v>
      </c>
      <c r="Z1127" s="1">
        <v>20.6</v>
      </c>
      <c r="AA1127" s="1">
        <v>7.0959496523</v>
      </c>
      <c r="AB1127" s="1">
        <v>33659.0</v>
      </c>
      <c r="AC1127" s="1">
        <v>65.245327103</v>
      </c>
      <c r="AD1127" s="1">
        <v>65.77830589</v>
      </c>
      <c r="AE1127" s="1">
        <v>17.925061194</v>
      </c>
      <c r="AF1127" s="1">
        <v>51.605619669</v>
      </c>
      <c r="AG1127" s="1">
        <v>0.5393878575</v>
      </c>
      <c r="AH1127" s="1">
        <v>0.4578524837</v>
      </c>
      <c r="AI1127" s="1">
        <v>0.0250878073</v>
      </c>
      <c r="AJ1127" s="1">
        <v>1.524084295</v>
      </c>
      <c r="AK1127" s="1">
        <v>44.79427998</v>
      </c>
      <c r="AL1127" s="1">
        <v>0.3718927383</v>
      </c>
      <c r="AM1127" s="1">
        <v>43.376818866</v>
      </c>
      <c r="AN1127" s="1">
        <v>82.355335853</v>
      </c>
      <c r="AO1127" s="1">
        <v>16417.0</v>
      </c>
      <c r="AP1127" s="1">
        <v>30.3</v>
      </c>
      <c r="AQ1127" s="1">
        <v>14.4</v>
      </c>
      <c r="AR1127" s="1">
        <v>22.4</v>
      </c>
      <c r="AS1127" s="1">
        <v>17.7</v>
      </c>
      <c r="AT1127" s="1">
        <v>18.8</v>
      </c>
      <c r="AU1127" s="1">
        <v>20.2</v>
      </c>
      <c r="AV1127" s="1">
        <v>54.2</v>
      </c>
      <c r="AW1127" s="1">
        <v>0.0</v>
      </c>
      <c r="AX1127" s="1">
        <v>0.9688</v>
      </c>
      <c r="AY1127" s="1">
        <v>32.5</v>
      </c>
      <c r="AZ1127" s="1">
        <v>20.0</v>
      </c>
      <c r="BA1127" s="1">
        <v>30.4</v>
      </c>
      <c r="BB1127" s="1">
        <v>3.07</v>
      </c>
      <c r="BC1127" s="1" t="s">
        <v>1938</v>
      </c>
      <c r="BD1127" s="1">
        <v>20.5</v>
      </c>
      <c r="BE1127" s="1">
        <v>43.5</v>
      </c>
      <c r="BF1127" s="1">
        <v>23.2</v>
      </c>
      <c r="BG1127" s="1">
        <v>12.8</v>
      </c>
      <c r="BH1127" s="1" t="s">
        <v>1962</v>
      </c>
    </row>
    <row r="1128">
      <c r="A1128" s="1">
        <v>22029.0</v>
      </c>
      <c r="B1128" s="2" t="str">
        <f>IFERROR(__xludf.DUMMYFUNCTION("TO_TEXT(A1128)"),"22029")</f>
        <v>22029</v>
      </c>
      <c r="C1128" s="1">
        <v>20288.0</v>
      </c>
      <c r="D1128" s="1">
        <v>696.980625335948</v>
      </c>
      <c r="E1128" s="1" t="s">
        <v>1963</v>
      </c>
      <c r="F1128" s="1" t="s">
        <v>1964</v>
      </c>
      <c r="G1128" s="1">
        <v>29.1084131502523</v>
      </c>
      <c r="H1128" s="1">
        <v>26.032152109</v>
      </c>
      <c r="I1128" s="1">
        <v>5.3638260257</v>
      </c>
      <c r="J1128" s="1">
        <v>13.036393265</v>
      </c>
      <c r="K1128" s="1">
        <v>24.568156751</v>
      </c>
      <c r="L1128" s="1">
        <v>34.5</v>
      </c>
      <c r="M1128" s="1">
        <v>5.3</v>
      </c>
      <c r="N1128" s="1">
        <v>38.7</v>
      </c>
      <c r="O1128" s="1">
        <v>30.9480357309999</v>
      </c>
      <c r="P1128" s="1">
        <v>9.9415980887</v>
      </c>
      <c r="Q1128" s="1">
        <v>30.20236</v>
      </c>
      <c r="R1128" s="1">
        <v>83.3</v>
      </c>
      <c r="S1128" s="1">
        <v>38.7</v>
      </c>
      <c r="T1128" s="1">
        <v>4721.0</v>
      </c>
      <c r="U1128" s="1">
        <v>49.925863165</v>
      </c>
      <c r="V1128" s="1">
        <v>734.50954118</v>
      </c>
      <c r="W1128" s="1">
        <v>13.918205805</v>
      </c>
      <c r="X1128" s="1">
        <v>10.917615539</v>
      </c>
      <c r="Y1128" s="1">
        <v>72.979196041</v>
      </c>
      <c r="Z1128" s="1">
        <v>16.5</v>
      </c>
      <c r="AA1128" s="1">
        <v>14.699939095</v>
      </c>
      <c r="AB1128" s="1">
        <v>35840.0</v>
      </c>
      <c r="AC1128" s="1">
        <v>65.220779221</v>
      </c>
      <c r="AD1128" s="1">
        <v>65.635598969</v>
      </c>
      <c r="AE1128" s="1">
        <v>11.045792079</v>
      </c>
      <c r="AF1128" s="1">
        <v>39.551399959</v>
      </c>
      <c r="AG1128" s="1">
        <v>0.444512569</v>
      </c>
      <c r="AH1128" s="1">
        <v>0.3883098304</v>
      </c>
      <c r="AI1128" s="1">
        <v>0.0204373595</v>
      </c>
      <c r="AJ1128" s="1">
        <v>1.5072552626</v>
      </c>
      <c r="AK1128" s="1">
        <v>57.163294502</v>
      </c>
      <c r="AL1128" s="1">
        <v>0.1598721023</v>
      </c>
      <c r="AM1128" s="1">
        <v>49.259145718</v>
      </c>
      <c r="AN1128" s="1">
        <v>33.45499952</v>
      </c>
      <c r="AO1128" s="1">
        <v>17110.0</v>
      </c>
      <c r="AP1128" s="1">
        <v>31.9</v>
      </c>
      <c r="AQ1128" s="1">
        <v>9.7</v>
      </c>
      <c r="AR1128" s="1">
        <v>22.9</v>
      </c>
      <c r="AS1128" s="1">
        <v>15.5</v>
      </c>
      <c r="AT1128" s="1">
        <v>24.3</v>
      </c>
      <c r="AU1128" s="1">
        <v>12.2</v>
      </c>
      <c r="AV1128" s="1">
        <v>43.0</v>
      </c>
      <c r="AW1128" s="1">
        <v>0.2</v>
      </c>
      <c r="AX1128" s="1">
        <v>0.9233</v>
      </c>
      <c r="AY1128" s="1">
        <v>27.5</v>
      </c>
      <c r="AZ1128" s="1">
        <v>18.8</v>
      </c>
      <c r="BA1128" s="1">
        <v>29.1</v>
      </c>
      <c r="BB1128" s="1">
        <v>3.14</v>
      </c>
      <c r="BC1128" s="1" t="s">
        <v>1938</v>
      </c>
      <c r="BD1128" s="1">
        <v>19.8</v>
      </c>
      <c r="BE1128" s="1">
        <v>40.8</v>
      </c>
      <c r="BF1128" s="1">
        <v>25.3</v>
      </c>
      <c r="BG1128" s="1">
        <v>14.1</v>
      </c>
      <c r="BH1128" s="1" t="s">
        <v>1964</v>
      </c>
    </row>
    <row r="1129">
      <c r="A1129" s="1">
        <v>22031.0</v>
      </c>
      <c r="B1129" s="2" t="str">
        <f>IFERROR(__xludf.DUMMYFUNCTION("TO_TEXT(A1129)"),"22031")</f>
        <v>22031</v>
      </c>
      <c r="C1129" s="1">
        <v>27047.0</v>
      </c>
      <c r="D1129" s="1">
        <v>876.404606985288</v>
      </c>
      <c r="E1129" s="1" t="s">
        <v>1965</v>
      </c>
      <c r="F1129" s="1" t="s">
        <v>1966</v>
      </c>
      <c r="G1129" s="1">
        <v>30.8613165476593</v>
      </c>
      <c r="H1129" s="1">
        <v>23.00137157</v>
      </c>
      <c r="I1129" s="1">
        <v>5.2231061642</v>
      </c>
      <c r="J1129" s="1">
        <v>12.521008403</v>
      </c>
      <c r="K1129" s="1">
        <v>22.0271911209999</v>
      </c>
      <c r="L1129" s="1">
        <v>38.0</v>
      </c>
      <c r="M1129" s="1">
        <v>6.5</v>
      </c>
      <c r="N1129" s="1">
        <v>32.6</v>
      </c>
      <c r="O1129" s="1">
        <v>43.817527011</v>
      </c>
      <c r="P1129" s="1">
        <v>9.6149536062</v>
      </c>
      <c r="Q1129" s="1">
        <v>18.28822</v>
      </c>
      <c r="R1129" s="1">
        <v>93.8</v>
      </c>
      <c r="S1129" s="1">
        <v>24.5</v>
      </c>
      <c r="T1129" s="1">
        <v>6598.0</v>
      </c>
      <c r="U1129" s="1">
        <v>47.8781448919999</v>
      </c>
      <c r="V1129" s="1">
        <v>448.14104456</v>
      </c>
      <c r="W1129" s="1">
        <v>12.8654970759999</v>
      </c>
      <c r="X1129" s="1">
        <v>10.68617558</v>
      </c>
      <c r="Y1129" s="1">
        <v>76.100997355</v>
      </c>
      <c r="Z1129" s="1">
        <v>17.2</v>
      </c>
      <c r="AA1129" s="1">
        <v>9.4207504953</v>
      </c>
      <c r="AB1129" s="1">
        <v>44457.0</v>
      </c>
      <c r="AC1129" s="1">
        <v>38.844890863</v>
      </c>
      <c r="AD1129" s="1">
        <v>73.619690202</v>
      </c>
      <c r="AE1129" s="1">
        <v>10.718381816</v>
      </c>
      <c r="AF1129" s="1">
        <v>35.741361715</v>
      </c>
      <c r="AG1129" s="1">
        <v>1.1116780872</v>
      </c>
      <c r="AH1129" s="1">
        <v>0.3899985421</v>
      </c>
      <c r="AI1129" s="1">
        <v>0.0510278466</v>
      </c>
      <c r="AJ1129" s="1">
        <v>2.9669047966</v>
      </c>
      <c r="AK1129" s="1">
        <v>58.714827234</v>
      </c>
      <c r="AL1129" s="1">
        <v>0.4347826087</v>
      </c>
      <c r="AM1129" s="1">
        <v>51.771395247</v>
      </c>
      <c r="AN1129" s="1">
        <v>77.262154862</v>
      </c>
      <c r="AO1129" s="1">
        <v>23284.0</v>
      </c>
      <c r="AP1129" s="1">
        <v>26.4</v>
      </c>
      <c r="AQ1129" s="1">
        <v>9.8</v>
      </c>
      <c r="AR1129" s="1">
        <v>18.7</v>
      </c>
      <c r="AS1129" s="1">
        <v>16.0</v>
      </c>
      <c r="AT1129" s="1">
        <v>24.0</v>
      </c>
      <c r="AU1129" s="1">
        <v>17.1</v>
      </c>
      <c r="AV1129" s="1">
        <v>42.2</v>
      </c>
      <c r="AW1129" s="1">
        <v>0.7</v>
      </c>
      <c r="AX1129" s="1">
        <v>0.8867</v>
      </c>
      <c r="AY1129" s="1">
        <v>18.0</v>
      </c>
      <c r="AZ1129" s="1">
        <v>17.7</v>
      </c>
      <c r="BA1129" s="1">
        <v>28.1</v>
      </c>
      <c r="BB1129" s="1">
        <v>3.04</v>
      </c>
      <c r="BC1129" s="1" t="s">
        <v>1938</v>
      </c>
      <c r="BD1129" s="1">
        <v>17.4</v>
      </c>
      <c r="BE1129" s="1">
        <v>42.6</v>
      </c>
      <c r="BF1129" s="1">
        <v>25.1</v>
      </c>
      <c r="BG1129" s="1">
        <v>14.8</v>
      </c>
      <c r="BH1129" s="1" t="s">
        <v>1966</v>
      </c>
    </row>
    <row r="1130">
      <c r="A1130" s="1">
        <v>22033.0</v>
      </c>
      <c r="B1130" s="2" t="str">
        <f>IFERROR(__xludf.DUMMYFUNCTION("TO_TEXT(A1130)"),"22033")</f>
        <v>22033</v>
      </c>
      <c r="C1130" s="1">
        <v>445337.0</v>
      </c>
      <c r="D1130" s="1">
        <v>455.347866280487</v>
      </c>
      <c r="E1130" s="1" t="s">
        <v>1967</v>
      </c>
      <c r="F1130" s="1" t="s">
        <v>1968</v>
      </c>
      <c r="G1130" s="1">
        <v>978.014904599725</v>
      </c>
      <c r="H1130" s="1">
        <v>19.990470496</v>
      </c>
      <c r="I1130" s="1">
        <v>4.9471293466</v>
      </c>
      <c r="J1130" s="1">
        <v>11.699820873</v>
      </c>
      <c r="K1130" s="1">
        <v>18.269947005</v>
      </c>
      <c r="L1130" s="1">
        <v>31.9</v>
      </c>
      <c r="M1130" s="1">
        <v>6.5</v>
      </c>
      <c r="N1130" s="1">
        <v>28.5</v>
      </c>
      <c r="O1130" s="1">
        <v>97.50028966</v>
      </c>
      <c r="P1130" s="1">
        <v>8.6096245283</v>
      </c>
      <c r="Q1130" s="1">
        <v>92.99345</v>
      </c>
      <c r="R1130" s="1">
        <v>70.988195815</v>
      </c>
      <c r="S1130" s="1">
        <v>23.8</v>
      </c>
      <c r="T1130" s="1">
        <v>100463.0</v>
      </c>
      <c r="U1130" s="1">
        <v>45.5361675439999</v>
      </c>
      <c r="V1130" s="1">
        <v>583.48048179</v>
      </c>
      <c r="W1130" s="1">
        <v>18.1893687709999</v>
      </c>
      <c r="X1130" s="1">
        <v>16.270970868</v>
      </c>
      <c r="Y1130" s="1">
        <v>76.099840915</v>
      </c>
      <c r="Z1130" s="1">
        <v>11.6</v>
      </c>
      <c r="AA1130" s="1">
        <v>10.727740122</v>
      </c>
      <c r="AB1130" s="1">
        <v>52945.0</v>
      </c>
      <c r="AC1130" s="1">
        <v>65.059738594</v>
      </c>
      <c r="AD1130" s="1">
        <v>58.890315116</v>
      </c>
      <c r="AE1130" s="1">
        <v>16.381077777</v>
      </c>
      <c r="AF1130" s="1">
        <v>46.532080298</v>
      </c>
      <c r="AG1130" s="1">
        <v>0.2703217555</v>
      </c>
      <c r="AH1130" s="1">
        <v>3.3738060033</v>
      </c>
      <c r="AI1130" s="1">
        <v>0.0380990394</v>
      </c>
      <c r="AJ1130" s="1">
        <v>4.2042743494</v>
      </c>
      <c r="AK1130" s="1">
        <v>44.403750034</v>
      </c>
      <c r="AL1130" s="1">
        <v>1.7835915366</v>
      </c>
      <c r="AM1130" s="1">
        <v>52.238091782</v>
      </c>
      <c r="AN1130" s="1">
        <v>6.8759641139</v>
      </c>
      <c r="AO1130" s="1">
        <v>29146.0</v>
      </c>
      <c r="AP1130" s="1">
        <v>19.5</v>
      </c>
      <c r="AQ1130" s="1">
        <v>7.0</v>
      </c>
      <c r="AR1130" s="1">
        <v>9.8</v>
      </c>
      <c r="AS1130" s="1">
        <v>12.4</v>
      </c>
      <c r="AT1130" s="1">
        <v>22.8</v>
      </c>
      <c r="AU1130" s="1">
        <v>13.7</v>
      </c>
      <c r="AV1130" s="1">
        <v>54.5</v>
      </c>
      <c r="AW1130" s="1">
        <v>1.4</v>
      </c>
      <c r="AX1130" s="1">
        <v>0.6024</v>
      </c>
      <c r="AY1130" s="1">
        <v>17.7</v>
      </c>
      <c r="AZ1130" s="1">
        <v>14.4</v>
      </c>
      <c r="BA1130" s="1">
        <v>21.6</v>
      </c>
      <c r="BB1130" s="1">
        <v>3.42</v>
      </c>
      <c r="BC1130" s="1" t="s">
        <v>1938</v>
      </c>
      <c r="BD1130" s="1">
        <v>9.5</v>
      </c>
      <c r="BE1130" s="1">
        <v>27.3</v>
      </c>
      <c r="BF1130" s="1">
        <v>28.3</v>
      </c>
      <c r="BG1130" s="1">
        <v>34.9</v>
      </c>
      <c r="BH1130" s="1" t="s">
        <v>1968</v>
      </c>
    </row>
    <row r="1131">
      <c r="A1131" s="1">
        <v>22035.0</v>
      </c>
      <c r="B1131" s="2" t="str">
        <f>IFERROR(__xludf.DUMMYFUNCTION("TO_TEXT(A1131)"),"22035")</f>
        <v>22035</v>
      </c>
      <c r="C1131" s="1">
        <v>7419.0</v>
      </c>
      <c r="D1131" s="1">
        <v>420.704149655686</v>
      </c>
      <c r="E1131" s="1" t="s">
        <v>1969</v>
      </c>
      <c r="F1131" s="1" t="s">
        <v>1970</v>
      </c>
      <c r="G1131" s="1">
        <v>17.6347202804438</v>
      </c>
      <c r="H1131" s="1">
        <v>37.462276572</v>
      </c>
      <c r="I1131" s="1">
        <v>5.9972677274</v>
      </c>
      <c r="J1131" s="1">
        <v>15.0594451779999</v>
      </c>
      <c r="K1131" s="1">
        <v>31.848086764</v>
      </c>
      <c r="L1131" s="1">
        <v>40.0</v>
      </c>
      <c r="M1131" s="1">
        <v>3.5</v>
      </c>
      <c r="N1131" s="1">
        <v>27.5</v>
      </c>
      <c r="O1131" s="1">
        <v>60.329939425</v>
      </c>
      <c r="P1131" s="1">
        <v>8.2414277121</v>
      </c>
      <c r="Q1131" s="1">
        <v>42.09935</v>
      </c>
      <c r="R1131" s="1">
        <v>97.9</v>
      </c>
      <c r="S1131" s="1">
        <v>61.5</v>
      </c>
      <c r="T1131" s="1">
        <v>1346.0</v>
      </c>
      <c r="U1131" s="1">
        <v>79.197622585</v>
      </c>
      <c r="V1131" s="1">
        <v>640.10895472</v>
      </c>
      <c r="W1131" s="1">
        <v>22.113502935</v>
      </c>
      <c r="X1131" s="1">
        <v>17.975206612</v>
      </c>
      <c r="Y1131" s="1">
        <v>72.652725753</v>
      </c>
      <c r="Z1131" s="1">
        <v>13.5</v>
      </c>
      <c r="AA1131" s="1">
        <v>11.517927269</v>
      </c>
      <c r="AB1131" s="1">
        <v>27714.0</v>
      </c>
      <c r="AC1131" s="1">
        <v>81.102362205</v>
      </c>
      <c r="AD1131" s="1">
        <v>48.769159313</v>
      </c>
      <c r="AE1131" s="1">
        <v>14.53038674</v>
      </c>
      <c r="AF1131" s="1">
        <v>68.011936905</v>
      </c>
      <c r="AG1131" s="1">
        <v>0.3410544266</v>
      </c>
      <c r="AH1131" s="1">
        <v>0.5115816399</v>
      </c>
      <c r="AI1131" s="1">
        <v>0.0</v>
      </c>
      <c r="AJ1131" s="1">
        <v>2.486855194</v>
      </c>
      <c r="AK1131" s="1">
        <v>27.724882763</v>
      </c>
      <c r="AL1131" s="1">
        <v>0.1022196262</v>
      </c>
      <c r="AM1131" s="1">
        <v>45.843399176</v>
      </c>
      <c r="AN1131" s="1">
        <v>34.57919835</v>
      </c>
      <c r="AO1131" s="1">
        <v>11133.0</v>
      </c>
      <c r="AP1131" s="1">
        <v>48.7</v>
      </c>
      <c r="AQ1131" s="1">
        <v>11.5</v>
      </c>
      <c r="AR1131" s="1">
        <v>29.6</v>
      </c>
      <c r="AS1131" s="1">
        <v>12.9</v>
      </c>
      <c r="AT1131" s="1">
        <v>23.9</v>
      </c>
      <c r="AU1131" s="1">
        <v>16.8</v>
      </c>
      <c r="AV1131" s="1">
        <v>73.3</v>
      </c>
      <c r="AW1131" s="1">
        <v>0.1</v>
      </c>
      <c r="AX1131" s="1">
        <v>0.9764</v>
      </c>
      <c r="AY1131" s="1">
        <v>38.4</v>
      </c>
      <c r="AZ1131" s="1">
        <v>28.2</v>
      </c>
      <c r="BA1131" s="1">
        <v>43.7</v>
      </c>
      <c r="BB1131" s="1">
        <v>3.06</v>
      </c>
      <c r="BC1131" s="1" t="s">
        <v>1938</v>
      </c>
      <c r="BD1131" s="1">
        <v>29.5</v>
      </c>
      <c r="BE1131" s="1">
        <v>40.5</v>
      </c>
      <c r="BF1131" s="1">
        <v>21.1</v>
      </c>
      <c r="BG1131" s="1">
        <v>8.9</v>
      </c>
      <c r="BH1131" s="1" t="s">
        <v>1970</v>
      </c>
    </row>
    <row r="1132">
      <c r="A1132" s="1">
        <v>22037.0</v>
      </c>
      <c r="B1132" s="2" t="str">
        <f>IFERROR(__xludf.DUMMYFUNCTION("TO_TEXT(A1132)"),"22037")</f>
        <v>22037</v>
      </c>
      <c r="C1132" s="1">
        <v>19756.0</v>
      </c>
      <c r="D1132" s="1">
        <v>453.402374364582</v>
      </c>
      <c r="E1132" s="1" t="s">
        <v>1971</v>
      </c>
      <c r="F1132" s="1" t="s">
        <v>1972</v>
      </c>
      <c r="G1132" s="1">
        <v>43.5727757881439</v>
      </c>
      <c r="H1132" s="1">
        <v>20.701473383</v>
      </c>
      <c r="I1132" s="1">
        <v>4.6922986112</v>
      </c>
      <c r="J1132" s="1">
        <v>11.08815427</v>
      </c>
      <c r="K1132" s="1">
        <v>20.675796687</v>
      </c>
      <c r="L1132" s="1">
        <v>34.8</v>
      </c>
      <c r="M1132" s="1">
        <v>7.3</v>
      </c>
      <c r="N1132" s="1">
        <v>26.5</v>
      </c>
      <c r="O1132" s="1">
        <v>46.775546455</v>
      </c>
      <c r="P1132" s="1">
        <v>8.2082517584</v>
      </c>
      <c r="Q1132" s="1">
        <v>30.90872</v>
      </c>
      <c r="R1132" s="1">
        <v>86.3</v>
      </c>
      <c r="S1132" s="1">
        <v>24.1</v>
      </c>
      <c r="T1132" s="1">
        <v>3528.0</v>
      </c>
      <c r="U1132" s="1">
        <v>38.718820862</v>
      </c>
      <c r="V1132" s="1">
        <v>431.48568948</v>
      </c>
      <c r="W1132" s="1">
        <v>12.170087977</v>
      </c>
      <c r="X1132" s="1">
        <v>8.5672082718</v>
      </c>
      <c r="Y1132" s="1">
        <v>73.480789962</v>
      </c>
      <c r="Z1132" s="1">
        <v>17.0</v>
      </c>
      <c r="AA1132" s="1">
        <v>5.8724720426</v>
      </c>
      <c r="AB1132" s="1">
        <v>45174.0</v>
      </c>
      <c r="AC1132" s="1">
        <v>58.411703239</v>
      </c>
      <c r="AD1132" s="1">
        <v>81.683681018</v>
      </c>
      <c r="AE1132" s="1">
        <v>10.68174678</v>
      </c>
      <c r="AF1132" s="1">
        <v>42.4864024859999</v>
      </c>
      <c r="AG1132" s="1">
        <v>0.4972804973</v>
      </c>
      <c r="AH1132" s="1">
        <v>0.3315203315</v>
      </c>
      <c r="AI1132" s="1">
        <v>0.0155400155</v>
      </c>
      <c r="AJ1132" s="1">
        <v>1.667961668</v>
      </c>
      <c r="AK1132" s="1">
        <v>53.778813779</v>
      </c>
      <c r="AL1132" s="1">
        <v>0.4259908331</v>
      </c>
      <c r="AM1132" s="1">
        <v>45.682465682</v>
      </c>
      <c r="AN1132" s="1">
        <v>100.0</v>
      </c>
      <c r="AO1132" s="1">
        <v>21850.0</v>
      </c>
      <c r="AP1132" s="1">
        <v>17.2</v>
      </c>
      <c r="AQ1132" s="1">
        <v>6.1</v>
      </c>
      <c r="AR1132" s="1">
        <v>17.6</v>
      </c>
      <c r="AS1132" s="1">
        <v>16.1</v>
      </c>
      <c r="AT1132" s="1">
        <v>19.3</v>
      </c>
      <c r="AU1132" s="1">
        <v>16.3</v>
      </c>
      <c r="AV1132" s="1">
        <v>47.3</v>
      </c>
      <c r="AW1132" s="1">
        <v>0.1</v>
      </c>
      <c r="AX1132" s="1">
        <v>0.6657</v>
      </c>
      <c r="AY1132" s="1">
        <v>18.7</v>
      </c>
      <c r="AZ1132" s="1">
        <v>14.6</v>
      </c>
      <c r="BA1132" s="1">
        <v>23.0</v>
      </c>
      <c r="BB1132" s="1">
        <v>3.35</v>
      </c>
      <c r="BC1132" s="1" t="s">
        <v>1938</v>
      </c>
      <c r="BD1132" s="1">
        <v>20.0</v>
      </c>
      <c r="BE1132" s="1">
        <v>43.5</v>
      </c>
      <c r="BF1132" s="1">
        <v>23.9</v>
      </c>
      <c r="BG1132" s="1">
        <v>12.7</v>
      </c>
      <c r="BH1132" s="1" t="s">
        <v>1972</v>
      </c>
    </row>
    <row r="1133">
      <c r="A1133" s="1">
        <v>22039.0</v>
      </c>
      <c r="B1133" s="2" t="str">
        <f>IFERROR(__xludf.DUMMYFUNCTION("TO_TEXT(A1133)"),"22039")</f>
        <v>22039</v>
      </c>
      <c r="C1133" s="1">
        <v>33765.0</v>
      </c>
      <c r="D1133" s="1">
        <v>662.378089964364</v>
      </c>
      <c r="E1133" s="1" t="s">
        <v>1973</v>
      </c>
      <c r="F1133" s="1" t="s">
        <v>1974</v>
      </c>
      <c r="G1133" s="1">
        <v>50.9754179849405</v>
      </c>
      <c r="H1133" s="1">
        <v>24.988649849</v>
      </c>
      <c r="I1133" s="1">
        <v>5.4227483158</v>
      </c>
      <c r="J1133" s="1">
        <v>10.6519208379999</v>
      </c>
      <c r="K1133" s="1">
        <v>24.4789741309999</v>
      </c>
      <c r="L1133" s="1">
        <v>39.3</v>
      </c>
      <c r="M1133" s="1">
        <v>6.1</v>
      </c>
      <c r="N1133" s="1">
        <v>36.3</v>
      </c>
      <c r="O1133" s="1">
        <v>56.147010358</v>
      </c>
      <c r="P1133" s="1">
        <v>10.020785472</v>
      </c>
      <c r="Q1133" s="1">
        <v>62.29975</v>
      </c>
      <c r="R1133" s="1">
        <v>80.5</v>
      </c>
      <c r="S1133" s="1">
        <v>34.2</v>
      </c>
      <c r="T1133" s="1">
        <v>8432.0</v>
      </c>
      <c r="U1133" s="1">
        <v>43.406072106</v>
      </c>
      <c r="V1133" s="1">
        <v>190.58445901</v>
      </c>
      <c r="W1133" s="1">
        <v>16.680707666</v>
      </c>
      <c r="X1133" s="1">
        <v>13.393239196</v>
      </c>
      <c r="Y1133" s="1">
        <v>73.712201633</v>
      </c>
      <c r="Z1133" s="1">
        <v>20.1</v>
      </c>
      <c r="AA1133" s="1">
        <v>14.50182699</v>
      </c>
      <c r="AB1133" s="1">
        <v>34113.0</v>
      </c>
      <c r="AC1133" s="1">
        <v>64.485666105</v>
      </c>
      <c r="AD1133" s="1">
        <v>65.762177413</v>
      </c>
      <c r="AE1133" s="1">
        <v>14.577739281</v>
      </c>
      <c r="AF1133" s="1">
        <v>27.35101516</v>
      </c>
      <c r="AG1133" s="1">
        <v>0.4425440301</v>
      </c>
      <c r="AH1133" s="1">
        <v>0.5083276022</v>
      </c>
      <c r="AI1133" s="1">
        <v>0.0179409741999999</v>
      </c>
      <c r="AJ1133" s="1">
        <v>3.8423586401</v>
      </c>
      <c r="AK1133" s="1">
        <v>66.6925814069999</v>
      </c>
      <c r="AL1133" s="1">
        <v>2.4982451662</v>
      </c>
      <c r="AM1133" s="1">
        <v>49.1642496189999</v>
      </c>
      <c r="AN1133" s="1">
        <v>61.0934557439999</v>
      </c>
      <c r="AO1133" s="1">
        <v>18440.0</v>
      </c>
      <c r="AP1133" s="1">
        <v>28.0</v>
      </c>
      <c r="AQ1133" s="1">
        <v>11.2</v>
      </c>
      <c r="AR1133" s="1">
        <v>28.7</v>
      </c>
      <c r="AS1133" s="1">
        <v>14.1</v>
      </c>
      <c r="AT1133" s="1">
        <v>25.8</v>
      </c>
      <c r="AU1133" s="1">
        <v>22.4</v>
      </c>
      <c r="AV1133" s="1">
        <v>32.6</v>
      </c>
      <c r="AW1133" s="1">
        <v>2.5</v>
      </c>
      <c r="AX1133" s="1">
        <v>0.9962</v>
      </c>
      <c r="AY1133" s="1">
        <v>28.6</v>
      </c>
      <c r="AZ1133" s="1">
        <v>20.6</v>
      </c>
      <c r="BA1133" s="1">
        <v>31.1</v>
      </c>
      <c r="BB1133" s="1">
        <v>3.18</v>
      </c>
      <c r="BC1133" s="1" t="s">
        <v>1938</v>
      </c>
      <c r="BD1133" s="1">
        <v>24.3</v>
      </c>
      <c r="BE1133" s="1">
        <v>41.5</v>
      </c>
      <c r="BF1133" s="1">
        <v>22.6</v>
      </c>
      <c r="BG1133" s="1">
        <v>11.6</v>
      </c>
      <c r="BH1133" s="1" t="s">
        <v>1974</v>
      </c>
    </row>
    <row r="1134">
      <c r="A1134" s="1">
        <v>22041.0</v>
      </c>
      <c r="B1134" s="2" t="str">
        <f>IFERROR(__xludf.DUMMYFUNCTION("TO_TEXT(A1134)"),"22041")</f>
        <v>22041</v>
      </c>
      <c r="C1134" s="1">
        <v>20464.0</v>
      </c>
      <c r="D1134" s="1">
        <v>624.584731988788</v>
      </c>
      <c r="E1134" s="1" t="s">
        <v>118</v>
      </c>
      <c r="F1134" s="1" t="s">
        <v>1975</v>
      </c>
      <c r="G1134" s="1">
        <v>32.7641694583839</v>
      </c>
      <c r="H1134" s="1">
        <v>25.063024419</v>
      </c>
      <c r="I1134" s="1">
        <v>5.2950735463</v>
      </c>
      <c r="J1134" s="1">
        <v>12.9411764709999</v>
      </c>
      <c r="K1134" s="1">
        <v>23.515625466</v>
      </c>
      <c r="L1134" s="1">
        <v>38.3</v>
      </c>
      <c r="M1134" s="1">
        <v>6.4</v>
      </c>
      <c r="N1134" s="1">
        <v>36.5</v>
      </c>
      <c r="O1134" s="1">
        <v>38.007415611</v>
      </c>
      <c r="P1134" s="1">
        <v>11.6769801979999</v>
      </c>
      <c r="Q1134" s="1">
        <v>34.55084</v>
      </c>
      <c r="R1134" s="1">
        <v>76.0</v>
      </c>
      <c r="S1134" s="1">
        <v>41.7</v>
      </c>
      <c r="T1134" s="1">
        <v>5169.0</v>
      </c>
      <c r="U1134" s="1">
        <v>49.758173728</v>
      </c>
      <c r="V1134" s="1">
        <v>120.49705033</v>
      </c>
      <c r="W1134" s="1">
        <v>13.430851064</v>
      </c>
      <c r="X1134" s="1">
        <v>9.9184782609</v>
      </c>
      <c r="Y1134" s="1">
        <v>73.89658236</v>
      </c>
      <c r="Z1134" s="1">
        <v>14.7</v>
      </c>
      <c r="AA1134" s="1">
        <v>5.6792272952</v>
      </c>
      <c r="AB1134" s="1">
        <v>34446.0</v>
      </c>
      <c r="AC1134" s="1">
        <v>56.957928803</v>
      </c>
      <c r="AD1134" s="1">
        <v>70.612137895</v>
      </c>
      <c r="AE1134" s="1">
        <v>11.310751105</v>
      </c>
      <c r="AF1134" s="1">
        <v>31.514189323</v>
      </c>
      <c r="AG1134" s="1">
        <v>0.3076007144</v>
      </c>
      <c r="AH1134" s="1">
        <v>0.4068267513</v>
      </c>
      <c r="AI1134" s="1">
        <v>0.0595356221</v>
      </c>
      <c r="AJ1134" s="1">
        <v>1.701726533</v>
      </c>
      <c r="AK1134" s="1">
        <v>65.1170867239999</v>
      </c>
      <c r="AL1134" s="1">
        <v>0.1851166235</v>
      </c>
      <c r="AM1134" s="1">
        <v>51.617384402</v>
      </c>
      <c r="AN1134" s="1">
        <v>74.185005056</v>
      </c>
      <c r="AO1134" s="1">
        <v>18178.0</v>
      </c>
      <c r="AP1134" s="1">
        <v>31.5</v>
      </c>
      <c r="AQ1134" s="1">
        <v>10.1</v>
      </c>
      <c r="AR1134" s="1">
        <v>25.9</v>
      </c>
      <c r="AS1134" s="1">
        <v>17.0</v>
      </c>
      <c r="AT1134" s="1">
        <v>25.6</v>
      </c>
      <c r="AU1134" s="1">
        <v>19.3</v>
      </c>
      <c r="AV1134" s="1">
        <v>34.4</v>
      </c>
      <c r="AW1134" s="1">
        <v>0.2</v>
      </c>
      <c r="AX1134" s="1">
        <v>0.9723</v>
      </c>
      <c r="AY1134" s="1">
        <v>25.8</v>
      </c>
      <c r="AZ1134" s="1">
        <v>19.5</v>
      </c>
      <c r="BA1134" s="1">
        <v>31.8</v>
      </c>
      <c r="BB1134" s="1">
        <v>2.9</v>
      </c>
      <c r="BC1134" s="1" t="s">
        <v>1938</v>
      </c>
      <c r="BD1134" s="1">
        <v>25.0</v>
      </c>
      <c r="BE1134" s="1">
        <v>42.1</v>
      </c>
      <c r="BF1134" s="1">
        <v>20.9</v>
      </c>
      <c r="BG1134" s="1">
        <v>12.0</v>
      </c>
      <c r="BH1134" s="1" t="s">
        <v>1975</v>
      </c>
    </row>
    <row r="1135">
      <c r="A1135" s="1">
        <v>22043.0</v>
      </c>
      <c r="B1135" s="2" t="str">
        <f>IFERROR(__xludf.DUMMYFUNCTION("TO_TEXT(A1135)"),"22043")</f>
        <v>22043</v>
      </c>
      <c r="C1135" s="1">
        <v>22372.0</v>
      </c>
      <c r="D1135" s="1">
        <v>643.02577470909</v>
      </c>
      <c r="E1135" s="1" t="s">
        <v>332</v>
      </c>
      <c r="F1135" s="1" t="s">
        <v>1976</v>
      </c>
      <c r="G1135" s="1">
        <v>34.7917624454809</v>
      </c>
      <c r="H1135" s="1">
        <v>22.486484714</v>
      </c>
      <c r="I1135" s="1">
        <v>4.800180455</v>
      </c>
      <c r="J1135" s="1">
        <v>9.6153846154</v>
      </c>
      <c r="K1135" s="1">
        <v>22.5394422609999</v>
      </c>
      <c r="L1135" s="1">
        <v>47.4</v>
      </c>
      <c r="M1135" s="1">
        <v>7.3</v>
      </c>
      <c r="N1135" s="1">
        <v>41.4</v>
      </c>
      <c r="O1135" s="1">
        <v>69.501098211</v>
      </c>
      <c r="P1135" s="1">
        <v>9.4086354076</v>
      </c>
      <c r="Q1135" s="1">
        <v>8.95415</v>
      </c>
      <c r="R1135" s="1">
        <v>84.0</v>
      </c>
      <c r="S1135" s="1">
        <v>24.4</v>
      </c>
      <c r="T1135" s="1">
        <v>4694.0</v>
      </c>
      <c r="U1135" s="1">
        <v>38.155091606</v>
      </c>
      <c r="V1135" s="1">
        <v>55.149593272</v>
      </c>
      <c r="W1135" s="1">
        <v>10.638297872</v>
      </c>
      <c r="X1135" s="1">
        <v>7.7275985663</v>
      </c>
      <c r="Y1135" s="1">
        <v>75.506183761</v>
      </c>
      <c r="Z1135" s="1">
        <v>20.5</v>
      </c>
      <c r="AA1135" s="1">
        <v>7.26566682659999</v>
      </c>
      <c r="AB1135" s="1">
        <v>43502.0</v>
      </c>
      <c r="AC1135" s="1">
        <v>65.382059801</v>
      </c>
      <c r="AD1135" s="1">
        <v>66.618972671</v>
      </c>
      <c r="AE1135" s="1">
        <v>10.0790195129999</v>
      </c>
      <c r="AF1135" s="1">
        <v>15.225513744</v>
      </c>
      <c r="AG1135" s="1">
        <v>1.1698247487</v>
      </c>
      <c r="AH1135" s="1">
        <v>0.5159683302</v>
      </c>
      <c r="AI1135" s="1">
        <v>0.0489280313</v>
      </c>
      <c r="AJ1135" s="1">
        <v>5.2175073392</v>
      </c>
      <c r="AK1135" s="1">
        <v>76.5456809889999</v>
      </c>
      <c r="AL1135" s="1">
        <v>1.4047743344</v>
      </c>
      <c r="AM1135" s="1">
        <v>44.0619162</v>
      </c>
      <c r="AN1135" s="1">
        <v>85.593258326</v>
      </c>
      <c r="AO1135" s="1">
        <v>18376.0</v>
      </c>
      <c r="AP1135" s="1">
        <v>19.0</v>
      </c>
      <c r="AQ1135" s="1">
        <v>8.4</v>
      </c>
      <c r="AR1135" s="1">
        <v>19.0</v>
      </c>
      <c r="AS1135" s="1">
        <v>13.9</v>
      </c>
      <c r="AT1135" s="1">
        <v>22.0</v>
      </c>
      <c r="AU1135" s="1">
        <v>19.3</v>
      </c>
      <c r="AV1135" s="1">
        <v>23.4</v>
      </c>
      <c r="AW1135" s="1">
        <v>1.4</v>
      </c>
      <c r="AX1135" s="1">
        <v>0.6816</v>
      </c>
      <c r="AY1135" s="1">
        <v>18.6</v>
      </c>
      <c r="AZ1135" s="1">
        <v>16.5</v>
      </c>
      <c r="BA1135" s="1">
        <v>24.4</v>
      </c>
      <c r="BB1135" s="1">
        <v>3.11</v>
      </c>
      <c r="BC1135" s="1" t="s">
        <v>1938</v>
      </c>
      <c r="BD1135" s="1">
        <v>17.5</v>
      </c>
      <c r="BE1135" s="1">
        <v>46.8</v>
      </c>
      <c r="BF1135" s="1">
        <v>27.1</v>
      </c>
      <c r="BG1135" s="1">
        <v>8.5</v>
      </c>
      <c r="BH1135" s="1" t="s">
        <v>1976</v>
      </c>
    </row>
    <row r="1136">
      <c r="A1136" s="1">
        <v>22045.0</v>
      </c>
      <c r="B1136" s="2" t="str">
        <f>IFERROR(__xludf.DUMMYFUNCTION("TO_TEXT(A1136)"),"22045")</f>
        <v>22045</v>
      </c>
      <c r="C1136" s="1">
        <v>73799.0</v>
      </c>
      <c r="D1136" s="1">
        <v>574.110918692528</v>
      </c>
      <c r="E1136" s="1" t="s">
        <v>1977</v>
      </c>
      <c r="F1136" s="1" t="s">
        <v>1978</v>
      </c>
      <c r="G1136" s="1">
        <v>128.54484664404</v>
      </c>
      <c r="H1136" s="1">
        <v>22.765269328</v>
      </c>
      <c r="I1136" s="1">
        <v>5.050027141</v>
      </c>
      <c r="J1136" s="1">
        <v>11.206661207</v>
      </c>
      <c r="K1136" s="1">
        <v>21.242782196</v>
      </c>
      <c r="L1136" s="1">
        <v>41.3</v>
      </c>
      <c r="M1136" s="1">
        <v>6.8</v>
      </c>
      <c r="N1136" s="1">
        <v>28.8</v>
      </c>
      <c r="O1136" s="1">
        <v>62.980611688</v>
      </c>
      <c r="P1136" s="1">
        <v>10.295252006</v>
      </c>
      <c r="Q1136" s="1">
        <v>47.10707</v>
      </c>
      <c r="R1136" s="1">
        <v>81.3</v>
      </c>
      <c r="S1136" s="1">
        <v>39.3</v>
      </c>
      <c r="T1136" s="1">
        <v>18759.0</v>
      </c>
      <c r="U1136" s="1">
        <v>48.302148302</v>
      </c>
      <c r="V1136" s="1">
        <v>195.71942673</v>
      </c>
      <c r="W1136" s="1">
        <v>14.340271148</v>
      </c>
      <c r="X1136" s="1">
        <v>10.618955513</v>
      </c>
      <c r="Y1136" s="1">
        <v>74.714852231</v>
      </c>
      <c r="Z1136" s="1">
        <v>13.3</v>
      </c>
      <c r="AA1136" s="1">
        <v>8.1160011011</v>
      </c>
      <c r="AB1136" s="1">
        <v>42909.0</v>
      </c>
      <c r="AC1136" s="1">
        <v>63.882637326</v>
      </c>
      <c r="AD1136" s="1">
        <v>66.515750297</v>
      </c>
      <c r="AE1136" s="1">
        <v>11.891825142</v>
      </c>
      <c r="AF1136" s="1">
        <v>32.112600612</v>
      </c>
      <c r="AG1136" s="1">
        <v>0.6188240933</v>
      </c>
      <c r="AH1136" s="1">
        <v>2.6839204409</v>
      </c>
      <c r="AI1136" s="1">
        <v>0.0634329936</v>
      </c>
      <c r="AJ1136" s="1">
        <v>4.3021665891</v>
      </c>
      <c r="AK1136" s="1">
        <v>58.789698482</v>
      </c>
      <c r="AL1136" s="1">
        <v>1.7695570916</v>
      </c>
      <c r="AM1136" s="1">
        <v>51.074836836</v>
      </c>
      <c r="AN1136" s="1">
        <v>28.136264336</v>
      </c>
      <c r="AO1136" s="1">
        <v>23737.0</v>
      </c>
      <c r="AP1136" s="1">
        <v>19.9</v>
      </c>
      <c r="AQ1136" s="1">
        <v>11.2</v>
      </c>
      <c r="AR1136" s="1">
        <v>22.2</v>
      </c>
      <c r="AS1136" s="1">
        <v>13.6</v>
      </c>
      <c r="AT1136" s="1">
        <v>26.6</v>
      </c>
      <c r="AU1136" s="1">
        <v>16.4</v>
      </c>
      <c r="AV1136" s="1">
        <v>40.5</v>
      </c>
      <c r="AW1136" s="1">
        <v>1.7</v>
      </c>
      <c r="AX1136" s="1">
        <v>0.9354</v>
      </c>
      <c r="AY1136" s="1">
        <v>21.9</v>
      </c>
      <c r="AZ1136" s="1">
        <v>16.8</v>
      </c>
      <c r="BA1136" s="1">
        <v>26.5</v>
      </c>
      <c r="BB1136" s="1">
        <v>2.99</v>
      </c>
      <c r="BC1136" s="1" t="s">
        <v>1938</v>
      </c>
      <c r="BD1136" s="1">
        <v>20.1</v>
      </c>
      <c r="BE1136" s="1">
        <v>43.7</v>
      </c>
      <c r="BF1136" s="1">
        <v>22.7</v>
      </c>
      <c r="BG1136" s="1">
        <v>13.6</v>
      </c>
      <c r="BH1136" s="1" t="s">
        <v>1978</v>
      </c>
    </row>
    <row r="1137">
      <c r="A1137" s="1">
        <v>22047.0</v>
      </c>
      <c r="B1137" s="2" t="str">
        <f>IFERROR(__xludf.DUMMYFUNCTION("TO_TEXT(A1137)"),"22047")</f>
        <v>22047</v>
      </c>
      <c r="C1137" s="1">
        <v>33159.0</v>
      </c>
      <c r="D1137" s="1">
        <v>618.629462694322</v>
      </c>
      <c r="E1137" s="1" t="s">
        <v>1979</v>
      </c>
      <c r="F1137" s="1" t="s">
        <v>1980</v>
      </c>
      <c r="G1137" s="1">
        <v>53.6007448717077</v>
      </c>
      <c r="H1137" s="1">
        <v>21.565921663</v>
      </c>
      <c r="I1137" s="1">
        <v>4.7631121321</v>
      </c>
      <c r="J1137" s="1">
        <v>12.622061483</v>
      </c>
      <c r="K1137" s="1">
        <v>20.993251813</v>
      </c>
      <c r="L1137" s="1">
        <v>38.1</v>
      </c>
      <c r="M1137" s="1">
        <v>7.1</v>
      </c>
      <c r="N1137" s="1">
        <v>21.0</v>
      </c>
      <c r="O1137" s="1">
        <v>48.515889418</v>
      </c>
      <c r="P1137" s="1">
        <v>8.5050163082</v>
      </c>
      <c r="Q1137" s="1">
        <v>33.30608</v>
      </c>
      <c r="R1137" s="1">
        <v>86.2</v>
      </c>
      <c r="S1137" s="1">
        <v>32.7</v>
      </c>
      <c r="T1137" s="1">
        <v>6941.0</v>
      </c>
      <c r="U1137" s="1">
        <v>54.8335974639999</v>
      </c>
      <c r="V1137" s="1">
        <v>1096.2663611</v>
      </c>
      <c r="W1137" s="1">
        <v>15.546594982</v>
      </c>
      <c r="X1137" s="1">
        <v>12.0254314259999</v>
      </c>
      <c r="Y1137" s="1">
        <v>75.50924709</v>
      </c>
      <c r="Z1137" s="1">
        <v>15.2</v>
      </c>
      <c r="AA1137" s="1">
        <v>3.6477142573</v>
      </c>
      <c r="AB1137" s="1">
        <v>47917.0</v>
      </c>
      <c r="AC1137" s="1">
        <v>50.28957529</v>
      </c>
      <c r="AD1137" s="1">
        <v>74.097820114</v>
      </c>
      <c r="AE1137" s="1">
        <v>12.645034415</v>
      </c>
      <c r="AF1137" s="1">
        <v>48.259527521</v>
      </c>
      <c r="AG1137" s="1">
        <v>0.2933895663</v>
      </c>
      <c r="AH1137" s="1">
        <v>0.4492527734</v>
      </c>
      <c r="AI1137" s="1">
        <v>0.0213929892</v>
      </c>
      <c r="AJ1137" s="1">
        <v>2.7016289233</v>
      </c>
      <c r="AK1137" s="1">
        <v>47.501604474</v>
      </c>
      <c r="AL1137" s="1">
        <v>0.3059187222</v>
      </c>
      <c r="AM1137" s="1">
        <v>49.411692797</v>
      </c>
      <c r="AN1137" s="1">
        <v>59.21466439</v>
      </c>
      <c r="AO1137" s="1">
        <v>22397.0</v>
      </c>
      <c r="AP1137" s="1">
        <v>18.5</v>
      </c>
      <c r="AQ1137" s="1">
        <v>7.2</v>
      </c>
      <c r="AR1137" s="1">
        <v>22.6</v>
      </c>
      <c r="AS1137" s="1">
        <v>13.7</v>
      </c>
      <c r="AT1137" s="1">
        <v>21.6</v>
      </c>
      <c r="AU1137" s="1">
        <v>19.1</v>
      </c>
      <c r="AV1137" s="1">
        <v>52.3</v>
      </c>
      <c r="AW1137" s="1">
        <v>0.1</v>
      </c>
      <c r="AX1137" s="1">
        <v>0.8427</v>
      </c>
      <c r="AY1137" s="1">
        <v>18.7</v>
      </c>
      <c r="AZ1137" s="1">
        <v>16.4</v>
      </c>
      <c r="BA1137" s="1">
        <v>27.1</v>
      </c>
      <c r="BB1137" s="1">
        <v>3.13</v>
      </c>
      <c r="BC1137" s="1" t="s">
        <v>1938</v>
      </c>
      <c r="BD1137" s="1">
        <v>20.4</v>
      </c>
      <c r="BE1137" s="1">
        <v>41.3</v>
      </c>
      <c r="BF1137" s="1">
        <v>24.4</v>
      </c>
      <c r="BG1137" s="1">
        <v>13.9</v>
      </c>
      <c r="BH1137" s="1" t="s">
        <v>1980</v>
      </c>
    </row>
    <row r="1138">
      <c r="A1138" s="1">
        <v>22049.0</v>
      </c>
      <c r="B1138" s="2" t="str">
        <f>IFERROR(__xludf.DUMMYFUNCTION("TO_TEXT(A1138)"),"22049")</f>
        <v>22049</v>
      </c>
      <c r="C1138" s="1">
        <v>15999.0</v>
      </c>
      <c r="D1138" s="1">
        <v>569.189986154004</v>
      </c>
      <c r="E1138" s="1" t="s">
        <v>130</v>
      </c>
      <c r="F1138" s="1" t="s">
        <v>1981</v>
      </c>
      <c r="G1138" s="1">
        <v>28.1083652017573</v>
      </c>
      <c r="H1138" s="1">
        <v>22.2737197769999</v>
      </c>
      <c r="I1138" s="1">
        <v>5.0800460663</v>
      </c>
      <c r="J1138" s="1">
        <v>11.544991511</v>
      </c>
      <c r="K1138" s="1">
        <v>21.817007242</v>
      </c>
      <c r="L1138" s="1">
        <v>34.2</v>
      </c>
      <c r="M1138" s="1">
        <v>6.5</v>
      </c>
      <c r="N1138" s="1">
        <v>29.0</v>
      </c>
      <c r="O1138" s="1">
        <v>23.024456188</v>
      </c>
      <c r="P1138" s="1">
        <v>9.8933649289</v>
      </c>
      <c r="Q1138" s="1">
        <v>18.93222</v>
      </c>
      <c r="R1138" s="1">
        <v>80.7</v>
      </c>
      <c r="S1138" s="1">
        <v>31.5</v>
      </c>
      <c r="T1138" s="1">
        <v>3482.0</v>
      </c>
      <c r="U1138" s="1">
        <v>48.047099368</v>
      </c>
      <c r="V1138" s="1">
        <v>143.6834543</v>
      </c>
      <c r="W1138" s="1">
        <v>15.289256198</v>
      </c>
      <c r="X1138" s="1">
        <v>12.373737374</v>
      </c>
      <c r="Y1138" s="1">
        <v>76.332199263</v>
      </c>
      <c r="Z1138" s="1">
        <v>13.4</v>
      </c>
      <c r="AA1138" s="1">
        <v>11.395866032</v>
      </c>
      <c r="AB1138" s="1">
        <v>40828.0</v>
      </c>
      <c r="AC1138" s="1">
        <v>65.228990663</v>
      </c>
      <c r="AD1138" s="1">
        <v>70.950468541</v>
      </c>
      <c r="AE1138" s="1">
        <v>14.6025878</v>
      </c>
      <c r="AF1138" s="1">
        <v>28.424097598</v>
      </c>
      <c r="AG1138" s="1">
        <v>0.3647339957</v>
      </c>
      <c r="AH1138" s="1">
        <v>0.3961765816</v>
      </c>
      <c r="AI1138" s="1">
        <v>0.0125770343</v>
      </c>
      <c r="AJ1138" s="1">
        <v>1.75449628979999</v>
      </c>
      <c r="AK1138" s="1">
        <v>67.469500692</v>
      </c>
      <c r="AL1138" s="1">
        <v>0.7071852692</v>
      </c>
      <c r="AM1138" s="1">
        <v>48.698276946</v>
      </c>
      <c r="AN1138" s="1">
        <v>65.533980583</v>
      </c>
      <c r="AO1138" s="1">
        <v>19293.0</v>
      </c>
      <c r="AP1138" s="1">
        <v>27.2</v>
      </c>
      <c r="AQ1138" s="1">
        <v>5.6</v>
      </c>
      <c r="AR1138" s="1">
        <v>20.0</v>
      </c>
      <c r="AS1138" s="1">
        <v>18.2</v>
      </c>
      <c r="AT1138" s="1">
        <v>22.1</v>
      </c>
      <c r="AU1138" s="1">
        <v>22.8</v>
      </c>
      <c r="AV1138" s="1">
        <v>33.2</v>
      </c>
      <c r="AW1138" s="1">
        <v>0.9</v>
      </c>
      <c r="AX1138" s="1">
        <v>0.9344</v>
      </c>
      <c r="AY1138" s="1">
        <v>19.2</v>
      </c>
      <c r="AZ1138" s="1">
        <v>18.9</v>
      </c>
      <c r="BA1138" s="1">
        <v>30.2</v>
      </c>
      <c r="BB1138" s="1">
        <v>3.06</v>
      </c>
      <c r="BC1138" s="1" t="s">
        <v>1938</v>
      </c>
      <c r="BD1138" s="1">
        <v>19.4</v>
      </c>
      <c r="BE1138" s="1">
        <v>42.6</v>
      </c>
      <c r="BF1138" s="1">
        <v>24.1</v>
      </c>
      <c r="BG1138" s="1">
        <v>14.0</v>
      </c>
      <c r="BH1138" s="1" t="s">
        <v>1981</v>
      </c>
    </row>
    <row r="1139">
      <c r="A1139" s="1">
        <v>22051.0</v>
      </c>
      <c r="B1139" s="2" t="str">
        <f>IFERROR(__xludf.DUMMYFUNCTION("TO_TEXT(A1139)"),"22051")</f>
        <v>22051</v>
      </c>
      <c r="C1139" s="1">
        <v>435204.0</v>
      </c>
      <c r="D1139" s="1">
        <v>295.631404459973</v>
      </c>
      <c r="E1139" s="1" t="s">
        <v>132</v>
      </c>
      <c r="F1139" s="1" t="s">
        <v>1982</v>
      </c>
      <c r="G1139" s="1">
        <v>1472.11694506875</v>
      </c>
      <c r="H1139" s="1">
        <v>20.2127594609999</v>
      </c>
      <c r="I1139" s="1">
        <v>4.5981963562</v>
      </c>
      <c r="J1139" s="1">
        <v>9.6514547334</v>
      </c>
      <c r="K1139" s="1">
        <v>18.743669593</v>
      </c>
      <c r="L1139" s="1">
        <v>33.4</v>
      </c>
      <c r="M1139" s="1">
        <v>7.9</v>
      </c>
      <c r="N1139" s="1">
        <v>26.8</v>
      </c>
      <c r="O1139" s="1">
        <v>97.752640145</v>
      </c>
      <c r="P1139" s="1">
        <v>11.564760787</v>
      </c>
      <c r="Q1139" s="1">
        <v>90.88093</v>
      </c>
      <c r="R1139" s="1">
        <v>71.8</v>
      </c>
      <c r="S1139" s="1">
        <v>25.7</v>
      </c>
      <c r="T1139" s="1">
        <v>95120.0</v>
      </c>
      <c r="U1139" s="1">
        <v>43.223296888</v>
      </c>
      <c r="V1139" s="1">
        <v>434.28797092</v>
      </c>
      <c r="W1139" s="1">
        <v>17.855665228</v>
      </c>
      <c r="X1139" s="1">
        <v>15.961735154</v>
      </c>
      <c r="Y1139" s="1">
        <v>77.340209827</v>
      </c>
      <c r="Z1139" s="1">
        <v>14.2</v>
      </c>
      <c r="AA1139" s="1">
        <v>4.7449189796</v>
      </c>
      <c r="AB1139" s="1">
        <v>50871.0</v>
      </c>
      <c r="AC1139" s="1">
        <v>54.452648993</v>
      </c>
      <c r="AD1139" s="1">
        <v>61.489682939</v>
      </c>
      <c r="AE1139" s="1">
        <v>15.823138698</v>
      </c>
      <c r="AF1139" s="1">
        <v>26.81873789</v>
      </c>
      <c r="AG1139" s="1">
        <v>0.6372523045</v>
      </c>
      <c r="AH1139" s="1">
        <v>4.20872201649999</v>
      </c>
      <c r="AI1139" s="1">
        <v>0.0642781608999999</v>
      </c>
      <c r="AJ1139" s="1">
        <v>14.859774543</v>
      </c>
      <c r="AK1139" s="1">
        <v>52.3493782989999</v>
      </c>
      <c r="AL1139" s="1">
        <v>4.7496273815</v>
      </c>
      <c r="AM1139" s="1">
        <v>51.5914028539999</v>
      </c>
      <c r="AN1139" s="1">
        <v>1.1425215928</v>
      </c>
      <c r="AO1139" s="1">
        <v>28067.0</v>
      </c>
      <c r="AP1139" s="1">
        <v>16.1</v>
      </c>
      <c r="AQ1139" s="1">
        <v>6.4</v>
      </c>
      <c r="AR1139" s="1">
        <v>15.3</v>
      </c>
      <c r="AS1139" s="1">
        <v>15.1</v>
      </c>
      <c r="AT1139" s="1">
        <v>22.0</v>
      </c>
      <c r="AU1139" s="1">
        <v>13.4</v>
      </c>
      <c r="AV1139" s="1">
        <v>45.9</v>
      </c>
      <c r="AW1139" s="1">
        <v>4.8</v>
      </c>
      <c r="AX1139" s="1">
        <v>0.5527</v>
      </c>
      <c r="AY1139" s="1">
        <v>14.6</v>
      </c>
      <c r="AZ1139" s="1">
        <v>13.4</v>
      </c>
      <c r="BA1139" s="1">
        <v>20.9</v>
      </c>
      <c r="BB1139" s="1">
        <v>3.34</v>
      </c>
      <c r="BC1139" s="1" t="s">
        <v>1938</v>
      </c>
      <c r="BD1139" s="1">
        <v>14.3</v>
      </c>
      <c r="BE1139" s="1">
        <v>30.8</v>
      </c>
      <c r="BF1139" s="1">
        <v>28.0</v>
      </c>
      <c r="BG1139" s="1">
        <v>26.8</v>
      </c>
      <c r="BH1139" s="1" t="s">
        <v>1982</v>
      </c>
    </row>
    <row r="1140">
      <c r="A1140" s="1">
        <v>22053.0</v>
      </c>
      <c r="B1140" s="2" t="str">
        <f>IFERROR(__xludf.DUMMYFUNCTION("TO_TEXT(A1140)"),"22053")</f>
        <v>22053</v>
      </c>
      <c r="C1140" s="1">
        <v>31399.0</v>
      </c>
      <c r="D1140" s="1">
        <v>651.363866318924</v>
      </c>
      <c r="E1140" s="1" t="s">
        <v>1983</v>
      </c>
      <c r="F1140" s="1" t="s">
        <v>1984</v>
      </c>
      <c r="G1140" s="1">
        <v>48.2050074061466</v>
      </c>
      <c r="H1140" s="1">
        <v>19.511827563</v>
      </c>
      <c r="I1140" s="1">
        <v>5.1409137183</v>
      </c>
      <c r="J1140" s="1">
        <v>9.9867724868</v>
      </c>
      <c r="K1140" s="1">
        <v>21.0316768159999</v>
      </c>
      <c r="L1140" s="1">
        <v>40.8</v>
      </c>
      <c r="M1140" s="1">
        <v>7.8</v>
      </c>
      <c r="N1140" s="1">
        <v>33.2</v>
      </c>
      <c r="O1140" s="1">
        <v>44.682534658</v>
      </c>
      <c r="P1140" s="1">
        <v>10.4362801379999</v>
      </c>
      <c r="Q1140" s="1">
        <v>44.47692</v>
      </c>
      <c r="R1140" s="1">
        <v>92.5</v>
      </c>
      <c r="S1140" s="1">
        <v>23.8</v>
      </c>
      <c r="T1140" s="1">
        <v>8026.0</v>
      </c>
      <c r="U1140" s="1">
        <v>37.690007476</v>
      </c>
      <c r="V1140" s="1">
        <v>346.3424839</v>
      </c>
      <c r="W1140" s="1">
        <v>15.967113804</v>
      </c>
      <c r="X1140" s="1">
        <v>10.661444735</v>
      </c>
      <c r="Y1140" s="1">
        <v>73.932060778</v>
      </c>
      <c r="Z1140" s="1">
        <v>11.5</v>
      </c>
      <c r="AA1140" s="1">
        <v>3.4906959197</v>
      </c>
      <c r="AB1140" s="1">
        <v>44492.0</v>
      </c>
      <c r="AC1140" s="1">
        <v>45.324347094</v>
      </c>
      <c r="AD1140" s="1">
        <v>71.585079558</v>
      </c>
      <c r="AE1140" s="1">
        <v>9.84455958549999</v>
      </c>
      <c r="AF1140" s="1">
        <v>16.420745995</v>
      </c>
      <c r="AG1140" s="1">
        <v>0.7662592616</v>
      </c>
      <c r="AH1140" s="1">
        <v>0.4527895637</v>
      </c>
      <c r="AI1140" s="1">
        <v>0.0253308847</v>
      </c>
      <c r="AJ1140" s="1">
        <v>2.472927617</v>
      </c>
      <c r="AK1140" s="1">
        <v>77.962130327</v>
      </c>
      <c r="AL1140" s="1">
        <v>0.1468980596</v>
      </c>
      <c r="AM1140" s="1">
        <v>51.022734469</v>
      </c>
      <c r="AN1140" s="1">
        <v>50.699499905</v>
      </c>
      <c r="AO1140" s="1">
        <v>22665.0</v>
      </c>
      <c r="AP1140" s="1">
        <v>19.6</v>
      </c>
      <c r="AQ1140" s="1">
        <v>8.5</v>
      </c>
      <c r="AR1140" s="1">
        <v>21.0</v>
      </c>
      <c r="AS1140" s="1">
        <v>15.3</v>
      </c>
      <c r="AT1140" s="1">
        <v>25.5</v>
      </c>
      <c r="AU1140" s="1">
        <v>19.7</v>
      </c>
      <c r="AV1140" s="1">
        <v>21.5</v>
      </c>
      <c r="AW1140" s="1">
        <v>0.2</v>
      </c>
      <c r="AX1140" s="1">
        <v>0.8201</v>
      </c>
      <c r="AY1140" s="1">
        <v>19.1</v>
      </c>
      <c r="AZ1140" s="1">
        <v>15.5</v>
      </c>
      <c r="BA1140" s="1">
        <v>23.3</v>
      </c>
      <c r="BB1140" s="1">
        <v>3.17</v>
      </c>
      <c r="BC1140" s="1" t="s">
        <v>1938</v>
      </c>
      <c r="BD1140" s="1">
        <v>18.7</v>
      </c>
      <c r="BE1140" s="1">
        <v>40.4</v>
      </c>
      <c r="BF1140" s="1">
        <v>24.0</v>
      </c>
      <c r="BG1140" s="1">
        <v>16.9</v>
      </c>
      <c r="BH1140" s="1" t="s">
        <v>1984</v>
      </c>
    </row>
    <row r="1141">
      <c r="A1141" s="1">
        <v>22055.0</v>
      </c>
      <c r="B1141" s="2" t="str">
        <f>IFERROR(__xludf.DUMMYFUNCTION("TO_TEXT(A1141)"),"22055")</f>
        <v>22055</v>
      </c>
      <c r="C1141" s="1">
        <v>234963.0</v>
      </c>
      <c r="D1141" s="1">
        <v>268.74445925448</v>
      </c>
      <c r="E1141" s="1" t="s">
        <v>349</v>
      </c>
      <c r="F1141" s="1" t="s">
        <v>1985</v>
      </c>
      <c r="G1141" s="1">
        <v>874.29895541589</v>
      </c>
      <c r="H1141" s="1">
        <v>17.351257579</v>
      </c>
      <c r="I1141" s="1">
        <v>4.8473914362</v>
      </c>
      <c r="J1141" s="1">
        <v>8.9985241408</v>
      </c>
      <c r="K1141" s="1">
        <v>17.798626642</v>
      </c>
      <c r="L1141" s="1">
        <v>31.2</v>
      </c>
      <c r="M1141" s="1">
        <v>7.5</v>
      </c>
      <c r="N1141" s="1">
        <v>25.8</v>
      </c>
      <c r="O1141" s="1">
        <v>86.4472104629999</v>
      </c>
      <c r="P1141" s="1">
        <v>10.1380088529999</v>
      </c>
      <c r="Q1141" s="1">
        <v>105.98594</v>
      </c>
      <c r="R1141" s="1">
        <v>76.8</v>
      </c>
      <c r="S1141" s="1">
        <v>20.4</v>
      </c>
      <c r="T1141" s="1">
        <v>56633.0</v>
      </c>
      <c r="U1141" s="1">
        <v>38.887221231</v>
      </c>
      <c r="V1141" s="1">
        <v>506.46661162</v>
      </c>
      <c r="W1141" s="1">
        <v>14.391309217</v>
      </c>
      <c r="X1141" s="1">
        <v>12.410963588</v>
      </c>
      <c r="Y1141" s="1">
        <v>78.536775398</v>
      </c>
      <c r="Z1141" s="1">
        <v>10.0</v>
      </c>
      <c r="AA1141" s="1">
        <v>6.9880855781</v>
      </c>
      <c r="AB1141" s="1">
        <v>57821.0</v>
      </c>
      <c r="AC1141" s="1">
        <v>45.103226003</v>
      </c>
      <c r="AD1141" s="1">
        <v>65.1623512789999</v>
      </c>
      <c r="AE1141" s="1">
        <v>13.820030033</v>
      </c>
      <c r="AF1141" s="1">
        <v>26.368511669</v>
      </c>
      <c r="AG1141" s="1">
        <v>0.3772932095</v>
      </c>
      <c r="AH1141" s="1">
        <v>1.9354812136</v>
      </c>
      <c r="AI1141" s="1">
        <v>0.0560173324</v>
      </c>
      <c r="AJ1141" s="1">
        <v>4.6449077773</v>
      </c>
      <c r="AK1141" s="1">
        <v>65.350396652</v>
      </c>
      <c r="AL1141" s="1">
        <v>1.7915564566</v>
      </c>
      <c r="AM1141" s="1">
        <v>51.335766243</v>
      </c>
      <c r="AN1141" s="1">
        <v>8.3185153761</v>
      </c>
      <c r="AO1141" s="1">
        <v>30403.0</v>
      </c>
      <c r="AP1141" s="1">
        <v>16.5</v>
      </c>
      <c r="AQ1141" s="1">
        <v>5.1</v>
      </c>
      <c r="AR1141" s="1">
        <v>13.6</v>
      </c>
      <c r="AS1141" s="1">
        <v>11.3</v>
      </c>
      <c r="AT1141" s="1">
        <v>23.9</v>
      </c>
      <c r="AU1141" s="1">
        <v>11.6</v>
      </c>
      <c r="AV1141" s="1">
        <v>33.5</v>
      </c>
      <c r="AW1141" s="1">
        <v>1.7</v>
      </c>
      <c r="AX1141" s="1">
        <v>0.5571</v>
      </c>
      <c r="AY1141" s="1">
        <v>16.6</v>
      </c>
      <c r="AZ1141" s="1">
        <v>13.3</v>
      </c>
      <c r="BA1141" s="1">
        <v>19.8</v>
      </c>
      <c r="BB1141" s="1">
        <v>3.16</v>
      </c>
      <c r="BC1141" s="1" t="s">
        <v>1938</v>
      </c>
      <c r="BD1141" s="1">
        <v>11.4</v>
      </c>
      <c r="BE1141" s="1">
        <v>30.4</v>
      </c>
      <c r="BF1141" s="1">
        <v>25.2</v>
      </c>
      <c r="BG1141" s="1">
        <v>33.0</v>
      </c>
      <c r="BH1141" s="1" t="s">
        <v>1985</v>
      </c>
    </row>
    <row r="1142">
      <c r="A1142" s="1">
        <v>22057.0</v>
      </c>
      <c r="B1142" s="2" t="str">
        <f>IFERROR(__xludf.DUMMYFUNCTION("TO_TEXT(A1142)"),"22057")</f>
        <v>22057</v>
      </c>
      <c r="C1142" s="1">
        <v>97688.0</v>
      </c>
      <c r="D1142" s="1">
        <v>1068.32622118339</v>
      </c>
      <c r="E1142" s="1" t="s">
        <v>1986</v>
      </c>
      <c r="F1142" s="1" t="s">
        <v>1987</v>
      </c>
      <c r="G1142" s="1">
        <v>91.4402343244843</v>
      </c>
      <c r="H1142" s="1">
        <v>18.364004129</v>
      </c>
      <c r="I1142" s="1">
        <v>4.6448609992</v>
      </c>
      <c r="J1142" s="1">
        <v>9.0128263857</v>
      </c>
      <c r="K1142" s="1">
        <v>19.224758245</v>
      </c>
      <c r="L1142" s="1">
        <v>39.6</v>
      </c>
      <c r="M1142" s="1">
        <v>7.7</v>
      </c>
      <c r="N1142" s="1">
        <v>32.0</v>
      </c>
      <c r="O1142" s="1">
        <v>60.4248427089999</v>
      </c>
      <c r="P1142" s="1">
        <v>11.918940972</v>
      </c>
      <c r="Q1142" s="1">
        <v>46.73562</v>
      </c>
      <c r="R1142" s="1">
        <v>94.0</v>
      </c>
      <c r="S1142" s="1">
        <v>22.8</v>
      </c>
      <c r="T1142" s="1">
        <v>22878.0</v>
      </c>
      <c r="U1142" s="1">
        <v>36.226942915</v>
      </c>
      <c r="V1142" s="1">
        <v>279.06976744</v>
      </c>
      <c r="W1142" s="1">
        <v>11.693548387</v>
      </c>
      <c r="X1142" s="1">
        <v>9.0562843843</v>
      </c>
      <c r="Y1142" s="1">
        <v>77.288032483</v>
      </c>
      <c r="Z1142" s="1">
        <v>13.4</v>
      </c>
      <c r="AA1142" s="1">
        <v>9.1307633123</v>
      </c>
      <c r="AB1142" s="1">
        <v>52651.0</v>
      </c>
      <c r="AC1142" s="1">
        <v>62.32862697</v>
      </c>
      <c r="AD1142" s="1">
        <v>75.505500837</v>
      </c>
      <c r="AE1142" s="1">
        <v>9.7720342675</v>
      </c>
      <c r="AF1142" s="1">
        <v>13.372063395</v>
      </c>
      <c r="AG1142" s="1">
        <v>3.0168679611</v>
      </c>
      <c r="AH1142" s="1">
        <v>0.9366559649</v>
      </c>
      <c r="AI1142" s="1">
        <v>0.0723640626</v>
      </c>
      <c r="AJ1142" s="1">
        <v>4.3795546043</v>
      </c>
      <c r="AK1142" s="1">
        <v>76.782347246</v>
      </c>
      <c r="AL1142" s="1">
        <v>1.496859317</v>
      </c>
      <c r="AM1142" s="1">
        <v>50.952453753</v>
      </c>
      <c r="AN1142" s="1">
        <v>24.216657323</v>
      </c>
      <c r="AO1142" s="1">
        <v>25299.0</v>
      </c>
      <c r="AP1142" s="1">
        <v>15.4</v>
      </c>
      <c r="AQ1142" s="1">
        <v>7.3</v>
      </c>
      <c r="AR1142" s="1">
        <v>24.7</v>
      </c>
      <c r="AS1142" s="1">
        <v>13.7</v>
      </c>
      <c r="AT1142" s="1">
        <v>23.6</v>
      </c>
      <c r="AU1142" s="1">
        <v>16.7</v>
      </c>
      <c r="AV1142" s="1">
        <v>22.9</v>
      </c>
      <c r="AW1142" s="1">
        <v>1.6</v>
      </c>
      <c r="AX1142" s="1">
        <v>0.759</v>
      </c>
      <c r="AY1142" s="1">
        <v>17.5</v>
      </c>
      <c r="AZ1142" s="1">
        <v>13.7</v>
      </c>
      <c r="BA1142" s="1">
        <v>21.8</v>
      </c>
      <c r="BB1142" s="1">
        <v>3.14</v>
      </c>
      <c r="BC1142" s="1" t="s">
        <v>1938</v>
      </c>
      <c r="BD1142" s="1">
        <v>21.8</v>
      </c>
      <c r="BE1142" s="1">
        <v>40.5</v>
      </c>
      <c r="BF1142" s="1">
        <v>20.8</v>
      </c>
      <c r="BG1142" s="1">
        <v>16.9</v>
      </c>
      <c r="BH1142" s="1" t="s">
        <v>1987</v>
      </c>
    </row>
    <row r="1143">
      <c r="A1143" s="1">
        <v>22059.0</v>
      </c>
      <c r="B1143" s="2" t="str">
        <f>IFERROR(__xludf.DUMMYFUNCTION("TO_TEXT(A1143)"),"22059")</f>
        <v>22059</v>
      </c>
      <c r="C1143" s="1">
        <v>14927.0</v>
      </c>
      <c r="D1143" s="1">
        <v>624.684017731986</v>
      </c>
      <c r="E1143" s="1" t="s">
        <v>1988</v>
      </c>
      <c r="F1143" s="1" t="s">
        <v>1989</v>
      </c>
      <c r="G1143" s="1">
        <v>23.8952807760231</v>
      </c>
      <c r="H1143" s="1">
        <v>21.6642126319999</v>
      </c>
      <c r="I1143" s="1">
        <v>5.0428201931</v>
      </c>
      <c r="J1143" s="1">
        <v>8.76777251179999</v>
      </c>
      <c r="K1143" s="1">
        <v>22.664830086</v>
      </c>
      <c r="L1143" s="1">
        <v>34.4</v>
      </c>
      <c r="M1143" s="1">
        <v>7.5</v>
      </c>
      <c r="N1143" s="1">
        <v>31.8</v>
      </c>
      <c r="O1143" s="1">
        <v>57.018132975</v>
      </c>
      <c r="P1143" s="1">
        <v>12.02888341</v>
      </c>
      <c r="Q1143" s="1">
        <v>60.2692</v>
      </c>
      <c r="R1143" s="1">
        <v>96.1</v>
      </c>
      <c r="S1143" s="1">
        <v>24.2</v>
      </c>
      <c r="T1143" s="1">
        <v>3464.0</v>
      </c>
      <c r="U1143" s="1">
        <v>38.741339492</v>
      </c>
      <c r="V1143" s="1">
        <v>245.8988783</v>
      </c>
      <c r="W1143" s="1">
        <v>10.244360902</v>
      </c>
      <c r="X1143" s="1">
        <v>6.73828125</v>
      </c>
      <c r="Y1143" s="1">
        <v>75.400210953</v>
      </c>
      <c r="Z1143" s="1">
        <v>18.0</v>
      </c>
      <c r="AA1143" s="1">
        <v>6.0434966947</v>
      </c>
      <c r="AB1143" s="1">
        <v>45742.0</v>
      </c>
      <c r="AC1143" s="1">
        <v>51.018867925</v>
      </c>
      <c r="AD1143" s="1">
        <v>75.029892387</v>
      </c>
      <c r="AE1143" s="1">
        <v>8.91402714929999</v>
      </c>
      <c r="AF1143" s="1">
        <v>11.9729168059999</v>
      </c>
      <c r="AG1143" s="1">
        <v>1.3273446403</v>
      </c>
      <c r="AH1143" s="1">
        <v>0.2949654756</v>
      </c>
      <c r="AI1143" s="1">
        <v>0.033518804</v>
      </c>
      <c r="AJ1143" s="1">
        <v>2.9496547563</v>
      </c>
      <c r="AK1143" s="1">
        <v>82.603740699</v>
      </c>
      <c r="AL1143" s="1">
        <v>0.7937075438</v>
      </c>
      <c r="AM1143" s="1">
        <v>48.166521419</v>
      </c>
      <c r="AN1143" s="1">
        <v>73.190060443</v>
      </c>
      <c r="AO1143" s="1">
        <v>19434.0</v>
      </c>
      <c r="AP1143" s="1">
        <v>23.1</v>
      </c>
      <c r="AQ1143" s="1">
        <v>5.2</v>
      </c>
      <c r="AR1143" s="1">
        <v>24.2</v>
      </c>
      <c r="AS1143" s="1">
        <v>15.8</v>
      </c>
      <c r="AT1143" s="1">
        <v>22.8</v>
      </c>
      <c r="AU1143" s="1">
        <v>15.4</v>
      </c>
      <c r="AV1143" s="1">
        <v>16.7</v>
      </c>
      <c r="AW1143" s="1">
        <v>0.8</v>
      </c>
      <c r="AX1143" s="1">
        <v>0.6565</v>
      </c>
      <c r="AY1143" s="1">
        <v>16.9</v>
      </c>
      <c r="AZ1143" s="1">
        <v>15.4</v>
      </c>
      <c r="BA1143" s="1">
        <v>22.3</v>
      </c>
      <c r="BB1143" s="1">
        <v>2.87</v>
      </c>
      <c r="BC1143" s="1" t="s">
        <v>1938</v>
      </c>
      <c r="BD1143" s="1">
        <v>22.4</v>
      </c>
      <c r="BE1143" s="1">
        <v>42.5</v>
      </c>
      <c r="BF1143" s="1">
        <v>21.4</v>
      </c>
      <c r="BG1143" s="1">
        <v>13.6</v>
      </c>
      <c r="BH1143" s="1" t="s">
        <v>1989</v>
      </c>
    </row>
    <row r="1144">
      <c r="A1144" s="1">
        <v>22061.0</v>
      </c>
      <c r="B1144" s="2" t="str">
        <f>IFERROR(__xludf.DUMMYFUNCTION("TO_TEXT(A1144)"),"22061")</f>
        <v>22061</v>
      </c>
      <c r="C1144" s="1">
        <v>47480.0</v>
      </c>
      <c r="D1144" s="1">
        <v>471.741792721872</v>
      </c>
      <c r="E1144" s="1" t="s">
        <v>353</v>
      </c>
      <c r="F1144" s="1" t="s">
        <v>1990</v>
      </c>
      <c r="G1144" s="1">
        <v>100.648279911874</v>
      </c>
      <c r="H1144" s="1">
        <v>23.17574085</v>
      </c>
      <c r="I1144" s="1">
        <v>5.1190631702</v>
      </c>
      <c r="J1144" s="1">
        <v>10.818933133</v>
      </c>
      <c r="K1144" s="1">
        <v>20.979497617</v>
      </c>
      <c r="L1144" s="1">
        <v>35.8</v>
      </c>
      <c r="M1144" s="1">
        <v>5.2</v>
      </c>
      <c r="N1144" s="1">
        <v>30.7</v>
      </c>
      <c r="O1144" s="1">
        <v>47.39488606</v>
      </c>
      <c r="P1144" s="1">
        <v>9.7156205014</v>
      </c>
      <c r="Q1144" s="1">
        <v>64.92962</v>
      </c>
      <c r="R1144" s="1">
        <v>95.7</v>
      </c>
      <c r="S1144" s="1">
        <v>29.9</v>
      </c>
      <c r="T1144" s="1">
        <v>9422.0</v>
      </c>
      <c r="U1144" s="1">
        <v>43.748673318</v>
      </c>
      <c r="V1144" s="1">
        <v>401.93104059</v>
      </c>
      <c r="W1144" s="1">
        <v>19.305920093</v>
      </c>
      <c r="X1144" s="1">
        <v>17.765567766</v>
      </c>
      <c r="Y1144" s="1">
        <v>77.831437103</v>
      </c>
      <c r="Z1144" s="1">
        <v>10.1</v>
      </c>
      <c r="AA1144" s="1">
        <v>17.689068565</v>
      </c>
      <c r="AB1144" s="1">
        <v>36525.0</v>
      </c>
      <c r="AC1144" s="1">
        <v>37.078995713</v>
      </c>
      <c r="AD1144" s="1">
        <v>51.592501852</v>
      </c>
      <c r="AE1144" s="1">
        <v>16.679169792</v>
      </c>
      <c r="AF1144" s="1">
        <v>40.295787779</v>
      </c>
      <c r="AG1144" s="1">
        <v>0.4852106111</v>
      </c>
      <c r="AH1144" s="1">
        <v>1.616662429</v>
      </c>
      <c r="AI1144" s="1">
        <v>0.1038223578</v>
      </c>
      <c r="AJ1144" s="1">
        <v>3.2100177981</v>
      </c>
      <c r="AK1144" s="1">
        <v>53.373167218</v>
      </c>
      <c r="AL1144" s="1">
        <v>0.7712485707</v>
      </c>
      <c r="AM1144" s="1">
        <v>51.377235359</v>
      </c>
      <c r="AN1144" s="1">
        <v>40.6782925</v>
      </c>
      <c r="AO1144" s="1">
        <v>21452.0</v>
      </c>
      <c r="AP1144" s="1">
        <v>31.5</v>
      </c>
      <c r="AQ1144" s="1">
        <v>10.4</v>
      </c>
      <c r="AR1144" s="1">
        <v>12.5</v>
      </c>
      <c r="AS1144" s="1">
        <v>12.3</v>
      </c>
      <c r="AT1144" s="1">
        <v>20.2</v>
      </c>
      <c r="AU1144" s="1">
        <v>13.5</v>
      </c>
      <c r="AV1144" s="1">
        <v>46.8</v>
      </c>
      <c r="AW1144" s="1">
        <v>0.8</v>
      </c>
      <c r="AX1144" s="1">
        <v>0.8558</v>
      </c>
      <c r="AY1144" s="1">
        <v>29.5</v>
      </c>
      <c r="AZ1144" s="1">
        <v>17.7</v>
      </c>
      <c r="BA1144" s="1">
        <v>25.1</v>
      </c>
      <c r="BB1144" s="1">
        <v>3.26</v>
      </c>
      <c r="BC1144" s="1" t="s">
        <v>1938</v>
      </c>
      <c r="BD1144" s="1">
        <v>11.5</v>
      </c>
      <c r="BE1144" s="1">
        <v>26.8</v>
      </c>
      <c r="BF1144" s="1">
        <v>26.0</v>
      </c>
      <c r="BG1144" s="1">
        <v>35.6</v>
      </c>
      <c r="BH1144" s="1" t="s">
        <v>1990</v>
      </c>
    </row>
    <row r="1145">
      <c r="A1145" s="1">
        <v>22063.0</v>
      </c>
      <c r="B1145" s="2" t="str">
        <f>IFERROR(__xludf.DUMMYFUNCTION("TO_TEXT(A1145)"),"22063")</f>
        <v>22063</v>
      </c>
      <c r="C1145" s="1">
        <v>135925.0</v>
      </c>
      <c r="D1145" s="1">
        <v>648.168992346646</v>
      </c>
      <c r="E1145" s="1" t="s">
        <v>1231</v>
      </c>
      <c r="F1145" s="1" t="s">
        <v>1991</v>
      </c>
      <c r="G1145" s="1">
        <v>209.706113073835</v>
      </c>
      <c r="H1145" s="1">
        <v>18.204865396</v>
      </c>
      <c r="I1145" s="1">
        <v>4.7479870845</v>
      </c>
      <c r="J1145" s="1">
        <v>8.4420094143</v>
      </c>
      <c r="K1145" s="1">
        <v>21.604316205</v>
      </c>
      <c r="L1145" s="1">
        <v>36.5</v>
      </c>
      <c r="M1145" s="1">
        <v>8.5</v>
      </c>
      <c r="N1145" s="1">
        <v>31.0</v>
      </c>
      <c r="O1145" s="1">
        <v>78.473122647</v>
      </c>
      <c r="P1145" s="1">
        <v>8.9392711197</v>
      </c>
      <c r="Q1145" s="1">
        <v>18.8095</v>
      </c>
      <c r="R1145" s="1">
        <v>86.6</v>
      </c>
      <c r="S1145" s="1">
        <v>15.0</v>
      </c>
      <c r="T1145" s="1">
        <v>35801.0</v>
      </c>
      <c r="U1145" s="1">
        <v>30.585737829</v>
      </c>
      <c r="V1145" s="1">
        <v>355.07368144</v>
      </c>
      <c r="W1145" s="1">
        <v>11.44434031</v>
      </c>
      <c r="X1145" s="1">
        <v>8.4209415242</v>
      </c>
      <c r="Y1145" s="1">
        <v>76.509845357</v>
      </c>
      <c r="Z1145" s="1">
        <v>10.4</v>
      </c>
      <c r="AA1145" s="1">
        <v>5.1021244349</v>
      </c>
      <c r="AB1145" s="1">
        <v>63088.0</v>
      </c>
      <c r="AC1145" s="1">
        <v>21.054093741</v>
      </c>
      <c r="AD1145" s="1">
        <v>81.094578276</v>
      </c>
      <c r="AE1145" s="1">
        <v>7.3646301703</v>
      </c>
      <c r="AF1145" s="1">
        <v>6.5466765066</v>
      </c>
      <c r="AG1145" s="1">
        <v>0.4750406615</v>
      </c>
      <c r="AH1145" s="1">
        <v>0.674944650199999</v>
      </c>
      <c r="AI1145" s="1">
        <v>0.0523046279</v>
      </c>
      <c r="AJ1145" s="1">
        <v>3.8440318987</v>
      </c>
      <c r="AK1145" s="1">
        <v>87.407481711</v>
      </c>
      <c r="AL1145" s="1">
        <v>0.7335381743</v>
      </c>
      <c r="AM1145" s="1">
        <v>50.697514455</v>
      </c>
      <c r="AN1145" s="1">
        <v>41.116648181</v>
      </c>
      <c r="AO1145" s="1">
        <v>26558.0</v>
      </c>
      <c r="AP1145" s="1">
        <v>14.5</v>
      </c>
      <c r="AQ1145" s="1">
        <v>6.2</v>
      </c>
      <c r="AR1145" s="1">
        <v>16.1</v>
      </c>
      <c r="AS1145" s="1">
        <v>11.7</v>
      </c>
      <c r="AT1145" s="1">
        <v>26.4</v>
      </c>
      <c r="AU1145" s="1">
        <v>15.0</v>
      </c>
      <c r="AV1145" s="1">
        <v>11.2</v>
      </c>
      <c r="AW1145" s="1">
        <v>0.3</v>
      </c>
      <c r="AX1145" s="1">
        <v>0.4639</v>
      </c>
      <c r="AY1145" s="1">
        <v>12.0</v>
      </c>
      <c r="AZ1145" s="1">
        <v>11.1</v>
      </c>
      <c r="BA1145" s="1">
        <v>17.7</v>
      </c>
      <c r="BB1145" s="1">
        <v>3.13</v>
      </c>
      <c r="BC1145" s="1" t="s">
        <v>1938</v>
      </c>
      <c r="BD1145" s="1">
        <v>14.8</v>
      </c>
      <c r="BE1145" s="1">
        <v>38.1</v>
      </c>
      <c r="BF1145" s="1">
        <v>27.4</v>
      </c>
      <c r="BG1145" s="1">
        <v>19.7</v>
      </c>
      <c r="BH1145" s="1" t="s">
        <v>1991</v>
      </c>
    </row>
    <row r="1146">
      <c r="A1146" s="1">
        <v>22065.0</v>
      </c>
      <c r="B1146" s="2" t="str">
        <f>IFERROR(__xludf.DUMMYFUNCTION("TO_TEXT(A1146)"),"22065")</f>
        <v>22065</v>
      </c>
      <c r="C1146" s="1">
        <v>11803.0</v>
      </c>
      <c r="D1146" s="1">
        <v>624.435999320756</v>
      </c>
      <c r="E1146" s="1" t="s">
        <v>148</v>
      </c>
      <c r="F1146" s="1" t="s">
        <v>1992</v>
      </c>
      <c r="G1146" s="1">
        <v>18.90185705635</v>
      </c>
      <c r="H1146" s="1">
        <v>31.104762672</v>
      </c>
      <c r="I1146" s="1">
        <v>5.6726419255</v>
      </c>
      <c r="J1146" s="1">
        <v>15.649183147</v>
      </c>
      <c r="K1146" s="1">
        <v>27.6381701609999</v>
      </c>
      <c r="L1146" s="1">
        <v>41.2</v>
      </c>
      <c r="M1146" s="1">
        <v>5.3</v>
      </c>
      <c r="N1146" s="1">
        <v>38.6</v>
      </c>
      <c r="O1146" s="1">
        <v>85.189779211</v>
      </c>
      <c r="P1146" s="1">
        <v>8.9771622935</v>
      </c>
      <c r="Q1146" s="1">
        <v>35.34818</v>
      </c>
      <c r="R1146" s="1">
        <v>40.4</v>
      </c>
      <c r="S1146" s="1">
        <v>56.3</v>
      </c>
      <c r="T1146" s="1">
        <v>2728.0</v>
      </c>
      <c r="U1146" s="1">
        <v>66.092375367</v>
      </c>
      <c r="V1146" s="1">
        <v>585.14757766</v>
      </c>
      <c r="W1146" s="1">
        <v>18.259803922</v>
      </c>
      <c r="X1146" s="1">
        <v>13.484848485</v>
      </c>
      <c r="Y1146" s="1">
        <v>72.434948432</v>
      </c>
      <c r="Z1146" s="1">
        <v>19.2</v>
      </c>
      <c r="AA1146" s="1">
        <v>5.1083007475</v>
      </c>
      <c r="AB1146" s="1">
        <v>28452.0</v>
      </c>
      <c r="AC1146" s="1">
        <v>88.188073394</v>
      </c>
      <c r="AD1146" s="1">
        <v>56.479837687</v>
      </c>
      <c r="AE1146" s="1">
        <v>13.882488479</v>
      </c>
      <c r="AF1146" s="1">
        <v>62.44064152</v>
      </c>
      <c r="AG1146" s="1">
        <v>0.3404712839</v>
      </c>
      <c r="AH1146" s="1">
        <v>0.2777528895</v>
      </c>
      <c r="AI1146" s="1">
        <v>0.0</v>
      </c>
      <c r="AJ1146" s="1">
        <v>2.1593047218</v>
      </c>
      <c r="AK1146" s="1">
        <v>33.760415733</v>
      </c>
      <c r="AL1146" s="1">
        <v>0.2442920229</v>
      </c>
      <c r="AM1146" s="1">
        <v>50.362870711</v>
      </c>
      <c r="AN1146" s="1">
        <v>22.442735467</v>
      </c>
      <c r="AO1146" s="1">
        <v>14564.0</v>
      </c>
      <c r="AP1146" s="1">
        <v>39.6</v>
      </c>
      <c r="AQ1146" s="1">
        <v>14.1</v>
      </c>
      <c r="AR1146" s="1">
        <v>25.6</v>
      </c>
      <c r="AS1146" s="1">
        <v>12.8</v>
      </c>
      <c r="AT1146" s="1">
        <v>24.5</v>
      </c>
      <c r="AU1146" s="1">
        <v>11.9</v>
      </c>
      <c r="AV1146" s="1">
        <v>65.8</v>
      </c>
      <c r="AW1146" s="1">
        <v>0.1</v>
      </c>
      <c r="AX1146" s="1">
        <v>0.9532</v>
      </c>
      <c r="AY1146" s="1">
        <v>41.1</v>
      </c>
      <c r="AZ1146" s="1">
        <v>23.1</v>
      </c>
      <c r="BA1146" s="1">
        <v>35.5</v>
      </c>
      <c r="BB1146" s="1">
        <v>2.98</v>
      </c>
      <c r="BC1146" s="1" t="s">
        <v>1938</v>
      </c>
      <c r="BD1146" s="1">
        <v>26.1</v>
      </c>
      <c r="BE1146" s="1">
        <v>36.9</v>
      </c>
      <c r="BF1146" s="1">
        <v>24.1</v>
      </c>
      <c r="BG1146" s="1">
        <v>12.8</v>
      </c>
      <c r="BH1146" s="1" t="s">
        <v>1992</v>
      </c>
    </row>
    <row r="1147">
      <c r="A1147" s="1">
        <v>22067.0</v>
      </c>
      <c r="B1147" s="2" t="str">
        <f>IFERROR(__xludf.DUMMYFUNCTION("TO_TEXT(A1147)"),"22067")</f>
        <v>22067</v>
      </c>
      <c r="C1147" s="1">
        <v>26739.0</v>
      </c>
      <c r="D1147" s="1">
        <v>794.93390389091</v>
      </c>
      <c r="E1147" s="1" t="s">
        <v>1993</v>
      </c>
      <c r="F1147" s="1" t="s">
        <v>1994</v>
      </c>
      <c r="G1147" s="1">
        <v>33.6367588162014</v>
      </c>
      <c r="H1147" s="1">
        <v>28.3317716519999</v>
      </c>
      <c r="I1147" s="1">
        <v>5.4222711218</v>
      </c>
      <c r="J1147" s="1">
        <v>13.69311317</v>
      </c>
      <c r="K1147" s="1">
        <v>22.641288601</v>
      </c>
      <c r="L1147" s="1">
        <v>43.2</v>
      </c>
      <c r="M1147" s="1">
        <v>5.3</v>
      </c>
      <c r="N1147" s="1">
        <v>33.0</v>
      </c>
      <c r="O1147" s="1">
        <v>73.909003181</v>
      </c>
      <c r="P1147" s="1">
        <v>9.1821177396</v>
      </c>
      <c r="Q1147" s="1">
        <v>35.10004</v>
      </c>
      <c r="R1147" s="1">
        <v>69.2</v>
      </c>
      <c r="S1147" s="1">
        <v>41.1</v>
      </c>
      <c r="T1147" s="1">
        <v>6227.0</v>
      </c>
      <c r="U1147" s="1">
        <v>47.775814999</v>
      </c>
      <c r="V1147" s="1">
        <v>571.00720377</v>
      </c>
      <c r="W1147" s="1">
        <v>14.98783455</v>
      </c>
      <c r="X1147" s="1">
        <v>13.137948459</v>
      </c>
      <c r="Y1147" s="1">
        <v>71.940903196</v>
      </c>
      <c r="Z1147" s="1">
        <v>13.8</v>
      </c>
      <c r="AA1147" s="1">
        <v>15.125353244</v>
      </c>
      <c r="AB1147" s="1">
        <v>34023.0</v>
      </c>
      <c r="AC1147" s="1">
        <v>91.30998703</v>
      </c>
      <c r="AD1147" s="1">
        <v>67.00143472</v>
      </c>
      <c r="AE1147" s="1">
        <v>14.125586183</v>
      </c>
      <c r="AF1147" s="1">
        <v>47.739979526</v>
      </c>
      <c r="AG1147" s="1">
        <v>0.2283644381</v>
      </c>
      <c r="AH1147" s="1">
        <v>0.5394125522</v>
      </c>
      <c r="AI1147" s="1">
        <v>0.0669344043</v>
      </c>
      <c r="AJ1147" s="1">
        <v>1.3741239468</v>
      </c>
      <c r="AK1147" s="1">
        <v>48.964485393</v>
      </c>
      <c r="AL1147" s="1">
        <v>0.0783763716</v>
      </c>
      <c r="AM1147" s="1">
        <v>51.917473817</v>
      </c>
      <c r="AN1147" s="1">
        <v>50.037528146</v>
      </c>
      <c r="AO1147" s="1">
        <v>18222.0</v>
      </c>
      <c r="AP1147" s="1">
        <v>28.8</v>
      </c>
      <c r="AQ1147" s="1">
        <v>8.1</v>
      </c>
      <c r="AR1147" s="1">
        <v>19.7</v>
      </c>
      <c r="AS1147" s="1">
        <v>16.9</v>
      </c>
      <c r="AT1147" s="1">
        <v>24.6</v>
      </c>
      <c r="AU1147" s="1">
        <v>16.0</v>
      </c>
      <c r="AV1147" s="1">
        <v>50.4</v>
      </c>
      <c r="AW1147" s="1">
        <v>0.2</v>
      </c>
      <c r="AX1147" s="1">
        <v>0.9287</v>
      </c>
      <c r="AY1147" s="1">
        <v>31.0</v>
      </c>
      <c r="AZ1147" s="1">
        <v>20.3</v>
      </c>
      <c r="BA1147" s="1">
        <v>31.8</v>
      </c>
      <c r="BB1147" s="1">
        <v>2.86</v>
      </c>
      <c r="BC1147" s="1" t="s">
        <v>1938</v>
      </c>
      <c r="BD1147" s="1">
        <v>20.5</v>
      </c>
      <c r="BE1147" s="1">
        <v>42.9</v>
      </c>
      <c r="BF1147" s="1">
        <v>23.7</v>
      </c>
      <c r="BG1147" s="1">
        <v>13.0</v>
      </c>
      <c r="BH1147" s="1" t="s">
        <v>1994</v>
      </c>
    </row>
    <row r="1148">
      <c r="A1148" s="1">
        <v>22069.0</v>
      </c>
      <c r="B1148" s="2" t="str">
        <f>IFERROR(__xludf.DUMMYFUNCTION("TO_TEXT(A1148)"),"22069")</f>
        <v>22069</v>
      </c>
      <c r="C1148" s="1">
        <v>39258.0</v>
      </c>
      <c r="D1148" s="1">
        <v>1252.26047496745</v>
      </c>
      <c r="E1148" s="1" t="s">
        <v>1995</v>
      </c>
      <c r="F1148" s="1" t="s">
        <v>1996</v>
      </c>
      <c r="G1148" s="1">
        <v>31.3497078161956</v>
      </c>
      <c r="H1148" s="1">
        <v>26.00375773</v>
      </c>
      <c r="I1148" s="1">
        <v>5.4033549532</v>
      </c>
      <c r="J1148" s="1">
        <v>11.690848214</v>
      </c>
      <c r="K1148" s="1">
        <v>23.700994091</v>
      </c>
      <c r="L1148" s="1">
        <v>36.4</v>
      </c>
      <c r="M1148" s="1">
        <v>5.3</v>
      </c>
      <c r="N1148" s="1">
        <v>28.3</v>
      </c>
      <c r="O1148" s="1">
        <v>69.051711065</v>
      </c>
      <c r="P1148" s="1">
        <v>9.6322811585</v>
      </c>
      <c r="Q1148" s="1">
        <v>56.3799</v>
      </c>
      <c r="R1148" s="1">
        <v>79.5</v>
      </c>
      <c r="S1148" s="1">
        <v>33.4</v>
      </c>
      <c r="T1148" s="1">
        <v>9280.0</v>
      </c>
      <c r="U1148" s="1">
        <v>51.0775862069999</v>
      </c>
      <c r="V1148" s="1">
        <v>638.06070545</v>
      </c>
      <c r="W1148" s="1">
        <v>18.200764154</v>
      </c>
      <c r="X1148" s="1">
        <v>16.691285081</v>
      </c>
      <c r="Y1148" s="1">
        <v>74.738508067</v>
      </c>
      <c r="Z1148" s="1">
        <v>15.7</v>
      </c>
      <c r="AA1148" s="1">
        <v>13.884901112</v>
      </c>
      <c r="AB1148" s="1">
        <v>36298.0</v>
      </c>
      <c r="AC1148" s="1">
        <v>58.741366078</v>
      </c>
      <c r="AD1148" s="1">
        <v>45.003417635</v>
      </c>
      <c r="AE1148" s="1">
        <v>19.88317757</v>
      </c>
      <c r="AF1148" s="1">
        <v>40.981401485</v>
      </c>
      <c r="AG1148" s="1">
        <v>1.0915957474</v>
      </c>
      <c r="AH1148" s="1">
        <v>0.6440932254</v>
      </c>
      <c r="AI1148" s="1">
        <v>0.0413875165</v>
      </c>
      <c r="AJ1148" s="1">
        <v>2.4470369125</v>
      </c>
      <c r="AK1148" s="1">
        <v>52.877725756</v>
      </c>
      <c r="AL1148" s="1">
        <v>0.2800274537</v>
      </c>
      <c r="AM1148" s="1">
        <v>51.915465998</v>
      </c>
      <c r="AN1148" s="1">
        <v>50.050548451</v>
      </c>
      <c r="AO1148" s="1">
        <v>19178.0</v>
      </c>
      <c r="AP1148" s="1">
        <v>29.8</v>
      </c>
      <c r="AQ1148" s="1">
        <v>12.1</v>
      </c>
      <c r="AR1148" s="1">
        <v>16.5</v>
      </c>
      <c r="AS1148" s="1">
        <v>15.2</v>
      </c>
      <c r="AT1148" s="1">
        <v>23.9</v>
      </c>
      <c r="AU1148" s="1">
        <v>17.3</v>
      </c>
      <c r="AV1148" s="1">
        <v>46.9</v>
      </c>
      <c r="AW1148" s="1">
        <v>0.3</v>
      </c>
      <c r="AX1148" s="1">
        <v>0.943</v>
      </c>
      <c r="AY1148" s="1">
        <v>19.6</v>
      </c>
      <c r="AZ1148" s="1">
        <v>20.1</v>
      </c>
      <c r="BA1148" s="1">
        <v>28.8</v>
      </c>
      <c r="BB1148" s="1">
        <v>3.07</v>
      </c>
      <c r="BC1148" s="1" t="s">
        <v>1938</v>
      </c>
      <c r="BD1148" s="1">
        <v>11.6</v>
      </c>
      <c r="BE1148" s="1">
        <v>35.1</v>
      </c>
      <c r="BF1148" s="1">
        <v>34.2</v>
      </c>
      <c r="BG1148" s="1">
        <v>19.0</v>
      </c>
      <c r="BH1148" s="1" t="s">
        <v>1996</v>
      </c>
    </row>
    <row r="1149">
      <c r="A1149" s="1">
        <v>22071.0</v>
      </c>
      <c r="B1149" s="2" t="str">
        <f>IFERROR(__xludf.DUMMYFUNCTION("TO_TEXT(A1149)"),"22071")</f>
        <v>22071</v>
      </c>
      <c r="C1149" s="1">
        <v>382922.0</v>
      </c>
      <c r="D1149" s="1">
        <v>169.421367637816</v>
      </c>
      <c r="E1149" s="1" t="s">
        <v>1997</v>
      </c>
      <c r="F1149" s="1" t="s">
        <v>1998</v>
      </c>
      <c r="G1149" s="1">
        <v>2260.17535650284</v>
      </c>
      <c r="H1149" s="1">
        <v>21.19276632</v>
      </c>
      <c r="I1149" s="1">
        <v>4.8503203813</v>
      </c>
      <c r="J1149" s="1">
        <v>12.2736418509999</v>
      </c>
      <c r="K1149" s="1">
        <v>22.609624129</v>
      </c>
      <c r="L1149" s="1">
        <v>29.6</v>
      </c>
      <c r="M1149" s="1">
        <v>5.8</v>
      </c>
      <c r="N1149" s="1">
        <v>23.9</v>
      </c>
      <c r="O1149" s="1">
        <v>94.071180732</v>
      </c>
      <c r="P1149" s="1">
        <v>9.8632974571</v>
      </c>
      <c r="Q1149" s="1">
        <v>94.84047</v>
      </c>
      <c r="R1149" s="1">
        <v>72.8</v>
      </c>
      <c r="S1149" s="1">
        <v>33.6</v>
      </c>
      <c r="T1149" s="1">
        <v>77941.0</v>
      </c>
      <c r="U1149" s="1">
        <v>60.7459488589999</v>
      </c>
      <c r="V1149" s="1">
        <v>1025.4729887</v>
      </c>
      <c r="W1149" s="1">
        <v>25.796764506</v>
      </c>
      <c r="X1149" s="1">
        <v>24.6798954209999</v>
      </c>
      <c r="Y1149" s="1">
        <v>76.862354802</v>
      </c>
      <c r="Z1149" s="1">
        <v>10.6</v>
      </c>
      <c r="AA1149" s="1">
        <v>8.8524390741</v>
      </c>
      <c r="AB1149" s="1">
        <v>38855.0</v>
      </c>
      <c r="AC1149" s="1">
        <v>63.592970698</v>
      </c>
      <c r="AD1149" s="1">
        <v>47.415539225</v>
      </c>
      <c r="AE1149" s="1">
        <v>25.757356638</v>
      </c>
      <c r="AF1149" s="1">
        <v>59.115972645</v>
      </c>
      <c r="AG1149" s="1">
        <v>0.3381022286</v>
      </c>
      <c r="AH1149" s="1">
        <v>2.9339703227</v>
      </c>
      <c r="AI1149" s="1">
        <v>0.055242119</v>
      </c>
      <c r="AJ1149" s="1">
        <v>5.6170493547</v>
      </c>
      <c r="AK1149" s="1">
        <v>30.751446269</v>
      </c>
      <c r="AL1149" s="1">
        <v>1.5439452619</v>
      </c>
      <c r="AM1149" s="1">
        <v>52.668757001</v>
      </c>
      <c r="AN1149" s="1">
        <v>0.5918639789</v>
      </c>
      <c r="AO1149" s="1">
        <v>28444.0</v>
      </c>
      <c r="AP1149" s="1">
        <v>26.2</v>
      </c>
      <c r="AQ1149" s="1">
        <v>9.8</v>
      </c>
      <c r="AR1149" s="1">
        <v>14.3</v>
      </c>
      <c r="AS1149" s="1">
        <v>12.2</v>
      </c>
      <c r="AT1149" s="1">
        <v>20.6</v>
      </c>
      <c r="AU1149" s="1">
        <v>13.7</v>
      </c>
      <c r="AV1149" s="1">
        <v>69.4</v>
      </c>
      <c r="AW1149" s="1">
        <v>1.9</v>
      </c>
      <c r="AX1149" s="1">
        <v>0.7599</v>
      </c>
      <c r="AY1149" s="1">
        <v>23.5</v>
      </c>
      <c r="AZ1149" s="1">
        <v>18.0</v>
      </c>
      <c r="BA1149" s="1">
        <v>25.9</v>
      </c>
      <c r="BB1149" s="1">
        <v>3.67</v>
      </c>
      <c r="BC1149" s="1" t="s">
        <v>1938</v>
      </c>
      <c r="BD1149" s="1">
        <v>13.5</v>
      </c>
      <c r="BE1149" s="1">
        <v>22.8</v>
      </c>
      <c r="BF1149" s="1">
        <v>26.2</v>
      </c>
      <c r="BG1149" s="1">
        <v>37.6</v>
      </c>
      <c r="BH1149" s="1" t="s">
        <v>1998</v>
      </c>
    </row>
    <row r="1150">
      <c r="A1150" s="1">
        <v>22073.0</v>
      </c>
      <c r="B1150" s="2" t="str">
        <f>IFERROR(__xludf.DUMMYFUNCTION("TO_TEXT(A1150)"),"22073")</f>
        <v>22073</v>
      </c>
      <c r="C1150" s="1">
        <v>156398.0</v>
      </c>
      <c r="D1150" s="1">
        <v>610.405289321282</v>
      </c>
      <c r="E1150" s="1" t="s">
        <v>373</v>
      </c>
      <c r="F1150" s="1" t="s">
        <v>1999</v>
      </c>
      <c r="G1150" s="1">
        <v>256.219929178368</v>
      </c>
      <c r="H1150" s="1">
        <v>23.093448306</v>
      </c>
      <c r="I1150" s="1">
        <v>4.9620582098</v>
      </c>
      <c r="J1150" s="1">
        <v>12.1951219509999</v>
      </c>
      <c r="K1150" s="1">
        <v>21.431656792</v>
      </c>
      <c r="L1150" s="1">
        <v>40.1</v>
      </c>
      <c r="M1150" s="1">
        <v>6.0</v>
      </c>
      <c r="N1150" s="1">
        <v>31.4</v>
      </c>
      <c r="O1150" s="1">
        <v>78.337887067</v>
      </c>
      <c r="P1150" s="1">
        <v>8.395497717</v>
      </c>
      <c r="Q1150" s="1">
        <v>83.4007</v>
      </c>
      <c r="R1150" s="1">
        <v>83.262715736</v>
      </c>
      <c r="S1150" s="1">
        <v>30.3</v>
      </c>
      <c r="T1150" s="1">
        <v>39068.0</v>
      </c>
      <c r="U1150" s="1">
        <v>48.272243268</v>
      </c>
      <c r="V1150" s="1">
        <v>1378.4361617</v>
      </c>
      <c r="W1150" s="1">
        <v>15.5698093309999</v>
      </c>
      <c r="X1150" s="1">
        <v>13.608023855</v>
      </c>
      <c r="Y1150" s="1">
        <v>74.927678955</v>
      </c>
      <c r="Z1150" s="1">
        <v>14.1</v>
      </c>
      <c r="AA1150" s="1">
        <v>13.829474019</v>
      </c>
      <c r="AB1150" s="1">
        <v>44371.0</v>
      </c>
      <c r="AC1150" s="1">
        <v>60.414522483</v>
      </c>
      <c r="AD1150" s="1">
        <v>58.959884275</v>
      </c>
      <c r="AE1150" s="1">
        <v>14.346341739</v>
      </c>
      <c r="AF1150" s="1">
        <v>37.315423208</v>
      </c>
      <c r="AG1150" s="1">
        <v>0.3074931219</v>
      </c>
      <c r="AH1150" s="1">
        <v>1.0474186762</v>
      </c>
      <c r="AI1150" s="1">
        <v>0.0466094837</v>
      </c>
      <c r="AJ1150" s="1">
        <v>2.2281922641</v>
      </c>
      <c r="AK1150" s="1">
        <v>58.025570481</v>
      </c>
      <c r="AL1150" s="1">
        <v>0.2619064029</v>
      </c>
      <c r="AM1150" s="1">
        <v>52.063440686</v>
      </c>
      <c r="AN1150" s="1">
        <v>24.1913869369999</v>
      </c>
      <c r="AO1150" s="1">
        <v>21866.0</v>
      </c>
      <c r="AP1150" s="1">
        <v>24.1</v>
      </c>
      <c r="AQ1150" s="1">
        <v>7.8</v>
      </c>
      <c r="AR1150" s="1">
        <v>15.0</v>
      </c>
      <c r="AS1150" s="1">
        <v>13.4</v>
      </c>
      <c r="AT1150" s="1">
        <v>25.7</v>
      </c>
      <c r="AU1150" s="1">
        <v>12.4</v>
      </c>
      <c r="AV1150" s="1">
        <v>41.5</v>
      </c>
      <c r="AW1150" s="1">
        <v>0.3</v>
      </c>
      <c r="AX1150" s="1">
        <v>0.8351</v>
      </c>
      <c r="AY1150" s="1">
        <v>23.9</v>
      </c>
      <c r="AZ1150" s="1">
        <v>16.8</v>
      </c>
      <c r="BA1150" s="1">
        <v>25.9</v>
      </c>
      <c r="BB1150" s="1">
        <v>3.12</v>
      </c>
      <c r="BC1150" s="1" t="s">
        <v>1938</v>
      </c>
      <c r="BD1150" s="1">
        <v>13.5</v>
      </c>
      <c r="BE1150" s="1">
        <v>34.1</v>
      </c>
      <c r="BF1150" s="1">
        <v>28.2</v>
      </c>
      <c r="BG1150" s="1">
        <v>24.2</v>
      </c>
      <c r="BH1150" s="1" t="s">
        <v>1999</v>
      </c>
    </row>
    <row r="1151">
      <c r="A1151" s="1">
        <v>22075.0</v>
      </c>
      <c r="B1151" s="2" t="str">
        <f>IFERROR(__xludf.DUMMYFUNCTION("TO_TEXT(A1151)"),"22075")</f>
        <v>22075</v>
      </c>
      <c r="C1151" s="1">
        <v>23584.0</v>
      </c>
      <c r="D1151" s="1">
        <v>780.333763712</v>
      </c>
      <c r="E1151" s="1" t="s">
        <v>2000</v>
      </c>
      <c r="F1151" s="1" t="s">
        <v>2001</v>
      </c>
      <c r="G1151" s="1">
        <v>30.2229649628543</v>
      </c>
      <c r="H1151" s="1">
        <v>19.174696582</v>
      </c>
      <c r="I1151" s="1">
        <v>4.8109541746</v>
      </c>
      <c r="J1151" s="1">
        <v>8.9638554217</v>
      </c>
      <c r="K1151" s="1">
        <v>19.503082138</v>
      </c>
      <c r="L1151" s="1">
        <v>37.5</v>
      </c>
      <c r="M1151" s="1">
        <v>7.1</v>
      </c>
      <c r="N1151" s="1">
        <v>26.9</v>
      </c>
      <c r="O1151" s="1">
        <v>44.983074386</v>
      </c>
      <c r="P1151" s="1">
        <v>11.69451074</v>
      </c>
      <c r="Q1151" s="1">
        <v>17.1320899999999</v>
      </c>
      <c r="R1151" s="1">
        <v>90.8</v>
      </c>
      <c r="S1151" s="1">
        <v>20.3</v>
      </c>
      <c r="T1151" s="1">
        <v>6071.0</v>
      </c>
      <c r="U1151" s="1">
        <v>39.499258771</v>
      </c>
      <c r="V1151" s="1">
        <v>148.40569878</v>
      </c>
      <c r="W1151" s="1">
        <v>13.8230190859999</v>
      </c>
      <c r="X1151" s="1">
        <v>10.67146283</v>
      </c>
      <c r="Y1151" s="1">
        <v>78.216067491</v>
      </c>
      <c r="Z1151" s="1">
        <v>16.5</v>
      </c>
      <c r="AA1151" s="1">
        <v>11.897779453</v>
      </c>
      <c r="AB1151" s="1">
        <v>58643.0</v>
      </c>
      <c r="AC1151" s="1">
        <v>60.287367791</v>
      </c>
      <c r="AD1151" s="1">
        <v>67.3698536919999</v>
      </c>
      <c r="AE1151" s="1">
        <v>13.8014822009999</v>
      </c>
      <c r="AF1151" s="1">
        <v>20.721913712</v>
      </c>
      <c r="AG1151" s="1">
        <v>1.8197351559</v>
      </c>
      <c r="AH1151" s="1">
        <v>4.378470739</v>
      </c>
      <c r="AI1151" s="1">
        <v>0.2007689022</v>
      </c>
      <c r="AJ1151" s="1">
        <v>7.8214438274</v>
      </c>
      <c r="AK1151" s="1">
        <v>62.9901751389999</v>
      </c>
      <c r="AL1151" s="1">
        <v>1.9699898739</v>
      </c>
      <c r="AM1151" s="1">
        <v>49.572832123</v>
      </c>
      <c r="AN1151" s="1">
        <v>19.538234528</v>
      </c>
      <c r="AO1151" s="1">
        <v>25359.0</v>
      </c>
      <c r="AP1151" s="1">
        <v>17.2</v>
      </c>
      <c r="AQ1151" s="1">
        <v>3.9</v>
      </c>
      <c r="AR1151" s="1">
        <v>19.6</v>
      </c>
      <c r="AS1151" s="1">
        <v>12.0</v>
      </c>
      <c r="AT1151" s="1">
        <v>26.7</v>
      </c>
      <c r="AU1151" s="1">
        <v>9.4</v>
      </c>
      <c r="AV1151" s="1">
        <v>33.8</v>
      </c>
      <c r="AW1151" s="1">
        <v>1.8</v>
      </c>
      <c r="AX1151" s="1">
        <v>0.5852</v>
      </c>
      <c r="AY1151" s="1">
        <v>15.1</v>
      </c>
      <c r="AZ1151" s="1">
        <v>14.5</v>
      </c>
      <c r="BA1151" s="1">
        <v>20.9</v>
      </c>
      <c r="BB1151" s="1">
        <v>3.18</v>
      </c>
      <c r="BC1151" s="1" t="s">
        <v>1938</v>
      </c>
      <c r="BD1151" s="1">
        <v>16.3</v>
      </c>
      <c r="BE1151" s="1">
        <v>35.5</v>
      </c>
      <c r="BF1151" s="1">
        <v>29.2</v>
      </c>
      <c r="BG1151" s="1">
        <v>19.1</v>
      </c>
      <c r="BH1151" s="1" t="s">
        <v>2001</v>
      </c>
    </row>
    <row r="1152">
      <c r="A1152" s="1">
        <v>22077.0</v>
      </c>
      <c r="B1152" s="2" t="str">
        <f>IFERROR(__xludf.DUMMYFUNCTION("TO_TEXT(A1152)"),"22077")</f>
        <v>22077</v>
      </c>
      <c r="C1152" s="1">
        <v>22366.0</v>
      </c>
      <c r="D1152" s="1">
        <v>557.345912321658</v>
      </c>
      <c r="E1152" s="1" t="s">
        <v>2002</v>
      </c>
      <c r="F1152" s="1" t="s">
        <v>2003</v>
      </c>
      <c r="G1152" s="1">
        <v>40.1294770546232</v>
      </c>
      <c r="H1152" s="1">
        <v>19.919372827</v>
      </c>
      <c r="I1152" s="1">
        <v>4.883678268</v>
      </c>
      <c r="J1152" s="1">
        <v>10.785340314</v>
      </c>
      <c r="K1152" s="1">
        <v>19.593602467</v>
      </c>
      <c r="L1152" s="1">
        <v>31.2</v>
      </c>
      <c r="M1152" s="1">
        <v>7.3</v>
      </c>
      <c r="N1152" s="1">
        <v>26.4</v>
      </c>
      <c r="O1152" s="1">
        <v>33.8303657569999</v>
      </c>
      <c r="P1152" s="1">
        <v>9.8673859294</v>
      </c>
      <c r="Q1152" s="1">
        <v>31.43524</v>
      </c>
      <c r="R1152" s="1">
        <v>69.8</v>
      </c>
      <c r="S1152" s="1">
        <v>27.7</v>
      </c>
      <c r="T1152" s="1">
        <v>4777.0</v>
      </c>
      <c r="U1152" s="1">
        <v>50.910613356</v>
      </c>
      <c r="V1152" s="1">
        <v>513.18944844</v>
      </c>
      <c r="W1152" s="1">
        <v>13.352272727</v>
      </c>
      <c r="X1152" s="1">
        <v>8.6589595376</v>
      </c>
      <c r="Y1152" s="1">
        <v>75.735131028</v>
      </c>
      <c r="Z1152" s="1">
        <v>11.2</v>
      </c>
      <c r="AA1152" s="1">
        <v>5.9867185277</v>
      </c>
      <c r="AB1152" s="1">
        <v>46603.0</v>
      </c>
      <c r="AC1152" s="1">
        <v>55.0084889639999</v>
      </c>
      <c r="AD1152" s="1">
        <v>76.0629394039999</v>
      </c>
      <c r="AE1152" s="1">
        <v>12.881655312</v>
      </c>
      <c r="AF1152" s="1">
        <v>35.32816773</v>
      </c>
      <c r="AG1152" s="1">
        <v>0.291704649</v>
      </c>
      <c r="AH1152" s="1">
        <v>0.3281677302</v>
      </c>
      <c r="AI1152" s="1">
        <v>0.0045578851</v>
      </c>
      <c r="AJ1152" s="1">
        <v>2.8805834093</v>
      </c>
      <c r="AK1152" s="1">
        <v>60.268915223</v>
      </c>
      <c r="AL1152" s="1">
        <v>0.5564349787</v>
      </c>
      <c r="AM1152" s="1">
        <v>51.946216955</v>
      </c>
      <c r="AN1152" s="1">
        <v>57.810718358</v>
      </c>
      <c r="AO1152" s="1">
        <v>25670.0</v>
      </c>
      <c r="AP1152" s="1">
        <v>18.9</v>
      </c>
      <c r="AQ1152" s="1">
        <v>8.8</v>
      </c>
      <c r="AR1152" s="1">
        <v>20.0</v>
      </c>
      <c r="AS1152" s="1">
        <v>18.2</v>
      </c>
      <c r="AT1152" s="1">
        <v>23.1</v>
      </c>
      <c r="AU1152" s="1">
        <v>18.8</v>
      </c>
      <c r="AV1152" s="1">
        <v>39.4</v>
      </c>
      <c r="AW1152" s="1">
        <v>0.8</v>
      </c>
      <c r="AX1152" s="1">
        <v>0.8141</v>
      </c>
      <c r="AY1152" s="1">
        <v>20.0</v>
      </c>
      <c r="AZ1152" s="1">
        <v>16.7</v>
      </c>
      <c r="BA1152" s="1">
        <v>25.4</v>
      </c>
      <c r="BB1152" s="1">
        <v>3.21</v>
      </c>
      <c r="BC1152" s="1" t="s">
        <v>1938</v>
      </c>
      <c r="BD1152" s="1">
        <v>20.2</v>
      </c>
      <c r="BE1152" s="1">
        <v>39.3</v>
      </c>
      <c r="BF1152" s="1">
        <v>25.6</v>
      </c>
      <c r="BG1152" s="1">
        <v>14.9</v>
      </c>
      <c r="BH1152" s="1" t="s">
        <v>2003</v>
      </c>
    </row>
    <row r="1153">
      <c r="A1153" s="1">
        <v>22079.0</v>
      </c>
      <c r="B1153" s="2" t="str">
        <f>IFERROR(__xludf.DUMMYFUNCTION("TO_TEXT(A1153)"),"22079")</f>
        <v>22079</v>
      </c>
      <c r="C1153" s="1">
        <v>132373.0</v>
      </c>
      <c r="D1153" s="1">
        <v>1318.0102783719</v>
      </c>
      <c r="E1153" s="1" t="s">
        <v>2004</v>
      </c>
      <c r="F1153" s="1" t="s">
        <v>2005</v>
      </c>
      <c r="G1153" s="1">
        <v>100.433966390244</v>
      </c>
      <c r="H1153" s="1">
        <v>21.542318188</v>
      </c>
      <c r="I1153" s="1">
        <v>5.2909405561</v>
      </c>
      <c r="J1153" s="1">
        <v>11.000951777</v>
      </c>
      <c r="K1153" s="1">
        <v>22.4379567369999</v>
      </c>
      <c r="L1153" s="1">
        <v>39.7</v>
      </c>
      <c r="M1153" s="1">
        <v>6.2</v>
      </c>
      <c r="N1153" s="1">
        <v>30.5</v>
      </c>
      <c r="O1153" s="1">
        <v>79.986019618</v>
      </c>
      <c r="P1153" s="1">
        <v>9.63939424929999</v>
      </c>
      <c r="Q1153" s="1">
        <v>81.27735</v>
      </c>
      <c r="R1153" s="1">
        <v>77.6</v>
      </c>
      <c r="S1153" s="1">
        <v>25.2</v>
      </c>
      <c r="T1153" s="1">
        <v>32423.0</v>
      </c>
      <c r="U1153" s="1">
        <v>44.588717885</v>
      </c>
      <c r="V1153" s="1">
        <v>1013.9382767</v>
      </c>
      <c r="W1153" s="1">
        <v>15.60585609</v>
      </c>
      <c r="X1153" s="1">
        <v>13.876861337</v>
      </c>
      <c r="Y1153" s="1">
        <v>74.403603931</v>
      </c>
      <c r="Z1153" s="1">
        <v>14.5</v>
      </c>
      <c r="AA1153" s="1">
        <v>15.691908972</v>
      </c>
      <c r="AB1153" s="1">
        <v>48116.0</v>
      </c>
      <c r="AC1153" s="1">
        <v>71.7568316489999</v>
      </c>
      <c r="AD1153" s="1">
        <v>60.979166667</v>
      </c>
      <c r="AE1153" s="1">
        <v>13.713766912</v>
      </c>
      <c r="AF1153" s="1">
        <v>31.742773548</v>
      </c>
      <c r="AG1153" s="1">
        <v>0.899189657</v>
      </c>
      <c r="AH1153" s="1">
        <v>1.4085262174</v>
      </c>
      <c r="AI1153" s="1">
        <v>0.0459551784</v>
      </c>
      <c r="AJ1153" s="1">
        <v>3.1946508172</v>
      </c>
      <c r="AK1153" s="1">
        <v>61.11808949</v>
      </c>
      <c r="AL1153" s="1">
        <v>0.8059713668</v>
      </c>
      <c r="AM1153" s="1">
        <v>51.6183881989999</v>
      </c>
      <c r="AN1153" s="1">
        <v>39.527250348</v>
      </c>
      <c r="AO1153" s="1">
        <v>22904.0</v>
      </c>
      <c r="AP1153" s="1">
        <v>20.1</v>
      </c>
      <c r="AQ1153" s="1">
        <v>8.0</v>
      </c>
      <c r="AR1153" s="1">
        <v>15.3</v>
      </c>
      <c r="AS1153" s="1">
        <v>14.9</v>
      </c>
      <c r="AT1153" s="1">
        <v>25.3</v>
      </c>
      <c r="AU1153" s="1">
        <v>18.2</v>
      </c>
      <c r="AV1153" s="1">
        <v>38.5</v>
      </c>
      <c r="AW1153" s="1">
        <v>0.7</v>
      </c>
      <c r="AX1153" s="1">
        <v>0.8822</v>
      </c>
      <c r="AY1153" s="1">
        <v>18.3</v>
      </c>
      <c r="AZ1153" s="1">
        <v>16.3</v>
      </c>
      <c r="BA1153" s="1">
        <v>24.0</v>
      </c>
      <c r="BB1153" s="1">
        <v>2.83</v>
      </c>
      <c r="BC1153" s="1" t="s">
        <v>1938</v>
      </c>
      <c r="BD1153" s="1">
        <v>14.5</v>
      </c>
      <c r="BE1153" s="1">
        <v>36.7</v>
      </c>
      <c r="BF1153" s="1">
        <v>27.9</v>
      </c>
      <c r="BG1153" s="1">
        <v>20.9</v>
      </c>
      <c r="BH1153" s="1" t="s">
        <v>2005</v>
      </c>
    </row>
    <row r="1154">
      <c r="A1154" s="1">
        <v>22081.0</v>
      </c>
      <c r="B1154" s="2" t="str">
        <f>IFERROR(__xludf.DUMMYFUNCTION("TO_TEXT(A1154)"),"22081")</f>
        <v>22081</v>
      </c>
      <c r="C1154" s="1">
        <v>8757.0</v>
      </c>
      <c r="D1154" s="1">
        <v>389.090122915012</v>
      </c>
      <c r="E1154" s="1" t="s">
        <v>2006</v>
      </c>
      <c r="F1154" s="1" t="s">
        <v>2007</v>
      </c>
      <c r="G1154" s="1">
        <v>22.5063538863277</v>
      </c>
      <c r="H1154" s="1">
        <v>22.296474219</v>
      </c>
      <c r="I1154" s="1">
        <v>5.0976478291</v>
      </c>
      <c r="J1154" s="1">
        <v>10.4665825979999</v>
      </c>
      <c r="K1154" s="1">
        <v>21.883761695</v>
      </c>
      <c r="L1154" s="1">
        <v>31.2</v>
      </c>
      <c r="M1154" s="1">
        <v>6.8</v>
      </c>
      <c r="N1154" s="1">
        <v>34.1</v>
      </c>
      <c r="O1154" s="1">
        <v>53.217467825</v>
      </c>
      <c r="P1154" s="1">
        <v>8.8334556126</v>
      </c>
      <c r="Q1154" s="1">
        <v>23.43018</v>
      </c>
      <c r="R1154" s="1">
        <v>84.1</v>
      </c>
      <c r="S1154" s="1">
        <v>33.3</v>
      </c>
      <c r="T1154" s="1">
        <v>2082.0</v>
      </c>
      <c r="U1154" s="1">
        <v>48.414985591</v>
      </c>
      <c r="V1154" s="1">
        <v>507.64349582</v>
      </c>
      <c r="W1154" s="1">
        <v>12.320916905</v>
      </c>
      <c r="X1154" s="1">
        <v>8.4379562044</v>
      </c>
      <c r="Y1154" s="1">
        <v>72.813552957</v>
      </c>
      <c r="Z1154" s="1">
        <v>15.6</v>
      </c>
      <c r="AA1154" s="1">
        <v>9.1709806408</v>
      </c>
      <c r="AB1154" s="1">
        <v>36865.0</v>
      </c>
      <c r="AC1154" s="1">
        <v>76.819407008</v>
      </c>
      <c r="AD1154" s="1">
        <v>74.7150569889999</v>
      </c>
      <c r="AE1154" s="1">
        <v>11.573297551</v>
      </c>
      <c r="AF1154" s="1">
        <v>39.365341512</v>
      </c>
      <c r="AG1154" s="1">
        <v>0.6252211867</v>
      </c>
      <c r="AH1154" s="1">
        <v>0.2241358971</v>
      </c>
      <c r="AI1154" s="1">
        <v>0.0117966262</v>
      </c>
      <c r="AJ1154" s="1">
        <v>2.4183083638</v>
      </c>
      <c r="AK1154" s="1">
        <v>56.623805592</v>
      </c>
      <c r="AL1154" s="1">
        <v>0.7312840853</v>
      </c>
      <c r="AM1154" s="1">
        <v>51.8933584989999</v>
      </c>
      <c r="AN1154" s="1">
        <v>100.0</v>
      </c>
      <c r="AO1154" s="1">
        <v>23748.0</v>
      </c>
      <c r="AP1154" s="1">
        <v>22.8</v>
      </c>
      <c r="AQ1154" s="1">
        <v>8.0</v>
      </c>
      <c r="AR1154" s="1">
        <v>19.3</v>
      </c>
      <c r="AS1154" s="1">
        <v>16.4</v>
      </c>
      <c r="AT1154" s="1">
        <v>24.6</v>
      </c>
      <c r="AU1154" s="1">
        <v>14.7</v>
      </c>
      <c r="AV1154" s="1">
        <v>42.9</v>
      </c>
      <c r="AW1154" s="1">
        <v>0.6</v>
      </c>
      <c r="AX1154" s="1">
        <v>0.7969</v>
      </c>
      <c r="AY1154" s="1">
        <v>23.9</v>
      </c>
      <c r="AZ1154" s="1">
        <v>16.6</v>
      </c>
      <c r="BA1154" s="1">
        <v>26.4</v>
      </c>
      <c r="BB1154" s="1">
        <v>3.14</v>
      </c>
      <c r="BC1154" s="1" t="s">
        <v>1938</v>
      </c>
      <c r="BD1154" s="1">
        <v>19.2</v>
      </c>
      <c r="BE1154" s="1">
        <v>43.2</v>
      </c>
      <c r="BF1154" s="1">
        <v>23.7</v>
      </c>
      <c r="BG1154" s="1">
        <v>13.9</v>
      </c>
      <c r="BH1154" s="1" t="s">
        <v>2007</v>
      </c>
    </row>
    <row r="1155">
      <c r="A1155" s="1">
        <v>22083.0</v>
      </c>
      <c r="B1155" s="2" t="str">
        <f>IFERROR(__xludf.DUMMYFUNCTION("TO_TEXT(A1155)"),"22083")</f>
        <v>22083</v>
      </c>
      <c r="C1155" s="1">
        <v>20692.0</v>
      </c>
      <c r="D1155" s="1">
        <v>559.283059415038</v>
      </c>
      <c r="E1155" s="1" t="s">
        <v>1271</v>
      </c>
      <c r="F1155" s="1" t="s">
        <v>2008</v>
      </c>
      <c r="G1155" s="1">
        <v>36.9973659163609</v>
      </c>
      <c r="H1155" s="1">
        <v>25.166744988</v>
      </c>
      <c r="I1155" s="1">
        <v>5.4222711961</v>
      </c>
      <c r="J1155" s="1">
        <v>13.322965267</v>
      </c>
      <c r="K1155" s="1">
        <v>23.226918608</v>
      </c>
      <c r="L1155" s="1">
        <v>35.6</v>
      </c>
      <c r="M1155" s="1">
        <v>6.5</v>
      </c>
      <c r="N1155" s="1">
        <v>34.4</v>
      </c>
      <c r="O1155" s="1">
        <v>43.599517491</v>
      </c>
      <c r="P1155" s="1">
        <v>9.7784140421</v>
      </c>
      <c r="Q1155" s="1">
        <v>68.59047</v>
      </c>
      <c r="R1155" s="1">
        <v>78.4</v>
      </c>
      <c r="S1155" s="1">
        <v>36.9</v>
      </c>
      <c r="T1155" s="1">
        <v>4872.0</v>
      </c>
      <c r="U1155" s="1">
        <v>56.465517241</v>
      </c>
      <c r="V1155" s="1">
        <v>484.94983278</v>
      </c>
      <c r="W1155" s="1">
        <v>9.4327176781</v>
      </c>
      <c r="X1155" s="1">
        <v>7.997311828</v>
      </c>
      <c r="Y1155" s="1">
        <v>74.8189694</v>
      </c>
      <c r="Z1155" s="1">
        <v>18.8</v>
      </c>
      <c r="AA1155" s="1">
        <v>6.4191576315</v>
      </c>
      <c r="AB1155" s="1">
        <v>35103.0</v>
      </c>
      <c r="AC1155" s="1">
        <v>66.702042982</v>
      </c>
      <c r="AD1155" s="1">
        <v>64.5650115</v>
      </c>
      <c r="AE1155" s="1">
        <v>10.999097201</v>
      </c>
      <c r="AF1155" s="1">
        <v>35.37044374</v>
      </c>
      <c r="AG1155" s="1">
        <v>0.3516244057</v>
      </c>
      <c r="AH1155" s="1">
        <v>0.3268621236</v>
      </c>
      <c r="AI1155" s="1">
        <v>0.0346671949</v>
      </c>
      <c r="AJ1155" s="1">
        <v>2.273177496</v>
      </c>
      <c r="AK1155" s="1">
        <v>60.786450079</v>
      </c>
      <c r="AL1155" s="1">
        <v>0.1509551819</v>
      </c>
      <c r="AM1155" s="1">
        <v>51.208399366</v>
      </c>
      <c r="AN1155" s="1">
        <v>66.045838359</v>
      </c>
      <c r="AO1155" s="1">
        <v>19347.0</v>
      </c>
      <c r="AP1155" s="1">
        <v>24.0</v>
      </c>
      <c r="AQ1155" s="1">
        <v>10.7</v>
      </c>
      <c r="AR1155" s="1">
        <v>20.5</v>
      </c>
      <c r="AS1155" s="1">
        <v>15.3</v>
      </c>
      <c r="AT1155" s="1">
        <v>25.0</v>
      </c>
      <c r="AU1155" s="1">
        <v>14.3</v>
      </c>
      <c r="AV1155" s="1">
        <v>39.3</v>
      </c>
      <c r="AW1155" s="1">
        <v>0.1</v>
      </c>
      <c r="AX1155" s="1">
        <v>0.8972</v>
      </c>
      <c r="AY1155" s="1">
        <v>25.1</v>
      </c>
      <c r="AZ1155" s="1">
        <v>18.9</v>
      </c>
      <c r="BA1155" s="1">
        <v>30.4</v>
      </c>
      <c r="BB1155" s="1">
        <v>3.08</v>
      </c>
      <c r="BC1155" s="1" t="s">
        <v>1938</v>
      </c>
      <c r="BD1155" s="1">
        <v>21.7</v>
      </c>
      <c r="BE1155" s="1">
        <v>40.9</v>
      </c>
      <c r="BF1155" s="1">
        <v>24.2</v>
      </c>
      <c r="BG1155" s="1">
        <v>13.2</v>
      </c>
      <c r="BH1155" s="1" t="s">
        <v>2008</v>
      </c>
    </row>
    <row r="1156">
      <c r="A1156" s="1">
        <v>22085.0</v>
      </c>
      <c r="B1156" s="2" t="str">
        <f>IFERROR(__xludf.DUMMYFUNCTION("TO_TEXT(A1156)"),"22085")</f>
        <v>22085</v>
      </c>
      <c r="C1156" s="1">
        <v>24144.0</v>
      </c>
      <c r="D1156" s="1">
        <v>866.658690957953</v>
      </c>
      <c r="E1156" s="1" t="s">
        <v>2009</v>
      </c>
      <c r="F1156" s="1" t="s">
        <v>2010</v>
      </c>
      <c r="G1156" s="1">
        <v>27.8587179150222</v>
      </c>
      <c r="H1156" s="1">
        <v>20.330524062</v>
      </c>
      <c r="I1156" s="1">
        <v>4.943931888</v>
      </c>
      <c r="J1156" s="1">
        <v>10.034431874</v>
      </c>
      <c r="K1156" s="1">
        <v>20.954495737</v>
      </c>
      <c r="L1156" s="1">
        <v>45.8</v>
      </c>
      <c r="M1156" s="1">
        <v>7.1</v>
      </c>
      <c r="N1156" s="1">
        <v>36.8</v>
      </c>
      <c r="O1156" s="1">
        <v>26.253456031</v>
      </c>
      <c r="P1156" s="1">
        <v>12.566193603</v>
      </c>
      <c r="Q1156" s="1">
        <v>12.49063</v>
      </c>
      <c r="R1156" s="1">
        <v>93.3</v>
      </c>
      <c r="S1156" s="1">
        <v>30.1</v>
      </c>
      <c r="T1156" s="1">
        <v>5752.0</v>
      </c>
      <c r="U1156" s="1">
        <v>38.8734353269999</v>
      </c>
      <c r="V1156" s="1">
        <v>112.16324065</v>
      </c>
      <c r="W1156" s="1">
        <v>9.571508069</v>
      </c>
      <c r="X1156" s="1">
        <v>7.3226544622</v>
      </c>
      <c r="Y1156" s="1">
        <v>76.401094361</v>
      </c>
      <c r="Z1156" s="1">
        <v>11.4</v>
      </c>
      <c r="AA1156" s="1">
        <v>12.101744112</v>
      </c>
      <c r="AB1156" s="1">
        <v>36423.0</v>
      </c>
      <c r="AC1156" s="1">
        <v>64.130434783</v>
      </c>
      <c r="AD1156" s="1">
        <v>68.3941208489999</v>
      </c>
      <c r="AE1156" s="1">
        <v>10.654936461</v>
      </c>
      <c r="AF1156" s="1">
        <v>16.665279627</v>
      </c>
      <c r="AG1156" s="1">
        <v>9.1752663116</v>
      </c>
      <c r="AH1156" s="1">
        <v>0.4327563249</v>
      </c>
      <c r="AI1156" s="1">
        <v>0.0457723036</v>
      </c>
      <c r="AJ1156" s="1">
        <v>3.9613848202</v>
      </c>
      <c r="AK1156" s="1">
        <v>67.347703063</v>
      </c>
      <c r="AL1156" s="1">
        <v>0.2523463786</v>
      </c>
      <c r="AM1156" s="1">
        <v>50.64081225</v>
      </c>
      <c r="AN1156" s="1">
        <v>88.1979119379999</v>
      </c>
      <c r="AO1156" s="1">
        <v>22725.0</v>
      </c>
      <c r="AP1156" s="1">
        <v>19.5</v>
      </c>
      <c r="AQ1156" s="1">
        <v>9.8</v>
      </c>
      <c r="AR1156" s="1">
        <v>17.5</v>
      </c>
      <c r="AS1156" s="1">
        <v>18.5</v>
      </c>
      <c r="AT1156" s="1">
        <v>24.2</v>
      </c>
      <c r="AU1156" s="1">
        <v>15.7</v>
      </c>
      <c r="AV1156" s="1">
        <v>31.7</v>
      </c>
      <c r="AW1156" s="1">
        <v>0.4</v>
      </c>
      <c r="AX1156" s="1">
        <v>0.8252</v>
      </c>
      <c r="AY1156" s="1">
        <v>18.4</v>
      </c>
      <c r="AZ1156" s="1">
        <v>15.5</v>
      </c>
      <c r="BA1156" s="1">
        <v>22.9</v>
      </c>
      <c r="BB1156" s="1">
        <v>3.07</v>
      </c>
      <c r="BC1156" s="1" t="s">
        <v>1938</v>
      </c>
      <c r="BD1156" s="1">
        <v>14.3</v>
      </c>
      <c r="BE1156" s="1">
        <v>46.6</v>
      </c>
      <c r="BF1156" s="1">
        <v>25.8</v>
      </c>
      <c r="BG1156" s="1">
        <v>13.3</v>
      </c>
      <c r="BH1156" s="1" t="s">
        <v>2010</v>
      </c>
    </row>
    <row r="1157">
      <c r="A1157" s="1">
        <v>22087.0</v>
      </c>
      <c r="B1157" s="2" t="str">
        <f>IFERROR(__xludf.DUMMYFUNCTION("TO_TEXT(A1157)"),"22087")</f>
        <v>22087</v>
      </c>
      <c r="C1157" s="1">
        <v>44091.0</v>
      </c>
      <c r="D1157" s="1">
        <v>377.508546318896</v>
      </c>
      <c r="E1157" s="1" t="s">
        <v>2011</v>
      </c>
      <c r="F1157" s="1" t="s">
        <v>2012</v>
      </c>
      <c r="G1157" s="1">
        <v>116.794706848185</v>
      </c>
      <c r="H1157" s="1">
        <v>22.946131654</v>
      </c>
      <c r="I1157" s="1">
        <v>5.0108413057</v>
      </c>
      <c r="J1157" s="1">
        <v>10.223214286</v>
      </c>
      <c r="K1157" s="1">
        <v>22.517842045</v>
      </c>
      <c r="L1157" s="1">
        <v>42.5</v>
      </c>
      <c r="M1157" s="1">
        <v>6.4</v>
      </c>
      <c r="N1157" s="1">
        <v>32.8</v>
      </c>
      <c r="O1157" s="1">
        <v>56.603615901</v>
      </c>
      <c r="P1157" s="1">
        <v>10.229958637</v>
      </c>
      <c r="Q1157" s="1">
        <v>21.64408</v>
      </c>
      <c r="R1157" s="1">
        <v>91.0</v>
      </c>
      <c r="S1157" s="1">
        <v>29.8</v>
      </c>
      <c r="T1157" s="1">
        <v>12217.0</v>
      </c>
      <c r="U1157" s="1">
        <v>42.023410002</v>
      </c>
      <c r="V1157" s="1">
        <v>238.70472981</v>
      </c>
      <c r="W1157" s="1">
        <v>15.818058384</v>
      </c>
      <c r="X1157" s="1">
        <v>14.016736402</v>
      </c>
      <c r="Y1157" s="1">
        <v>74.895082207</v>
      </c>
      <c r="Z1157" s="1">
        <v>13.4</v>
      </c>
      <c r="AA1157" s="1">
        <v>19.183185998</v>
      </c>
      <c r="AB1157" s="1">
        <v>43983.0</v>
      </c>
      <c r="AC1157" s="1">
        <v>69.797349961</v>
      </c>
      <c r="AD1157" s="1">
        <v>67.855479406</v>
      </c>
      <c r="AE1157" s="1">
        <v>16.048353481</v>
      </c>
      <c r="AF1157" s="1">
        <v>22.9126088909999</v>
      </c>
      <c r="AG1157" s="1">
        <v>0.8411635025</v>
      </c>
      <c r="AH1157" s="1">
        <v>2.3372787398</v>
      </c>
      <c r="AI1157" s="1">
        <v>0.0642109544</v>
      </c>
      <c r="AJ1157" s="1">
        <v>10.209541748</v>
      </c>
      <c r="AK1157" s="1">
        <v>62.068448877</v>
      </c>
      <c r="AL1157" s="1">
        <v>1.7846153846</v>
      </c>
      <c r="AM1157" s="1">
        <v>50.99419961</v>
      </c>
      <c r="AN1157" s="1">
        <v>4.253837368</v>
      </c>
      <c r="AO1157" s="1">
        <v>19990.0</v>
      </c>
      <c r="AP1157" s="1">
        <v>20.1</v>
      </c>
      <c r="AQ1157" s="1">
        <v>11.1</v>
      </c>
      <c r="AR1157" s="1">
        <v>18.2</v>
      </c>
      <c r="AS1157" s="1">
        <v>9.9</v>
      </c>
      <c r="AT1157" s="1">
        <v>26.9</v>
      </c>
      <c r="AU1157" s="1">
        <v>12.1</v>
      </c>
      <c r="AV1157" s="1">
        <v>35.7</v>
      </c>
      <c r="AW1157" s="1">
        <v>1.8</v>
      </c>
      <c r="AX1157" s="1">
        <v>0.7049</v>
      </c>
      <c r="AY1157" s="1">
        <v>19.2</v>
      </c>
      <c r="AZ1157" s="1">
        <v>15.0</v>
      </c>
      <c r="BA1157" s="1">
        <v>22.3</v>
      </c>
      <c r="BB1157" s="1">
        <v>3.34</v>
      </c>
      <c r="BC1157" s="1" t="s">
        <v>1938</v>
      </c>
      <c r="BD1157" s="1">
        <v>19.8</v>
      </c>
      <c r="BE1157" s="1">
        <v>32.6</v>
      </c>
      <c r="BF1157" s="1">
        <v>36.0</v>
      </c>
      <c r="BG1157" s="1">
        <v>11.6</v>
      </c>
      <c r="BH1157" s="1" t="s">
        <v>2012</v>
      </c>
    </row>
    <row r="1158">
      <c r="A1158" s="1">
        <v>22089.0</v>
      </c>
      <c r="B1158" s="2" t="str">
        <f>IFERROR(__xludf.DUMMYFUNCTION("TO_TEXT(A1158)"),"22089")</f>
        <v>22089</v>
      </c>
      <c r="C1158" s="1">
        <v>52708.0</v>
      </c>
      <c r="D1158" s="1">
        <v>277.721628439122</v>
      </c>
      <c r="E1158" s="1" t="s">
        <v>2013</v>
      </c>
      <c r="F1158" s="1" t="s">
        <v>2014</v>
      </c>
      <c r="G1158" s="1">
        <v>189.787163125301</v>
      </c>
      <c r="H1158" s="1">
        <v>18.542104148</v>
      </c>
      <c r="I1158" s="1">
        <v>4.4733757641</v>
      </c>
      <c r="J1158" s="1">
        <v>9.6981802042</v>
      </c>
      <c r="K1158" s="1">
        <v>18.7244737079999</v>
      </c>
      <c r="L1158" s="1">
        <v>37.3</v>
      </c>
      <c r="M1158" s="1">
        <v>7.0</v>
      </c>
      <c r="N1158" s="1">
        <v>24.8</v>
      </c>
      <c r="O1158" s="1">
        <v>81.051534672</v>
      </c>
      <c r="P1158" s="1">
        <v>7.37791932059999</v>
      </c>
      <c r="Q1158" s="1">
        <v>34.12387</v>
      </c>
      <c r="R1158" s="1">
        <v>81.6</v>
      </c>
      <c r="S1158" s="1">
        <v>21.7</v>
      </c>
      <c r="T1158" s="1">
        <v>13021.0</v>
      </c>
      <c r="U1158" s="1">
        <v>40.849397128</v>
      </c>
      <c r="V1158" s="1">
        <v>332.6332196</v>
      </c>
      <c r="W1158" s="1">
        <v>12.5100887809999</v>
      </c>
      <c r="X1158" s="1">
        <v>10.935879945</v>
      </c>
      <c r="Y1158" s="1">
        <v>77.81472246</v>
      </c>
      <c r="Z1158" s="1">
        <v>10.9</v>
      </c>
      <c r="AA1158" s="1">
        <v>18.259066134</v>
      </c>
      <c r="AB1158" s="1">
        <v>67585.0</v>
      </c>
      <c r="AC1158" s="1">
        <v>51.851059277</v>
      </c>
      <c r="AD1158" s="1">
        <v>80.44451551</v>
      </c>
      <c r="AE1158" s="1">
        <v>10.757234638</v>
      </c>
      <c r="AF1158" s="1">
        <v>25.9895232509999</v>
      </c>
      <c r="AG1158" s="1">
        <v>0.4330641654</v>
      </c>
      <c r="AH1158" s="1">
        <v>1.1044081772</v>
      </c>
      <c r="AI1158" s="1">
        <v>0.0491688572</v>
      </c>
      <c r="AJ1158" s="1">
        <v>6.30117816149999</v>
      </c>
      <c r="AK1158" s="1">
        <v>64.868851529</v>
      </c>
      <c r="AL1158" s="1">
        <v>0.7900814392</v>
      </c>
      <c r="AM1158" s="1">
        <v>50.944609391</v>
      </c>
      <c r="AN1158" s="1">
        <v>11.489200455</v>
      </c>
      <c r="AO1158" s="1">
        <v>28146.0</v>
      </c>
      <c r="AP1158" s="1">
        <v>12.6</v>
      </c>
      <c r="AQ1158" s="1">
        <v>8.2</v>
      </c>
      <c r="AR1158" s="1">
        <v>12.8</v>
      </c>
      <c r="AS1158" s="1">
        <v>11.4</v>
      </c>
      <c r="AT1158" s="1">
        <v>25.4</v>
      </c>
      <c r="AU1158" s="1">
        <v>11.7</v>
      </c>
      <c r="AV1158" s="1">
        <v>34.3</v>
      </c>
      <c r="AW1158" s="1">
        <v>0.9</v>
      </c>
      <c r="AX1158" s="1">
        <v>0.4002</v>
      </c>
      <c r="AY1158" s="1">
        <v>11.1</v>
      </c>
      <c r="AZ1158" s="1">
        <v>10.9</v>
      </c>
      <c r="BA1158" s="1">
        <v>17.8</v>
      </c>
      <c r="BB1158" s="1">
        <v>3.61</v>
      </c>
      <c r="BC1158" s="1" t="s">
        <v>1938</v>
      </c>
      <c r="BD1158" s="1">
        <v>10.0</v>
      </c>
      <c r="BE1158" s="1">
        <v>34.5</v>
      </c>
      <c r="BF1158" s="1">
        <v>30.3</v>
      </c>
      <c r="BG1158" s="1">
        <v>25.3</v>
      </c>
      <c r="BH1158" s="1" t="s">
        <v>2014</v>
      </c>
    </row>
    <row r="1159">
      <c r="A1159" s="1">
        <v>22091.0</v>
      </c>
      <c r="B1159" s="2" t="str">
        <f>IFERROR(__xludf.DUMMYFUNCTION("TO_TEXT(A1159)"),"22091")</f>
        <v>22091</v>
      </c>
      <c r="C1159" s="1">
        <v>10714.0</v>
      </c>
      <c r="D1159" s="1">
        <v>408.408109841466</v>
      </c>
      <c r="E1159" s="1" t="s">
        <v>2015</v>
      </c>
      <c r="F1159" s="1" t="s">
        <v>2016</v>
      </c>
      <c r="G1159" s="1">
        <v>26.2335632956919</v>
      </c>
      <c r="H1159" s="1">
        <v>26.773023181</v>
      </c>
      <c r="I1159" s="1">
        <v>5.357077041</v>
      </c>
      <c r="J1159" s="1">
        <v>10.85080148</v>
      </c>
      <c r="K1159" s="1">
        <v>23.91719357</v>
      </c>
      <c r="L1159" s="1">
        <v>32.4</v>
      </c>
      <c r="M1159" s="1">
        <v>6.6</v>
      </c>
      <c r="N1159" s="1">
        <v>31.1</v>
      </c>
      <c r="O1159" s="1">
        <v>18.67356958</v>
      </c>
      <c r="P1159" s="1">
        <v>10.120048019</v>
      </c>
      <c r="Q1159" s="1">
        <v>19.29943</v>
      </c>
      <c r="R1159" s="1">
        <v>73.9</v>
      </c>
      <c r="S1159" s="1">
        <v>35.3</v>
      </c>
      <c r="T1159" s="1">
        <v>2273.0</v>
      </c>
      <c r="U1159" s="1">
        <v>56.885173779</v>
      </c>
      <c r="V1159" s="1">
        <v>340.30380746</v>
      </c>
      <c r="W1159" s="1">
        <v>12.39157373</v>
      </c>
      <c r="X1159" s="1">
        <v>8.5095541401</v>
      </c>
      <c r="Y1159" s="1">
        <v>74.07798709</v>
      </c>
      <c r="Z1159" s="1">
        <v>11.4</v>
      </c>
      <c r="AA1159" s="1">
        <v>3.4681936954</v>
      </c>
      <c r="AB1159" s="1">
        <v>38699.0</v>
      </c>
      <c r="AC1159" s="1">
        <v>88.484335309</v>
      </c>
      <c r="AD1159" s="1">
        <v>82.9243089639999</v>
      </c>
      <c r="AE1159" s="1">
        <v>13.194248661</v>
      </c>
      <c r="AF1159" s="1">
        <v>51.93919314</v>
      </c>
      <c r="AG1159" s="1">
        <v>0.5262132138</v>
      </c>
      <c r="AH1159" s="1">
        <v>0.3995322549</v>
      </c>
      <c r="AI1159" s="1">
        <v>0.068212824</v>
      </c>
      <c r="AJ1159" s="1">
        <v>1.8807250049</v>
      </c>
      <c r="AK1159" s="1">
        <v>44.19216527</v>
      </c>
      <c r="AL1159" s="1">
        <v>0.1016880212</v>
      </c>
      <c r="AM1159" s="1">
        <v>51.793022803</v>
      </c>
      <c r="AN1159" s="1">
        <v>100.0</v>
      </c>
      <c r="AO1159" s="1">
        <v>19134.0</v>
      </c>
      <c r="AP1159" s="1">
        <v>27.6</v>
      </c>
      <c r="AQ1159" s="1">
        <v>14.3</v>
      </c>
      <c r="AR1159" s="1">
        <v>21.0</v>
      </c>
      <c r="AS1159" s="1">
        <v>17.4</v>
      </c>
      <c r="AT1159" s="1">
        <v>22.5</v>
      </c>
      <c r="AU1159" s="1">
        <v>22.9</v>
      </c>
      <c r="AV1159" s="1">
        <v>55.6</v>
      </c>
      <c r="AW1159" s="1">
        <v>0.5</v>
      </c>
      <c r="AX1159" s="1">
        <v>0.9468</v>
      </c>
      <c r="AY1159" s="1">
        <v>19.6</v>
      </c>
      <c r="AZ1159" s="1">
        <v>17.6</v>
      </c>
      <c r="BA1159" s="1">
        <v>27.7</v>
      </c>
      <c r="BB1159" s="1">
        <v>3.33</v>
      </c>
      <c r="BC1159" s="1" t="s">
        <v>1938</v>
      </c>
      <c r="BD1159" s="1">
        <v>22.5</v>
      </c>
      <c r="BE1159" s="1">
        <v>38.5</v>
      </c>
      <c r="BF1159" s="1">
        <v>22.4</v>
      </c>
      <c r="BG1159" s="1">
        <v>16.7</v>
      </c>
      <c r="BH1159" s="1" t="s">
        <v>2016</v>
      </c>
    </row>
    <row r="1160">
      <c r="A1160" s="1">
        <v>22093.0</v>
      </c>
      <c r="B1160" s="2" t="str">
        <f>IFERROR(__xludf.DUMMYFUNCTION("TO_TEXT(A1160)"),"22093")</f>
        <v>22093</v>
      </c>
      <c r="C1160" s="1">
        <v>21581.0</v>
      </c>
      <c r="D1160" s="1">
        <v>241.538533951176</v>
      </c>
      <c r="E1160" s="1" t="s">
        <v>2017</v>
      </c>
      <c r="F1160" s="1" t="s">
        <v>2018</v>
      </c>
      <c r="G1160" s="1">
        <v>89.3480623856164</v>
      </c>
      <c r="H1160" s="1">
        <v>20.207376606</v>
      </c>
      <c r="I1160" s="1">
        <v>4.634968662</v>
      </c>
      <c r="J1160" s="1">
        <v>11.809317443</v>
      </c>
      <c r="K1160" s="1">
        <v>19.006955472</v>
      </c>
      <c r="L1160" s="1">
        <v>38.1</v>
      </c>
      <c r="M1160" s="1">
        <v>6.7</v>
      </c>
      <c r="N1160" s="1">
        <v>35.4</v>
      </c>
      <c r="O1160" s="1">
        <v>31.838747625</v>
      </c>
      <c r="P1160" s="1">
        <v>7.1040416619</v>
      </c>
      <c r="Q1160" s="1">
        <v>23.40057</v>
      </c>
      <c r="R1160" s="1">
        <v>85.1</v>
      </c>
      <c r="S1160" s="1">
        <v>25.0</v>
      </c>
      <c r="T1160" s="1">
        <v>4856.0</v>
      </c>
      <c r="U1160" s="1">
        <v>52.079901153</v>
      </c>
      <c r="V1160" s="1">
        <v>580.37187809</v>
      </c>
      <c r="W1160" s="1">
        <v>12.13836478</v>
      </c>
      <c r="X1160" s="1">
        <v>9.30881420419999</v>
      </c>
      <c r="Y1160" s="1">
        <v>76.083533782</v>
      </c>
      <c r="Z1160" s="1">
        <v>8.7</v>
      </c>
      <c r="AA1160" s="1">
        <v>9.64959406889999</v>
      </c>
      <c r="AB1160" s="1">
        <v>53903.0</v>
      </c>
      <c r="AC1160" s="1">
        <v>57.839632278</v>
      </c>
      <c r="AD1160" s="1">
        <v>77.33367063</v>
      </c>
      <c r="AE1160" s="1">
        <v>10.640854473</v>
      </c>
      <c r="AF1160" s="1">
        <v>48.842515568</v>
      </c>
      <c r="AG1160" s="1">
        <v>0.2519370633</v>
      </c>
      <c r="AH1160" s="1">
        <v>0.3897894186</v>
      </c>
      <c r="AI1160" s="1">
        <v>0.019014118</v>
      </c>
      <c r="AJ1160" s="1">
        <v>1.6732423825</v>
      </c>
      <c r="AK1160" s="1">
        <v>48.25307791</v>
      </c>
      <c r="AL1160" s="1">
        <v>0.1344688481</v>
      </c>
      <c r="AM1160" s="1">
        <v>51.699386795</v>
      </c>
      <c r="AN1160" s="1">
        <v>27.70337526</v>
      </c>
      <c r="AO1160" s="1">
        <v>25275.0</v>
      </c>
      <c r="AP1160" s="1">
        <v>16.4</v>
      </c>
      <c r="AQ1160" s="1">
        <v>8.4</v>
      </c>
      <c r="AR1160" s="1">
        <v>14.5</v>
      </c>
      <c r="AS1160" s="1">
        <v>15.1</v>
      </c>
      <c r="AT1160" s="1">
        <v>23.6</v>
      </c>
      <c r="AU1160" s="1">
        <v>15.7</v>
      </c>
      <c r="AV1160" s="1">
        <v>52.0</v>
      </c>
      <c r="AW1160" s="1">
        <v>0.3</v>
      </c>
      <c r="AX1160" s="1">
        <v>0.6004</v>
      </c>
      <c r="AY1160" s="1">
        <v>16.6</v>
      </c>
      <c r="AZ1160" s="1">
        <v>14.9</v>
      </c>
      <c r="BA1160" s="1">
        <v>25.1</v>
      </c>
      <c r="BB1160" s="1">
        <v>3.59</v>
      </c>
      <c r="BC1160" s="1" t="s">
        <v>1938</v>
      </c>
      <c r="BD1160" s="1">
        <v>14.6</v>
      </c>
      <c r="BE1160" s="1">
        <v>41.1</v>
      </c>
      <c r="BF1160" s="1">
        <v>27.9</v>
      </c>
      <c r="BG1160" s="1">
        <v>16.3</v>
      </c>
      <c r="BH1160" s="1" t="s">
        <v>2018</v>
      </c>
    </row>
    <row r="1161">
      <c r="A1161" s="1">
        <v>22095.0</v>
      </c>
      <c r="B1161" s="2" t="str">
        <f>IFERROR(__xludf.DUMMYFUNCTION("TO_TEXT(A1161)"),"22095")</f>
        <v>22095</v>
      </c>
      <c r="C1161" s="1">
        <v>43888.0</v>
      </c>
      <c r="D1161" s="1">
        <v>214.306130158814</v>
      </c>
      <c r="E1161" s="1" t="s">
        <v>2019</v>
      </c>
      <c r="F1161" s="1" t="s">
        <v>2020</v>
      </c>
      <c r="G1161" s="1">
        <v>204.791155378879</v>
      </c>
      <c r="H1161" s="1">
        <v>21.526106578</v>
      </c>
      <c r="I1161" s="1">
        <v>4.6895413958</v>
      </c>
      <c r="J1161" s="1">
        <v>12.170125544</v>
      </c>
      <c r="K1161" s="1">
        <v>20.516015542</v>
      </c>
      <c r="L1161" s="1">
        <v>43.3</v>
      </c>
      <c r="M1161" s="1">
        <v>6.4</v>
      </c>
      <c r="N1161" s="1">
        <v>32.0</v>
      </c>
      <c r="O1161" s="1">
        <v>82.460151555</v>
      </c>
      <c r="P1161" s="1">
        <v>8.6324324324</v>
      </c>
      <c r="Q1161" s="1">
        <v>27.62367</v>
      </c>
      <c r="R1161" s="1">
        <v>80.7</v>
      </c>
      <c r="S1161" s="1">
        <v>28.9</v>
      </c>
      <c r="T1161" s="1">
        <v>10804.0</v>
      </c>
      <c r="U1161" s="1">
        <v>50.4257682339999</v>
      </c>
      <c r="V1161" s="1">
        <v>144.64411761</v>
      </c>
      <c r="W1161" s="1">
        <v>15.099251546</v>
      </c>
      <c r="X1161" s="1">
        <v>12.9265091859999</v>
      </c>
      <c r="Y1161" s="1">
        <v>74.570890372</v>
      </c>
      <c r="Z1161" s="1">
        <v>10.0</v>
      </c>
      <c r="AA1161" s="1">
        <v>12.9421009979999</v>
      </c>
      <c r="AB1161" s="1">
        <v>50830.0</v>
      </c>
      <c r="AC1161" s="1">
        <v>67.302904564</v>
      </c>
      <c r="AD1161" s="1">
        <v>76.2096251139999</v>
      </c>
      <c r="AE1161" s="1">
        <v>14.120077297</v>
      </c>
      <c r="AF1161" s="1">
        <v>57.041959985</v>
      </c>
      <c r="AG1161" s="1">
        <v>0.481659874</v>
      </c>
      <c r="AH1161" s="1">
        <v>1.1462578733</v>
      </c>
      <c r="AI1161" s="1">
        <v>0.1713597629</v>
      </c>
      <c r="AJ1161" s="1">
        <v>6.3379955539</v>
      </c>
      <c r="AK1161" s="1">
        <v>33.973230826</v>
      </c>
      <c r="AL1161" s="1">
        <v>0.861814242099999</v>
      </c>
      <c r="AM1161" s="1">
        <v>51.21804372</v>
      </c>
      <c r="AN1161" s="1">
        <v>13.446128386</v>
      </c>
      <c r="AO1161" s="1">
        <v>22775.0</v>
      </c>
      <c r="AP1161" s="1">
        <v>18.2</v>
      </c>
      <c r="AQ1161" s="1">
        <v>8.2</v>
      </c>
      <c r="AR1161" s="1">
        <v>17.0</v>
      </c>
      <c r="AS1161" s="1">
        <v>12.4</v>
      </c>
      <c r="AT1161" s="1">
        <v>25.3</v>
      </c>
      <c r="AU1161" s="1">
        <v>14.2</v>
      </c>
      <c r="AV1161" s="1">
        <v>62.9</v>
      </c>
      <c r="AW1161" s="1">
        <v>0.9</v>
      </c>
      <c r="AX1161" s="1">
        <v>0.7447</v>
      </c>
      <c r="AY1161" s="1">
        <v>16.0</v>
      </c>
      <c r="AZ1161" s="1">
        <v>14.9</v>
      </c>
      <c r="BA1161" s="1">
        <v>23.5</v>
      </c>
      <c r="BB1161" s="1">
        <v>3.46</v>
      </c>
      <c r="BC1161" s="1" t="s">
        <v>1938</v>
      </c>
      <c r="BD1161" s="1">
        <v>13.9</v>
      </c>
      <c r="BE1161" s="1">
        <v>38.8</v>
      </c>
      <c r="BF1161" s="1">
        <v>31.4</v>
      </c>
      <c r="BG1161" s="1">
        <v>15.9</v>
      </c>
      <c r="BH1161" s="1" t="s">
        <v>2020</v>
      </c>
    </row>
    <row r="1162">
      <c r="A1162" s="1">
        <v>22097.0</v>
      </c>
      <c r="B1162" s="2" t="str">
        <f>IFERROR(__xludf.DUMMYFUNCTION("TO_TEXT(A1162)"),"22097")</f>
        <v>22097</v>
      </c>
      <c r="C1162" s="1">
        <v>83699.0</v>
      </c>
      <c r="D1162" s="1">
        <v>923.905216347816</v>
      </c>
      <c r="E1162" s="1" t="s">
        <v>2021</v>
      </c>
      <c r="F1162" s="1" t="s">
        <v>2022</v>
      </c>
      <c r="G1162" s="1">
        <v>90.5926262986813</v>
      </c>
      <c r="H1162" s="1">
        <v>24.850128999</v>
      </c>
      <c r="I1162" s="1">
        <v>5.6033897565</v>
      </c>
      <c r="J1162" s="1">
        <v>10.953506698</v>
      </c>
      <c r="K1162" s="1">
        <v>24.398969339</v>
      </c>
      <c r="L1162" s="1">
        <v>33.7</v>
      </c>
      <c r="M1162" s="1">
        <v>6.2</v>
      </c>
      <c r="N1162" s="1">
        <v>31.9</v>
      </c>
      <c r="O1162" s="1">
        <v>51.8252902239999</v>
      </c>
      <c r="P1162" s="1">
        <v>9.7936813108</v>
      </c>
      <c r="Q1162" s="1">
        <v>69.4635699999999</v>
      </c>
      <c r="R1162" s="1">
        <v>69.1</v>
      </c>
      <c r="S1162" s="1">
        <v>46.6</v>
      </c>
      <c r="T1162" s="1">
        <v>22162.0</v>
      </c>
      <c r="U1162" s="1">
        <v>46.557169931</v>
      </c>
      <c r="V1162" s="1">
        <v>673.85615131</v>
      </c>
      <c r="W1162" s="1">
        <v>16.166092237</v>
      </c>
      <c r="X1162" s="1">
        <v>13.673916709</v>
      </c>
      <c r="Y1162" s="1">
        <v>72.908892405</v>
      </c>
      <c r="Z1162" s="1">
        <v>14.0</v>
      </c>
      <c r="AA1162" s="1">
        <v>8.8503918301</v>
      </c>
      <c r="AB1162" s="1">
        <v>36624.0</v>
      </c>
      <c r="AC1162" s="1">
        <v>51.36946807</v>
      </c>
      <c r="AD1162" s="1">
        <v>69.694955805</v>
      </c>
      <c r="AE1162" s="1">
        <v>13.4483008479999</v>
      </c>
      <c r="AF1162" s="1">
        <v>41.280025132</v>
      </c>
      <c r="AG1162" s="1">
        <v>0.4168479049</v>
      </c>
      <c r="AH1162" s="1">
        <v>0.4627615872</v>
      </c>
      <c r="AI1162" s="1">
        <v>0.0229568411</v>
      </c>
      <c r="AJ1162" s="1">
        <v>2.2739355275</v>
      </c>
      <c r="AK1162" s="1">
        <v>54.489874825</v>
      </c>
      <c r="AL1162" s="1">
        <v>0.8183221154</v>
      </c>
      <c r="AM1162" s="1">
        <v>51.7302208689999</v>
      </c>
      <c r="AN1162" s="1">
        <v>48.172311235</v>
      </c>
      <c r="AO1162" s="1">
        <v>19008.0</v>
      </c>
      <c r="AP1162" s="1">
        <v>27.9</v>
      </c>
      <c r="AQ1162" s="1">
        <v>5.8</v>
      </c>
      <c r="AR1162" s="1">
        <v>23.9</v>
      </c>
      <c r="AS1162" s="1">
        <v>14.8</v>
      </c>
      <c r="AT1162" s="1">
        <v>27.0</v>
      </c>
      <c r="AU1162" s="1">
        <v>13.1</v>
      </c>
      <c r="AV1162" s="1">
        <v>45.1</v>
      </c>
      <c r="AW1162" s="1">
        <v>0.7</v>
      </c>
      <c r="AX1162" s="1">
        <v>0.8774</v>
      </c>
      <c r="AY1162" s="1">
        <v>22.6</v>
      </c>
      <c r="AZ1162" s="1">
        <v>18.2</v>
      </c>
      <c r="BA1162" s="1">
        <v>29.0</v>
      </c>
      <c r="BB1162" s="1">
        <v>3.06</v>
      </c>
      <c r="BC1162" s="1" t="s">
        <v>1938</v>
      </c>
      <c r="BD1162" s="1">
        <v>23.3</v>
      </c>
      <c r="BE1162" s="1">
        <v>41.2</v>
      </c>
      <c r="BF1162" s="1">
        <v>20.8</v>
      </c>
      <c r="BG1162" s="1">
        <v>14.8</v>
      </c>
      <c r="BH1162" s="1" t="s">
        <v>2022</v>
      </c>
    </row>
    <row r="1163">
      <c r="A1163" s="1">
        <v>22099.0</v>
      </c>
      <c r="B1163" s="2" t="str">
        <f>IFERROR(__xludf.DUMMYFUNCTION("TO_TEXT(A1163)"),"22099")</f>
        <v>22099</v>
      </c>
      <c r="C1163" s="1">
        <v>53385.0</v>
      </c>
      <c r="D1163" s="1">
        <v>737.661528199944</v>
      </c>
      <c r="E1163" s="1" t="s">
        <v>2023</v>
      </c>
      <c r="F1163" s="1" t="s">
        <v>2024</v>
      </c>
      <c r="G1163" s="1">
        <v>72.3705899781315</v>
      </c>
      <c r="H1163" s="1">
        <v>19.895150587</v>
      </c>
      <c r="I1163" s="1">
        <v>4.8088437498</v>
      </c>
      <c r="J1163" s="1">
        <v>9.6742543171</v>
      </c>
      <c r="K1163" s="1">
        <v>21.504376531</v>
      </c>
      <c r="L1163" s="1">
        <v>36.9</v>
      </c>
      <c r="M1163" s="1">
        <v>7.8</v>
      </c>
      <c r="N1163" s="1">
        <v>32.5</v>
      </c>
      <c r="O1163" s="1">
        <v>59.936733129</v>
      </c>
      <c r="P1163" s="1">
        <v>9.9179700317</v>
      </c>
      <c r="Q1163" s="1">
        <v>16.61406</v>
      </c>
      <c r="R1163" s="1">
        <v>83.7</v>
      </c>
      <c r="S1163" s="1">
        <v>27.5</v>
      </c>
      <c r="T1163" s="1">
        <v>13087.0</v>
      </c>
      <c r="U1163" s="1">
        <v>37.953694506</v>
      </c>
      <c r="V1163" s="1">
        <v>263.32462184</v>
      </c>
      <c r="W1163" s="1">
        <v>11.44265698</v>
      </c>
      <c r="X1163" s="1">
        <v>7.0755461964</v>
      </c>
      <c r="Y1163" s="1">
        <v>75.814617298</v>
      </c>
      <c r="Z1163" s="1">
        <v>15.1</v>
      </c>
      <c r="AA1163" s="1">
        <v>1.66486199389999</v>
      </c>
      <c r="AB1163" s="1">
        <v>46229.0</v>
      </c>
      <c r="AC1163" s="1">
        <v>69.468310298</v>
      </c>
      <c r="AD1163" s="1">
        <v>77.976068726</v>
      </c>
      <c r="AE1163" s="1">
        <v>8.4658997083</v>
      </c>
      <c r="AF1163" s="1">
        <v>29.7495384269999</v>
      </c>
      <c r="AG1163" s="1">
        <v>0.7030827474</v>
      </c>
      <c r="AH1163" s="1">
        <v>0.9399302512</v>
      </c>
      <c r="AI1163" s="1">
        <v>0.0279741146</v>
      </c>
      <c r="AJ1163" s="1">
        <v>2.9876354413</v>
      </c>
      <c r="AK1163" s="1">
        <v>64.575446187</v>
      </c>
      <c r="AL1163" s="1">
        <v>1.4199389745</v>
      </c>
      <c r="AM1163" s="1">
        <v>50.84202085</v>
      </c>
      <c r="AN1163" s="1">
        <v>49.570552147</v>
      </c>
      <c r="AO1163" s="1">
        <v>23597.0</v>
      </c>
      <c r="AP1163" s="1">
        <v>17.3</v>
      </c>
      <c r="AQ1163" s="1">
        <v>7.0</v>
      </c>
      <c r="AR1163" s="1">
        <v>20.9</v>
      </c>
      <c r="AS1163" s="1">
        <v>13.2</v>
      </c>
      <c r="AT1163" s="1">
        <v>25.0</v>
      </c>
      <c r="AU1163" s="1">
        <v>15.1</v>
      </c>
      <c r="AV1163" s="1">
        <v>35.3</v>
      </c>
      <c r="AW1163" s="1">
        <v>1.7</v>
      </c>
      <c r="AX1163" s="1">
        <v>0.7577</v>
      </c>
      <c r="AY1163" s="1">
        <v>18.7</v>
      </c>
      <c r="AZ1163" s="1">
        <v>14.2</v>
      </c>
      <c r="BA1163" s="1">
        <v>23.7</v>
      </c>
      <c r="BB1163" s="1">
        <v>3.19</v>
      </c>
      <c r="BC1163" s="1" t="s">
        <v>1938</v>
      </c>
      <c r="BD1163" s="1">
        <v>18.1</v>
      </c>
      <c r="BE1163" s="1">
        <v>43.0</v>
      </c>
      <c r="BF1163" s="1">
        <v>24.4</v>
      </c>
      <c r="BG1163" s="1">
        <v>14.5</v>
      </c>
      <c r="BH1163" s="1" t="s">
        <v>2024</v>
      </c>
    </row>
    <row r="1164">
      <c r="A1164" s="1">
        <v>22101.0</v>
      </c>
      <c r="B1164" s="2" t="str">
        <f>IFERROR(__xludf.DUMMYFUNCTION("TO_TEXT(A1164)"),"22101")</f>
        <v>22101</v>
      </c>
      <c r="C1164" s="1">
        <v>53053.0</v>
      </c>
      <c r="D1164" s="1">
        <v>555.541172345444</v>
      </c>
      <c r="E1164" s="1" t="s">
        <v>2025</v>
      </c>
      <c r="F1164" s="1" t="s">
        <v>2026</v>
      </c>
      <c r="G1164" s="1">
        <v>95.4978724187356</v>
      </c>
      <c r="H1164" s="1">
        <v>23.921941918</v>
      </c>
      <c r="I1164" s="1">
        <v>5.0469280397</v>
      </c>
      <c r="J1164" s="1">
        <v>10.11040093</v>
      </c>
      <c r="K1164" s="1">
        <v>21.577659466</v>
      </c>
      <c r="L1164" s="1">
        <v>38.0</v>
      </c>
      <c r="M1164" s="1">
        <v>6.2</v>
      </c>
      <c r="N1164" s="1">
        <v>36.6</v>
      </c>
      <c r="O1164" s="1">
        <v>89.1418115279999</v>
      </c>
      <c r="P1164" s="1">
        <v>10.626813145</v>
      </c>
      <c r="Q1164" s="1">
        <v>51.0074</v>
      </c>
      <c r="R1164" s="1">
        <v>88.2</v>
      </c>
      <c r="S1164" s="1">
        <v>28.8</v>
      </c>
      <c r="T1164" s="1">
        <v>12526.0</v>
      </c>
      <c r="U1164" s="1">
        <v>44.02043749</v>
      </c>
      <c r="V1164" s="1">
        <v>516.95733682</v>
      </c>
      <c r="W1164" s="1">
        <v>13.885445078</v>
      </c>
      <c r="X1164" s="1">
        <v>9.4962216625</v>
      </c>
      <c r="Y1164" s="1">
        <v>75.440315013</v>
      </c>
      <c r="Z1164" s="1">
        <v>15.5</v>
      </c>
      <c r="AA1164" s="1">
        <v>14.707355942</v>
      </c>
      <c r="AB1164" s="1">
        <v>39764.0</v>
      </c>
      <c r="AC1164" s="1">
        <v>60.992511456</v>
      </c>
      <c r="AD1164" s="1">
        <v>60.962512665</v>
      </c>
      <c r="AE1164" s="1">
        <v>12.6638590659999</v>
      </c>
      <c r="AF1164" s="1">
        <v>31.365773295</v>
      </c>
      <c r="AG1164" s="1">
        <v>2.2863342307</v>
      </c>
      <c r="AH1164" s="1">
        <v>1.6635191064</v>
      </c>
      <c r="AI1164" s="1">
        <v>0.0843814039</v>
      </c>
      <c r="AJ1164" s="1">
        <v>7.1402740387</v>
      </c>
      <c r="AK1164" s="1">
        <v>56.171896974</v>
      </c>
      <c r="AL1164" s="1">
        <v>2.1564517133</v>
      </c>
      <c r="AM1164" s="1">
        <v>50.687105718</v>
      </c>
      <c r="AN1164" s="1">
        <v>13.0393412629999</v>
      </c>
      <c r="AO1164" s="1">
        <v>21989.0</v>
      </c>
      <c r="AP1164" s="1">
        <v>21.6</v>
      </c>
      <c r="AQ1164" s="1">
        <v>10.9</v>
      </c>
      <c r="AR1164" s="1">
        <v>21.7</v>
      </c>
      <c r="AS1164" s="1">
        <v>14.5</v>
      </c>
      <c r="AT1164" s="1">
        <v>24.7</v>
      </c>
      <c r="AU1164" s="1">
        <v>17.0</v>
      </c>
      <c r="AV1164" s="1">
        <v>43.6</v>
      </c>
      <c r="AW1164" s="1">
        <v>1.8</v>
      </c>
      <c r="AX1164" s="1">
        <v>0.95</v>
      </c>
      <c r="AY1164" s="1">
        <v>23.8</v>
      </c>
      <c r="AZ1164" s="1">
        <v>16.8</v>
      </c>
      <c r="BA1164" s="1">
        <v>24.7</v>
      </c>
      <c r="BB1164" s="1">
        <v>2.99</v>
      </c>
      <c r="BC1164" s="1" t="s">
        <v>1938</v>
      </c>
      <c r="BD1164" s="1">
        <v>17.2</v>
      </c>
      <c r="BE1164" s="1">
        <v>51.0</v>
      </c>
      <c r="BF1164" s="1">
        <v>21.6</v>
      </c>
      <c r="BG1164" s="1">
        <v>10.2</v>
      </c>
      <c r="BH1164" s="1" t="s">
        <v>2026</v>
      </c>
    </row>
    <row r="1165">
      <c r="A1165" s="1">
        <v>22103.0</v>
      </c>
      <c r="B1165" s="2" t="str">
        <f>IFERROR(__xludf.DUMMYFUNCTION("TO_TEXT(A1165)"),"22103")</f>
        <v>22103</v>
      </c>
      <c r="C1165" s="1">
        <v>246269.0</v>
      </c>
      <c r="D1165" s="1">
        <v>845.681474316026</v>
      </c>
      <c r="E1165" s="1" t="s">
        <v>2027</v>
      </c>
      <c r="F1165" s="1" t="s">
        <v>2028</v>
      </c>
      <c r="G1165" s="1">
        <v>291.207750765947</v>
      </c>
      <c r="H1165" s="1">
        <v>16.285333309</v>
      </c>
      <c r="I1165" s="1">
        <v>4.724847256</v>
      </c>
      <c r="J1165" s="1">
        <v>8.7297694949</v>
      </c>
      <c r="K1165" s="1">
        <v>17.709280575</v>
      </c>
      <c r="L1165" s="1">
        <v>30.2</v>
      </c>
      <c r="M1165" s="1">
        <v>8.4</v>
      </c>
      <c r="N1165" s="1">
        <v>22.3</v>
      </c>
      <c r="O1165" s="1">
        <v>81.3129973469999</v>
      </c>
      <c r="P1165" s="1">
        <v>8.9222987214</v>
      </c>
      <c r="Q1165" s="1">
        <v>81.14635</v>
      </c>
      <c r="R1165" s="1">
        <v>82.8</v>
      </c>
      <c r="S1165" s="1">
        <v>17.0</v>
      </c>
      <c r="T1165" s="1">
        <v>60837.0</v>
      </c>
      <c r="U1165" s="1">
        <v>30.573499679</v>
      </c>
      <c r="V1165" s="1">
        <v>165.01085651</v>
      </c>
      <c r="W1165" s="1">
        <v>13.015184382</v>
      </c>
      <c r="X1165" s="1">
        <v>11.367075837</v>
      </c>
      <c r="Y1165" s="1">
        <v>78.555623813</v>
      </c>
      <c r="Z1165" s="1">
        <v>11.2</v>
      </c>
      <c r="AA1165" s="1">
        <v>6.6506407986</v>
      </c>
      <c r="AB1165" s="1">
        <v>67054.0</v>
      </c>
      <c r="AC1165" s="1">
        <v>42.445930004</v>
      </c>
      <c r="AD1165" s="1">
        <v>78.524599076</v>
      </c>
      <c r="AE1165" s="1">
        <v>11.810048637</v>
      </c>
      <c r="AF1165" s="1">
        <v>12.252867952</v>
      </c>
      <c r="AG1165" s="1">
        <v>0.5544126364</v>
      </c>
      <c r="AH1165" s="1">
        <v>1.4768839763</v>
      </c>
      <c r="AI1165" s="1">
        <v>0.0503659278</v>
      </c>
      <c r="AJ1165" s="1">
        <v>5.73822890149999</v>
      </c>
      <c r="AK1165" s="1">
        <v>78.384493493</v>
      </c>
      <c r="AL1165" s="1">
        <v>1.6748905707</v>
      </c>
      <c r="AM1165" s="1">
        <v>51.462742773</v>
      </c>
      <c r="AN1165" s="1">
        <v>23.2181055869999</v>
      </c>
      <c r="AO1165" s="1">
        <v>31792.0</v>
      </c>
      <c r="AP1165" s="1">
        <v>11.1</v>
      </c>
      <c r="AQ1165" s="1">
        <v>7.3</v>
      </c>
      <c r="AR1165" s="1">
        <v>11.2</v>
      </c>
      <c r="AS1165" s="1">
        <v>14.9</v>
      </c>
      <c r="AT1165" s="1">
        <v>24.6</v>
      </c>
      <c r="AU1165" s="1">
        <v>14.8</v>
      </c>
      <c r="AV1165" s="1">
        <v>20.6</v>
      </c>
      <c r="AW1165" s="1">
        <v>1.3</v>
      </c>
      <c r="AX1165" s="1">
        <v>0.3228</v>
      </c>
      <c r="AY1165" s="1">
        <v>11.5</v>
      </c>
      <c r="AZ1165" s="1">
        <v>11.1</v>
      </c>
      <c r="BA1165" s="1">
        <v>17.7</v>
      </c>
      <c r="BB1165" s="1">
        <v>3.52</v>
      </c>
      <c r="BC1165" s="1" t="s">
        <v>1938</v>
      </c>
      <c r="BD1165" s="1">
        <v>9.5</v>
      </c>
      <c r="BE1165" s="1">
        <v>26.6</v>
      </c>
      <c r="BF1165" s="1">
        <v>30.1</v>
      </c>
      <c r="BG1165" s="1">
        <v>33.8</v>
      </c>
      <c r="BH1165" s="1" t="s">
        <v>2028</v>
      </c>
    </row>
    <row r="1166">
      <c r="A1166" s="1">
        <v>22105.0</v>
      </c>
      <c r="B1166" s="2" t="str">
        <f>IFERROR(__xludf.DUMMYFUNCTION("TO_TEXT(A1166)"),"22105")</f>
        <v>22105</v>
      </c>
      <c r="C1166" s="1">
        <v>127115.0</v>
      </c>
      <c r="D1166" s="1">
        <v>791.311452069588</v>
      </c>
      <c r="E1166" s="1" t="s">
        <v>2029</v>
      </c>
      <c r="F1166" s="1" t="s">
        <v>2030</v>
      </c>
      <c r="G1166" s="1">
        <v>160.638392970991</v>
      </c>
      <c r="H1166" s="1">
        <v>22.139360651</v>
      </c>
      <c r="I1166" s="1">
        <v>5.0362664276</v>
      </c>
      <c r="J1166" s="1">
        <v>10.525545308</v>
      </c>
      <c r="K1166" s="1">
        <v>22.024756151</v>
      </c>
      <c r="L1166" s="1">
        <v>38.7</v>
      </c>
      <c r="M1166" s="1">
        <v>6.7</v>
      </c>
      <c r="N1166" s="1">
        <v>33.7</v>
      </c>
      <c r="O1166" s="1">
        <v>67.893506858</v>
      </c>
      <c r="P1166" s="1">
        <v>10.112115536</v>
      </c>
      <c r="Q1166" s="1">
        <v>34.71777</v>
      </c>
      <c r="R1166" s="1">
        <v>70.6</v>
      </c>
      <c r="S1166" s="1">
        <v>24.3</v>
      </c>
      <c r="T1166" s="1">
        <v>31683.0</v>
      </c>
      <c r="U1166" s="1">
        <v>45.20089638</v>
      </c>
      <c r="V1166" s="1">
        <v>870.3028654</v>
      </c>
      <c r="W1166" s="1">
        <v>17.885825917</v>
      </c>
      <c r="X1166" s="1">
        <v>15.056724309</v>
      </c>
      <c r="Y1166" s="1">
        <v>74.642869541</v>
      </c>
      <c r="Z1166" s="1">
        <v>10.4</v>
      </c>
      <c r="AA1166" s="1">
        <v>11.136644314</v>
      </c>
      <c r="AB1166" s="1">
        <v>47128.0</v>
      </c>
      <c r="AC1166" s="1">
        <v>46.715402579</v>
      </c>
      <c r="AD1166" s="1">
        <v>68.2706672</v>
      </c>
      <c r="AE1166" s="1">
        <v>15.914594859</v>
      </c>
      <c r="AF1166" s="1">
        <v>30.064211337</v>
      </c>
      <c r="AG1166" s="1">
        <v>0.416364547</v>
      </c>
      <c r="AH1166" s="1">
        <v>0.7587253414</v>
      </c>
      <c r="AI1166" s="1">
        <v>0.0635385754</v>
      </c>
      <c r="AJ1166" s="1">
        <v>4.3766865754</v>
      </c>
      <c r="AK1166" s="1">
        <v>63.134918558</v>
      </c>
      <c r="AL1166" s="1">
        <v>0.9183707178</v>
      </c>
      <c r="AM1166" s="1">
        <v>51.568655299</v>
      </c>
      <c r="AN1166" s="1">
        <v>40.929172482</v>
      </c>
      <c r="AO1166" s="1">
        <v>22554.0</v>
      </c>
      <c r="AP1166" s="1">
        <v>22.3</v>
      </c>
      <c r="AQ1166" s="1">
        <v>9.8</v>
      </c>
      <c r="AR1166" s="1">
        <v>18.6</v>
      </c>
      <c r="AS1166" s="1">
        <v>12.9</v>
      </c>
      <c r="AT1166" s="1">
        <v>24.7</v>
      </c>
      <c r="AU1166" s="1">
        <v>20.5</v>
      </c>
      <c r="AV1166" s="1">
        <v>36.2</v>
      </c>
      <c r="AW1166" s="1">
        <v>0.7</v>
      </c>
      <c r="AX1166" s="1">
        <v>0.8739</v>
      </c>
      <c r="AY1166" s="1">
        <v>21.7</v>
      </c>
      <c r="AZ1166" s="1">
        <v>17.1</v>
      </c>
      <c r="BA1166" s="1">
        <v>27.0</v>
      </c>
      <c r="BB1166" s="1">
        <v>3.19</v>
      </c>
      <c r="BC1166" s="1" t="s">
        <v>1938</v>
      </c>
      <c r="BD1166" s="1">
        <v>16.4</v>
      </c>
      <c r="BE1166" s="1">
        <v>37.2</v>
      </c>
      <c r="BF1166" s="1">
        <v>26.5</v>
      </c>
      <c r="BG1166" s="1">
        <v>20.0</v>
      </c>
      <c r="BH1166" s="1" t="s">
        <v>2030</v>
      </c>
    </row>
    <row r="1167">
      <c r="A1167" s="1">
        <v>22107.0</v>
      </c>
      <c r="B1167" s="2" t="str">
        <f>IFERROR(__xludf.DUMMYFUNCTION("TO_TEXT(A1167)"),"22107")</f>
        <v>22107</v>
      </c>
      <c r="C1167" s="1">
        <v>4793.0</v>
      </c>
      <c r="D1167" s="1">
        <v>602.784182561714</v>
      </c>
      <c r="E1167" s="1" t="s">
        <v>2031</v>
      </c>
      <c r="F1167" s="1" t="s">
        <v>2032</v>
      </c>
      <c r="G1167" s="1">
        <v>7.95143624975474</v>
      </c>
      <c r="H1167" s="1">
        <v>34.955353717</v>
      </c>
      <c r="I1167" s="1">
        <v>6.1766249759</v>
      </c>
      <c r="J1167" s="1">
        <v>9.3434343434</v>
      </c>
      <c r="K1167" s="1">
        <v>28.4773187459999</v>
      </c>
      <c r="L1167" s="1">
        <v>30.7</v>
      </c>
      <c r="M1167" s="1">
        <v>4.4</v>
      </c>
      <c r="N1167" s="1">
        <v>33.2</v>
      </c>
      <c r="O1167" s="1">
        <v>15.308453922</v>
      </c>
      <c r="P1167" s="1">
        <v>10.970706491</v>
      </c>
      <c r="Q1167" s="1">
        <v>48.31939</v>
      </c>
      <c r="R1167" s="1">
        <v>84.0</v>
      </c>
      <c r="S1167" s="1">
        <v>47.7</v>
      </c>
      <c r="T1167" s="1">
        <v>1122.0</v>
      </c>
      <c r="U1167" s="1">
        <v>58.377896613</v>
      </c>
      <c r="V1167" s="1">
        <v>151.09000648</v>
      </c>
      <c r="W1167" s="1">
        <v>12.628865979</v>
      </c>
      <c r="X1167" s="1">
        <v>9.96852046169999</v>
      </c>
      <c r="Y1167" s="1">
        <v>75.120291787</v>
      </c>
      <c r="Z1167" s="1">
        <v>19.4</v>
      </c>
      <c r="AA1167" s="1">
        <v>16.891375296</v>
      </c>
      <c r="AB1167" s="1">
        <v>28962.0</v>
      </c>
      <c r="AC1167" s="1">
        <v>91.778202677</v>
      </c>
      <c r="AD1167" s="1">
        <v>66.136986301</v>
      </c>
      <c r="AE1167" s="1">
        <v>14.760638298</v>
      </c>
      <c r="AF1167" s="1">
        <v>53.899596593</v>
      </c>
      <c r="AG1167" s="1">
        <v>0.2017032721</v>
      </c>
      <c r="AH1167" s="1">
        <v>0.2017032721</v>
      </c>
      <c r="AI1167" s="1">
        <v>0.0</v>
      </c>
      <c r="AJ1167" s="1">
        <v>2.1963245182</v>
      </c>
      <c r="AK1167" s="1">
        <v>42.290452712</v>
      </c>
      <c r="AL1167" s="1">
        <v>0.0916380298</v>
      </c>
      <c r="AM1167" s="1">
        <v>51.636037651</v>
      </c>
      <c r="AN1167" s="1">
        <v>100.0</v>
      </c>
      <c r="AO1167" s="1">
        <v>16171.0</v>
      </c>
      <c r="AP1167" s="1">
        <v>33.8</v>
      </c>
      <c r="AQ1167" s="1">
        <v>15.0</v>
      </c>
      <c r="AR1167" s="1">
        <v>23.3</v>
      </c>
      <c r="AS1167" s="1">
        <v>20.1</v>
      </c>
      <c r="AT1167" s="1">
        <v>25.2</v>
      </c>
      <c r="AU1167" s="1">
        <v>13.1</v>
      </c>
      <c r="AV1167" s="1">
        <v>57.9</v>
      </c>
      <c r="AW1167" s="1">
        <v>0.4</v>
      </c>
      <c r="AX1167" s="1">
        <v>0.9258</v>
      </c>
      <c r="AY1167" s="1">
        <v>28.9</v>
      </c>
      <c r="AZ1167" s="1">
        <v>22.5</v>
      </c>
      <c r="BA1167" s="1">
        <v>35.0</v>
      </c>
      <c r="BB1167" s="1">
        <v>3.04</v>
      </c>
      <c r="BC1167" s="1" t="s">
        <v>1938</v>
      </c>
      <c r="BD1167" s="1">
        <v>22.5</v>
      </c>
      <c r="BE1167" s="1">
        <v>46.1</v>
      </c>
      <c r="BF1167" s="1">
        <v>20.0</v>
      </c>
      <c r="BG1167" s="1">
        <v>11.4</v>
      </c>
      <c r="BH1167" s="1" t="s">
        <v>2032</v>
      </c>
    </row>
    <row r="1168">
      <c r="A1168" s="1">
        <v>22109.0</v>
      </c>
      <c r="B1168" s="2" t="str">
        <f>IFERROR(__xludf.DUMMYFUNCTION("TO_TEXT(A1168)"),"22109")</f>
        <v>22109</v>
      </c>
      <c r="C1168" s="1">
        <v>113099.0</v>
      </c>
      <c r="D1168" s="1">
        <v>1231.76387848122</v>
      </c>
      <c r="E1168" s="1" t="s">
        <v>2033</v>
      </c>
      <c r="F1168" s="1" t="s">
        <v>2034</v>
      </c>
      <c r="G1168" s="1">
        <v>91.8187340738165</v>
      </c>
      <c r="H1168" s="1">
        <v>20.855001969</v>
      </c>
      <c r="I1168" s="1">
        <v>5.1144668213</v>
      </c>
      <c r="J1168" s="1">
        <v>9.2455490922</v>
      </c>
      <c r="K1168" s="1">
        <v>22.291235625</v>
      </c>
      <c r="L1168" s="1">
        <v>41.6</v>
      </c>
      <c r="M1168" s="1">
        <v>7.0</v>
      </c>
      <c r="N1168" s="1">
        <v>31.1</v>
      </c>
      <c r="O1168" s="1">
        <v>80.710709816</v>
      </c>
      <c r="P1168" s="1">
        <v>11.99987405</v>
      </c>
      <c r="Q1168" s="1">
        <v>41.03992</v>
      </c>
      <c r="R1168" s="1">
        <v>82.4</v>
      </c>
      <c r="S1168" s="1">
        <v>22.6</v>
      </c>
      <c r="T1168" s="1">
        <v>28465.0</v>
      </c>
      <c r="U1168" s="1">
        <v>39.676796065</v>
      </c>
      <c r="V1168" s="1">
        <v>404.04040404</v>
      </c>
      <c r="W1168" s="1">
        <v>13.4086629</v>
      </c>
      <c r="X1168" s="1">
        <v>9.8469387755</v>
      </c>
      <c r="Y1168" s="1">
        <v>75.611183375</v>
      </c>
      <c r="Z1168" s="1">
        <v>11.4</v>
      </c>
      <c r="AA1168" s="1">
        <v>12.290191948</v>
      </c>
      <c r="AB1168" s="1">
        <v>51665.0</v>
      </c>
      <c r="AC1168" s="1">
        <v>53.876537637</v>
      </c>
      <c r="AD1168" s="1">
        <v>70.955165692</v>
      </c>
      <c r="AE1168" s="1">
        <v>11.229748659</v>
      </c>
      <c r="AF1168" s="1">
        <v>18.955873213</v>
      </c>
      <c r="AG1168" s="1">
        <v>6.061916214</v>
      </c>
      <c r="AH1168" s="1">
        <v>1.1331189595</v>
      </c>
      <c r="AI1168" s="1">
        <v>0.1107898506</v>
      </c>
      <c r="AJ1168" s="1">
        <v>5.0675097504</v>
      </c>
      <c r="AK1168" s="1">
        <v>66.673872511</v>
      </c>
      <c r="AL1168" s="1">
        <v>1.6814760261</v>
      </c>
      <c r="AM1168" s="1">
        <v>50.7759793189999</v>
      </c>
      <c r="AN1168" s="1">
        <v>20.628464152</v>
      </c>
      <c r="AO1168" s="1">
        <v>24069.0</v>
      </c>
      <c r="AP1168" s="1">
        <v>20.2</v>
      </c>
      <c r="AQ1168" s="1">
        <v>5.3</v>
      </c>
      <c r="AR1168" s="1">
        <v>22.2</v>
      </c>
      <c r="AS1168" s="1">
        <v>12.6</v>
      </c>
      <c r="AT1168" s="1">
        <v>25.7</v>
      </c>
      <c r="AU1168" s="1">
        <v>14.2</v>
      </c>
      <c r="AV1168" s="1">
        <v>32.4</v>
      </c>
      <c r="AW1168" s="1">
        <v>1.6</v>
      </c>
      <c r="AX1168" s="1">
        <v>0.8042</v>
      </c>
      <c r="AY1168" s="1">
        <v>19.0</v>
      </c>
      <c r="AZ1168" s="1">
        <v>15.9</v>
      </c>
      <c r="BA1168" s="1">
        <v>24.1</v>
      </c>
      <c r="BB1168" s="1">
        <v>3.01</v>
      </c>
      <c r="BC1168" s="1" t="s">
        <v>1938</v>
      </c>
      <c r="BD1168" s="1">
        <v>21.0</v>
      </c>
      <c r="BE1168" s="1">
        <v>38.9</v>
      </c>
      <c r="BF1168" s="1">
        <v>24.4</v>
      </c>
      <c r="BG1168" s="1">
        <v>15.6</v>
      </c>
      <c r="BH1168" s="1" t="s">
        <v>2034</v>
      </c>
    </row>
    <row r="1169">
      <c r="A1169" s="1">
        <v>22111.0</v>
      </c>
      <c r="B1169" s="2" t="str">
        <f>IFERROR(__xludf.DUMMYFUNCTION("TO_TEXT(A1169)"),"22111")</f>
        <v>22111</v>
      </c>
      <c r="C1169" s="1">
        <v>22460.0</v>
      </c>
      <c r="D1169" s="1">
        <v>876.976580032496</v>
      </c>
      <c r="E1169" s="1" t="s">
        <v>406</v>
      </c>
      <c r="F1169" s="1" t="s">
        <v>2035</v>
      </c>
      <c r="G1169" s="1">
        <v>25.6107181324817</v>
      </c>
      <c r="H1169" s="1">
        <v>20.668147156</v>
      </c>
      <c r="I1169" s="1">
        <v>4.954710642</v>
      </c>
      <c r="J1169" s="1">
        <v>11.040676175</v>
      </c>
      <c r="K1169" s="1">
        <v>19.369310994</v>
      </c>
      <c r="L1169" s="1">
        <v>38.1</v>
      </c>
      <c r="M1169" s="1">
        <v>7.2</v>
      </c>
      <c r="N1169" s="1">
        <v>31.9</v>
      </c>
      <c r="O1169" s="1">
        <v>39.698956912</v>
      </c>
      <c r="P1169" s="1">
        <v>10.188185798</v>
      </c>
      <c r="Q1169" s="1">
        <v>8.86093</v>
      </c>
      <c r="R1169" s="1">
        <v>64.8</v>
      </c>
      <c r="S1169" s="1">
        <v>29.5</v>
      </c>
      <c r="T1169" s="1">
        <v>4921.0</v>
      </c>
      <c r="U1169" s="1">
        <v>36.923389555</v>
      </c>
      <c r="V1169" s="1">
        <v>271.39172367</v>
      </c>
      <c r="W1169" s="1">
        <v>11.775472849</v>
      </c>
      <c r="X1169" s="1">
        <v>8.8691232529</v>
      </c>
      <c r="Y1169" s="1">
        <v>75.468464188</v>
      </c>
      <c r="Z1169" s="1">
        <v>16.3</v>
      </c>
      <c r="AA1169" s="1">
        <v>8.9165560623</v>
      </c>
      <c r="AB1169" s="1">
        <v>43584.0</v>
      </c>
      <c r="AC1169" s="1">
        <v>58.418789282</v>
      </c>
      <c r="AD1169" s="1">
        <v>82.4184360439999</v>
      </c>
      <c r="AE1169" s="1">
        <v>5.406162465</v>
      </c>
      <c r="AF1169" s="1">
        <v>24.849977609</v>
      </c>
      <c r="AG1169" s="1">
        <v>0.5463502015</v>
      </c>
      <c r="AH1169" s="1">
        <v>0.2642185401</v>
      </c>
      <c r="AI1169" s="1">
        <v>0.0671742051</v>
      </c>
      <c r="AJ1169" s="1">
        <v>4.5902373489</v>
      </c>
      <c r="AK1169" s="1">
        <v>69.189431258</v>
      </c>
      <c r="AL1169" s="1">
        <v>0.9634002361</v>
      </c>
      <c r="AM1169" s="1">
        <v>50.488132557</v>
      </c>
      <c r="AN1169" s="1">
        <v>82.910083183</v>
      </c>
      <c r="AO1169" s="1">
        <v>20090.0</v>
      </c>
      <c r="AP1169" s="1">
        <v>24.9</v>
      </c>
      <c r="AQ1169" s="1">
        <v>6.6</v>
      </c>
      <c r="AR1169" s="1">
        <v>14.8</v>
      </c>
      <c r="AS1169" s="1">
        <v>18.6</v>
      </c>
      <c r="AT1169" s="1">
        <v>22.6</v>
      </c>
      <c r="AU1169" s="1">
        <v>16.1</v>
      </c>
      <c r="AV1169" s="1">
        <v>31.8</v>
      </c>
      <c r="AW1169" s="1">
        <v>0.6</v>
      </c>
      <c r="AX1169" s="1">
        <v>0.8335</v>
      </c>
      <c r="AY1169" s="1">
        <v>19.4</v>
      </c>
      <c r="AZ1169" s="1">
        <v>14.6</v>
      </c>
      <c r="BA1169" s="1">
        <v>26.4</v>
      </c>
      <c r="BB1169" s="1">
        <v>3.08</v>
      </c>
      <c r="BC1169" s="1" t="s">
        <v>1938</v>
      </c>
      <c r="BD1169" s="1">
        <v>14.3</v>
      </c>
      <c r="BE1169" s="1">
        <v>44.8</v>
      </c>
      <c r="BF1169" s="1">
        <v>23.6</v>
      </c>
      <c r="BG1169" s="1">
        <v>17.2</v>
      </c>
      <c r="BH1169" s="1" t="s">
        <v>2035</v>
      </c>
    </row>
    <row r="1170">
      <c r="A1170" s="1">
        <v>22113.0</v>
      </c>
      <c r="B1170" s="2" t="str">
        <f>IFERROR(__xludf.DUMMYFUNCTION("TO_TEXT(A1170)"),"22113")</f>
        <v>22113</v>
      </c>
      <c r="C1170" s="1">
        <v>59524.0</v>
      </c>
      <c r="D1170" s="1">
        <v>1173.20945071315</v>
      </c>
      <c r="E1170" s="1" t="s">
        <v>1290</v>
      </c>
      <c r="F1170" s="1" t="s">
        <v>2036</v>
      </c>
      <c r="G1170" s="1">
        <v>50.7360386193766</v>
      </c>
      <c r="H1170" s="1">
        <v>20.816313012</v>
      </c>
      <c r="I1170" s="1">
        <v>5.1111021304</v>
      </c>
      <c r="J1170" s="1">
        <v>9.8173928765</v>
      </c>
      <c r="K1170" s="1">
        <v>20.421327652</v>
      </c>
      <c r="L1170" s="1">
        <v>38.8</v>
      </c>
      <c r="M1170" s="1">
        <v>8.1</v>
      </c>
      <c r="N1170" s="1">
        <v>33.6</v>
      </c>
      <c r="O1170" s="1">
        <v>59.645855963</v>
      </c>
      <c r="P1170" s="1">
        <v>10.717370818</v>
      </c>
      <c r="Q1170" s="1">
        <v>31.59505</v>
      </c>
      <c r="R1170" s="1">
        <v>93.5</v>
      </c>
      <c r="S1170" s="1">
        <v>25.2</v>
      </c>
      <c r="T1170" s="1">
        <v>15250.0</v>
      </c>
      <c r="U1170" s="1">
        <v>33.809836066</v>
      </c>
      <c r="V1170" s="1">
        <v>387.05254886</v>
      </c>
      <c r="W1170" s="1">
        <v>13.612324672</v>
      </c>
      <c r="X1170" s="1">
        <v>8.3797585887</v>
      </c>
      <c r="Y1170" s="1">
        <v>76.768260036</v>
      </c>
      <c r="Z1170" s="1">
        <v>9.8</v>
      </c>
      <c r="AA1170" s="1">
        <v>2.3665219611</v>
      </c>
      <c r="AB1170" s="1">
        <v>48263.0</v>
      </c>
      <c r="AC1170" s="1">
        <v>39.834218124</v>
      </c>
      <c r="AD1170" s="1">
        <v>77.505547337</v>
      </c>
      <c r="AE1170" s="1">
        <v>8.3979201413</v>
      </c>
      <c r="AF1170" s="1">
        <v>14.156777536</v>
      </c>
      <c r="AG1170" s="1">
        <v>0.4312217951</v>
      </c>
      <c r="AH1170" s="1">
        <v>2.1093097108</v>
      </c>
      <c r="AI1170" s="1">
        <v>0.02172823</v>
      </c>
      <c r="AJ1170" s="1">
        <v>3.6703994652</v>
      </c>
      <c r="AK1170" s="1">
        <v>78.38375397</v>
      </c>
      <c r="AL1170" s="1">
        <v>1.8382023278</v>
      </c>
      <c r="AM1170" s="1">
        <v>51.57278957</v>
      </c>
      <c r="AN1170" s="1">
        <v>54.6216314069999</v>
      </c>
      <c r="AO1170" s="1">
        <v>23521.0</v>
      </c>
      <c r="AP1170" s="1">
        <v>17.3</v>
      </c>
      <c r="AQ1170" s="1">
        <v>8.2</v>
      </c>
      <c r="AR1170" s="1">
        <v>24.0</v>
      </c>
      <c r="AS1170" s="1">
        <v>13.8</v>
      </c>
      <c r="AT1170" s="1">
        <v>26.3</v>
      </c>
      <c r="AU1170" s="1">
        <v>15.5</v>
      </c>
      <c r="AV1170" s="1">
        <v>21.4</v>
      </c>
      <c r="AW1170" s="1">
        <v>2.0</v>
      </c>
      <c r="AX1170" s="1">
        <v>0.8227</v>
      </c>
      <c r="AY1170" s="1">
        <v>17.0</v>
      </c>
      <c r="AZ1170" s="1">
        <v>14.6</v>
      </c>
      <c r="BA1170" s="1">
        <v>22.2</v>
      </c>
      <c r="BB1170" s="1">
        <v>3.12</v>
      </c>
      <c r="BC1170" s="1" t="s">
        <v>1938</v>
      </c>
      <c r="BD1170" s="1">
        <v>22.1</v>
      </c>
      <c r="BE1170" s="1">
        <v>41.3</v>
      </c>
      <c r="BF1170" s="1">
        <v>22.4</v>
      </c>
      <c r="BG1170" s="1">
        <v>14.2</v>
      </c>
      <c r="BH1170" s="1" t="s">
        <v>2036</v>
      </c>
    </row>
    <row r="1171">
      <c r="A1171" s="1">
        <v>22115.0</v>
      </c>
      <c r="B1171" s="2" t="str">
        <f>IFERROR(__xludf.DUMMYFUNCTION("TO_TEXT(A1171)"),"22115")</f>
        <v>22115</v>
      </c>
      <c r="C1171" s="1">
        <v>52101.0</v>
      </c>
      <c r="D1171" s="1">
        <v>1327.91132670792</v>
      </c>
      <c r="E1171" s="1" t="s">
        <v>2037</v>
      </c>
      <c r="F1171" s="1" t="s">
        <v>2038</v>
      </c>
      <c r="G1171" s="1">
        <v>39.2353005446272</v>
      </c>
      <c r="H1171" s="1">
        <v>19.884700518</v>
      </c>
      <c r="I1171" s="1">
        <v>4.9349572807</v>
      </c>
      <c r="J1171" s="1">
        <v>7.8015201491</v>
      </c>
      <c r="K1171" s="1">
        <v>20.292667791</v>
      </c>
      <c r="L1171" s="1">
        <v>35.4</v>
      </c>
      <c r="M1171" s="1">
        <v>6.2</v>
      </c>
      <c r="N1171" s="1">
        <v>31.6</v>
      </c>
      <c r="O1171" s="1">
        <v>66.268582566</v>
      </c>
      <c r="P1171" s="1">
        <v>8.3273147479</v>
      </c>
      <c r="Q1171" s="1">
        <v>31.54201</v>
      </c>
      <c r="R1171" s="1">
        <v>90.8</v>
      </c>
      <c r="S1171" s="1">
        <v>23.6</v>
      </c>
      <c r="T1171" s="1">
        <v>12796.0</v>
      </c>
      <c r="U1171" s="1">
        <v>29.634260706</v>
      </c>
      <c r="V1171" s="1">
        <v>291.90559295</v>
      </c>
      <c r="W1171" s="1">
        <v>10.9893198429999</v>
      </c>
      <c r="X1171" s="1">
        <v>9.1397542155</v>
      </c>
      <c r="Y1171" s="1">
        <v>74.857248071</v>
      </c>
      <c r="Z1171" s="1">
        <v>13.0</v>
      </c>
      <c r="AA1171" s="1">
        <v>20.879428032</v>
      </c>
      <c r="AB1171" s="1">
        <v>47664.0</v>
      </c>
      <c r="AC1171" s="1">
        <v>60.678733032</v>
      </c>
      <c r="AD1171" s="1">
        <v>52.699286557</v>
      </c>
      <c r="AE1171" s="1">
        <v>11.732688237</v>
      </c>
      <c r="AF1171" s="1">
        <v>13.827261564</v>
      </c>
      <c r="AG1171" s="1">
        <v>1.6168645108</v>
      </c>
      <c r="AH1171" s="1">
        <v>2.0528039296</v>
      </c>
      <c r="AI1171" s="1">
        <v>0.4993860008</v>
      </c>
      <c r="AJ1171" s="1">
        <v>9.3819074908</v>
      </c>
      <c r="AK1171" s="1">
        <v>70.047073271</v>
      </c>
      <c r="AL1171" s="1">
        <v>0.5868620018</v>
      </c>
      <c r="AM1171" s="1">
        <v>46.69463774</v>
      </c>
      <c r="AN1171" s="1">
        <v>49.896816601</v>
      </c>
      <c r="AO1171" s="1">
        <v>22297.0</v>
      </c>
      <c r="AP1171" s="1">
        <v>14.5</v>
      </c>
      <c r="AQ1171" s="1">
        <v>8.2</v>
      </c>
      <c r="AR1171" s="1">
        <v>12.5</v>
      </c>
      <c r="AS1171" s="1">
        <v>10.5</v>
      </c>
      <c r="AT1171" s="1">
        <v>26.6</v>
      </c>
      <c r="AU1171" s="1">
        <v>17.4</v>
      </c>
      <c r="AV1171" s="1">
        <v>29.6</v>
      </c>
      <c r="AW1171" s="1">
        <v>0.8</v>
      </c>
      <c r="AX1171" s="1">
        <v>0.5954</v>
      </c>
      <c r="AY1171" s="1">
        <v>15.3</v>
      </c>
      <c r="AZ1171" s="1">
        <v>16.4</v>
      </c>
      <c r="BA1171" s="1">
        <v>24.4</v>
      </c>
      <c r="BB1171" s="1">
        <v>3.2</v>
      </c>
      <c r="BC1171" s="1" t="s">
        <v>1938</v>
      </c>
      <c r="BD1171" s="1">
        <v>13.2</v>
      </c>
      <c r="BE1171" s="1">
        <v>40.2</v>
      </c>
      <c r="BF1171" s="1">
        <v>29.0</v>
      </c>
      <c r="BG1171" s="1">
        <v>17.5</v>
      </c>
      <c r="BH1171" s="1" t="s">
        <v>2038</v>
      </c>
    </row>
    <row r="1172">
      <c r="A1172" s="1">
        <v>22117.0</v>
      </c>
      <c r="B1172" s="2" t="str">
        <f>IFERROR(__xludf.DUMMYFUNCTION("TO_TEXT(A1172)"),"22117")</f>
        <v>22117</v>
      </c>
      <c r="C1172" s="1">
        <v>46367.0</v>
      </c>
      <c r="D1172" s="1">
        <v>669.528558849338</v>
      </c>
      <c r="E1172" s="1" t="s">
        <v>188</v>
      </c>
      <c r="F1172" s="1" t="s">
        <v>2039</v>
      </c>
      <c r="G1172" s="1">
        <v>69.2532071816129</v>
      </c>
      <c r="H1172" s="1">
        <v>26.114453178</v>
      </c>
      <c r="I1172" s="1">
        <v>5.2509889506</v>
      </c>
      <c r="J1172" s="1">
        <v>11.9133574009999</v>
      </c>
      <c r="K1172" s="1">
        <v>23.236068374</v>
      </c>
      <c r="L1172" s="1">
        <v>42.8</v>
      </c>
      <c r="M1172" s="1">
        <v>7.0</v>
      </c>
      <c r="N1172" s="1">
        <v>36.8</v>
      </c>
      <c r="O1172" s="1">
        <v>39.37839213</v>
      </c>
      <c r="P1172" s="1">
        <v>10.130081301</v>
      </c>
      <c r="Q1172" s="1">
        <v>47.17689</v>
      </c>
      <c r="R1172" s="1">
        <v>81.570747617</v>
      </c>
      <c r="S1172" s="1">
        <v>36.7</v>
      </c>
      <c r="T1172" s="1">
        <v>11204.0</v>
      </c>
      <c r="U1172" s="1">
        <v>53.097108176</v>
      </c>
      <c r="V1172" s="1">
        <v>677.87800362</v>
      </c>
      <c r="W1172" s="1">
        <v>16.099513869</v>
      </c>
      <c r="X1172" s="1">
        <v>12.231934732</v>
      </c>
      <c r="Y1172" s="1">
        <v>72.4545300039999</v>
      </c>
      <c r="Z1172" s="1">
        <v>23.0</v>
      </c>
      <c r="AA1172" s="1">
        <v>4.7975237291</v>
      </c>
      <c r="AB1172" s="1">
        <v>36850.0</v>
      </c>
      <c r="AC1172" s="1">
        <v>72.09750723</v>
      </c>
      <c r="AD1172" s="1">
        <v>69.164215262</v>
      </c>
      <c r="AE1172" s="1">
        <v>12.882571392</v>
      </c>
      <c r="AF1172" s="1">
        <v>30.1103430509999</v>
      </c>
      <c r="AG1172" s="1">
        <v>0.4572581684</v>
      </c>
      <c r="AH1172" s="1">
        <v>0.2833712593</v>
      </c>
      <c r="AI1172" s="1">
        <v>0.0214675196</v>
      </c>
      <c r="AJ1172" s="1">
        <v>2.4494439912</v>
      </c>
      <c r="AK1172" s="1">
        <v>65.426559615</v>
      </c>
      <c r="AL1172" s="1">
        <v>2.139823212</v>
      </c>
      <c r="AM1172" s="1">
        <v>50.5667425189999</v>
      </c>
      <c r="AN1172" s="1">
        <v>66.674440299</v>
      </c>
      <c r="AO1172" s="1">
        <v>17957.0</v>
      </c>
      <c r="AP1172" s="1">
        <v>26.4</v>
      </c>
      <c r="AQ1172" s="1">
        <v>13.1</v>
      </c>
      <c r="AR1172" s="1">
        <v>23.5</v>
      </c>
      <c r="AS1172" s="1">
        <v>16.1</v>
      </c>
      <c r="AT1172" s="1">
        <v>24.3</v>
      </c>
      <c r="AU1172" s="1">
        <v>23.2</v>
      </c>
      <c r="AV1172" s="1">
        <v>34.1</v>
      </c>
      <c r="AW1172" s="1">
        <v>1.4</v>
      </c>
      <c r="AX1172" s="1">
        <v>0.9927</v>
      </c>
      <c r="AY1172" s="1">
        <v>24.9</v>
      </c>
      <c r="AZ1172" s="1">
        <v>19.7</v>
      </c>
      <c r="BA1172" s="1">
        <v>29.9</v>
      </c>
      <c r="BB1172" s="1">
        <v>3.23</v>
      </c>
      <c r="BC1172" s="1" t="s">
        <v>1938</v>
      </c>
      <c r="BD1172" s="1">
        <v>20.5</v>
      </c>
      <c r="BE1172" s="1">
        <v>44.7</v>
      </c>
      <c r="BF1172" s="1">
        <v>23.2</v>
      </c>
      <c r="BG1172" s="1">
        <v>11.6</v>
      </c>
      <c r="BH1172" s="1" t="s">
        <v>2039</v>
      </c>
    </row>
    <row r="1173">
      <c r="A1173" s="1">
        <v>22119.0</v>
      </c>
      <c r="B1173" s="2" t="str">
        <f>IFERROR(__xludf.DUMMYFUNCTION("TO_TEXT(A1173)"),"22119")</f>
        <v>22119</v>
      </c>
      <c r="C1173" s="1">
        <v>40335.0</v>
      </c>
      <c r="D1173" s="1">
        <v>593.161804116402</v>
      </c>
      <c r="E1173" s="1" t="s">
        <v>1050</v>
      </c>
      <c r="F1173" s="1" t="s">
        <v>2040</v>
      </c>
      <c r="G1173" s="1">
        <v>67.9999954819826</v>
      </c>
      <c r="H1173" s="1">
        <v>23.4307107769999</v>
      </c>
      <c r="I1173" s="1">
        <v>5.44390506789999</v>
      </c>
      <c r="J1173" s="1">
        <v>12.3669830309999</v>
      </c>
      <c r="K1173" s="1">
        <v>22.964287996</v>
      </c>
      <c r="L1173" s="1">
        <v>32.9</v>
      </c>
      <c r="M1173" s="1">
        <v>5.9</v>
      </c>
      <c r="N1173" s="1">
        <v>31.0</v>
      </c>
      <c r="O1173" s="1">
        <v>50.99861674</v>
      </c>
      <c r="P1173" s="1">
        <v>9.3972611651</v>
      </c>
      <c r="Q1173" s="1">
        <v>60.94774</v>
      </c>
      <c r="R1173" s="1">
        <v>76.6</v>
      </c>
      <c r="S1173" s="1">
        <v>34.5</v>
      </c>
      <c r="T1173" s="1">
        <v>8997.0</v>
      </c>
      <c r="U1173" s="1">
        <v>41.3026564409999</v>
      </c>
      <c r="V1173" s="1">
        <v>368.06815696</v>
      </c>
      <c r="W1173" s="1">
        <v>15.722872509</v>
      </c>
      <c r="X1173" s="1">
        <v>13.034215623</v>
      </c>
      <c r="Y1173" s="1">
        <v>73.590812114</v>
      </c>
      <c r="Z1173" s="1">
        <v>14.4</v>
      </c>
      <c r="AA1173" s="1">
        <v>15.122244593</v>
      </c>
      <c r="AB1173" s="1">
        <v>35070.0</v>
      </c>
      <c r="AC1173" s="1">
        <v>43.624376909</v>
      </c>
      <c r="AD1173" s="1">
        <v>67.399876771</v>
      </c>
      <c r="AE1173" s="1">
        <v>15.188417563</v>
      </c>
      <c r="AF1173" s="1">
        <v>34.009485025</v>
      </c>
      <c r="AG1173" s="1">
        <v>0.5567297283</v>
      </c>
      <c r="AH1173" s="1">
        <v>0.4355894634</v>
      </c>
      <c r="AI1173" s="1">
        <v>0.0257745245</v>
      </c>
      <c r="AJ1173" s="1">
        <v>1.9923707408</v>
      </c>
      <c r="AK1173" s="1">
        <v>61.7274086289999</v>
      </c>
      <c r="AL1173" s="1">
        <v>0.1077092926</v>
      </c>
      <c r="AM1173" s="1">
        <v>51.386669416</v>
      </c>
      <c r="AN1173" s="1">
        <v>53.04195889</v>
      </c>
      <c r="AO1173" s="1">
        <v>19512.0</v>
      </c>
      <c r="AP1173" s="1">
        <v>24.7</v>
      </c>
      <c r="AQ1173" s="1">
        <v>8.3</v>
      </c>
      <c r="AR1173" s="1">
        <v>19.0</v>
      </c>
      <c r="AS1173" s="1">
        <v>18.1</v>
      </c>
      <c r="AT1173" s="1">
        <v>23.0</v>
      </c>
      <c r="AU1173" s="1">
        <v>19.3</v>
      </c>
      <c r="AV1173" s="1">
        <v>37.6</v>
      </c>
      <c r="AW1173" s="1">
        <v>0.1</v>
      </c>
      <c r="AX1173" s="1">
        <v>0.9026</v>
      </c>
      <c r="AY1173" s="1">
        <v>29.6</v>
      </c>
      <c r="AZ1173" s="1">
        <v>18.2</v>
      </c>
      <c r="BA1173" s="1">
        <v>29.5</v>
      </c>
      <c r="BB1173" s="1">
        <v>3.07</v>
      </c>
      <c r="BC1173" s="1" t="s">
        <v>1938</v>
      </c>
      <c r="BD1173" s="1">
        <v>16.1</v>
      </c>
      <c r="BE1173" s="1">
        <v>42.0</v>
      </c>
      <c r="BF1173" s="1">
        <v>26.5</v>
      </c>
      <c r="BG1173" s="1">
        <v>15.4</v>
      </c>
      <c r="BH1173" s="1" t="s">
        <v>2040</v>
      </c>
    </row>
    <row r="1174">
      <c r="A1174" s="1">
        <v>22121.0</v>
      </c>
      <c r="B1174" s="2" t="str">
        <f>IFERROR(__xludf.DUMMYFUNCTION("TO_TEXT(A1174)"),"22121")</f>
        <v>22121</v>
      </c>
      <c r="C1174" s="1">
        <v>25017.0</v>
      </c>
      <c r="D1174" s="1">
        <v>192.392267902882</v>
      </c>
      <c r="E1174" s="1" t="s">
        <v>2041</v>
      </c>
      <c r="F1174" s="1" t="s">
        <v>2042</v>
      </c>
      <c r="G1174" s="1">
        <v>130.031213170315</v>
      </c>
      <c r="H1174" s="1">
        <v>19.837178147</v>
      </c>
      <c r="I1174" s="1">
        <v>4.6952993507</v>
      </c>
      <c r="J1174" s="1">
        <v>11.337779521</v>
      </c>
      <c r="K1174" s="1">
        <v>20.022154037</v>
      </c>
      <c r="L1174" s="1">
        <v>37.9</v>
      </c>
      <c r="M1174" s="1">
        <v>7.4</v>
      </c>
      <c r="N1174" s="1">
        <v>20.8</v>
      </c>
      <c r="O1174" s="1">
        <v>73.57911552</v>
      </c>
      <c r="P1174" s="1">
        <v>7.4817930972</v>
      </c>
      <c r="Q1174" s="1">
        <v>15.22939</v>
      </c>
      <c r="R1174" s="1">
        <v>74.3</v>
      </c>
      <c r="S1174" s="1">
        <v>20.0</v>
      </c>
      <c r="T1174" s="1">
        <v>6248.0</v>
      </c>
      <c r="U1174" s="1">
        <v>47.5992317539999</v>
      </c>
      <c r="V1174" s="1">
        <v>350.68254314</v>
      </c>
      <c r="W1174" s="1">
        <v>13.506212858</v>
      </c>
      <c r="X1174" s="1">
        <v>11.403508772</v>
      </c>
      <c r="Y1174" s="1">
        <v>78.060934674</v>
      </c>
      <c r="Z1174" s="1">
        <v>9.1</v>
      </c>
      <c r="AA1174" s="1">
        <v>5.7557596469</v>
      </c>
      <c r="AB1174" s="1">
        <v>58205.0</v>
      </c>
      <c r="AC1174" s="1">
        <v>67.413704276</v>
      </c>
      <c r="AD1174" s="1">
        <v>71.965829774</v>
      </c>
      <c r="AE1174" s="1">
        <v>11.09269694</v>
      </c>
      <c r="AF1174" s="1">
        <v>39.376395353</v>
      </c>
      <c r="AG1174" s="1">
        <v>0.2383925531</v>
      </c>
      <c r="AH1174" s="1">
        <v>0.7151776592</v>
      </c>
      <c r="AI1174" s="1">
        <v>0.0567601317</v>
      </c>
      <c r="AJ1174" s="1">
        <v>3.2164074621</v>
      </c>
      <c r="AK1174" s="1">
        <v>55.3070723119999</v>
      </c>
      <c r="AL1174" s="1">
        <v>0.3281412253</v>
      </c>
      <c r="AM1174" s="1">
        <v>50.630037462</v>
      </c>
      <c r="AN1174" s="1">
        <v>30.460736506</v>
      </c>
      <c r="AO1174" s="1">
        <v>27245.0</v>
      </c>
      <c r="AP1174" s="1">
        <v>20.3</v>
      </c>
      <c r="AQ1174" s="1">
        <v>6.6</v>
      </c>
      <c r="AR1174" s="1">
        <v>16.2</v>
      </c>
      <c r="AS1174" s="1">
        <v>12.2</v>
      </c>
      <c r="AT1174" s="1">
        <v>24.5</v>
      </c>
      <c r="AU1174" s="1">
        <v>14.5</v>
      </c>
      <c r="AV1174" s="1">
        <v>42.8</v>
      </c>
      <c r="AW1174" s="1">
        <v>0.5</v>
      </c>
      <c r="AX1174" s="1">
        <v>0.7284</v>
      </c>
      <c r="AY1174" s="1">
        <v>14.4</v>
      </c>
      <c r="AZ1174" s="1">
        <v>13.6</v>
      </c>
      <c r="BA1174" s="1">
        <v>21.4</v>
      </c>
      <c r="BB1174" s="1">
        <v>3.46</v>
      </c>
      <c r="BC1174" s="1" t="s">
        <v>1938</v>
      </c>
      <c r="BD1174" s="1">
        <v>12.8</v>
      </c>
      <c r="BE1174" s="1">
        <v>37.2</v>
      </c>
      <c r="BF1174" s="1">
        <v>28.0</v>
      </c>
      <c r="BG1174" s="1">
        <v>22.0</v>
      </c>
      <c r="BH1174" s="1" t="s">
        <v>2042</v>
      </c>
    </row>
    <row r="1175">
      <c r="A1175" s="1">
        <v>22123.0</v>
      </c>
      <c r="B1175" s="2" t="str">
        <f>IFERROR(__xludf.DUMMYFUNCTION("TO_TEXT(A1175)"),"22123")</f>
        <v>22123</v>
      </c>
      <c r="C1175" s="1">
        <v>11370.0</v>
      </c>
      <c r="D1175" s="1">
        <v>359.645765089076</v>
      </c>
      <c r="E1175" s="1" t="s">
        <v>2043</v>
      </c>
      <c r="F1175" s="1" t="s">
        <v>2044</v>
      </c>
      <c r="G1175" s="1">
        <v>31.6144414968543</v>
      </c>
      <c r="H1175" s="1">
        <v>21.215701426</v>
      </c>
      <c r="I1175" s="1">
        <v>4.9818086906</v>
      </c>
      <c r="J1175" s="1">
        <v>10.706401766</v>
      </c>
      <c r="K1175" s="1">
        <v>21.277978658</v>
      </c>
      <c r="L1175" s="1">
        <v>46.8</v>
      </c>
      <c r="M1175" s="1">
        <v>7.3</v>
      </c>
      <c r="N1175" s="1">
        <v>29.4</v>
      </c>
      <c r="O1175" s="1">
        <v>33.281627025</v>
      </c>
      <c r="P1175" s="1">
        <v>10.8104914929999</v>
      </c>
      <c r="Q1175" s="1">
        <v>27.31992</v>
      </c>
      <c r="R1175" s="1">
        <v>93.3</v>
      </c>
      <c r="S1175" s="1">
        <v>34.0</v>
      </c>
      <c r="T1175" s="1">
        <v>2610.0</v>
      </c>
      <c r="U1175" s="1">
        <v>35.057471264</v>
      </c>
      <c r="V1175" s="1">
        <v>401.90795866</v>
      </c>
      <c r="W1175" s="1">
        <v>5.495818399</v>
      </c>
      <c r="X1175" s="1">
        <v>4.1412911084</v>
      </c>
      <c r="Y1175" s="1">
        <v>74.253128615</v>
      </c>
      <c r="Z1175" s="1">
        <v>24.8</v>
      </c>
      <c r="AA1175" s="1">
        <v>3.0671266832</v>
      </c>
      <c r="AB1175" s="1">
        <v>39332.0</v>
      </c>
      <c r="AC1175" s="1">
        <v>91.858754291</v>
      </c>
      <c r="AD1175" s="1">
        <v>74.832962138</v>
      </c>
      <c r="AE1175" s="1">
        <v>6.35193133049999</v>
      </c>
      <c r="AF1175" s="1">
        <v>15.616463304</v>
      </c>
      <c r="AG1175" s="1">
        <v>0.8559460936</v>
      </c>
      <c r="AH1175" s="1">
        <v>0.3187033327</v>
      </c>
      <c r="AI1175" s="1">
        <v>0.0273174285</v>
      </c>
      <c r="AJ1175" s="1">
        <v>3.9610271353</v>
      </c>
      <c r="AK1175" s="1">
        <v>78.473866327</v>
      </c>
      <c r="AL1175" s="1">
        <v>0.1226762291</v>
      </c>
      <c r="AM1175" s="1">
        <v>49.116736478</v>
      </c>
      <c r="AN1175" s="1">
        <v>100.0</v>
      </c>
      <c r="AO1175" s="1">
        <v>21459.0</v>
      </c>
      <c r="AP1175" s="1">
        <v>24.0</v>
      </c>
      <c r="AQ1175" s="1">
        <v>11.1</v>
      </c>
      <c r="AR1175" s="1">
        <v>24.4</v>
      </c>
      <c r="AS1175" s="1">
        <v>18.0</v>
      </c>
      <c r="AT1175" s="1">
        <v>23.7</v>
      </c>
      <c r="AU1175" s="1">
        <v>13.3</v>
      </c>
      <c r="AV1175" s="1">
        <v>20.0</v>
      </c>
      <c r="AW1175" s="1">
        <v>0.2</v>
      </c>
      <c r="AX1175" s="1">
        <v>0.6956</v>
      </c>
      <c r="AY1175" s="1">
        <v>21.0</v>
      </c>
      <c r="AZ1175" s="1">
        <v>17.9</v>
      </c>
      <c r="BA1175" s="1">
        <v>29.7</v>
      </c>
      <c r="BB1175" s="1">
        <v>2.96</v>
      </c>
      <c r="BC1175" s="1" t="s">
        <v>1938</v>
      </c>
      <c r="BD1175" s="1">
        <v>21.2</v>
      </c>
      <c r="BE1175" s="1">
        <v>45.7</v>
      </c>
      <c r="BF1175" s="1">
        <v>21.4</v>
      </c>
      <c r="BG1175" s="1">
        <v>11.7</v>
      </c>
      <c r="BH1175" s="1" t="s">
        <v>2044</v>
      </c>
    </row>
    <row r="1176">
      <c r="A1176" s="1">
        <v>22125.0</v>
      </c>
      <c r="B1176" s="2" t="str">
        <f>IFERROR(__xludf.DUMMYFUNCTION("TO_TEXT(A1176)"),"22125")</f>
        <v>22125</v>
      </c>
      <c r="C1176" s="1">
        <v>15384.0</v>
      </c>
      <c r="D1176" s="1">
        <v>403.222628706785</v>
      </c>
      <c r="E1176" s="1" t="s">
        <v>2045</v>
      </c>
      <c r="F1176" s="1" t="s">
        <v>2046</v>
      </c>
      <c r="G1176" s="1">
        <v>38.1526206734466</v>
      </c>
      <c r="H1176" s="1">
        <v>20.848284159</v>
      </c>
      <c r="I1176" s="1">
        <v>4.5323969756</v>
      </c>
      <c r="J1176" s="1">
        <v>9.1334894614</v>
      </c>
      <c r="K1176" s="1">
        <v>21.898367086</v>
      </c>
      <c r="L1176" s="1">
        <v>21.8</v>
      </c>
      <c r="M1176" s="1">
        <v>6.3</v>
      </c>
      <c r="N1176" s="1">
        <v>14.2</v>
      </c>
      <c r="O1176" s="1">
        <v>14.9952</v>
      </c>
      <c r="P1176" s="1">
        <v>6.8663708087</v>
      </c>
      <c r="Q1176" s="1">
        <v>71.52146</v>
      </c>
      <c r="R1176" s="1">
        <v>90.9</v>
      </c>
      <c r="S1176" s="1">
        <v>19.3</v>
      </c>
      <c r="T1176" s="1">
        <v>2539.0</v>
      </c>
      <c r="U1176" s="1">
        <v>42.89090193</v>
      </c>
      <c r="V1176" s="1">
        <v>260.62027626</v>
      </c>
      <c r="W1176" s="1">
        <v>13.2731958759999</v>
      </c>
      <c r="X1176" s="1">
        <v>9.3733681462</v>
      </c>
      <c r="Y1176" s="1">
        <v>77.860766541</v>
      </c>
      <c r="Z1176" s="1">
        <v>8.4</v>
      </c>
      <c r="AA1176" s="1">
        <v>19.562030729</v>
      </c>
      <c r="AB1176" s="1">
        <v>60296.0</v>
      </c>
      <c r="AC1176" s="1">
        <v>49.682107175</v>
      </c>
      <c r="AD1176" s="1">
        <v>71.494370522</v>
      </c>
      <c r="AE1176" s="1">
        <v>11.092623405</v>
      </c>
      <c r="AF1176" s="1">
        <v>44.275549806</v>
      </c>
      <c r="AG1176" s="1">
        <v>0.1746442432</v>
      </c>
      <c r="AH1176" s="1">
        <v>0.2652005175</v>
      </c>
      <c r="AI1176" s="1">
        <v>0.0388098318</v>
      </c>
      <c r="AJ1176" s="1">
        <v>1.5588615783</v>
      </c>
      <c r="AK1176" s="1">
        <v>52.936610608</v>
      </c>
      <c r="AL1176" s="1">
        <v>0.4879701796</v>
      </c>
      <c r="AM1176" s="1">
        <v>34.631306598</v>
      </c>
      <c r="AN1176" s="1">
        <v>100.0</v>
      </c>
      <c r="AO1176" s="1">
        <v>22335.0</v>
      </c>
      <c r="AP1176" s="1">
        <v>15.6</v>
      </c>
      <c r="AQ1176" s="1">
        <v>10.5</v>
      </c>
      <c r="AR1176" s="1">
        <v>20.7</v>
      </c>
      <c r="AS1176" s="1">
        <v>14.0</v>
      </c>
      <c r="AT1176" s="1">
        <v>17.0</v>
      </c>
      <c r="AU1176" s="1">
        <v>11.9</v>
      </c>
      <c r="AV1176" s="1">
        <v>48.1</v>
      </c>
      <c r="AW1176" s="1">
        <v>0.3</v>
      </c>
      <c r="AX1176" s="1">
        <v>0.665999999999999</v>
      </c>
      <c r="AY1176" s="1">
        <v>22.1</v>
      </c>
      <c r="AZ1176" s="1">
        <v>13.2</v>
      </c>
      <c r="BA1176" s="1">
        <v>22.6</v>
      </c>
      <c r="BB1176" s="1">
        <v>3.3</v>
      </c>
      <c r="BC1176" s="1" t="s">
        <v>1938</v>
      </c>
      <c r="BD1176" s="1">
        <v>17.9</v>
      </c>
      <c r="BE1176" s="1">
        <v>31.8</v>
      </c>
      <c r="BF1176" s="1">
        <v>26.1</v>
      </c>
      <c r="BG1176" s="1">
        <v>24.2</v>
      </c>
      <c r="BH1176" s="1" t="s">
        <v>2046</v>
      </c>
    </row>
    <row r="1177">
      <c r="A1177" s="1">
        <v>22127.0</v>
      </c>
      <c r="B1177" s="2" t="str">
        <f>IFERROR(__xludf.DUMMYFUNCTION("TO_TEXT(A1177)"),"22127")</f>
        <v>22127</v>
      </c>
      <c r="C1177" s="1">
        <v>14695.0</v>
      </c>
      <c r="D1177" s="1">
        <v>950.085817674164</v>
      </c>
      <c r="E1177" s="1" t="s">
        <v>2047</v>
      </c>
      <c r="F1177" s="1" t="s">
        <v>2048</v>
      </c>
      <c r="G1177" s="1">
        <v>15.4670238484075</v>
      </c>
      <c r="H1177" s="1">
        <v>24.421045218</v>
      </c>
      <c r="I1177" s="1">
        <v>5.2046312924</v>
      </c>
      <c r="J1177" s="1">
        <v>11.168831169</v>
      </c>
      <c r="K1177" s="1">
        <v>22.927338089</v>
      </c>
      <c r="L1177" s="1">
        <v>37.3</v>
      </c>
      <c r="M1177" s="1">
        <v>6.0</v>
      </c>
      <c r="N1177" s="1">
        <v>26.5</v>
      </c>
      <c r="O1177" s="1">
        <v>80.2716645989999</v>
      </c>
      <c r="P1177" s="1">
        <v>9.1895089726</v>
      </c>
      <c r="Q1177" s="1">
        <v>55.90106</v>
      </c>
      <c r="R1177" s="1">
        <v>85.1</v>
      </c>
      <c r="S1177" s="1">
        <v>28.7</v>
      </c>
      <c r="T1177" s="1">
        <v>3026.0</v>
      </c>
      <c r="U1177" s="1">
        <v>40.680766689</v>
      </c>
      <c r="V1177" s="1">
        <v>484.7359736</v>
      </c>
      <c r="W1177" s="1">
        <v>9.8345588235</v>
      </c>
      <c r="X1177" s="1">
        <v>8.4027105518</v>
      </c>
      <c r="Y1177" s="1">
        <v>74.0963097739999</v>
      </c>
      <c r="Z1177" s="1">
        <v>22.1</v>
      </c>
      <c r="AA1177" s="1">
        <v>12.544435074</v>
      </c>
      <c r="AB1177" s="1">
        <v>40133.0</v>
      </c>
      <c r="AC1177" s="1">
        <v>74.635439682</v>
      </c>
      <c r="AD1177" s="1">
        <v>68.033842192</v>
      </c>
      <c r="AE1177" s="1">
        <v>10.074853328</v>
      </c>
      <c r="AF1177" s="1">
        <v>30.614121975</v>
      </c>
      <c r="AG1177" s="1">
        <v>0.8702419697</v>
      </c>
      <c r="AH1177" s="1">
        <v>0.2405546908</v>
      </c>
      <c r="AI1177" s="1">
        <v>0.0212254139</v>
      </c>
      <c r="AJ1177" s="1">
        <v>2.1862176312</v>
      </c>
      <c r="AK1177" s="1">
        <v>64.645535588</v>
      </c>
      <c r="AL1177" s="1">
        <v>0.189684103</v>
      </c>
      <c r="AM1177" s="1">
        <v>46.4058299139999</v>
      </c>
      <c r="AN1177" s="1">
        <v>64.892574936</v>
      </c>
      <c r="AO1177" s="1">
        <v>18358.0</v>
      </c>
      <c r="AP1177" s="1">
        <v>25.6</v>
      </c>
      <c r="AQ1177" s="1">
        <v>7.4</v>
      </c>
      <c r="AR1177" s="1">
        <v>20.3</v>
      </c>
      <c r="AS1177" s="1">
        <v>16.1</v>
      </c>
      <c r="AT1177" s="1">
        <v>21.6</v>
      </c>
      <c r="AU1177" s="1">
        <v>20.1</v>
      </c>
      <c r="AV1177" s="1">
        <v>34.7</v>
      </c>
      <c r="AW1177" s="1">
        <v>0.4</v>
      </c>
      <c r="AX1177" s="1">
        <v>0.8472</v>
      </c>
      <c r="AY1177" s="1">
        <v>23.4</v>
      </c>
      <c r="AZ1177" s="1">
        <v>18.9</v>
      </c>
      <c r="BA1177" s="1">
        <v>28.5</v>
      </c>
      <c r="BB1177" s="1">
        <v>2.94</v>
      </c>
      <c r="BC1177" s="1" t="s">
        <v>1938</v>
      </c>
      <c r="BD1177" s="1">
        <v>18.2</v>
      </c>
      <c r="BE1177" s="1">
        <v>45.8</v>
      </c>
      <c r="BF1177" s="1">
        <v>22.1</v>
      </c>
      <c r="BG1177" s="1">
        <v>13.9</v>
      </c>
      <c r="BH1177" s="1" t="s">
        <v>2048</v>
      </c>
    </row>
    <row r="1178">
      <c r="A1178" s="1">
        <v>23001.0</v>
      </c>
      <c r="B1178" s="2" t="str">
        <f>IFERROR(__xludf.DUMMYFUNCTION("TO_TEXT(A1178)"),"23001")</f>
        <v>23001</v>
      </c>
      <c r="C1178" s="1">
        <v>107376.0</v>
      </c>
      <c r="D1178" s="1">
        <v>467.931461350738</v>
      </c>
      <c r="E1178" s="1" t="s">
        <v>2049</v>
      </c>
      <c r="F1178" s="1" t="s">
        <v>2050</v>
      </c>
      <c r="G1178" s="1">
        <v>229.469503268805</v>
      </c>
      <c r="H1178" s="1">
        <v>13.448855437</v>
      </c>
      <c r="I1178" s="1">
        <v>4.0428271497</v>
      </c>
      <c r="J1178" s="1">
        <v>8.0531576556</v>
      </c>
      <c r="K1178" s="1">
        <v>16.449206191</v>
      </c>
      <c r="L1178" s="1">
        <v>33.9</v>
      </c>
      <c r="M1178" s="1">
        <v>7.7</v>
      </c>
      <c r="N1178" s="1">
        <v>24.7</v>
      </c>
      <c r="O1178" s="1">
        <v>84.180423762</v>
      </c>
      <c r="P1178" s="1">
        <v>9.44662016549999</v>
      </c>
      <c r="Q1178" s="1">
        <v>81.74564</v>
      </c>
      <c r="R1178" s="1">
        <v>81.226332538</v>
      </c>
      <c r="S1178" s="1">
        <v>17.3</v>
      </c>
      <c r="T1178" s="1">
        <v>23124.0</v>
      </c>
      <c r="U1178" s="1">
        <v>33.5063137869999</v>
      </c>
      <c r="V1178" s="1">
        <v>139.0762361</v>
      </c>
      <c r="W1178" s="1">
        <v>14.828472455</v>
      </c>
      <c r="X1178" s="1">
        <v>12.770976075</v>
      </c>
      <c r="Y1178" s="1">
        <v>77.564429361</v>
      </c>
      <c r="Z1178" s="1">
        <v>12.2</v>
      </c>
      <c r="AA1178" s="1">
        <v>3.5495686489</v>
      </c>
      <c r="AB1178" s="1">
        <v>49935.0</v>
      </c>
      <c r="AC1178" s="1">
        <v>57.472766885</v>
      </c>
      <c r="AD1178" s="1">
        <v>64.346793871</v>
      </c>
      <c r="AE1178" s="1">
        <v>12.272615398</v>
      </c>
      <c r="AF1178" s="1">
        <v>4.1846599616</v>
      </c>
      <c r="AG1178" s="1">
        <v>0.4309103911</v>
      </c>
      <c r="AH1178" s="1">
        <v>0.8766797611</v>
      </c>
      <c r="AI1178" s="1">
        <v>0.0390048199</v>
      </c>
      <c r="AJ1178" s="1">
        <v>1.9818163244</v>
      </c>
      <c r="AK1178" s="1">
        <v>90.386240585</v>
      </c>
      <c r="AL1178" s="1">
        <v>0.8654493603</v>
      </c>
      <c r="AM1178" s="1">
        <v>51.052665794</v>
      </c>
      <c r="AN1178" s="1">
        <v>43.366882695</v>
      </c>
      <c r="AO1178" s="1">
        <v>25788.0</v>
      </c>
      <c r="AP1178" s="1">
        <v>14.8</v>
      </c>
      <c r="AQ1178" s="1">
        <v>5.8</v>
      </c>
      <c r="AR1178" s="1">
        <v>10.6</v>
      </c>
      <c r="AS1178" s="1">
        <v>15.8</v>
      </c>
      <c r="AT1178" s="1">
        <v>22.0</v>
      </c>
      <c r="AU1178" s="1">
        <v>15.9</v>
      </c>
      <c r="AV1178" s="1">
        <v>8.7</v>
      </c>
      <c r="AW1178" s="1">
        <v>0.8</v>
      </c>
      <c r="AX1178" s="1">
        <v>0.5466</v>
      </c>
      <c r="AY1178" s="1">
        <v>10.4</v>
      </c>
      <c r="AZ1178" s="1">
        <v>13.5</v>
      </c>
      <c r="BA1178" s="1">
        <v>19.9</v>
      </c>
      <c r="BB1178" s="1">
        <v>3.67</v>
      </c>
      <c r="BC1178" s="1" t="s">
        <v>2051</v>
      </c>
      <c r="BD1178" s="1">
        <v>9.8</v>
      </c>
      <c r="BE1178" s="1">
        <v>35.5</v>
      </c>
      <c r="BF1178" s="1">
        <v>32.0</v>
      </c>
      <c r="BG1178" s="1">
        <v>22.8</v>
      </c>
      <c r="BH1178" s="1" t="s">
        <v>2050</v>
      </c>
    </row>
    <row r="1179">
      <c r="A1179" s="1">
        <v>23003.0</v>
      </c>
      <c r="B1179" s="2" t="str">
        <f>IFERROR(__xludf.DUMMYFUNCTION("TO_TEXT(A1179)"),"23003")</f>
        <v>23003</v>
      </c>
      <c r="C1179" s="1">
        <v>69405.0</v>
      </c>
      <c r="D1179" s="1">
        <v>6671.08513135134</v>
      </c>
      <c r="E1179" s="1" t="s">
        <v>2052</v>
      </c>
      <c r="F1179" s="1" t="s">
        <v>2053</v>
      </c>
      <c r="G1179" s="1">
        <v>10.4038546403531</v>
      </c>
      <c r="H1179" s="1">
        <v>17.492794482</v>
      </c>
      <c r="I1179" s="1">
        <v>4.4621545579</v>
      </c>
      <c r="J1179" s="1">
        <v>7.6956427488</v>
      </c>
      <c r="K1179" s="1">
        <v>18.592721462</v>
      </c>
      <c r="L1179" s="1">
        <v>35.9</v>
      </c>
      <c r="M1179" s="1">
        <v>7.4</v>
      </c>
      <c r="N1179" s="1">
        <v>31.2</v>
      </c>
      <c r="O1179" s="1">
        <v>55.63378322</v>
      </c>
      <c r="P1179" s="1">
        <v>11.8157967959999</v>
      </c>
      <c r="Q1179" s="1">
        <v>106.42544</v>
      </c>
      <c r="R1179" s="1">
        <v>90.186062246</v>
      </c>
      <c r="S1179" s="1">
        <v>19.1</v>
      </c>
      <c r="T1179" s="1">
        <v>12189.0</v>
      </c>
      <c r="U1179" s="1">
        <v>29.584051194</v>
      </c>
      <c r="V1179" s="1">
        <v>120.42686244</v>
      </c>
      <c r="W1179" s="1">
        <v>13.668341709</v>
      </c>
      <c r="X1179" s="1">
        <v>11.922554348</v>
      </c>
      <c r="Y1179" s="1">
        <v>77.9831222839999</v>
      </c>
      <c r="Z1179" s="1">
        <v>13.2</v>
      </c>
      <c r="AA1179" s="1">
        <v>4.6834771793</v>
      </c>
      <c r="AB1179" s="1">
        <v>39450.0</v>
      </c>
      <c r="AC1179" s="1">
        <v>51.232222343</v>
      </c>
      <c r="AD1179" s="1">
        <v>71.72541744</v>
      </c>
      <c r="AE1179" s="1">
        <v>11.62226752</v>
      </c>
      <c r="AF1179" s="1">
        <v>1.0355977411</v>
      </c>
      <c r="AG1179" s="1">
        <v>1.9326190937</v>
      </c>
      <c r="AH1179" s="1">
        <v>0.4678815693</v>
      </c>
      <c r="AI1179" s="1">
        <v>0.038741786</v>
      </c>
      <c r="AJ1179" s="1">
        <v>1.32169093</v>
      </c>
      <c r="AK1179" s="1">
        <v>93.948831041</v>
      </c>
      <c r="AL1179" s="1">
        <v>0.6711306088</v>
      </c>
      <c r="AM1179" s="1">
        <v>50.550580382</v>
      </c>
      <c r="AN1179" s="1">
        <v>80.265757618</v>
      </c>
      <c r="AO1179" s="1">
        <v>22483.0</v>
      </c>
      <c r="AP1179" s="1">
        <v>17.7</v>
      </c>
      <c r="AQ1179" s="1">
        <v>6.2</v>
      </c>
      <c r="AR1179" s="1">
        <v>12.6</v>
      </c>
      <c r="AS1179" s="1">
        <v>21.3</v>
      </c>
      <c r="AT1179" s="1">
        <v>18.9</v>
      </c>
      <c r="AU1179" s="1">
        <v>21.9</v>
      </c>
      <c r="AV1179" s="1">
        <v>5.4</v>
      </c>
      <c r="AW1179" s="1">
        <v>0.7</v>
      </c>
      <c r="AX1179" s="1">
        <v>0.5501</v>
      </c>
      <c r="AY1179" s="1">
        <v>15.5</v>
      </c>
      <c r="AZ1179" s="1">
        <v>16.4</v>
      </c>
      <c r="BA1179" s="1">
        <v>25.0</v>
      </c>
      <c r="BB1179" s="1">
        <v>3.57</v>
      </c>
      <c r="BC1179" s="1" t="s">
        <v>2051</v>
      </c>
      <c r="BD1179" s="1">
        <v>11.4</v>
      </c>
      <c r="BE1179" s="1">
        <v>37.3</v>
      </c>
      <c r="BF1179" s="1">
        <v>32.0</v>
      </c>
      <c r="BG1179" s="1">
        <v>19.2</v>
      </c>
      <c r="BH1179" s="1" t="s">
        <v>2053</v>
      </c>
    </row>
    <row r="1180">
      <c r="A1180" s="1">
        <v>23005.0</v>
      </c>
      <c r="B1180" s="2" t="str">
        <f>IFERROR(__xludf.DUMMYFUNCTION("TO_TEXT(A1180)"),"23005")</f>
        <v>23005</v>
      </c>
      <c r="C1180" s="1">
        <v>288204.0</v>
      </c>
      <c r="D1180" s="1">
        <v>835.67567264639</v>
      </c>
      <c r="E1180" s="1" t="s">
        <v>1178</v>
      </c>
      <c r="F1180" s="1" t="s">
        <v>2054</v>
      </c>
      <c r="G1180" s="1">
        <v>344.875421690002</v>
      </c>
      <c r="H1180" s="1">
        <v>9.0048088735</v>
      </c>
      <c r="I1180" s="1">
        <v>3.7610448848</v>
      </c>
      <c r="J1180" s="1">
        <v>6.7809660695</v>
      </c>
      <c r="K1180" s="1">
        <v>11.391522395</v>
      </c>
      <c r="L1180" s="1">
        <v>23.3</v>
      </c>
      <c r="M1180" s="1">
        <v>8.0</v>
      </c>
      <c r="N1180" s="1">
        <v>15.9</v>
      </c>
      <c r="O1180" s="1">
        <v>83.844089266</v>
      </c>
      <c r="P1180" s="1">
        <v>9.1837857046</v>
      </c>
      <c r="Q1180" s="1">
        <v>166.15385</v>
      </c>
      <c r="R1180" s="1">
        <v>88.250684463</v>
      </c>
      <c r="S1180" s="1">
        <v>8.0</v>
      </c>
      <c r="T1180" s="1">
        <v>55051.0</v>
      </c>
      <c r="U1180" s="1">
        <v>27.049463225</v>
      </c>
      <c r="V1180" s="1">
        <v>128.34619962</v>
      </c>
      <c r="W1180" s="1">
        <v>15.525579028</v>
      </c>
      <c r="X1180" s="1">
        <v>14.0029137029999</v>
      </c>
      <c r="Y1180" s="1">
        <v>80.240827854</v>
      </c>
      <c r="Z1180" s="1">
        <v>8.6</v>
      </c>
      <c r="AA1180" s="1">
        <v>4.5013448241</v>
      </c>
      <c r="AB1180" s="1">
        <v>71586.0</v>
      </c>
      <c r="AC1180" s="1">
        <v>31.858046094</v>
      </c>
      <c r="AD1180" s="1">
        <v>68.741281522</v>
      </c>
      <c r="AE1180" s="1">
        <v>13.243044386</v>
      </c>
      <c r="AF1180" s="1">
        <v>3.0229222945</v>
      </c>
      <c r="AG1180" s="1">
        <v>0.3580224624</v>
      </c>
      <c r="AH1180" s="1">
        <v>2.2765595779</v>
      </c>
      <c r="AI1180" s="1">
        <v>0.0337242852</v>
      </c>
      <c r="AJ1180" s="1">
        <v>2.1406404889</v>
      </c>
      <c r="AK1180" s="1">
        <v>90.353491826</v>
      </c>
      <c r="AL1180" s="1">
        <v>1.0936128242</v>
      </c>
      <c r="AM1180" s="1">
        <v>51.4697316019999</v>
      </c>
      <c r="AN1180" s="1">
        <v>36.098468442</v>
      </c>
      <c r="AO1180" s="1">
        <v>35066.0</v>
      </c>
      <c r="AP1180" s="1">
        <v>11.1</v>
      </c>
      <c r="AQ1180" s="1">
        <v>4.6</v>
      </c>
      <c r="AR1180" s="1">
        <v>5.5</v>
      </c>
      <c r="AS1180" s="1">
        <v>16.3</v>
      </c>
      <c r="AT1180" s="1">
        <v>19.6</v>
      </c>
      <c r="AU1180" s="1">
        <v>11.6</v>
      </c>
      <c r="AV1180" s="1">
        <v>9.1</v>
      </c>
      <c r="AW1180" s="1">
        <v>1.3</v>
      </c>
      <c r="AX1180" s="1">
        <v>0.177</v>
      </c>
      <c r="AY1180" s="1">
        <v>7.8</v>
      </c>
      <c r="AZ1180" s="1">
        <v>10.7</v>
      </c>
      <c r="BA1180" s="1">
        <v>14.8</v>
      </c>
      <c r="BB1180" s="1">
        <v>4.1</v>
      </c>
      <c r="BC1180" s="1" t="s">
        <v>2051</v>
      </c>
      <c r="BD1180" s="1">
        <v>4.9</v>
      </c>
      <c r="BE1180" s="1">
        <v>22.2</v>
      </c>
      <c r="BF1180" s="1">
        <v>25.4</v>
      </c>
      <c r="BG1180" s="1">
        <v>47.6</v>
      </c>
      <c r="BH1180" s="1" t="s">
        <v>2054</v>
      </c>
    </row>
    <row r="1181">
      <c r="A1181" s="1">
        <v>23007.0</v>
      </c>
      <c r="B1181" s="2" t="str">
        <f>IFERROR(__xludf.DUMMYFUNCTION("TO_TEXT(A1181)"),"23007")</f>
        <v>23007</v>
      </c>
      <c r="C1181" s="1">
        <v>30270.0</v>
      </c>
      <c r="D1181" s="1">
        <v>1696.99177911026</v>
      </c>
      <c r="E1181" s="1" t="s">
        <v>118</v>
      </c>
      <c r="F1181" s="1" t="s">
        <v>2055</v>
      </c>
      <c r="G1181" s="1">
        <v>17.8374464582678</v>
      </c>
      <c r="H1181" s="1">
        <v>14.057004795</v>
      </c>
      <c r="I1181" s="1">
        <v>4.1839057866</v>
      </c>
      <c r="J1181" s="1">
        <v>7.7316657192</v>
      </c>
      <c r="K1181" s="1">
        <v>16.197356428</v>
      </c>
      <c r="L1181" s="1">
        <v>34.1</v>
      </c>
      <c r="M1181" s="1">
        <v>8.2</v>
      </c>
      <c r="N1181" s="1">
        <v>23.3</v>
      </c>
      <c r="O1181" s="1">
        <v>46.766120645</v>
      </c>
      <c r="P1181" s="1">
        <v>10.78263995</v>
      </c>
      <c r="Q1181" s="1">
        <v>106.70935</v>
      </c>
      <c r="R1181" s="1">
        <v>90.182926829</v>
      </c>
      <c r="S1181" s="1">
        <v>20.4</v>
      </c>
      <c r="T1181" s="1">
        <v>5404.0</v>
      </c>
      <c r="U1181" s="1">
        <v>29.73723168</v>
      </c>
      <c r="V1181" s="1">
        <v>110.99330727</v>
      </c>
      <c r="W1181" s="1">
        <v>13.1792896879999</v>
      </c>
      <c r="X1181" s="1">
        <v>10.671256454</v>
      </c>
      <c r="Y1181" s="1">
        <v>78.119002583</v>
      </c>
      <c r="Z1181" s="1">
        <v>9.2</v>
      </c>
      <c r="AA1181" s="1">
        <v>1.0385353272</v>
      </c>
      <c r="AB1181" s="1">
        <v>49561.0</v>
      </c>
      <c r="AC1181" s="1">
        <v>50.723971501</v>
      </c>
      <c r="AD1181" s="1">
        <v>79.174071253</v>
      </c>
      <c r="AE1181" s="1">
        <v>9.4245423491</v>
      </c>
      <c r="AF1181" s="1">
        <v>0.5452052045</v>
      </c>
      <c r="AG1181" s="1">
        <v>0.4749640432</v>
      </c>
      <c r="AH1181" s="1">
        <v>0.4816536776</v>
      </c>
      <c r="AI1181" s="1">
        <v>0.0468274409</v>
      </c>
      <c r="AJ1181" s="1">
        <v>1.32454761349999</v>
      </c>
      <c r="AK1181" s="1">
        <v>95.701909891</v>
      </c>
      <c r="AL1181" s="1">
        <v>0.2656320995</v>
      </c>
      <c r="AM1181" s="1">
        <v>50.911462689</v>
      </c>
      <c r="AN1181" s="1">
        <v>82.998569943</v>
      </c>
      <c r="AO1181" s="1">
        <v>23596.0</v>
      </c>
      <c r="AP1181" s="1">
        <v>14.1</v>
      </c>
      <c r="AQ1181" s="1">
        <v>6.9</v>
      </c>
      <c r="AR1181" s="1">
        <v>7.6</v>
      </c>
      <c r="AS1181" s="1">
        <v>19.5</v>
      </c>
      <c r="AT1181" s="1">
        <v>18.3</v>
      </c>
      <c r="AU1181" s="1">
        <v>16.3</v>
      </c>
      <c r="AV1181" s="1">
        <v>4.1</v>
      </c>
      <c r="AW1181" s="1">
        <v>0.4</v>
      </c>
      <c r="AX1181" s="1">
        <v>0.2401</v>
      </c>
      <c r="AY1181" s="1">
        <v>12.6</v>
      </c>
      <c r="AZ1181" s="1">
        <v>12.5</v>
      </c>
      <c r="BA1181" s="1">
        <v>20.5</v>
      </c>
      <c r="BB1181" s="1">
        <v>3.65</v>
      </c>
      <c r="BC1181" s="1" t="s">
        <v>2051</v>
      </c>
      <c r="BD1181" s="1">
        <v>7.4</v>
      </c>
      <c r="BE1181" s="1">
        <v>38.0</v>
      </c>
      <c r="BF1181" s="1">
        <v>29.7</v>
      </c>
      <c r="BG1181" s="1">
        <v>24.8</v>
      </c>
      <c r="BH1181" s="1" t="s">
        <v>2055</v>
      </c>
    </row>
    <row r="1182">
      <c r="A1182" s="1">
        <v>23009.0</v>
      </c>
      <c r="B1182" s="2" t="str">
        <f>IFERROR(__xludf.DUMMYFUNCTION("TO_TEXT(A1182)"),"23009")</f>
        <v>23009</v>
      </c>
      <c r="C1182" s="1">
        <v>54483.0</v>
      </c>
      <c r="D1182" s="1">
        <v>1586.98923860658</v>
      </c>
      <c r="E1182" s="1" t="s">
        <v>917</v>
      </c>
      <c r="F1182" s="1" t="s">
        <v>2056</v>
      </c>
      <c r="G1182" s="1">
        <v>34.3310456521036</v>
      </c>
      <c r="H1182" s="1">
        <v>12.96677119</v>
      </c>
      <c r="I1182" s="1">
        <v>4.1600084907</v>
      </c>
      <c r="J1182" s="1">
        <v>6.7307692308</v>
      </c>
      <c r="K1182" s="1">
        <v>14.394734709</v>
      </c>
      <c r="L1182" s="1">
        <v>24.9</v>
      </c>
      <c r="M1182" s="1">
        <v>8.1</v>
      </c>
      <c r="N1182" s="1">
        <v>18.3</v>
      </c>
      <c r="O1182" s="1">
        <v>69.511926201</v>
      </c>
      <c r="P1182" s="1">
        <v>11.8409785929999</v>
      </c>
      <c r="Q1182" s="1">
        <v>144.96211</v>
      </c>
      <c r="R1182" s="1">
        <v>88.0215827339999</v>
      </c>
      <c r="S1182" s="1">
        <v>15.9</v>
      </c>
      <c r="T1182" s="1">
        <v>9387.0</v>
      </c>
      <c r="U1182" s="1">
        <v>30.297219559</v>
      </c>
      <c r="V1182" s="1">
        <v>60.0972482739999</v>
      </c>
      <c r="W1182" s="1">
        <v>16.273684211</v>
      </c>
      <c r="X1182" s="1">
        <v>13.275460512</v>
      </c>
      <c r="Y1182" s="1">
        <v>79.9836500839999</v>
      </c>
      <c r="Z1182" s="1">
        <v>9.0</v>
      </c>
      <c r="AA1182" s="1">
        <v>1.7730615164</v>
      </c>
      <c r="AB1182" s="1">
        <v>52148.0</v>
      </c>
      <c r="AC1182" s="1">
        <v>43.516761543</v>
      </c>
      <c r="AD1182" s="1">
        <v>75.376394249</v>
      </c>
      <c r="AE1182" s="1">
        <v>12.774311767</v>
      </c>
      <c r="AF1182" s="1">
        <v>0.8520187554</v>
      </c>
      <c r="AG1182" s="1">
        <v>0.474357337</v>
      </c>
      <c r="AH1182" s="1">
        <v>1.2497491379</v>
      </c>
      <c r="AI1182" s="1">
        <v>0.0218934156</v>
      </c>
      <c r="AJ1182" s="1">
        <v>1.527065735</v>
      </c>
      <c r="AK1182" s="1">
        <v>94.647059897</v>
      </c>
      <c r="AL1182" s="1">
        <v>0.2013114</v>
      </c>
      <c r="AM1182" s="1">
        <v>51.562642535</v>
      </c>
      <c r="AN1182" s="1">
        <v>90.113565364</v>
      </c>
      <c r="AO1182" s="1">
        <v>30042.0</v>
      </c>
      <c r="AP1182" s="1">
        <v>12.1</v>
      </c>
      <c r="AQ1182" s="1">
        <v>6.4</v>
      </c>
      <c r="AR1182" s="1">
        <v>6.2</v>
      </c>
      <c r="AS1182" s="1">
        <v>21.4</v>
      </c>
      <c r="AT1182" s="1">
        <v>17.7</v>
      </c>
      <c r="AU1182" s="1">
        <v>15.4</v>
      </c>
      <c r="AV1182" s="1">
        <v>4.7</v>
      </c>
      <c r="AW1182" s="1">
        <v>0.2</v>
      </c>
      <c r="AX1182" s="1">
        <v>0.1815</v>
      </c>
      <c r="AY1182" s="1">
        <v>10.6</v>
      </c>
      <c r="AZ1182" s="1">
        <v>12.4</v>
      </c>
      <c r="BA1182" s="1">
        <v>19.2</v>
      </c>
      <c r="BB1182" s="1">
        <v>3.99</v>
      </c>
      <c r="BC1182" s="1" t="s">
        <v>2051</v>
      </c>
      <c r="BD1182" s="1">
        <v>5.9</v>
      </c>
      <c r="BE1182" s="1">
        <v>30.8</v>
      </c>
      <c r="BF1182" s="1">
        <v>29.2</v>
      </c>
      <c r="BG1182" s="1">
        <v>34.1</v>
      </c>
      <c r="BH1182" s="1" t="s">
        <v>2056</v>
      </c>
    </row>
    <row r="1183">
      <c r="A1183" s="1">
        <v>23011.0</v>
      </c>
      <c r="B1183" s="2" t="str">
        <f>IFERROR(__xludf.DUMMYFUNCTION("TO_TEXT(A1183)"),"23011")</f>
        <v>23011</v>
      </c>
      <c r="C1183" s="1">
        <v>120953.0</v>
      </c>
      <c r="D1183" s="1">
        <v>867.496358165952</v>
      </c>
      <c r="E1183" s="1" t="s">
        <v>2057</v>
      </c>
      <c r="F1183" s="1" t="s">
        <v>2058</v>
      </c>
      <c r="G1183" s="1">
        <v>139.427674665652</v>
      </c>
      <c r="H1183" s="1">
        <v>12.485646195</v>
      </c>
      <c r="I1183" s="1">
        <v>4.0921307371</v>
      </c>
      <c r="J1183" s="1">
        <v>6.7203317478</v>
      </c>
      <c r="K1183" s="1">
        <v>16.463107334</v>
      </c>
      <c r="L1183" s="1">
        <v>33.5</v>
      </c>
      <c r="M1183" s="1">
        <v>8.0</v>
      </c>
      <c r="N1183" s="1">
        <v>23.1</v>
      </c>
      <c r="O1183" s="1">
        <v>76.525775475</v>
      </c>
      <c r="P1183" s="1">
        <v>9.6553093231</v>
      </c>
      <c r="Q1183" s="1">
        <v>127.23586</v>
      </c>
      <c r="R1183" s="1">
        <v>83.152173913</v>
      </c>
      <c r="S1183" s="1">
        <v>15.0</v>
      </c>
      <c r="T1183" s="1">
        <v>23468.0</v>
      </c>
      <c r="U1183" s="1">
        <v>35.533492415</v>
      </c>
      <c r="V1183" s="1">
        <v>168.19146418</v>
      </c>
      <c r="W1183" s="1">
        <v>14.440291167</v>
      </c>
      <c r="X1183" s="1">
        <v>12.766802343</v>
      </c>
      <c r="Y1183" s="1">
        <v>78.1993865589999</v>
      </c>
      <c r="Z1183" s="1">
        <v>10.5</v>
      </c>
      <c r="AA1183" s="1">
        <v>2.5049943169</v>
      </c>
      <c r="AB1183" s="1">
        <v>52154.0</v>
      </c>
      <c r="AC1183" s="1">
        <v>48.9041916169999</v>
      </c>
      <c r="AD1183" s="1">
        <v>70.705444104</v>
      </c>
      <c r="AE1183" s="1">
        <v>11.614708233</v>
      </c>
      <c r="AF1183" s="1">
        <v>0.6962476348</v>
      </c>
      <c r="AG1183" s="1">
        <v>0.5406158106</v>
      </c>
      <c r="AH1183" s="1">
        <v>0.9313336009</v>
      </c>
      <c r="AI1183" s="1">
        <v>0.0376792838</v>
      </c>
      <c r="AJ1183" s="1">
        <v>1.5874446074</v>
      </c>
      <c r="AK1183" s="1">
        <v>94.558619955</v>
      </c>
      <c r="AL1183" s="1">
        <v>0.4051386821</v>
      </c>
      <c r="AM1183" s="1">
        <v>51.247102381</v>
      </c>
      <c r="AN1183" s="1">
        <v>62.830431188</v>
      </c>
      <c r="AO1183" s="1">
        <v>26418.0</v>
      </c>
      <c r="AP1183" s="1">
        <v>14.6</v>
      </c>
      <c r="AQ1183" s="1">
        <v>7.0</v>
      </c>
      <c r="AR1183" s="1">
        <v>8.6</v>
      </c>
      <c r="AS1183" s="1">
        <v>17.5</v>
      </c>
      <c r="AT1183" s="1">
        <v>19.9</v>
      </c>
      <c r="AU1183" s="1">
        <v>16.5</v>
      </c>
      <c r="AV1183" s="1">
        <v>5.0</v>
      </c>
      <c r="AW1183" s="1">
        <v>0.5</v>
      </c>
      <c r="AX1183" s="1">
        <v>0.4015</v>
      </c>
      <c r="AY1183" s="1">
        <v>11.5</v>
      </c>
      <c r="AZ1183" s="1">
        <v>13.1</v>
      </c>
      <c r="BA1183" s="1">
        <v>20.3</v>
      </c>
      <c r="BB1183" s="1">
        <v>3.62</v>
      </c>
      <c r="BC1183" s="1" t="s">
        <v>2051</v>
      </c>
      <c r="BD1183" s="1">
        <v>7.5</v>
      </c>
      <c r="BE1183" s="1">
        <v>32.7</v>
      </c>
      <c r="BF1183" s="1">
        <v>31.8</v>
      </c>
      <c r="BG1183" s="1">
        <v>28.1</v>
      </c>
      <c r="BH1183" s="1" t="s">
        <v>2058</v>
      </c>
    </row>
    <row r="1184">
      <c r="A1184" s="1">
        <v>23013.0</v>
      </c>
      <c r="B1184" s="2" t="str">
        <f>IFERROR(__xludf.DUMMYFUNCTION("TO_TEXT(A1184)"),"23013")</f>
        <v>23013</v>
      </c>
      <c r="C1184" s="1">
        <v>39717.0</v>
      </c>
      <c r="D1184" s="1">
        <v>365.134333977144</v>
      </c>
      <c r="E1184" s="1" t="s">
        <v>1224</v>
      </c>
      <c r="F1184" s="1" t="s">
        <v>2059</v>
      </c>
      <c r="G1184" s="1">
        <v>108.77366575581</v>
      </c>
      <c r="H1184" s="1">
        <v>11.173563361</v>
      </c>
      <c r="I1184" s="1">
        <v>3.7813695222</v>
      </c>
      <c r="J1184" s="1">
        <v>6.4978902954</v>
      </c>
      <c r="K1184" s="1">
        <v>13.697646418</v>
      </c>
      <c r="L1184" s="1">
        <v>27.2</v>
      </c>
      <c r="M1184" s="1">
        <v>8.0</v>
      </c>
      <c r="N1184" s="1">
        <v>18.6</v>
      </c>
      <c r="O1184" s="1">
        <v>44.813267566</v>
      </c>
      <c r="P1184" s="1">
        <v>11.714176856</v>
      </c>
      <c r="Q1184" s="1">
        <v>92.98819</v>
      </c>
      <c r="R1184" s="1">
        <v>90.771461717</v>
      </c>
      <c r="S1184" s="1">
        <v>16.1</v>
      </c>
      <c r="T1184" s="1">
        <v>7130.0</v>
      </c>
      <c r="U1184" s="1">
        <v>32.959326788</v>
      </c>
      <c r="V1184" s="1">
        <v>52.836170132</v>
      </c>
      <c r="W1184" s="1">
        <v>15.81920904</v>
      </c>
      <c r="X1184" s="1">
        <v>13.373313343</v>
      </c>
      <c r="Y1184" s="1">
        <v>79.098034357</v>
      </c>
      <c r="Z1184" s="1">
        <v>8.3</v>
      </c>
      <c r="AA1184" s="1">
        <v>5.0086410381</v>
      </c>
      <c r="AB1184" s="1">
        <v>56678.0</v>
      </c>
      <c r="AC1184" s="1">
        <v>42.181252777</v>
      </c>
      <c r="AD1184" s="1">
        <v>76.876894381</v>
      </c>
      <c r="AE1184" s="1">
        <v>13.050776332</v>
      </c>
      <c r="AF1184" s="1">
        <v>0.7417464987</v>
      </c>
      <c r="AG1184" s="1">
        <v>0.4651630585</v>
      </c>
      <c r="AH1184" s="1">
        <v>0.6411707023</v>
      </c>
      <c r="AI1184" s="1">
        <v>0.0301727389</v>
      </c>
      <c r="AJ1184" s="1">
        <v>1.4935505771</v>
      </c>
      <c r="AK1184" s="1">
        <v>95.124588268</v>
      </c>
      <c r="AL1184" s="1">
        <v>0.0972353621</v>
      </c>
      <c r="AM1184" s="1">
        <v>50.6751150339999</v>
      </c>
      <c r="AN1184" s="1">
        <v>67.930843568</v>
      </c>
      <c r="AO1184" s="1">
        <v>28413.0</v>
      </c>
      <c r="AP1184" s="1">
        <v>11.9</v>
      </c>
      <c r="AQ1184" s="1">
        <v>5.6</v>
      </c>
      <c r="AR1184" s="1">
        <v>6.9</v>
      </c>
      <c r="AS1184" s="1">
        <v>22.1</v>
      </c>
      <c r="AT1184" s="1">
        <v>18.5</v>
      </c>
      <c r="AU1184" s="1">
        <v>16.2</v>
      </c>
      <c r="AV1184" s="1">
        <v>4.3</v>
      </c>
      <c r="AW1184" s="1">
        <v>0.1</v>
      </c>
      <c r="AX1184" s="1">
        <v>0.1872</v>
      </c>
      <c r="AY1184" s="1">
        <v>10.9</v>
      </c>
      <c r="AZ1184" s="1">
        <v>11.8</v>
      </c>
      <c r="BA1184" s="1">
        <v>18.7</v>
      </c>
      <c r="BB1184" s="1">
        <v>4.04</v>
      </c>
      <c r="BC1184" s="1" t="s">
        <v>2051</v>
      </c>
      <c r="BD1184" s="1">
        <v>6.4</v>
      </c>
      <c r="BE1184" s="1">
        <v>32.9</v>
      </c>
      <c r="BF1184" s="1">
        <v>27.1</v>
      </c>
      <c r="BG1184" s="1">
        <v>33.5</v>
      </c>
      <c r="BH1184" s="1" t="s">
        <v>2059</v>
      </c>
    </row>
    <row r="1185">
      <c r="A1185" s="1">
        <v>23015.0</v>
      </c>
      <c r="B1185" s="2" t="str">
        <f>IFERROR(__xludf.DUMMYFUNCTION("TO_TEXT(A1185)"),"23015")</f>
        <v>23015</v>
      </c>
      <c r="C1185" s="1">
        <v>34165.0</v>
      </c>
      <c r="D1185" s="1">
        <v>455.842142477827</v>
      </c>
      <c r="E1185" s="1" t="s">
        <v>353</v>
      </c>
      <c r="F1185" s="1" t="s">
        <v>2060</v>
      </c>
      <c r="G1185" s="1">
        <v>74.9491914334396</v>
      </c>
      <c r="H1185" s="1">
        <v>11.148040806</v>
      </c>
      <c r="I1185" s="1">
        <v>4.0195075516</v>
      </c>
      <c r="J1185" s="1">
        <v>8.0901177675</v>
      </c>
      <c r="K1185" s="1">
        <v>14.524588742</v>
      </c>
      <c r="L1185" s="1">
        <v>24.5</v>
      </c>
      <c r="M1185" s="1">
        <v>8.3</v>
      </c>
      <c r="N1185" s="1">
        <v>19.4</v>
      </c>
      <c r="O1185" s="1">
        <v>56.6764372989999</v>
      </c>
      <c r="P1185" s="1">
        <v>13.646150721</v>
      </c>
      <c r="Q1185" s="1">
        <v>111.09812</v>
      </c>
      <c r="R1185" s="1">
        <v>89.912280702</v>
      </c>
      <c r="S1185" s="1">
        <v>16.8</v>
      </c>
      <c r="T1185" s="1">
        <v>5641.0</v>
      </c>
      <c r="U1185" s="1">
        <v>32.086509484</v>
      </c>
      <c r="V1185" s="1">
        <v>154.44810544</v>
      </c>
      <c r="W1185" s="1">
        <v>14.946737683</v>
      </c>
      <c r="X1185" s="1">
        <v>12.9140180659999</v>
      </c>
      <c r="Y1185" s="1">
        <v>79.471393756</v>
      </c>
      <c r="Z1185" s="1">
        <v>8.7</v>
      </c>
      <c r="AA1185" s="1">
        <v>1.3800496498</v>
      </c>
      <c r="AB1185" s="1">
        <v>56211.0</v>
      </c>
      <c r="AC1185" s="1">
        <v>48.2187241089999</v>
      </c>
      <c r="AD1185" s="1">
        <v>78.06401249</v>
      </c>
      <c r="AE1185" s="1">
        <v>13.3055293959999</v>
      </c>
      <c r="AF1185" s="1">
        <v>0.5649059461</v>
      </c>
      <c r="AG1185" s="1">
        <v>0.3756333353</v>
      </c>
      <c r="AH1185" s="1">
        <v>0.8444470328</v>
      </c>
      <c r="AI1185" s="1">
        <v>0.0174713179</v>
      </c>
      <c r="AJ1185" s="1">
        <v>1.2433754586</v>
      </c>
      <c r="AK1185" s="1">
        <v>95.7923242679999</v>
      </c>
      <c r="AL1185" s="1">
        <v>0.1588853581</v>
      </c>
      <c r="AM1185" s="1">
        <v>50.928891736</v>
      </c>
      <c r="AN1185" s="1">
        <v>100.0</v>
      </c>
      <c r="AO1185" s="1">
        <v>30022.0</v>
      </c>
      <c r="AP1185" s="1">
        <v>12.1</v>
      </c>
      <c r="AQ1185" s="1">
        <v>3.6</v>
      </c>
      <c r="AR1185" s="1">
        <v>6.8</v>
      </c>
      <c r="AS1185" s="1">
        <v>25.1</v>
      </c>
      <c r="AT1185" s="1">
        <v>17.3</v>
      </c>
      <c r="AU1185" s="1">
        <v>15.7</v>
      </c>
      <c r="AV1185" s="1">
        <v>3.9</v>
      </c>
      <c r="AW1185" s="1">
        <v>0.2</v>
      </c>
      <c r="AX1185" s="1">
        <v>0.092</v>
      </c>
      <c r="AY1185" s="1">
        <v>11.0</v>
      </c>
      <c r="AZ1185" s="1">
        <v>12.5</v>
      </c>
      <c r="BA1185" s="1">
        <v>20.2</v>
      </c>
      <c r="BB1185" s="1">
        <v>4.23</v>
      </c>
      <c r="BC1185" s="1" t="s">
        <v>2051</v>
      </c>
      <c r="BD1185" s="1">
        <v>6.9</v>
      </c>
      <c r="BE1185" s="1">
        <v>34.4</v>
      </c>
      <c r="BF1185" s="1">
        <v>25.2</v>
      </c>
      <c r="BG1185" s="1">
        <v>33.5</v>
      </c>
      <c r="BH1185" s="1" t="s">
        <v>2060</v>
      </c>
    </row>
    <row r="1186">
      <c r="A1186" s="1">
        <v>23017.0</v>
      </c>
      <c r="B1186" s="2" t="str">
        <f>IFERROR(__xludf.DUMMYFUNCTION("TO_TEXT(A1186)"),"23017")</f>
        <v>23017</v>
      </c>
      <c r="C1186" s="1">
        <v>57299.0</v>
      </c>
      <c r="D1186" s="1">
        <v>2076.86907587103</v>
      </c>
      <c r="E1186" s="1" t="s">
        <v>2061</v>
      </c>
      <c r="F1186" s="1" t="s">
        <v>2062</v>
      </c>
      <c r="G1186" s="1">
        <v>27.5891247386254</v>
      </c>
      <c r="H1186" s="1">
        <v>13.647688755</v>
      </c>
      <c r="I1186" s="1">
        <v>4.377745028</v>
      </c>
      <c r="J1186" s="1">
        <v>6.8322981366</v>
      </c>
      <c r="K1186" s="1">
        <v>18.030923525</v>
      </c>
      <c r="L1186" s="1">
        <v>33.2</v>
      </c>
      <c r="M1186" s="1">
        <v>8.0</v>
      </c>
      <c r="N1186" s="1">
        <v>26.2</v>
      </c>
      <c r="O1186" s="1">
        <v>40.955855653</v>
      </c>
      <c r="P1186" s="1">
        <v>11.308801725</v>
      </c>
      <c r="Q1186" s="1">
        <v>59.19323</v>
      </c>
      <c r="R1186" s="1">
        <v>83.531347962</v>
      </c>
      <c r="S1186" s="1">
        <v>26.3</v>
      </c>
      <c r="T1186" s="1">
        <v>10779.0</v>
      </c>
      <c r="U1186" s="1">
        <v>38.927544299</v>
      </c>
      <c r="V1186" s="1">
        <v>111.90571943</v>
      </c>
      <c r="W1186" s="1">
        <v>15.946924005</v>
      </c>
      <c r="X1186" s="1">
        <v>13.627498781</v>
      </c>
      <c r="Y1186" s="1">
        <v>77.763530797</v>
      </c>
      <c r="Z1186" s="1">
        <v>9.6</v>
      </c>
      <c r="AA1186" s="1">
        <v>2.2902843646</v>
      </c>
      <c r="AB1186" s="1">
        <v>44243.0</v>
      </c>
      <c r="AC1186" s="1">
        <v>60.6454720619999</v>
      </c>
      <c r="AD1186" s="1">
        <v>80.508311713</v>
      </c>
      <c r="AE1186" s="1">
        <v>11.795530947</v>
      </c>
      <c r="AF1186" s="1">
        <v>0.5900933736</v>
      </c>
      <c r="AG1186" s="1">
        <v>0.4981082301</v>
      </c>
      <c r="AH1186" s="1">
        <v>0.7723280919</v>
      </c>
      <c r="AI1186" s="1">
        <v>0.0329758062</v>
      </c>
      <c r="AJ1186" s="1">
        <v>1.4387864903</v>
      </c>
      <c r="AK1186" s="1">
        <v>95.1664410429999</v>
      </c>
      <c r="AL1186" s="1">
        <v>0.1956481989</v>
      </c>
      <c r="AM1186" s="1">
        <v>50.527612899</v>
      </c>
      <c r="AN1186" s="1">
        <v>83.111718223</v>
      </c>
      <c r="AO1186" s="1">
        <v>21674.0</v>
      </c>
      <c r="AP1186" s="1">
        <v>16.7</v>
      </c>
      <c r="AQ1186" s="1">
        <v>7.4</v>
      </c>
      <c r="AR1186" s="1">
        <v>8.5</v>
      </c>
      <c r="AS1186" s="1">
        <v>19.2</v>
      </c>
      <c r="AT1186" s="1">
        <v>19.9</v>
      </c>
      <c r="AU1186" s="1">
        <v>18.3</v>
      </c>
      <c r="AV1186" s="1">
        <v>4.3</v>
      </c>
      <c r="AW1186" s="1">
        <v>0.2</v>
      </c>
      <c r="AX1186" s="1">
        <v>0.3913</v>
      </c>
      <c r="AY1186" s="1">
        <v>13.0</v>
      </c>
      <c r="AZ1186" s="1">
        <v>14.3</v>
      </c>
      <c r="BA1186" s="1">
        <v>24.2</v>
      </c>
      <c r="BB1186" s="1">
        <v>3.51</v>
      </c>
      <c r="BC1186" s="1" t="s">
        <v>2051</v>
      </c>
      <c r="BD1186" s="1">
        <v>8.1</v>
      </c>
      <c r="BE1186" s="1">
        <v>42.0</v>
      </c>
      <c r="BF1186" s="1">
        <v>30.7</v>
      </c>
      <c r="BG1186" s="1">
        <v>19.2</v>
      </c>
      <c r="BH1186" s="1" t="s">
        <v>2062</v>
      </c>
    </row>
    <row r="1187">
      <c r="A1187" s="1">
        <v>23019.0</v>
      </c>
      <c r="B1187" s="2" t="str">
        <f>IFERROR(__xludf.DUMMYFUNCTION("TO_TEXT(A1187)"),"23019")</f>
        <v>23019</v>
      </c>
      <c r="C1187" s="1">
        <v>152978.0</v>
      </c>
      <c r="D1187" s="1">
        <v>3397.18304418121</v>
      </c>
      <c r="E1187" s="1" t="s">
        <v>2063</v>
      </c>
      <c r="F1187" s="1" t="s">
        <v>2064</v>
      </c>
      <c r="G1187" s="1">
        <v>45.0308382004982</v>
      </c>
      <c r="H1187" s="1">
        <v>15.2120910159999</v>
      </c>
      <c r="I1187" s="1">
        <v>4.5861214207</v>
      </c>
      <c r="J1187" s="1">
        <v>7.4000595179</v>
      </c>
      <c r="K1187" s="1">
        <v>16.858076332</v>
      </c>
      <c r="L1187" s="1">
        <v>33.7</v>
      </c>
      <c r="M1187" s="1">
        <v>7.5</v>
      </c>
      <c r="N1187" s="1">
        <v>23.5</v>
      </c>
      <c r="O1187" s="1">
        <v>63.412225593</v>
      </c>
      <c r="P1187" s="1">
        <v>10.933240482</v>
      </c>
      <c r="Q1187" s="1">
        <v>128.98386</v>
      </c>
      <c r="R1187" s="1">
        <v>87.737435567</v>
      </c>
      <c r="S1187" s="1">
        <v>17.1</v>
      </c>
      <c r="T1187" s="1">
        <v>27426.0</v>
      </c>
      <c r="U1187" s="1">
        <v>35.335083497</v>
      </c>
      <c r="V1187" s="1">
        <v>86.251114894</v>
      </c>
      <c r="W1187" s="1">
        <v>14.92271587</v>
      </c>
      <c r="X1187" s="1">
        <v>12.872340426</v>
      </c>
      <c r="Y1187" s="1">
        <v>77.597234418</v>
      </c>
      <c r="Z1187" s="1">
        <v>11.5</v>
      </c>
      <c r="AA1187" s="1">
        <v>5.4524878258</v>
      </c>
      <c r="AB1187" s="1">
        <v>47840.0</v>
      </c>
      <c r="AC1187" s="1">
        <v>45.69369551</v>
      </c>
      <c r="AD1187" s="1">
        <v>69.701841567</v>
      </c>
      <c r="AE1187" s="1">
        <v>13.018226857</v>
      </c>
      <c r="AF1187" s="1">
        <v>0.906046487</v>
      </c>
      <c r="AG1187" s="1">
        <v>1.275348123</v>
      </c>
      <c r="AH1187" s="1">
        <v>1.126436173</v>
      </c>
      <c r="AI1187" s="1">
        <v>0.0324297136</v>
      </c>
      <c r="AJ1187" s="1">
        <v>1.3997723302</v>
      </c>
      <c r="AK1187" s="1">
        <v>93.660983745</v>
      </c>
      <c r="AL1187" s="1">
        <v>0.2185535352</v>
      </c>
      <c r="AM1187" s="1">
        <v>50.525493726</v>
      </c>
      <c r="AN1187" s="1">
        <v>57.650253698</v>
      </c>
      <c r="AO1187" s="1">
        <v>25035.0</v>
      </c>
      <c r="AP1187" s="1">
        <v>16.3</v>
      </c>
      <c r="AQ1187" s="1">
        <v>7.3</v>
      </c>
      <c r="AR1187" s="1">
        <v>8.8</v>
      </c>
      <c r="AS1187" s="1">
        <v>16.5</v>
      </c>
      <c r="AT1187" s="1">
        <v>18.7</v>
      </c>
      <c r="AU1187" s="1">
        <v>18.3</v>
      </c>
      <c r="AV1187" s="1">
        <v>5.8</v>
      </c>
      <c r="AW1187" s="1">
        <v>0.2</v>
      </c>
      <c r="AX1187" s="1">
        <v>0.4384</v>
      </c>
      <c r="AY1187" s="1">
        <v>12.4</v>
      </c>
      <c r="AZ1187" s="1">
        <v>14.3</v>
      </c>
      <c r="BA1187" s="1">
        <v>21.7</v>
      </c>
      <c r="BB1187" s="1">
        <v>3.56</v>
      </c>
      <c r="BC1187" s="1" t="s">
        <v>2051</v>
      </c>
      <c r="BD1187" s="1">
        <v>8.0</v>
      </c>
      <c r="BE1187" s="1">
        <v>33.6</v>
      </c>
      <c r="BF1187" s="1">
        <v>30.7</v>
      </c>
      <c r="BG1187" s="1">
        <v>27.7</v>
      </c>
      <c r="BH1187" s="1" t="s">
        <v>2064</v>
      </c>
    </row>
    <row r="1188">
      <c r="A1188" s="1">
        <v>23021.0</v>
      </c>
      <c r="B1188" s="2" t="str">
        <f>IFERROR(__xludf.DUMMYFUNCTION("TO_TEXT(A1188)"),"23021")</f>
        <v>23021</v>
      </c>
      <c r="C1188" s="1">
        <v>17044.0</v>
      </c>
      <c r="D1188" s="1">
        <v>3960.89820050072</v>
      </c>
      <c r="E1188" s="1" t="s">
        <v>2065</v>
      </c>
      <c r="F1188" s="1" t="s">
        <v>2066</v>
      </c>
      <c r="G1188" s="1">
        <v>4.30306439025506</v>
      </c>
      <c r="H1188" s="1">
        <v>15.244386967</v>
      </c>
      <c r="I1188" s="1">
        <v>4.5472157977</v>
      </c>
      <c r="J1188" s="1">
        <v>7.9510703364</v>
      </c>
      <c r="K1188" s="1">
        <v>18.9008717629999</v>
      </c>
      <c r="L1188" s="1">
        <v>36.6</v>
      </c>
      <c r="M1188" s="1">
        <v>7.8</v>
      </c>
      <c r="N1188" s="1">
        <v>25.1</v>
      </c>
      <c r="O1188" s="1">
        <v>48.046763616</v>
      </c>
      <c r="P1188" s="1">
        <v>12.160252681</v>
      </c>
      <c r="Q1188" s="1">
        <v>65.58159</v>
      </c>
      <c r="R1188" s="1">
        <v>89.912280702</v>
      </c>
      <c r="S1188" s="1">
        <v>23.8</v>
      </c>
      <c r="T1188" s="1">
        <v>2819.0</v>
      </c>
      <c r="U1188" s="1">
        <v>38.701667258</v>
      </c>
      <c r="V1188" s="1">
        <v>118.08466671</v>
      </c>
      <c r="W1188" s="1">
        <v>14.332892999</v>
      </c>
      <c r="X1188" s="1">
        <v>11.677282378</v>
      </c>
      <c r="Y1188" s="1">
        <v>76.622431612</v>
      </c>
      <c r="Z1188" s="1">
        <v>11.4</v>
      </c>
      <c r="AA1188" s="1">
        <v>1.9693490236</v>
      </c>
      <c r="AB1188" s="1">
        <v>40066.0</v>
      </c>
      <c r="AC1188" s="1">
        <v>61.792905081</v>
      </c>
      <c r="AD1188" s="1">
        <v>75.587875493</v>
      </c>
      <c r="AE1188" s="1">
        <v>12.36212577</v>
      </c>
      <c r="AF1188" s="1">
        <v>0.5</v>
      </c>
      <c r="AG1188" s="1">
        <v>0.7678571429</v>
      </c>
      <c r="AH1188" s="1">
        <v>0.8392857143</v>
      </c>
      <c r="AI1188" s="1">
        <v>0.0476190476</v>
      </c>
      <c r="AJ1188" s="1">
        <v>1.4821428571</v>
      </c>
      <c r="AK1188" s="1">
        <v>95.125</v>
      </c>
      <c r="AL1188" s="1">
        <v>0.129789864</v>
      </c>
      <c r="AM1188" s="1">
        <v>50.130952381</v>
      </c>
      <c r="AN1188" s="1">
        <v>100.0</v>
      </c>
      <c r="AO1188" s="1">
        <v>22398.0</v>
      </c>
      <c r="AP1188" s="1">
        <v>20.6</v>
      </c>
      <c r="AQ1188" s="1">
        <v>10.0</v>
      </c>
      <c r="AR1188" s="1">
        <v>10.3</v>
      </c>
      <c r="AS1188" s="1">
        <v>23.5</v>
      </c>
      <c r="AT1188" s="1">
        <v>17.7</v>
      </c>
      <c r="AU1188" s="1">
        <v>25.5</v>
      </c>
      <c r="AV1188" s="1">
        <v>4.5</v>
      </c>
      <c r="AW1188" s="1">
        <v>0.0</v>
      </c>
      <c r="AX1188" s="1">
        <v>0.4706</v>
      </c>
      <c r="AY1188" s="1">
        <v>16.5</v>
      </c>
      <c r="AZ1188" s="1">
        <v>17.5</v>
      </c>
      <c r="BA1188" s="1">
        <v>26.8</v>
      </c>
      <c r="BB1188" s="1">
        <v>3.81</v>
      </c>
      <c r="BC1188" s="1" t="s">
        <v>2051</v>
      </c>
      <c r="BD1188" s="1">
        <v>9.7</v>
      </c>
      <c r="BE1188" s="1">
        <v>40.7</v>
      </c>
      <c r="BF1188" s="1">
        <v>31.1</v>
      </c>
      <c r="BG1188" s="1">
        <v>18.4</v>
      </c>
      <c r="BH1188" s="1" t="s">
        <v>2066</v>
      </c>
    </row>
    <row r="1189">
      <c r="A1189" s="1">
        <v>23023.0</v>
      </c>
      <c r="B1189" s="2" t="str">
        <f>IFERROR(__xludf.DUMMYFUNCTION("TO_TEXT(A1189)"),"23023")</f>
        <v>23023</v>
      </c>
      <c r="C1189" s="1">
        <v>35134.0</v>
      </c>
      <c r="D1189" s="1">
        <v>253.979236532246</v>
      </c>
      <c r="E1189" s="1" t="s">
        <v>2067</v>
      </c>
      <c r="F1189" s="1" t="s">
        <v>2068</v>
      </c>
      <c r="G1189" s="1">
        <v>138.334142899667</v>
      </c>
      <c r="H1189" s="1">
        <v>11.752554148</v>
      </c>
      <c r="I1189" s="1">
        <v>3.9094481107</v>
      </c>
      <c r="J1189" s="1">
        <v>6.3968668407</v>
      </c>
      <c r="K1189" s="1">
        <v>13.590921937</v>
      </c>
      <c r="L1189" s="1">
        <v>25.1</v>
      </c>
      <c r="M1189" s="1">
        <v>8.2</v>
      </c>
      <c r="N1189" s="1">
        <v>18.5</v>
      </c>
      <c r="O1189" s="1">
        <v>81.4240784289999</v>
      </c>
      <c r="P1189" s="1">
        <v>8.4700043159</v>
      </c>
      <c r="Q1189" s="1">
        <v>64.98644</v>
      </c>
      <c r="R1189" s="1">
        <v>85.23480663</v>
      </c>
      <c r="S1189" s="1">
        <v>13.0</v>
      </c>
      <c r="T1189" s="1">
        <v>6639.0</v>
      </c>
      <c r="U1189" s="1">
        <v>32.5952703719999</v>
      </c>
      <c r="V1189" s="1">
        <v>37.048119808</v>
      </c>
      <c r="W1189" s="1">
        <v>14.217098943</v>
      </c>
      <c r="X1189" s="1">
        <v>12.7296165</v>
      </c>
      <c r="Y1189" s="1">
        <v>79.589383781</v>
      </c>
      <c r="Z1189" s="1">
        <v>8.4</v>
      </c>
      <c r="AA1189" s="1">
        <v>2.8439224979</v>
      </c>
      <c r="AB1189" s="1">
        <v>65969.0</v>
      </c>
      <c r="AC1189" s="1">
        <v>39.491242702</v>
      </c>
      <c r="AD1189" s="1">
        <v>75.708962294</v>
      </c>
      <c r="AE1189" s="1">
        <v>13.075973224</v>
      </c>
      <c r="AF1189" s="1">
        <v>0.8559241174</v>
      </c>
      <c r="AG1189" s="1">
        <v>0.4686535331</v>
      </c>
      <c r="AH1189" s="1">
        <v>0.8895998204</v>
      </c>
      <c r="AI1189" s="1">
        <v>0.0280630858</v>
      </c>
      <c r="AJ1189" s="1">
        <v>1.8325195038</v>
      </c>
      <c r="AK1189" s="1">
        <v>94.4631531679999</v>
      </c>
      <c r="AL1189" s="1">
        <v>0.5463828263</v>
      </c>
      <c r="AM1189" s="1">
        <v>51.411573217</v>
      </c>
      <c r="AN1189" s="1">
        <v>61.675119712</v>
      </c>
      <c r="AO1189" s="1">
        <v>31085.0</v>
      </c>
      <c r="AP1189" s="1">
        <v>10.7</v>
      </c>
      <c r="AQ1189" s="1">
        <v>5.1</v>
      </c>
      <c r="AR1189" s="1">
        <v>5.5</v>
      </c>
      <c r="AS1189" s="1">
        <v>19.4</v>
      </c>
      <c r="AT1189" s="1">
        <v>19.3</v>
      </c>
      <c r="AU1189" s="1">
        <v>13.6</v>
      </c>
      <c r="AV1189" s="1">
        <v>5.1</v>
      </c>
      <c r="AW1189" s="1">
        <v>0.3</v>
      </c>
      <c r="AX1189" s="1">
        <v>0.0548</v>
      </c>
      <c r="AY1189" s="1">
        <v>8.6</v>
      </c>
      <c r="AZ1189" s="1">
        <v>10.5</v>
      </c>
      <c r="BA1189" s="1">
        <v>17.1</v>
      </c>
      <c r="BB1189" s="1">
        <v>4.32</v>
      </c>
      <c r="BC1189" s="1" t="s">
        <v>2051</v>
      </c>
      <c r="BD1189" s="1">
        <v>6.0</v>
      </c>
      <c r="BE1189" s="1">
        <v>30.0</v>
      </c>
      <c r="BF1189" s="1">
        <v>27.7</v>
      </c>
      <c r="BG1189" s="1">
        <v>36.4</v>
      </c>
      <c r="BH1189" s="1" t="s">
        <v>2068</v>
      </c>
    </row>
    <row r="1190">
      <c r="A1190" s="1">
        <v>23025.0</v>
      </c>
      <c r="B1190" s="2" t="str">
        <f>IFERROR(__xludf.DUMMYFUNCTION("TO_TEXT(A1190)"),"23025")</f>
        <v>23025</v>
      </c>
      <c r="C1190" s="1">
        <v>51363.0</v>
      </c>
      <c r="D1190" s="1">
        <v>3924.37626714469</v>
      </c>
      <c r="E1190" s="1" t="s">
        <v>2069</v>
      </c>
      <c r="F1190" s="1" t="s">
        <v>2070</v>
      </c>
      <c r="G1190" s="1">
        <v>13.088194531706</v>
      </c>
      <c r="H1190" s="1">
        <v>15.736557327</v>
      </c>
      <c r="I1190" s="1">
        <v>4.3254509238</v>
      </c>
      <c r="J1190" s="1">
        <v>6.9414974235</v>
      </c>
      <c r="K1190" s="1">
        <v>19.094503389</v>
      </c>
      <c r="L1190" s="1">
        <v>33.9</v>
      </c>
      <c r="M1190" s="1">
        <v>7.3</v>
      </c>
      <c r="N1190" s="1">
        <v>26.0</v>
      </c>
      <c r="O1190" s="1">
        <v>59.4757601289999</v>
      </c>
      <c r="P1190" s="1">
        <v>12.114171922</v>
      </c>
      <c r="Q1190" s="1">
        <v>61.23336</v>
      </c>
      <c r="R1190" s="1">
        <v>86.143493761</v>
      </c>
      <c r="S1190" s="1">
        <v>21.1</v>
      </c>
      <c r="T1190" s="1">
        <v>9783.0</v>
      </c>
      <c r="U1190" s="1">
        <v>36.113666564</v>
      </c>
      <c r="V1190" s="1">
        <v>136.46022185</v>
      </c>
      <c r="W1190" s="1">
        <v>16.280701754</v>
      </c>
      <c r="X1190" s="1">
        <v>12.870348424</v>
      </c>
      <c r="Y1190" s="1">
        <v>76.245700055</v>
      </c>
      <c r="Z1190" s="1">
        <v>12.0</v>
      </c>
      <c r="AA1190" s="1">
        <v>7.1729722708</v>
      </c>
      <c r="AB1190" s="1">
        <v>43755.0</v>
      </c>
      <c r="AC1190" s="1">
        <v>63.377416073</v>
      </c>
      <c r="AD1190" s="1">
        <v>75.781358845</v>
      </c>
      <c r="AE1190" s="1">
        <v>14.326731228</v>
      </c>
      <c r="AF1190" s="1">
        <v>0.5494939911</v>
      </c>
      <c r="AG1190" s="1">
        <v>0.571236559099999</v>
      </c>
      <c r="AH1190" s="1">
        <v>0.7273877293</v>
      </c>
      <c r="AI1190" s="1">
        <v>0.0355787475999999</v>
      </c>
      <c r="AJ1190" s="1">
        <v>1.1167773561</v>
      </c>
      <c r="AK1190" s="1">
        <v>95.556609741</v>
      </c>
      <c r="AL1190" s="1">
        <v>0.4237200554</v>
      </c>
      <c r="AM1190" s="1">
        <v>50.262887413</v>
      </c>
      <c r="AN1190" s="1">
        <v>80.47598989</v>
      </c>
      <c r="AO1190" s="1">
        <v>21961.0</v>
      </c>
      <c r="AP1190" s="1">
        <v>18.0</v>
      </c>
      <c r="AQ1190" s="1">
        <v>9.2</v>
      </c>
      <c r="AR1190" s="1">
        <v>12.0</v>
      </c>
      <c r="AS1190" s="1">
        <v>19.0</v>
      </c>
      <c r="AT1190" s="1">
        <v>20.0</v>
      </c>
      <c r="AU1190" s="1">
        <v>20.4</v>
      </c>
      <c r="AV1190" s="1">
        <v>3.9</v>
      </c>
      <c r="AW1190" s="1">
        <v>0.3</v>
      </c>
      <c r="AX1190" s="1">
        <v>0.5562</v>
      </c>
      <c r="AY1190" s="1">
        <v>18.3</v>
      </c>
      <c r="AZ1190" s="1">
        <v>16.6</v>
      </c>
      <c r="BA1190" s="1">
        <v>26.2</v>
      </c>
      <c r="BB1190" s="1">
        <v>3.37</v>
      </c>
      <c r="BC1190" s="1" t="s">
        <v>2051</v>
      </c>
      <c r="BD1190" s="1">
        <v>11.6</v>
      </c>
      <c r="BE1190" s="1">
        <v>40.4</v>
      </c>
      <c r="BF1190" s="1">
        <v>31.5</v>
      </c>
      <c r="BG1190" s="1">
        <v>16.5</v>
      </c>
      <c r="BH1190" s="1" t="s">
        <v>2070</v>
      </c>
    </row>
    <row r="1191">
      <c r="A1191" s="1">
        <v>23027.0</v>
      </c>
      <c r="B1191" s="2" t="str">
        <f>IFERROR(__xludf.DUMMYFUNCTION("TO_TEXT(A1191)"),"23027")</f>
        <v>23027</v>
      </c>
      <c r="C1191" s="1">
        <v>39071.0</v>
      </c>
      <c r="D1191" s="1">
        <v>729.927425987362</v>
      </c>
      <c r="E1191" s="1" t="s">
        <v>2071</v>
      </c>
      <c r="F1191" s="1" t="s">
        <v>2072</v>
      </c>
      <c r="G1191" s="1">
        <v>53.5272392966317</v>
      </c>
      <c r="H1191" s="1">
        <v>15.0624730009999</v>
      </c>
      <c r="I1191" s="1">
        <v>4.3375047615</v>
      </c>
      <c r="J1191" s="1">
        <v>7.0525886669</v>
      </c>
      <c r="K1191" s="1">
        <v>17.510761602</v>
      </c>
      <c r="L1191" s="1">
        <v>30.7</v>
      </c>
      <c r="M1191" s="1">
        <v>8.0</v>
      </c>
      <c r="N1191" s="1">
        <v>20.7</v>
      </c>
      <c r="O1191" s="1">
        <v>49.99742175</v>
      </c>
      <c r="P1191" s="1">
        <v>12.356302963</v>
      </c>
      <c r="Q1191" s="1">
        <v>72.80578</v>
      </c>
      <c r="R1191" s="1">
        <v>84.793233083</v>
      </c>
      <c r="S1191" s="1">
        <v>20.2</v>
      </c>
      <c r="T1191" s="1">
        <v>7235.0</v>
      </c>
      <c r="U1191" s="1">
        <v>30.4215618519999</v>
      </c>
      <c r="V1191" s="1">
        <v>72.802513603</v>
      </c>
      <c r="W1191" s="1">
        <v>14.803804994</v>
      </c>
      <c r="X1191" s="1">
        <v>12.113943028</v>
      </c>
      <c r="Y1191" s="1">
        <v>79.134137506</v>
      </c>
      <c r="Z1191" s="1">
        <v>10.5</v>
      </c>
      <c r="AA1191" s="1">
        <v>2.9889325679</v>
      </c>
      <c r="AB1191" s="1">
        <v>49482.0</v>
      </c>
      <c r="AC1191" s="1">
        <v>55.1900422319999</v>
      </c>
      <c r="AD1191" s="1">
        <v>79.5863362039999</v>
      </c>
      <c r="AE1191" s="1">
        <v>10.5844510529999</v>
      </c>
      <c r="AF1191" s="1">
        <v>0.569355570099999</v>
      </c>
      <c r="AG1191" s="1">
        <v>0.4962966695</v>
      </c>
      <c r="AH1191" s="1">
        <v>0.707915554</v>
      </c>
      <c r="AI1191" s="1">
        <v>0.0403083589</v>
      </c>
      <c r="AJ1191" s="1">
        <v>1.4989670983</v>
      </c>
      <c r="AK1191" s="1">
        <v>95.346903814</v>
      </c>
      <c r="AL1191" s="1">
        <v>0.1355769998</v>
      </c>
      <c r="AM1191" s="1">
        <v>50.831359903</v>
      </c>
      <c r="AN1191" s="1">
        <v>91.34223689</v>
      </c>
      <c r="AO1191" s="1">
        <v>25270.0</v>
      </c>
      <c r="AP1191" s="1">
        <v>16.0</v>
      </c>
      <c r="AQ1191" s="1">
        <v>7.2</v>
      </c>
      <c r="AR1191" s="1">
        <v>8.1</v>
      </c>
      <c r="AS1191" s="1">
        <v>19.4</v>
      </c>
      <c r="AT1191" s="1">
        <v>19.6</v>
      </c>
      <c r="AU1191" s="1">
        <v>16.1</v>
      </c>
      <c r="AV1191" s="1">
        <v>4.1</v>
      </c>
      <c r="AW1191" s="1">
        <v>0.5</v>
      </c>
      <c r="AX1191" s="1">
        <v>0.2977</v>
      </c>
      <c r="AY1191" s="1">
        <v>13.7</v>
      </c>
      <c r="AZ1191" s="1">
        <v>13.0</v>
      </c>
      <c r="BA1191" s="1">
        <v>20.7</v>
      </c>
      <c r="BB1191" s="1">
        <v>4.06</v>
      </c>
      <c r="BC1191" s="1" t="s">
        <v>2051</v>
      </c>
      <c r="BD1191" s="1">
        <v>7.8</v>
      </c>
      <c r="BE1191" s="1">
        <v>32.2</v>
      </c>
      <c r="BF1191" s="1">
        <v>28.6</v>
      </c>
      <c r="BG1191" s="1">
        <v>31.4</v>
      </c>
      <c r="BH1191" s="1" t="s">
        <v>2072</v>
      </c>
    </row>
    <row r="1192">
      <c r="A1192" s="1">
        <v>23029.0</v>
      </c>
      <c r="B1192" s="2" t="str">
        <f>IFERROR(__xludf.DUMMYFUNCTION("TO_TEXT(A1192)"),"23029")</f>
        <v>23029</v>
      </c>
      <c r="C1192" s="1">
        <v>31925.0</v>
      </c>
      <c r="D1192" s="1">
        <v>2562.68508379355</v>
      </c>
      <c r="E1192" s="1" t="s">
        <v>188</v>
      </c>
      <c r="F1192" s="1" t="s">
        <v>2073</v>
      </c>
      <c r="G1192" s="1">
        <v>12.4576367973943</v>
      </c>
      <c r="H1192" s="1">
        <v>17.6278556509999</v>
      </c>
      <c r="I1192" s="1">
        <v>4.625467443</v>
      </c>
      <c r="J1192" s="1">
        <v>7.3663938373</v>
      </c>
      <c r="K1192" s="1">
        <v>18.229789574</v>
      </c>
      <c r="L1192" s="1">
        <v>32.6</v>
      </c>
      <c r="M1192" s="1">
        <v>7.4</v>
      </c>
      <c r="N1192" s="1">
        <v>26.7</v>
      </c>
      <c r="O1192" s="1">
        <v>51.9570245919999</v>
      </c>
      <c r="P1192" s="1">
        <v>15.6281254079999</v>
      </c>
      <c r="Q1192" s="1">
        <v>66.4704199999999</v>
      </c>
      <c r="R1192" s="1">
        <v>89.912280702</v>
      </c>
      <c r="S1192" s="1">
        <v>26.8</v>
      </c>
      <c r="T1192" s="1">
        <v>5886.0</v>
      </c>
      <c r="U1192" s="1">
        <v>36.544342508</v>
      </c>
      <c r="V1192" s="1">
        <v>122.82110633</v>
      </c>
      <c r="W1192" s="1">
        <v>13.508709563</v>
      </c>
      <c r="X1192" s="1">
        <v>11.270125224</v>
      </c>
      <c r="Y1192" s="1">
        <v>75.923292799</v>
      </c>
      <c r="Z1192" s="1">
        <v>12.6</v>
      </c>
      <c r="AA1192" s="1">
        <v>5.4866120928</v>
      </c>
      <c r="AB1192" s="1">
        <v>39522.0</v>
      </c>
      <c r="AC1192" s="1">
        <v>60.430333246</v>
      </c>
      <c r="AD1192" s="1">
        <v>76.4305374469999</v>
      </c>
      <c r="AE1192" s="1">
        <v>11.637572735</v>
      </c>
      <c r="AF1192" s="1">
        <v>0.5970149254</v>
      </c>
      <c r="AG1192" s="1">
        <v>5.4048904414</v>
      </c>
      <c r="AH1192" s="1">
        <v>0.5017465862</v>
      </c>
      <c r="AI1192" s="1">
        <v>0.0349317244</v>
      </c>
      <c r="AJ1192" s="1">
        <v>2.4198158145</v>
      </c>
      <c r="AK1192" s="1">
        <v>89.444268022</v>
      </c>
      <c r="AL1192" s="1">
        <v>0.5334481959</v>
      </c>
      <c r="AM1192" s="1">
        <v>50.5652588119999</v>
      </c>
      <c r="AN1192" s="1">
        <v>92.378865352</v>
      </c>
      <c r="AO1192" s="1">
        <v>23113.0</v>
      </c>
      <c r="AP1192" s="1">
        <v>18.0</v>
      </c>
      <c r="AQ1192" s="1">
        <v>8.6</v>
      </c>
      <c r="AR1192" s="1">
        <v>12.0</v>
      </c>
      <c r="AS1192" s="1">
        <v>21.9</v>
      </c>
      <c r="AT1192" s="1">
        <v>19.1</v>
      </c>
      <c r="AU1192" s="1">
        <v>20.9</v>
      </c>
      <c r="AV1192" s="1">
        <v>9.8</v>
      </c>
      <c r="AW1192" s="1">
        <v>0.4</v>
      </c>
      <c r="AX1192" s="1">
        <v>0.6151</v>
      </c>
      <c r="AY1192" s="1">
        <v>19.6</v>
      </c>
      <c r="AZ1192" s="1">
        <v>16.3</v>
      </c>
      <c r="BA1192" s="1">
        <v>25.7</v>
      </c>
      <c r="BB1192" s="1">
        <v>3.54</v>
      </c>
      <c r="BC1192" s="1" t="s">
        <v>2051</v>
      </c>
      <c r="BD1192" s="1">
        <v>10.7</v>
      </c>
      <c r="BE1192" s="1">
        <v>38.0</v>
      </c>
      <c r="BF1192" s="1">
        <v>29.2</v>
      </c>
      <c r="BG1192" s="1">
        <v>22.0</v>
      </c>
      <c r="BH1192" s="1" t="s">
        <v>2073</v>
      </c>
    </row>
    <row r="1193">
      <c r="A1193" s="1">
        <v>23031.0</v>
      </c>
      <c r="B1193" s="2" t="str">
        <f>IFERROR(__xludf.DUMMYFUNCTION("TO_TEXT(A1193)"),"23031")</f>
        <v>23031</v>
      </c>
      <c r="C1193" s="1">
        <v>200536.0</v>
      </c>
      <c r="D1193" s="1">
        <v>990.779488545198</v>
      </c>
      <c r="E1193" s="1" t="s">
        <v>2074</v>
      </c>
      <c r="F1193" s="1" t="s">
        <v>2075</v>
      </c>
      <c r="G1193" s="1">
        <v>202.402252285677</v>
      </c>
      <c r="H1193" s="1">
        <v>12.723861548</v>
      </c>
      <c r="I1193" s="1">
        <v>3.8197144645</v>
      </c>
      <c r="J1193" s="1">
        <v>6.7748385112</v>
      </c>
      <c r="K1193" s="1">
        <v>14.0369136909999</v>
      </c>
      <c r="L1193" s="1">
        <v>30.2</v>
      </c>
      <c r="M1193" s="1">
        <v>8.3</v>
      </c>
      <c r="N1193" s="1">
        <v>21.7</v>
      </c>
      <c r="O1193" s="1">
        <v>77.910120681</v>
      </c>
      <c r="P1193" s="1">
        <v>8.5945169841</v>
      </c>
      <c r="Q1193" s="1">
        <v>76.3990599999999</v>
      </c>
      <c r="R1193" s="1">
        <v>88.0374748489999</v>
      </c>
      <c r="S1193" s="1">
        <v>10.5</v>
      </c>
      <c r="T1193" s="1">
        <v>38297.0</v>
      </c>
      <c r="U1193" s="1">
        <v>27.135284748</v>
      </c>
      <c r="V1193" s="1">
        <v>150.82206723</v>
      </c>
      <c r="W1193" s="1">
        <v>14.904952173</v>
      </c>
      <c r="X1193" s="1">
        <v>13.367875648</v>
      </c>
      <c r="Y1193" s="1">
        <v>79.173045648</v>
      </c>
      <c r="Z1193" s="1">
        <v>9.8</v>
      </c>
      <c r="AA1193" s="1">
        <v>3.2789042824</v>
      </c>
      <c r="AB1193" s="1">
        <v>65984.0</v>
      </c>
      <c r="AC1193" s="1">
        <v>35.358367217</v>
      </c>
      <c r="AD1193" s="1">
        <v>74.2474718839999</v>
      </c>
      <c r="AE1193" s="1">
        <v>12.712435607</v>
      </c>
      <c r="AF1193" s="1">
        <v>0.9086985826</v>
      </c>
      <c r="AG1193" s="1">
        <v>0.3738562472</v>
      </c>
      <c r="AH1193" s="1">
        <v>1.3625629761</v>
      </c>
      <c r="AI1193" s="1">
        <v>0.0324881564</v>
      </c>
      <c r="AJ1193" s="1">
        <v>1.7383588147</v>
      </c>
      <c r="AK1193" s="1">
        <v>94.101702476</v>
      </c>
      <c r="AL1193" s="1">
        <v>0.497311828</v>
      </c>
      <c r="AM1193" s="1">
        <v>51.2163662719999</v>
      </c>
      <c r="AN1193" s="1">
        <v>56.843418843</v>
      </c>
      <c r="AO1193" s="1">
        <v>31574.0</v>
      </c>
      <c r="AP1193" s="1">
        <v>9.4</v>
      </c>
      <c r="AQ1193" s="1">
        <v>5.1</v>
      </c>
      <c r="AR1193" s="1">
        <v>7.6</v>
      </c>
      <c r="AS1193" s="1">
        <v>17.9</v>
      </c>
      <c r="AT1193" s="1">
        <v>19.9</v>
      </c>
      <c r="AU1193" s="1">
        <v>14.6</v>
      </c>
      <c r="AV1193" s="1">
        <v>5.2</v>
      </c>
      <c r="AW1193" s="1">
        <v>0.5</v>
      </c>
      <c r="AX1193" s="1">
        <v>0.0853</v>
      </c>
      <c r="AY1193" s="1">
        <v>7.9</v>
      </c>
      <c r="AZ1193" s="1">
        <v>10.9</v>
      </c>
      <c r="BA1193" s="1">
        <v>16.1</v>
      </c>
      <c r="BB1193" s="1">
        <v>3.93</v>
      </c>
      <c r="BC1193" s="1" t="s">
        <v>2051</v>
      </c>
      <c r="BD1193" s="1">
        <v>6.8</v>
      </c>
      <c r="BE1193" s="1">
        <v>30.0</v>
      </c>
      <c r="BF1193" s="1">
        <v>30.7</v>
      </c>
      <c r="BG1193" s="1">
        <v>32.5</v>
      </c>
      <c r="BH1193" s="1" t="s">
        <v>2075</v>
      </c>
    </row>
    <row r="1194">
      <c r="A1194" s="1">
        <v>24003.0</v>
      </c>
      <c r="B1194" s="2" t="str">
        <f>IFERROR(__xludf.DUMMYFUNCTION("TO_TEXT(A1194)"),"24003")</f>
        <v>24003</v>
      </c>
      <c r="C1194" s="1">
        <v>559737.0</v>
      </c>
      <c r="D1194" s="1">
        <v>414.887094452466</v>
      </c>
      <c r="E1194" s="1" t="s">
        <v>2076</v>
      </c>
      <c r="F1194" s="1" t="s">
        <v>2077</v>
      </c>
      <c r="G1194" s="1">
        <v>1349.13090207999</v>
      </c>
      <c r="H1194" s="1">
        <v>12.171960063</v>
      </c>
      <c r="I1194" s="1">
        <v>3.6637429207</v>
      </c>
      <c r="J1194" s="1">
        <v>7.7280457958</v>
      </c>
      <c r="K1194" s="1">
        <v>13.675421228</v>
      </c>
      <c r="L1194" s="1">
        <v>29.4</v>
      </c>
      <c r="M1194" s="1">
        <v>8.9</v>
      </c>
      <c r="N1194" s="1">
        <v>20.5</v>
      </c>
      <c r="O1194" s="1">
        <v>91.911184847</v>
      </c>
      <c r="P1194" s="1">
        <v>5.5851944362</v>
      </c>
      <c r="Q1194" s="1">
        <v>69.43051</v>
      </c>
      <c r="R1194" s="1">
        <v>88.53</v>
      </c>
      <c r="S1194" s="1">
        <v>9.6</v>
      </c>
      <c r="T1194" s="1">
        <v>126377.0</v>
      </c>
      <c r="U1194" s="1">
        <v>25.965167712</v>
      </c>
      <c r="V1194" s="1">
        <v>452.59909533</v>
      </c>
      <c r="W1194" s="1">
        <v>13.477029732</v>
      </c>
      <c r="X1194" s="1">
        <v>11.9109690109999</v>
      </c>
      <c r="Y1194" s="1">
        <v>79.230199223</v>
      </c>
      <c r="Z1194" s="1">
        <v>9.6</v>
      </c>
      <c r="AA1194" s="1">
        <v>5.024142473</v>
      </c>
      <c r="AB1194" s="1">
        <v>97051.0</v>
      </c>
      <c r="AC1194" s="1">
        <v>31.067808691</v>
      </c>
      <c r="AD1194" s="1">
        <v>74.345252145</v>
      </c>
      <c r="AE1194" s="1">
        <v>11.576711497</v>
      </c>
      <c r="AF1194" s="1">
        <v>17.133452887</v>
      </c>
      <c r="AG1194" s="1">
        <v>0.4414692959</v>
      </c>
      <c r="AH1194" s="1">
        <v>4.2058500324</v>
      </c>
      <c r="AI1194" s="1">
        <v>0.1223892464</v>
      </c>
      <c r="AJ1194" s="1">
        <v>8.0832455198</v>
      </c>
      <c r="AK1194" s="1">
        <v>67.54219825</v>
      </c>
      <c r="AL1194" s="1">
        <v>1.5735066613</v>
      </c>
      <c r="AM1194" s="1">
        <v>50.465686743</v>
      </c>
      <c r="AN1194" s="1">
        <v>5.30413498589999</v>
      </c>
      <c r="AO1194" s="1">
        <v>42382.0</v>
      </c>
      <c r="AP1194" s="1">
        <v>6.1</v>
      </c>
      <c r="AQ1194" s="1">
        <v>5.5</v>
      </c>
      <c r="AR1194" s="1">
        <v>8.1</v>
      </c>
      <c r="AS1194" s="1">
        <v>13.4</v>
      </c>
      <c r="AT1194" s="1">
        <v>22.7</v>
      </c>
      <c r="AU1194" s="1">
        <v>10.2</v>
      </c>
      <c r="AV1194" s="1">
        <v>29.7</v>
      </c>
      <c r="AW1194" s="1">
        <v>1.5</v>
      </c>
      <c r="AX1194" s="1">
        <v>0.1563</v>
      </c>
      <c r="AY1194" s="1">
        <v>5.8</v>
      </c>
      <c r="AZ1194" s="1">
        <v>8.5</v>
      </c>
      <c r="BA1194" s="1">
        <v>12.9</v>
      </c>
      <c r="BB1194" s="1">
        <v>3.44</v>
      </c>
      <c r="BC1194" s="1" t="s">
        <v>2078</v>
      </c>
      <c r="BD1194" s="1">
        <v>7.6</v>
      </c>
      <c r="BE1194" s="1">
        <v>23.7</v>
      </c>
      <c r="BF1194" s="1">
        <v>27.0</v>
      </c>
      <c r="BG1194" s="1">
        <v>41.7</v>
      </c>
      <c r="BH1194" s="1" t="s">
        <v>2077</v>
      </c>
    </row>
    <row r="1195">
      <c r="A1195" s="1">
        <v>24005.0</v>
      </c>
      <c r="B1195" s="2" t="str">
        <f>IFERROR(__xludf.DUMMYFUNCTION("TO_TEXT(A1195)"),"24005")</f>
        <v>24005</v>
      </c>
      <c r="C1195" s="1">
        <v>825666.0</v>
      </c>
      <c r="D1195" s="1">
        <v>598.361843999196</v>
      </c>
      <c r="E1195" s="1" t="s">
        <v>2079</v>
      </c>
      <c r="F1195" s="1" t="s">
        <v>2080</v>
      </c>
      <c r="G1195" s="1">
        <v>1379.87742413787</v>
      </c>
      <c r="H1195" s="1">
        <v>13.813202217</v>
      </c>
      <c r="I1195" s="1">
        <v>3.8479420298</v>
      </c>
      <c r="J1195" s="1">
        <v>8.962339802</v>
      </c>
      <c r="K1195" s="1">
        <v>13.277830309</v>
      </c>
      <c r="L1195" s="1">
        <v>30.9</v>
      </c>
      <c r="M1195" s="1">
        <v>8.4</v>
      </c>
      <c r="N1195" s="1">
        <v>23.5</v>
      </c>
      <c r="O1195" s="1">
        <v>96.349696719</v>
      </c>
      <c r="P1195" s="1">
        <v>6.1364451946</v>
      </c>
      <c r="Q1195" s="1">
        <v>101.26515</v>
      </c>
      <c r="R1195" s="1">
        <v>89.0</v>
      </c>
      <c r="S1195" s="1">
        <v>13.0</v>
      </c>
      <c r="T1195" s="1">
        <v>176388.0</v>
      </c>
      <c r="U1195" s="1">
        <v>34.27217271</v>
      </c>
      <c r="V1195" s="1">
        <v>511.31007773</v>
      </c>
      <c r="W1195" s="1">
        <v>15.8123551509999</v>
      </c>
      <c r="X1195" s="1">
        <v>14.171373245</v>
      </c>
      <c r="Y1195" s="1">
        <v>78.083645782</v>
      </c>
      <c r="Z1195" s="1">
        <v>10.7</v>
      </c>
      <c r="AA1195" s="1">
        <v>2.8665751614</v>
      </c>
      <c r="AB1195" s="1">
        <v>75836.0</v>
      </c>
      <c r="AC1195" s="1">
        <v>49.202874243</v>
      </c>
      <c r="AD1195" s="1">
        <v>65.718266739</v>
      </c>
      <c r="AE1195" s="1">
        <v>14.445250134</v>
      </c>
      <c r="AF1195" s="1">
        <v>28.9949313819999</v>
      </c>
      <c r="AG1195" s="1">
        <v>0.4390226826</v>
      </c>
      <c r="AH1195" s="1">
        <v>6.3326939721</v>
      </c>
      <c r="AI1195" s="1">
        <v>0.0758059513</v>
      </c>
      <c r="AJ1195" s="1">
        <v>5.6528546131</v>
      </c>
      <c r="AK1195" s="1">
        <v>56.554136675</v>
      </c>
      <c r="AL1195" s="1">
        <v>2.3953457011</v>
      </c>
      <c r="AM1195" s="1">
        <v>52.595931345</v>
      </c>
      <c r="AN1195" s="1">
        <v>6.53380188789999</v>
      </c>
      <c r="AO1195" s="1">
        <v>35777.0</v>
      </c>
      <c r="AP1195" s="1">
        <v>9.3</v>
      </c>
      <c r="AQ1195" s="1">
        <v>6.0</v>
      </c>
      <c r="AR1195" s="1">
        <v>9.0</v>
      </c>
      <c r="AS1195" s="1">
        <v>15.8</v>
      </c>
      <c r="AT1195" s="1">
        <v>21.6</v>
      </c>
      <c r="AU1195" s="1">
        <v>11.5</v>
      </c>
      <c r="AV1195" s="1">
        <v>40.4</v>
      </c>
      <c r="AW1195" s="1">
        <v>2.3</v>
      </c>
      <c r="AX1195" s="1">
        <v>0.3582</v>
      </c>
      <c r="AY1195" s="1">
        <v>8.9</v>
      </c>
      <c r="AZ1195" s="1">
        <v>11.0</v>
      </c>
      <c r="BA1195" s="1">
        <v>16.1</v>
      </c>
      <c r="BB1195" s="1">
        <v>3.18</v>
      </c>
      <c r="BC1195" s="1" t="s">
        <v>2078</v>
      </c>
      <c r="BD1195" s="1">
        <v>8.5</v>
      </c>
      <c r="BE1195" s="1">
        <v>25.8</v>
      </c>
      <c r="BF1195" s="1">
        <v>26.4</v>
      </c>
      <c r="BG1195" s="1">
        <v>39.4</v>
      </c>
      <c r="BH1195" s="1" t="s">
        <v>2080</v>
      </c>
    </row>
    <row r="1196">
      <c r="A1196" s="1">
        <v>24009.0</v>
      </c>
      <c r="B1196" s="2" t="str">
        <f>IFERROR(__xludf.DUMMYFUNCTION("TO_TEXT(A1196)"),"24009")</f>
        <v>24009</v>
      </c>
      <c r="C1196" s="1">
        <v>90527.0</v>
      </c>
      <c r="D1196" s="1">
        <v>213.197147531008</v>
      </c>
      <c r="E1196" s="1" t="s">
        <v>2081</v>
      </c>
      <c r="F1196" s="1" t="s">
        <v>2082</v>
      </c>
      <c r="G1196" s="1">
        <v>424.61637525818</v>
      </c>
      <c r="H1196" s="1">
        <v>11.772675584</v>
      </c>
      <c r="I1196" s="1">
        <v>3.5949801448</v>
      </c>
      <c r="J1196" s="1">
        <v>6.840698223</v>
      </c>
      <c r="K1196" s="1">
        <v>14.482916074</v>
      </c>
      <c r="L1196" s="1">
        <v>32.3</v>
      </c>
      <c r="M1196" s="1">
        <v>9.1</v>
      </c>
      <c r="N1196" s="1">
        <v>21.4</v>
      </c>
      <c r="O1196" s="1">
        <v>61.429843245</v>
      </c>
      <c r="P1196" s="1">
        <v>4.069580846</v>
      </c>
      <c r="Q1196" s="1">
        <v>52.4578699999999</v>
      </c>
      <c r="R1196" s="1">
        <v>94.62</v>
      </c>
      <c r="S1196" s="1">
        <v>6.6</v>
      </c>
      <c r="T1196" s="1">
        <v>21169.0</v>
      </c>
      <c r="U1196" s="1">
        <v>27.710331145</v>
      </c>
      <c r="V1196" s="1">
        <v>150.45467071</v>
      </c>
      <c r="W1196" s="1">
        <v>13.055908513</v>
      </c>
      <c r="X1196" s="1">
        <v>11.7458793409999</v>
      </c>
      <c r="Y1196" s="1">
        <v>79.437430705</v>
      </c>
      <c r="Z1196" s="1">
        <v>11.5</v>
      </c>
      <c r="AA1196" s="1">
        <v>5.2128059666</v>
      </c>
      <c r="AB1196" s="1">
        <v>106270.0</v>
      </c>
      <c r="AC1196" s="1">
        <v>22.297679683</v>
      </c>
      <c r="AD1196" s="1">
        <v>83.108491458</v>
      </c>
      <c r="AE1196" s="1">
        <v>10.484437911</v>
      </c>
      <c r="AF1196" s="1">
        <v>12.745236568</v>
      </c>
      <c r="AG1196" s="1">
        <v>0.455419932</v>
      </c>
      <c r="AH1196" s="1">
        <v>1.8890688347</v>
      </c>
      <c r="AI1196" s="1">
        <v>0.11086595</v>
      </c>
      <c r="AJ1196" s="1">
        <v>4.1498646783</v>
      </c>
      <c r="AK1196" s="1">
        <v>77.986587394</v>
      </c>
      <c r="AL1196" s="1">
        <v>0.3572174155</v>
      </c>
      <c r="AM1196" s="1">
        <v>50.422268839</v>
      </c>
      <c r="AN1196" s="1">
        <v>38.709895534</v>
      </c>
      <c r="AO1196" s="1">
        <v>39897.0</v>
      </c>
      <c r="AP1196" s="1">
        <v>6.0</v>
      </c>
      <c r="AQ1196" s="1">
        <v>7.8</v>
      </c>
      <c r="AR1196" s="1">
        <v>6.7</v>
      </c>
      <c r="AS1196" s="1">
        <v>13.0</v>
      </c>
      <c r="AT1196" s="1">
        <v>24.2</v>
      </c>
      <c r="AU1196" s="1">
        <v>11.1</v>
      </c>
      <c r="AV1196" s="1">
        <v>20.9</v>
      </c>
      <c r="AW1196" s="1">
        <v>0.4</v>
      </c>
      <c r="AX1196" s="1">
        <v>0.0821</v>
      </c>
      <c r="AY1196" s="1">
        <v>5.7</v>
      </c>
      <c r="AZ1196" s="1">
        <v>8.0</v>
      </c>
      <c r="BA1196" s="1">
        <v>12.6</v>
      </c>
      <c r="BB1196" s="1">
        <v>3.93</v>
      </c>
      <c r="BC1196" s="1" t="s">
        <v>2078</v>
      </c>
      <c r="BD1196" s="1">
        <v>5.3</v>
      </c>
      <c r="BE1196" s="1">
        <v>30.3</v>
      </c>
      <c r="BF1196" s="1">
        <v>32.0</v>
      </c>
      <c r="BG1196" s="1">
        <v>32.4</v>
      </c>
      <c r="BH1196" s="1" t="s">
        <v>2082</v>
      </c>
    </row>
    <row r="1197">
      <c r="A1197" s="1">
        <v>24011.0</v>
      </c>
      <c r="B1197" s="2" t="str">
        <f>IFERROR(__xludf.DUMMYFUNCTION("TO_TEXT(A1197)"),"24011")</f>
        <v>24011</v>
      </c>
      <c r="C1197" s="1">
        <v>32653.0</v>
      </c>
      <c r="D1197" s="1">
        <v>319.441580820072</v>
      </c>
      <c r="E1197" s="1" t="s">
        <v>2083</v>
      </c>
      <c r="F1197" s="1" t="s">
        <v>2084</v>
      </c>
      <c r="G1197" s="1">
        <v>102.219003287465</v>
      </c>
      <c r="H1197" s="1">
        <v>17.211157909</v>
      </c>
      <c r="I1197" s="1">
        <v>4.3703734165</v>
      </c>
      <c r="J1197" s="1">
        <v>7.6923076923</v>
      </c>
      <c r="K1197" s="1">
        <v>18.602425118</v>
      </c>
      <c r="L1197" s="1">
        <v>40.2</v>
      </c>
      <c r="M1197" s="1">
        <v>8.4</v>
      </c>
      <c r="N1197" s="1">
        <v>30.8</v>
      </c>
      <c r="O1197" s="1">
        <v>47.6531784919999</v>
      </c>
      <c r="P1197" s="1">
        <v>8.3859105166</v>
      </c>
      <c r="Q1197" s="1">
        <v>36.1522</v>
      </c>
      <c r="R1197" s="1">
        <v>82.32</v>
      </c>
      <c r="S1197" s="1">
        <v>19.9</v>
      </c>
      <c r="T1197" s="1">
        <v>7702.0</v>
      </c>
      <c r="U1197" s="1">
        <v>38.574396261</v>
      </c>
      <c r="V1197" s="1">
        <v>258.63661556</v>
      </c>
      <c r="W1197" s="1">
        <v>19.816819317</v>
      </c>
      <c r="X1197" s="1">
        <v>18.6105263159999</v>
      </c>
      <c r="Y1197" s="1">
        <v>76.073092012</v>
      </c>
      <c r="Z1197" s="1">
        <v>12.9</v>
      </c>
      <c r="AA1197" s="1">
        <v>2.2669752545</v>
      </c>
      <c r="AB1197" s="1">
        <v>56627.0</v>
      </c>
      <c r="AC1197" s="1">
        <v>56.350440643</v>
      </c>
      <c r="AD1197" s="1">
        <v>72.411224236</v>
      </c>
      <c r="AE1197" s="1">
        <v>15.117170856</v>
      </c>
      <c r="AF1197" s="1">
        <v>13.7671150609999</v>
      </c>
      <c r="AG1197" s="1">
        <v>0.8527504204</v>
      </c>
      <c r="AH1197" s="1">
        <v>1.2130674994</v>
      </c>
      <c r="AI1197" s="1">
        <v>0.3212827288</v>
      </c>
      <c r="AJ1197" s="1">
        <v>7.3895027624</v>
      </c>
      <c r="AK1197" s="1">
        <v>75.450396349</v>
      </c>
      <c r="AL1197" s="1">
        <v>1.6653167018</v>
      </c>
      <c r="AM1197" s="1">
        <v>50.978861398</v>
      </c>
      <c r="AN1197" s="1">
        <v>75.9995161189999</v>
      </c>
      <c r="AO1197" s="1">
        <v>24311.0</v>
      </c>
      <c r="AP1197" s="1">
        <v>17.1</v>
      </c>
      <c r="AQ1197" s="1">
        <v>7.5</v>
      </c>
      <c r="AR1197" s="1">
        <v>16.7</v>
      </c>
      <c r="AS1197" s="1">
        <v>15.2</v>
      </c>
      <c r="AT1197" s="1">
        <v>23.9</v>
      </c>
      <c r="AU1197" s="1">
        <v>15.2</v>
      </c>
      <c r="AV1197" s="1">
        <v>23.2</v>
      </c>
      <c r="AW1197" s="1">
        <v>2.0</v>
      </c>
      <c r="AX1197" s="1">
        <v>0.6699</v>
      </c>
      <c r="AY1197" s="1">
        <v>12.1</v>
      </c>
      <c r="AZ1197" s="1">
        <v>12.8</v>
      </c>
      <c r="BA1197" s="1">
        <v>20.8</v>
      </c>
      <c r="BB1197" s="1">
        <v>3.12</v>
      </c>
      <c r="BC1197" s="1" t="s">
        <v>2078</v>
      </c>
      <c r="BD1197" s="1">
        <v>15.7</v>
      </c>
      <c r="BE1197" s="1">
        <v>39.9</v>
      </c>
      <c r="BF1197" s="1">
        <v>26.0</v>
      </c>
      <c r="BG1197" s="1">
        <v>18.4</v>
      </c>
      <c r="BH1197" s="1" t="s">
        <v>2084</v>
      </c>
    </row>
    <row r="1198">
      <c r="A1198" s="1">
        <v>24013.0</v>
      </c>
      <c r="B1198" s="2" t="str">
        <f>IFERROR(__xludf.DUMMYFUNCTION("TO_TEXT(A1198)"),"24013")</f>
        <v>24013</v>
      </c>
      <c r="C1198" s="1">
        <v>167535.0</v>
      </c>
      <c r="D1198" s="1">
        <v>447.600141617142</v>
      </c>
      <c r="E1198" s="1" t="s">
        <v>298</v>
      </c>
      <c r="F1198" s="1" t="s">
        <v>2085</v>
      </c>
      <c r="G1198" s="1">
        <v>374.296128224423</v>
      </c>
      <c r="H1198" s="1">
        <v>10.5281742039999</v>
      </c>
      <c r="I1198" s="1">
        <v>3.4511646749</v>
      </c>
      <c r="J1198" s="1">
        <v>6.4415584416</v>
      </c>
      <c r="K1198" s="1">
        <v>12.630102677</v>
      </c>
      <c r="L1198" s="1">
        <v>33.0</v>
      </c>
      <c r="M1198" s="1">
        <v>9.4</v>
      </c>
      <c r="N1198" s="1">
        <v>25.4</v>
      </c>
      <c r="O1198" s="1">
        <v>86.509028684</v>
      </c>
      <c r="P1198" s="1">
        <v>4.5924658031</v>
      </c>
      <c r="Q1198" s="1">
        <v>47.08519</v>
      </c>
      <c r="R1198" s="1">
        <v>97.5</v>
      </c>
      <c r="S1198" s="1">
        <v>6.1</v>
      </c>
      <c r="T1198" s="1">
        <v>36723.0</v>
      </c>
      <c r="U1198" s="1">
        <v>20.096397353</v>
      </c>
      <c r="V1198" s="1">
        <v>187.62622943</v>
      </c>
      <c r="W1198" s="1">
        <v>11.133167907</v>
      </c>
      <c r="X1198" s="1">
        <v>10.049833887</v>
      </c>
      <c r="Y1198" s="1">
        <v>78.621714675</v>
      </c>
      <c r="Z1198" s="1">
        <v>9.9</v>
      </c>
      <c r="AA1198" s="1">
        <v>3.2443411338</v>
      </c>
      <c r="AB1198" s="1">
        <v>95956.0</v>
      </c>
      <c r="AC1198" s="1">
        <v>19.181494662</v>
      </c>
      <c r="AD1198" s="1">
        <v>82.163771712</v>
      </c>
      <c r="AE1198" s="1">
        <v>10.052570192</v>
      </c>
      <c r="AF1198" s="1">
        <v>3.6228915448</v>
      </c>
      <c r="AG1198" s="1">
        <v>0.2719246686</v>
      </c>
      <c r="AH1198" s="1">
        <v>2.0038116951</v>
      </c>
      <c r="AI1198" s="1">
        <v>0.0759964138999999</v>
      </c>
      <c r="AJ1198" s="1">
        <v>3.7095749544</v>
      </c>
      <c r="AK1198" s="1">
        <v>88.714532533</v>
      </c>
      <c r="AL1198" s="1">
        <v>0.5347223097</v>
      </c>
      <c r="AM1198" s="1">
        <v>50.5459273639999</v>
      </c>
      <c r="AN1198" s="1">
        <v>39.5060251059999</v>
      </c>
      <c r="AO1198" s="1">
        <v>38408.0</v>
      </c>
      <c r="AP1198" s="1">
        <v>5.7</v>
      </c>
      <c r="AQ1198" s="1">
        <v>4.5</v>
      </c>
      <c r="AR1198" s="1">
        <v>7.9</v>
      </c>
      <c r="AS1198" s="1">
        <v>15.3</v>
      </c>
      <c r="AT1198" s="1">
        <v>22.5</v>
      </c>
      <c r="AU1198" s="1">
        <v>10.4</v>
      </c>
      <c r="AV1198" s="1">
        <v>9.8</v>
      </c>
      <c r="AW1198" s="1">
        <v>0.6</v>
      </c>
      <c r="AX1198" s="1">
        <v>0.0366</v>
      </c>
      <c r="AY1198" s="1">
        <v>5.1</v>
      </c>
      <c r="AZ1198" s="1">
        <v>8.1</v>
      </c>
      <c r="BA1198" s="1">
        <v>13.3</v>
      </c>
      <c r="BB1198" s="1">
        <v>3.41</v>
      </c>
      <c r="BC1198" s="1" t="s">
        <v>2078</v>
      </c>
      <c r="BD1198" s="1">
        <v>7.3</v>
      </c>
      <c r="BE1198" s="1">
        <v>29.4</v>
      </c>
      <c r="BF1198" s="1">
        <v>26.9</v>
      </c>
      <c r="BG1198" s="1">
        <v>36.4</v>
      </c>
      <c r="BH1198" s="1" t="s">
        <v>2085</v>
      </c>
    </row>
    <row r="1199">
      <c r="A1199" s="1">
        <v>24015.0</v>
      </c>
      <c r="B1199" s="2" t="str">
        <f>IFERROR(__xludf.DUMMYFUNCTION("TO_TEXT(A1199)"),"24015")</f>
        <v>24015</v>
      </c>
      <c r="C1199" s="1">
        <v>102175.0</v>
      </c>
      <c r="D1199" s="1">
        <v>346.27665785509</v>
      </c>
      <c r="E1199" s="1" t="s">
        <v>2086</v>
      </c>
      <c r="F1199" s="1" t="s">
        <v>2087</v>
      </c>
      <c r="G1199" s="1">
        <v>295.067535400432</v>
      </c>
      <c r="H1199" s="1">
        <v>14.3888659179999</v>
      </c>
      <c r="I1199" s="1">
        <v>4.3821902211</v>
      </c>
      <c r="J1199" s="1">
        <v>7.7067434005</v>
      </c>
      <c r="K1199" s="1">
        <v>16.915939354</v>
      </c>
      <c r="L1199" s="1">
        <v>32.6</v>
      </c>
      <c r="M1199" s="1">
        <v>8.5</v>
      </c>
      <c r="N1199" s="1">
        <v>28.4</v>
      </c>
      <c r="O1199" s="1">
        <v>81.236895201</v>
      </c>
      <c r="P1199" s="1">
        <v>5.6005351417</v>
      </c>
      <c r="Q1199" s="1">
        <v>40.8775</v>
      </c>
      <c r="R1199" s="1">
        <v>90.54</v>
      </c>
      <c r="S1199" s="1">
        <v>12.8</v>
      </c>
      <c r="T1199" s="1">
        <v>23346.0</v>
      </c>
      <c r="U1199" s="1">
        <v>29.319797824</v>
      </c>
      <c r="V1199" s="1">
        <v>426.76272091</v>
      </c>
      <c r="W1199" s="1">
        <v>14.583051764</v>
      </c>
      <c r="X1199" s="1">
        <v>12.9816889859999</v>
      </c>
      <c r="Y1199" s="1">
        <v>76.192148673</v>
      </c>
      <c r="Z1199" s="1">
        <v>11.4</v>
      </c>
      <c r="AA1199" s="1">
        <v>6.50483055559999</v>
      </c>
      <c r="AB1199" s="1">
        <v>72739.0</v>
      </c>
      <c r="AC1199" s="1">
        <v>45.932048946</v>
      </c>
      <c r="AD1199" s="1">
        <v>72.770105605</v>
      </c>
      <c r="AE1199" s="1">
        <v>11.833578997</v>
      </c>
      <c r="AF1199" s="1">
        <v>6.6335362651</v>
      </c>
      <c r="AG1199" s="1">
        <v>0.4104020384</v>
      </c>
      <c r="AH1199" s="1">
        <v>1.4539124346</v>
      </c>
      <c r="AI1199" s="1">
        <v>0.0661311341</v>
      </c>
      <c r="AJ1199" s="1">
        <v>4.5688833563</v>
      </c>
      <c r="AK1199" s="1">
        <v>84.8870908139999</v>
      </c>
      <c r="AL1199" s="1">
        <v>0.780111798799999</v>
      </c>
      <c r="AM1199" s="1">
        <v>50.363721238</v>
      </c>
      <c r="AN1199" s="1">
        <v>42.102504253</v>
      </c>
      <c r="AO1199" s="1">
        <v>30676.0</v>
      </c>
      <c r="AP1199" s="1">
        <v>10.6</v>
      </c>
      <c r="AQ1199" s="1">
        <v>6.6</v>
      </c>
      <c r="AR1199" s="1">
        <v>11.9</v>
      </c>
      <c r="AS1199" s="1">
        <v>13.7</v>
      </c>
      <c r="AT1199" s="1">
        <v>23.5</v>
      </c>
      <c r="AU1199" s="1">
        <v>12.6</v>
      </c>
      <c r="AV1199" s="1">
        <v>14.0</v>
      </c>
      <c r="AW1199" s="1">
        <v>0.7</v>
      </c>
      <c r="AX1199" s="1">
        <v>0.219</v>
      </c>
      <c r="AY1199" s="1">
        <v>10.3</v>
      </c>
      <c r="AZ1199" s="1">
        <v>11.0</v>
      </c>
      <c r="BA1199" s="1">
        <v>17.8</v>
      </c>
      <c r="BB1199" s="1">
        <v>3.07</v>
      </c>
      <c r="BC1199" s="1" t="s">
        <v>2078</v>
      </c>
      <c r="BD1199" s="1">
        <v>10.5</v>
      </c>
      <c r="BE1199" s="1">
        <v>36.1</v>
      </c>
      <c r="BF1199" s="1">
        <v>29.4</v>
      </c>
      <c r="BG1199" s="1">
        <v>23.9</v>
      </c>
      <c r="BH1199" s="1" t="s">
        <v>2087</v>
      </c>
    </row>
    <row r="1200">
      <c r="A1200" s="1">
        <v>24017.0</v>
      </c>
      <c r="B1200" s="2" t="str">
        <f>IFERROR(__xludf.DUMMYFUNCTION("TO_TEXT(A1200)"),"24017")</f>
        <v>24017</v>
      </c>
      <c r="C1200" s="1">
        <v>154357.0</v>
      </c>
      <c r="D1200" s="1">
        <v>457.784505809228</v>
      </c>
      <c r="E1200" s="1" t="s">
        <v>2088</v>
      </c>
      <c r="F1200" s="1" t="s">
        <v>2089</v>
      </c>
      <c r="G1200" s="1">
        <v>337.182665732957</v>
      </c>
      <c r="H1200" s="1">
        <v>14.052300459</v>
      </c>
      <c r="I1200" s="1">
        <v>3.6958921459</v>
      </c>
      <c r="J1200" s="1">
        <v>9.5153435882</v>
      </c>
      <c r="K1200" s="1">
        <v>14.16024778</v>
      </c>
      <c r="L1200" s="1">
        <v>36.2</v>
      </c>
      <c r="M1200" s="1">
        <v>8.3</v>
      </c>
      <c r="N1200" s="1">
        <v>25.8</v>
      </c>
      <c r="O1200" s="1">
        <v>77.36146461</v>
      </c>
      <c r="P1200" s="1">
        <v>5.0133901575</v>
      </c>
      <c r="Q1200" s="1">
        <v>39.44897</v>
      </c>
      <c r="R1200" s="1">
        <v>94.74</v>
      </c>
      <c r="S1200" s="1">
        <v>9.3</v>
      </c>
      <c r="T1200" s="1">
        <v>38141.0</v>
      </c>
      <c r="U1200" s="1">
        <v>32.780996828</v>
      </c>
      <c r="V1200" s="1">
        <v>357.07640088</v>
      </c>
      <c r="W1200" s="1">
        <v>15.266611219</v>
      </c>
      <c r="X1200" s="1">
        <v>13.949359993</v>
      </c>
      <c r="Y1200" s="1">
        <v>78.71131795</v>
      </c>
      <c r="Z1200" s="1">
        <v>11.8</v>
      </c>
      <c r="AA1200" s="1">
        <v>4.5034589117</v>
      </c>
      <c r="AB1200" s="1">
        <v>92616.0</v>
      </c>
      <c r="AC1200" s="1">
        <v>30.121602023</v>
      </c>
      <c r="AD1200" s="1">
        <v>76.496789081</v>
      </c>
      <c r="AE1200" s="1">
        <v>13.783157165</v>
      </c>
      <c r="AF1200" s="1">
        <v>47.868460648</v>
      </c>
      <c r="AG1200" s="1">
        <v>0.764072494</v>
      </c>
      <c r="AH1200" s="1">
        <v>3.396221742</v>
      </c>
      <c r="AI1200" s="1">
        <v>0.1405546646</v>
      </c>
      <c r="AJ1200" s="1">
        <v>6.0395162938</v>
      </c>
      <c r="AK1200" s="1">
        <v>38.599902169</v>
      </c>
      <c r="AL1200" s="1">
        <v>1.192284582</v>
      </c>
      <c r="AM1200" s="1">
        <v>51.842380637</v>
      </c>
      <c r="AN1200" s="1">
        <v>29.503722254</v>
      </c>
      <c r="AO1200" s="1">
        <v>37680.0</v>
      </c>
      <c r="AP1200" s="1">
        <v>7.7</v>
      </c>
      <c r="AQ1200" s="1">
        <v>5.0</v>
      </c>
      <c r="AR1200" s="1">
        <v>7.2</v>
      </c>
      <c r="AS1200" s="1">
        <v>11.0</v>
      </c>
      <c r="AT1200" s="1">
        <v>24.9</v>
      </c>
      <c r="AU1200" s="1">
        <v>8.2</v>
      </c>
      <c r="AV1200" s="1">
        <v>55.7</v>
      </c>
      <c r="AW1200" s="1">
        <v>1.2</v>
      </c>
      <c r="AX1200" s="1">
        <v>0.1465</v>
      </c>
      <c r="AY1200" s="1">
        <v>6.4</v>
      </c>
      <c r="AZ1200" s="1">
        <v>8.9</v>
      </c>
      <c r="BA1200" s="1">
        <v>13.7</v>
      </c>
      <c r="BB1200" s="1">
        <v>3.3</v>
      </c>
      <c r="BC1200" s="1" t="s">
        <v>2078</v>
      </c>
      <c r="BD1200" s="1">
        <v>6.8</v>
      </c>
      <c r="BE1200" s="1">
        <v>31.7</v>
      </c>
      <c r="BF1200" s="1">
        <v>32.6</v>
      </c>
      <c r="BG1200" s="1">
        <v>28.9</v>
      </c>
      <c r="BH1200" s="1" t="s">
        <v>2089</v>
      </c>
    </row>
    <row r="1201">
      <c r="A1201" s="1">
        <v>24019.0</v>
      </c>
      <c r="B1201" s="2" t="str">
        <f>IFERROR(__xludf.DUMMYFUNCTION("TO_TEXT(A1201)"),"24019")</f>
        <v>24019</v>
      </c>
      <c r="C1201" s="1">
        <v>32451.0</v>
      </c>
      <c r="D1201" s="1">
        <v>540.752080025366</v>
      </c>
      <c r="E1201" s="1" t="s">
        <v>2090</v>
      </c>
      <c r="F1201" s="1" t="s">
        <v>2091</v>
      </c>
      <c r="G1201" s="1">
        <v>60.0108648652406</v>
      </c>
      <c r="H1201" s="1">
        <v>17.797274053</v>
      </c>
      <c r="I1201" s="1">
        <v>4.3958090787</v>
      </c>
      <c r="J1201" s="1">
        <v>10.097965335</v>
      </c>
      <c r="K1201" s="1">
        <v>18.156626407</v>
      </c>
      <c r="L1201" s="1">
        <v>39.4</v>
      </c>
      <c r="M1201" s="1">
        <v>7.6</v>
      </c>
      <c r="N1201" s="1">
        <v>33.7</v>
      </c>
      <c r="O1201" s="1">
        <v>67.637500766</v>
      </c>
      <c r="P1201" s="1">
        <v>7.3101857376</v>
      </c>
      <c r="Q1201" s="1">
        <v>43.52963</v>
      </c>
      <c r="R1201" s="1">
        <v>83.16</v>
      </c>
      <c r="S1201" s="1">
        <v>27.0</v>
      </c>
      <c r="T1201" s="1">
        <v>6759.0</v>
      </c>
      <c r="U1201" s="1">
        <v>47.9212901319999</v>
      </c>
      <c r="V1201" s="1">
        <v>456.3675609</v>
      </c>
      <c r="W1201" s="1">
        <v>18.364255964</v>
      </c>
      <c r="X1201" s="1">
        <v>17.158176944</v>
      </c>
      <c r="Y1201" s="1">
        <v>75.857306013</v>
      </c>
      <c r="Z1201" s="1">
        <v>18.7</v>
      </c>
      <c r="AA1201" s="1">
        <v>5.9359424315</v>
      </c>
      <c r="AB1201" s="1">
        <v>48682.0</v>
      </c>
      <c r="AC1201" s="1">
        <v>100.0</v>
      </c>
      <c r="AD1201" s="1">
        <v>67.430639324</v>
      </c>
      <c r="AE1201" s="1">
        <v>17.619759302</v>
      </c>
      <c r="AF1201" s="1">
        <v>27.945496594</v>
      </c>
      <c r="AG1201" s="1">
        <v>0.5094068379</v>
      </c>
      <c r="AH1201" s="1">
        <v>1.193824614</v>
      </c>
      <c r="AI1201" s="1">
        <v>0.0593787112</v>
      </c>
      <c r="AJ1201" s="1">
        <v>5.94724670289999</v>
      </c>
      <c r="AK1201" s="1">
        <v>62.578911182</v>
      </c>
      <c r="AL1201" s="1">
        <v>1.5359821076</v>
      </c>
      <c r="AM1201" s="1">
        <v>52.462653916</v>
      </c>
      <c r="AN1201" s="1">
        <v>56.220491753</v>
      </c>
      <c r="AO1201" s="1">
        <v>28055.0</v>
      </c>
      <c r="AP1201" s="1">
        <v>17.0</v>
      </c>
      <c r="AQ1201" s="1">
        <v>10.1</v>
      </c>
      <c r="AR1201" s="1">
        <v>15.0</v>
      </c>
      <c r="AS1201" s="1">
        <v>19.6</v>
      </c>
      <c r="AT1201" s="1">
        <v>21.2</v>
      </c>
      <c r="AU1201" s="1">
        <v>16.5</v>
      </c>
      <c r="AV1201" s="1">
        <v>35.7</v>
      </c>
      <c r="AW1201" s="1">
        <v>1.5</v>
      </c>
      <c r="AX1201" s="1">
        <v>0.6867</v>
      </c>
      <c r="AY1201" s="1">
        <v>16.4</v>
      </c>
      <c r="AZ1201" s="1">
        <v>14.8</v>
      </c>
      <c r="BA1201" s="1">
        <v>24.5</v>
      </c>
      <c r="BB1201" s="1">
        <v>3.04</v>
      </c>
      <c r="BC1201" s="1" t="s">
        <v>2078</v>
      </c>
      <c r="BD1201" s="1">
        <v>12.1</v>
      </c>
      <c r="BE1201" s="1">
        <v>38.5</v>
      </c>
      <c r="BF1201" s="1">
        <v>28.2</v>
      </c>
      <c r="BG1201" s="1">
        <v>21.2</v>
      </c>
      <c r="BH1201" s="1" t="s">
        <v>2091</v>
      </c>
    </row>
    <row r="1202">
      <c r="A1202" s="1">
        <v>24021.0</v>
      </c>
      <c r="B1202" s="2" t="str">
        <f>IFERROR(__xludf.DUMMYFUNCTION("TO_TEXT(A1202)"),"24021")</f>
        <v>24021</v>
      </c>
      <c r="C1202" s="1">
        <v>243465.0</v>
      </c>
      <c r="D1202" s="1">
        <v>660.448470701678</v>
      </c>
      <c r="E1202" s="1" t="s">
        <v>2092</v>
      </c>
      <c r="F1202" s="1" t="s">
        <v>2093</v>
      </c>
      <c r="G1202" s="1">
        <v>368.635875167273</v>
      </c>
      <c r="H1202" s="1">
        <v>11.497212377</v>
      </c>
      <c r="I1202" s="1">
        <v>3.5988099119</v>
      </c>
      <c r="J1202" s="1">
        <v>7.3717458862</v>
      </c>
      <c r="K1202" s="1">
        <v>11.613052264</v>
      </c>
      <c r="L1202" s="1">
        <v>29.1</v>
      </c>
      <c r="M1202" s="1">
        <v>9.3</v>
      </c>
      <c r="N1202" s="1">
        <v>22.1</v>
      </c>
      <c r="O1202" s="1">
        <v>92.098463912</v>
      </c>
      <c r="P1202" s="1">
        <v>5.420760519</v>
      </c>
      <c r="Q1202" s="1">
        <v>62.29615</v>
      </c>
      <c r="R1202" s="1">
        <v>92.48</v>
      </c>
      <c r="S1202" s="1">
        <v>7.4</v>
      </c>
      <c r="T1202" s="1">
        <v>57756.0</v>
      </c>
      <c r="U1202" s="1">
        <v>23.505782949</v>
      </c>
      <c r="V1202" s="1">
        <v>249.44120679</v>
      </c>
      <c r="W1202" s="1">
        <v>13.747963369</v>
      </c>
      <c r="X1202" s="1">
        <v>11.839574613</v>
      </c>
      <c r="Y1202" s="1">
        <v>80.081316741</v>
      </c>
      <c r="Z1202" s="1">
        <v>9.0</v>
      </c>
      <c r="AA1202" s="1">
        <v>2.8479082088</v>
      </c>
      <c r="AB1202" s="1">
        <v>95196.0</v>
      </c>
      <c r="AC1202" s="1">
        <v>26.333649739</v>
      </c>
      <c r="AD1202" s="1">
        <v>74.808817898</v>
      </c>
      <c r="AE1202" s="1">
        <v>12.356663812</v>
      </c>
      <c r="AF1202" s="1">
        <v>9.6143916635</v>
      </c>
      <c r="AG1202" s="1">
        <v>0.489344724</v>
      </c>
      <c r="AH1202" s="1">
        <v>4.8050444361</v>
      </c>
      <c r="AI1202" s="1">
        <v>0.0923144323</v>
      </c>
      <c r="AJ1202" s="1">
        <v>10.165148955</v>
      </c>
      <c r="AK1202" s="1">
        <v>72.656934535</v>
      </c>
      <c r="AL1202" s="1">
        <v>2.2078821779</v>
      </c>
      <c r="AM1202" s="1">
        <v>50.664194517</v>
      </c>
      <c r="AN1202" s="1">
        <v>25.207704008</v>
      </c>
      <c r="AO1202" s="1">
        <v>38280.0</v>
      </c>
      <c r="AP1202" s="1">
        <v>7.1</v>
      </c>
      <c r="AQ1202" s="1">
        <v>5.3</v>
      </c>
      <c r="AR1202" s="1">
        <v>7.4</v>
      </c>
      <c r="AS1202" s="1">
        <v>12.9</v>
      </c>
      <c r="AT1202" s="1">
        <v>24.0</v>
      </c>
      <c r="AU1202" s="1">
        <v>10.2</v>
      </c>
      <c r="AV1202" s="1">
        <v>24.5</v>
      </c>
      <c r="AW1202" s="1">
        <v>2.0</v>
      </c>
      <c r="AX1202" s="1">
        <v>0.1697</v>
      </c>
      <c r="AY1202" s="1">
        <v>5.7</v>
      </c>
      <c r="AZ1202" s="1">
        <v>8.9</v>
      </c>
      <c r="BA1202" s="1">
        <v>13.7</v>
      </c>
      <c r="BB1202" s="1">
        <v>3.31</v>
      </c>
      <c r="BC1202" s="1" t="s">
        <v>2078</v>
      </c>
      <c r="BD1202" s="1">
        <v>7.5</v>
      </c>
      <c r="BE1202" s="1">
        <v>24.1</v>
      </c>
      <c r="BF1202" s="1">
        <v>27.0</v>
      </c>
      <c r="BG1202" s="1">
        <v>41.4</v>
      </c>
      <c r="BH1202" s="1" t="s">
        <v>2093</v>
      </c>
    </row>
    <row r="1203">
      <c r="A1203" s="1">
        <v>24023.0</v>
      </c>
      <c r="B1203" s="2" t="str">
        <f>IFERROR(__xludf.DUMMYFUNCTION("TO_TEXT(A1203)"),"24023")</f>
        <v>24023</v>
      </c>
      <c r="C1203" s="1">
        <v>29677.0</v>
      </c>
      <c r="D1203" s="1">
        <v>647.12097522464</v>
      </c>
      <c r="E1203" s="1" t="s">
        <v>2094</v>
      </c>
      <c r="F1203" s="1" t="s">
        <v>2095</v>
      </c>
      <c r="G1203" s="1">
        <v>45.8600495675449</v>
      </c>
      <c r="H1203" s="1">
        <v>13.863125037</v>
      </c>
      <c r="I1203" s="1">
        <v>4.1695366401</v>
      </c>
      <c r="J1203" s="1">
        <v>8.5457271364</v>
      </c>
      <c r="K1203" s="1">
        <v>15.364346522</v>
      </c>
      <c r="L1203" s="1">
        <v>37.2</v>
      </c>
      <c r="M1203" s="1">
        <v>8.8</v>
      </c>
      <c r="N1203" s="1">
        <v>28.1</v>
      </c>
      <c r="O1203" s="1">
        <v>72.877695451</v>
      </c>
      <c r="P1203" s="1">
        <v>7.3559172899</v>
      </c>
      <c r="Q1203" s="1">
        <v>54.73267</v>
      </c>
      <c r="R1203" s="1">
        <v>92.39</v>
      </c>
      <c r="S1203" s="1">
        <v>18.4</v>
      </c>
      <c r="T1203" s="1">
        <v>5498.0</v>
      </c>
      <c r="U1203" s="1">
        <v>24.1724263369999</v>
      </c>
      <c r="V1203" s="1">
        <v>223.49017151</v>
      </c>
      <c r="W1203" s="1">
        <v>12.451696007</v>
      </c>
      <c r="X1203" s="1">
        <v>11.546840959</v>
      </c>
      <c r="Y1203" s="1">
        <v>78.6816400869999</v>
      </c>
      <c r="Z1203" s="1">
        <v>13.1</v>
      </c>
      <c r="AA1203" s="1">
        <v>1.490645795</v>
      </c>
      <c r="AB1203" s="1">
        <v>49147.0</v>
      </c>
      <c r="AC1203" s="1">
        <v>48.228811336</v>
      </c>
      <c r="AD1203" s="1">
        <v>78.017062868</v>
      </c>
      <c r="AE1203" s="1">
        <v>11.832926404</v>
      </c>
      <c r="AF1203" s="1">
        <v>1.0115557384</v>
      </c>
      <c r="AG1203" s="1">
        <v>0.2228851627</v>
      </c>
      <c r="AH1203" s="1">
        <v>0.3874772829</v>
      </c>
      <c r="AI1203" s="1">
        <v>0.0034290025</v>
      </c>
      <c r="AJ1203" s="1">
        <v>1.2207248911</v>
      </c>
      <c r="AK1203" s="1">
        <v>96.337825327</v>
      </c>
      <c r="AL1203" s="1">
        <v>0.1825340014</v>
      </c>
      <c r="AM1203" s="1">
        <v>50.660082982</v>
      </c>
      <c r="AN1203" s="1">
        <v>83.898727448</v>
      </c>
      <c r="AO1203" s="1">
        <v>25096.0</v>
      </c>
      <c r="AP1203" s="1">
        <v>12.7</v>
      </c>
      <c r="AQ1203" s="1">
        <v>5.6</v>
      </c>
      <c r="AR1203" s="1">
        <v>11.5</v>
      </c>
      <c r="AS1203" s="1">
        <v>20.0</v>
      </c>
      <c r="AT1203" s="1">
        <v>19.9</v>
      </c>
      <c r="AU1203" s="1">
        <v>15.1</v>
      </c>
      <c r="AV1203" s="1">
        <v>3.2</v>
      </c>
      <c r="AW1203" s="1">
        <v>0.1</v>
      </c>
      <c r="AX1203" s="1">
        <v>0.1958</v>
      </c>
      <c r="AY1203" s="1">
        <v>12.8</v>
      </c>
      <c r="AZ1203" s="1">
        <v>12.2</v>
      </c>
      <c r="BA1203" s="1">
        <v>19.9</v>
      </c>
      <c r="BB1203" s="1">
        <v>3.02</v>
      </c>
      <c r="BC1203" s="1" t="s">
        <v>2078</v>
      </c>
      <c r="BD1203" s="1">
        <v>10.2</v>
      </c>
      <c r="BE1203" s="1">
        <v>43.3</v>
      </c>
      <c r="BF1203" s="1">
        <v>25.6</v>
      </c>
      <c r="BG1203" s="1">
        <v>20.9</v>
      </c>
      <c r="BH1203" s="1" t="s">
        <v>2095</v>
      </c>
    </row>
    <row r="1204">
      <c r="A1204" s="1">
        <v>24025.0</v>
      </c>
      <c r="B1204" s="2" t="str">
        <f>IFERROR(__xludf.DUMMYFUNCTION("TO_TEXT(A1204)"),"24025")</f>
        <v>24025</v>
      </c>
      <c r="C1204" s="1">
        <v>249776.0</v>
      </c>
      <c r="D1204" s="1">
        <v>437.101961827598</v>
      </c>
      <c r="E1204" s="1" t="s">
        <v>2096</v>
      </c>
      <c r="F1204" s="1" t="s">
        <v>2097</v>
      </c>
      <c r="G1204" s="1">
        <v>571.436465202864</v>
      </c>
      <c r="H1204" s="1">
        <v>12.2474992079999</v>
      </c>
      <c r="I1204" s="1">
        <v>3.6605032064</v>
      </c>
      <c r="J1204" s="1">
        <v>7.25311114669999</v>
      </c>
      <c r="K1204" s="1">
        <v>14.609937744</v>
      </c>
      <c r="L1204" s="1">
        <v>32.3</v>
      </c>
      <c r="M1204" s="1">
        <v>9.0</v>
      </c>
      <c r="N1204" s="1">
        <v>24.9</v>
      </c>
      <c r="O1204" s="1">
        <v>90.371937621</v>
      </c>
      <c r="P1204" s="1">
        <v>4.7453604822</v>
      </c>
      <c r="Q1204" s="1">
        <v>56.71003</v>
      </c>
      <c r="R1204" s="1">
        <v>88.94</v>
      </c>
      <c r="S1204" s="1">
        <v>9.7</v>
      </c>
      <c r="T1204" s="1">
        <v>56242.0</v>
      </c>
      <c r="U1204" s="1">
        <v>24.227445681</v>
      </c>
      <c r="V1204" s="1">
        <v>233.5361042</v>
      </c>
      <c r="W1204" s="1">
        <v>12.935834369</v>
      </c>
      <c r="X1204" s="1">
        <v>11.946007979</v>
      </c>
      <c r="Y1204" s="1">
        <v>78.799407927</v>
      </c>
      <c r="Z1204" s="1">
        <v>10.9</v>
      </c>
      <c r="AA1204" s="1">
        <v>3.5104066943</v>
      </c>
      <c r="AB1204" s="1">
        <v>87959.0</v>
      </c>
      <c r="AC1204" s="1">
        <v>30.293806247</v>
      </c>
      <c r="AD1204" s="1">
        <v>78.471582017</v>
      </c>
      <c r="AE1204" s="1">
        <v>12.534821985</v>
      </c>
      <c r="AF1204" s="1">
        <v>13.95005434</v>
      </c>
      <c r="AG1204" s="1">
        <v>0.3244656555</v>
      </c>
      <c r="AH1204" s="1">
        <v>3.072185733</v>
      </c>
      <c r="AI1204" s="1">
        <v>0.1067113988</v>
      </c>
      <c r="AJ1204" s="1">
        <v>4.7397974452</v>
      </c>
      <c r="AK1204" s="1">
        <v>75.538675991</v>
      </c>
      <c r="AL1204" s="1">
        <v>0.685333277099999</v>
      </c>
      <c r="AM1204" s="1">
        <v>51.019861708</v>
      </c>
      <c r="AN1204" s="1">
        <v>17.757100961</v>
      </c>
      <c r="AO1204" s="1">
        <v>36411.0</v>
      </c>
      <c r="AP1204" s="1">
        <v>7.7</v>
      </c>
      <c r="AQ1204" s="1">
        <v>6.0</v>
      </c>
      <c r="AR1204" s="1">
        <v>7.2</v>
      </c>
      <c r="AS1204" s="1">
        <v>14.5</v>
      </c>
      <c r="AT1204" s="1">
        <v>23.0</v>
      </c>
      <c r="AU1204" s="1">
        <v>10.8</v>
      </c>
      <c r="AV1204" s="1">
        <v>22.6</v>
      </c>
      <c r="AW1204" s="1">
        <v>0.6</v>
      </c>
      <c r="AX1204" s="1">
        <v>0.086</v>
      </c>
      <c r="AY1204" s="1">
        <v>6.7</v>
      </c>
      <c r="AZ1204" s="1">
        <v>9.3</v>
      </c>
      <c r="BA1204" s="1">
        <v>15.0</v>
      </c>
      <c r="BB1204" s="1">
        <v>3.36</v>
      </c>
      <c r="BC1204" s="1" t="s">
        <v>2078</v>
      </c>
      <c r="BD1204" s="1">
        <v>7.3</v>
      </c>
      <c r="BE1204" s="1">
        <v>26.0</v>
      </c>
      <c r="BF1204" s="1">
        <v>30.0</v>
      </c>
      <c r="BG1204" s="1">
        <v>36.7</v>
      </c>
      <c r="BH1204" s="1" t="s">
        <v>2097</v>
      </c>
    </row>
    <row r="1205">
      <c r="A1205" s="1">
        <v>24027.0</v>
      </c>
      <c r="B1205" s="2" t="str">
        <f>IFERROR(__xludf.DUMMYFUNCTION("TO_TEXT(A1205)"),"24027")</f>
        <v>24027</v>
      </c>
      <c r="C1205" s="1">
        <v>308447.0</v>
      </c>
      <c r="D1205" s="1">
        <v>250.944185235746</v>
      </c>
      <c r="E1205" s="1" t="s">
        <v>339</v>
      </c>
      <c r="F1205" s="1" t="s">
        <v>2098</v>
      </c>
      <c r="G1205" s="1">
        <v>1229.14583460156</v>
      </c>
      <c r="H1205" s="1">
        <v>9.7491763547</v>
      </c>
      <c r="I1205" s="1">
        <v>3.13631771339999</v>
      </c>
      <c r="J1205" s="1">
        <v>8.3101472995</v>
      </c>
      <c r="K1205" s="1">
        <v>9.0191011429</v>
      </c>
      <c r="L1205" s="1">
        <v>25.3</v>
      </c>
      <c r="M1205" s="1">
        <v>9.3</v>
      </c>
      <c r="N1205" s="1">
        <v>16.7</v>
      </c>
      <c r="O1205" s="1">
        <v>96.451573576</v>
      </c>
      <c r="P1205" s="1">
        <v>3.9220362501</v>
      </c>
      <c r="Q1205" s="1">
        <v>193.38987</v>
      </c>
      <c r="R1205" s="1">
        <v>92.28</v>
      </c>
      <c r="S1205" s="1">
        <v>6.2</v>
      </c>
      <c r="T1205" s="1">
        <v>76922.0</v>
      </c>
      <c r="U1205" s="1">
        <v>20.4856868</v>
      </c>
      <c r="V1205" s="1">
        <v>214.496309</v>
      </c>
      <c r="W1205" s="1">
        <v>12.91071266</v>
      </c>
      <c r="X1205" s="1">
        <v>10.961661634</v>
      </c>
      <c r="Y1205" s="1">
        <v>83.37551257</v>
      </c>
      <c r="Z1205" s="1">
        <v>8.8</v>
      </c>
      <c r="AA1205" s="1">
        <v>1.8592997292</v>
      </c>
      <c r="AB1205" s="1">
        <v>116719.0</v>
      </c>
      <c r="AC1205" s="1">
        <v>19.405114117</v>
      </c>
      <c r="AD1205" s="1">
        <v>73.161836305</v>
      </c>
      <c r="AE1205" s="1">
        <v>11.795594492</v>
      </c>
      <c r="AF1205" s="1">
        <v>19.295412072</v>
      </c>
      <c r="AG1205" s="1">
        <v>0.4183220089</v>
      </c>
      <c r="AH1205" s="1">
        <v>19.062117105</v>
      </c>
      <c r="AI1205" s="1">
        <v>0.0884911942</v>
      </c>
      <c r="AJ1205" s="1">
        <v>7.1470562754</v>
      </c>
      <c r="AK1205" s="1">
        <v>51.060966101</v>
      </c>
      <c r="AL1205" s="1">
        <v>3.395717417</v>
      </c>
      <c r="AM1205" s="1">
        <v>51.0708672139999</v>
      </c>
      <c r="AN1205" s="1">
        <v>9.2516153752</v>
      </c>
      <c r="AO1205" s="1">
        <v>49667.0</v>
      </c>
      <c r="AP1205" s="1">
        <v>4.9</v>
      </c>
      <c r="AQ1205" s="1">
        <v>4.6</v>
      </c>
      <c r="AR1205" s="1">
        <v>4.7</v>
      </c>
      <c r="AS1205" s="1">
        <v>12.2</v>
      </c>
      <c r="AT1205" s="1">
        <v>24.7</v>
      </c>
      <c r="AU1205" s="1">
        <v>7.2</v>
      </c>
      <c r="AV1205" s="1">
        <v>44.7</v>
      </c>
      <c r="AW1205" s="1">
        <v>3.7</v>
      </c>
      <c r="AX1205" s="1">
        <v>0.1242</v>
      </c>
      <c r="AY1205" s="1">
        <v>5.0</v>
      </c>
      <c r="AZ1205" s="1">
        <v>7.4</v>
      </c>
      <c r="BA1205" s="1">
        <v>10.8</v>
      </c>
      <c r="BB1205" s="1">
        <v>3.74</v>
      </c>
      <c r="BC1205" s="1" t="s">
        <v>2078</v>
      </c>
      <c r="BD1205" s="1">
        <v>4.5</v>
      </c>
      <c r="BE1205" s="1">
        <v>13.5</v>
      </c>
      <c r="BF1205" s="1">
        <v>19.5</v>
      </c>
      <c r="BG1205" s="1">
        <v>62.6</v>
      </c>
      <c r="BH1205" s="1" t="s">
        <v>2098</v>
      </c>
    </row>
    <row r="1206">
      <c r="A1206" s="1">
        <v>24029.0</v>
      </c>
      <c r="B1206" s="2" t="str">
        <f>IFERROR(__xludf.DUMMYFUNCTION("TO_TEXT(A1206)"),"24029")</f>
        <v>24029</v>
      </c>
      <c r="C1206" s="1">
        <v>19819.0</v>
      </c>
      <c r="D1206" s="1">
        <v>277.032352584987</v>
      </c>
      <c r="E1206" s="1" t="s">
        <v>669</v>
      </c>
      <c r="F1206" s="1" t="s">
        <v>2099</v>
      </c>
      <c r="G1206" s="1">
        <v>71.5403808077612</v>
      </c>
      <c r="H1206" s="1">
        <v>13.0986395409999</v>
      </c>
      <c r="I1206" s="1">
        <v>4.1350555594</v>
      </c>
      <c r="J1206" s="1">
        <v>10.806023029</v>
      </c>
      <c r="K1206" s="1">
        <v>13.018311908</v>
      </c>
      <c r="L1206" s="1">
        <v>29.7</v>
      </c>
      <c r="M1206" s="1">
        <v>8.7</v>
      </c>
      <c r="N1206" s="1">
        <v>28.2</v>
      </c>
      <c r="O1206" s="1">
        <v>57.424369956</v>
      </c>
      <c r="P1206" s="1">
        <v>8.41520067019999</v>
      </c>
      <c r="Q1206" s="1">
        <v>87.7012</v>
      </c>
      <c r="R1206" s="1">
        <v>90.48</v>
      </c>
      <c r="S1206" s="1">
        <v>19.2</v>
      </c>
      <c r="T1206" s="1">
        <v>3010.0</v>
      </c>
      <c r="U1206" s="1">
        <v>46.611295681</v>
      </c>
      <c r="V1206" s="1">
        <v>220.21413927</v>
      </c>
      <c r="W1206" s="1">
        <v>16.070266753</v>
      </c>
      <c r="X1206" s="1">
        <v>15.1973684209999</v>
      </c>
      <c r="Y1206" s="1">
        <v>78.99813048</v>
      </c>
      <c r="Z1206" s="1">
        <v>11.5</v>
      </c>
      <c r="AA1206" s="1">
        <v>0.004163292</v>
      </c>
      <c r="AB1206" s="1">
        <v>55514.0</v>
      </c>
      <c r="AC1206" s="1">
        <v>50.225790266</v>
      </c>
      <c r="AD1206" s="1">
        <v>69.254108723</v>
      </c>
      <c r="AE1206" s="1">
        <v>16.055045872</v>
      </c>
      <c r="AF1206" s="1">
        <v>14.51787649</v>
      </c>
      <c r="AG1206" s="1">
        <v>0.3250270856</v>
      </c>
      <c r="AH1206" s="1">
        <v>1.3774957437</v>
      </c>
      <c r="AI1206" s="1">
        <v>0.056750761</v>
      </c>
      <c r="AJ1206" s="1">
        <v>4.3336944745</v>
      </c>
      <c r="AK1206" s="1">
        <v>77.985863901</v>
      </c>
      <c r="AL1206" s="1">
        <v>1.4733258869</v>
      </c>
      <c r="AM1206" s="1">
        <v>52.31904246</v>
      </c>
      <c r="AN1206" s="1">
        <v>72.585037382</v>
      </c>
      <c r="AO1206" s="1">
        <v>30080.0</v>
      </c>
      <c r="AP1206" s="1">
        <v>12.0</v>
      </c>
      <c r="AQ1206" s="1">
        <v>5.6</v>
      </c>
      <c r="AR1206" s="1">
        <v>12.7</v>
      </c>
      <c r="AS1206" s="1">
        <v>24.3</v>
      </c>
      <c r="AT1206" s="1">
        <v>16.6</v>
      </c>
      <c r="AU1206" s="1">
        <v>13.9</v>
      </c>
      <c r="AV1206" s="1">
        <v>21.8</v>
      </c>
      <c r="AW1206" s="1">
        <v>1.7</v>
      </c>
      <c r="AX1206" s="1">
        <v>0.4327</v>
      </c>
      <c r="AY1206" s="1">
        <v>12.4</v>
      </c>
      <c r="AZ1206" s="1">
        <v>12.3</v>
      </c>
      <c r="BA1206" s="1">
        <v>21.1</v>
      </c>
      <c r="BB1206" s="1">
        <v>3.32</v>
      </c>
      <c r="BC1206" s="1" t="s">
        <v>2078</v>
      </c>
      <c r="BD1206" s="1">
        <v>11.4</v>
      </c>
      <c r="BE1206" s="1">
        <v>29.8</v>
      </c>
      <c r="BF1206" s="1">
        <v>23.6</v>
      </c>
      <c r="BG1206" s="1">
        <v>35.1</v>
      </c>
      <c r="BH1206" s="1" t="s">
        <v>2099</v>
      </c>
    </row>
    <row r="1207">
      <c r="A1207" s="1">
        <v>24031.0</v>
      </c>
      <c r="B1207" s="2" t="str">
        <f>IFERROR(__xludf.DUMMYFUNCTION("TO_TEXT(A1207)"),"24031")</f>
        <v>24031</v>
      </c>
      <c r="C1207" s="1">
        <v>1026371.0</v>
      </c>
      <c r="D1207" s="1">
        <v>493.007836439817</v>
      </c>
      <c r="E1207" s="1" t="s">
        <v>160</v>
      </c>
      <c r="F1207" s="1" t="s">
        <v>2100</v>
      </c>
      <c r="G1207" s="1">
        <v>2081.85534617824</v>
      </c>
      <c r="H1207" s="1">
        <v>10.907770539</v>
      </c>
      <c r="I1207" s="1">
        <v>3.0763609795</v>
      </c>
      <c r="J1207" s="1">
        <v>7.3945638892</v>
      </c>
      <c r="K1207" s="1">
        <v>8.1757134357</v>
      </c>
      <c r="L1207" s="1">
        <v>21.2</v>
      </c>
      <c r="M1207" s="1">
        <v>9.4</v>
      </c>
      <c r="N1207" s="1">
        <v>16.2</v>
      </c>
      <c r="O1207" s="1">
        <v>99.792956615</v>
      </c>
      <c r="P1207" s="1">
        <v>7.9719082796</v>
      </c>
      <c r="Q1207" s="1">
        <v>134.58505</v>
      </c>
      <c r="R1207" s="1">
        <v>89.52</v>
      </c>
      <c r="S1207" s="1">
        <v>8.4</v>
      </c>
      <c r="T1207" s="1">
        <v>242613.0</v>
      </c>
      <c r="U1207" s="1">
        <v>24.716317757</v>
      </c>
      <c r="V1207" s="1">
        <v>173.32174323</v>
      </c>
      <c r="W1207" s="1">
        <v>17.051649831</v>
      </c>
      <c r="X1207" s="1">
        <v>14.267133978</v>
      </c>
      <c r="Y1207" s="1">
        <v>84.443428776</v>
      </c>
      <c r="Z1207" s="1">
        <v>7.8</v>
      </c>
      <c r="AA1207" s="1">
        <v>1.9081125192</v>
      </c>
      <c r="AB1207" s="1">
        <v>107758.0</v>
      </c>
      <c r="AC1207" s="1">
        <v>34.432297921</v>
      </c>
      <c r="AD1207" s="1">
        <v>65.436340407</v>
      </c>
      <c r="AE1207" s="1">
        <v>14.504672281</v>
      </c>
      <c r="AF1207" s="1">
        <v>18.456972335</v>
      </c>
      <c r="AG1207" s="1">
        <v>0.732209921099999</v>
      </c>
      <c r="AH1207" s="1">
        <v>15.5848511309999</v>
      </c>
      <c r="AI1207" s="1">
        <v>0.1063115222</v>
      </c>
      <c r="AJ1207" s="1">
        <v>19.859258366</v>
      </c>
      <c r="AK1207" s="1">
        <v>43.4017026939999</v>
      </c>
      <c r="AL1207" s="1">
        <v>6.375169118</v>
      </c>
      <c r="AM1207" s="1">
        <v>51.649728711</v>
      </c>
      <c r="AN1207" s="1">
        <v>2.3837773481</v>
      </c>
      <c r="AO1207" s="1">
        <v>49906.0</v>
      </c>
      <c r="AP1207" s="1">
        <v>6.9</v>
      </c>
      <c r="AQ1207" s="1">
        <v>5.8</v>
      </c>
      <c r="AR1207" s="1">
        <v>8.8</v>
      </c>
      <c r="AS1207" s="1">
        <v>13.7</v>
      </c>
      <c r="AT1207" s="1">
        <v>23.5</v>
      </c>
      <c r="AU1207" s="1">
        <v>7.9</v>
      </c>
      <c r="AV1207" s="1">
        <v>54.1</v>
      </c>
      <c r="AW1207" s="1">
        <v>6.3</v>
      </c>
      <c r="AX1207" s="1">
        <v>0.3114</v>
      </c>
      <c r="AY1207" s="1">
        <v>7.3</v>
      </c>
      <c r="AZ1207" s="1">
        <v>8.0</v>
      </c>
      <c r="BA1207" s="1">
        <v>11.1</v>
      </c>
      <c r="BB1207" s="1">
        <v>3.87</v>
      </c>
      <c r="BC1207" s="1" t="s">
        <v>2078</v>
      </c>
      <c r="BD1207" s="1">
        <v>9.0</v>
      </c>
      <c r="BE1207" s="1">
        <v>13.4</v>
      </c>
      <c r="BF1207" s="1">
        <v>18.7</v>
      </c>
      <c r="BG1207" s="1">
        <v>58.9</v>
      </c>
      <c r="BH1207" s="1" t="s">
        <v>2100</v>
      </c>
    </row>
    <row r="1208">
      <c r="A1208" s="1">
        <v>24033.0</v>
      </c>
      <c r="B1208" s="2" t="str">
        <f>IFERROR(__xludf.DUMMYFUNCTION("TO_TEXT(A1208)"),"24033")</f>
        <v>24033</v>
      </c>
      <c r="C1208" s="1">
        <v>897693.0</v>
      </c>
      <c r="D1208" s="1">
        <v>482.727165667566</v>
      </c>
      <c r="E1208" s="1" t="s">
        <v>2101</v>
      </c>
      <c r="F1208" s="1" t="s">
        <v>2102</v>
      </c>
      <c r="G1208" s="1">
        <v>1859.62809604588</v>
      </c>
      <c r="H1208" s="1">
        <v>14.756274902</v>
      </c>
      <c r="I1208" s="1">
        <v>3.4833509848</v>
      </c>
      <c r="J1208" s="1">
        <v>9.5432616121</v>
      </c>
      <c r="K1208" s="1">
        <v>11.97912293</v>
      </c>
      <c r="L1208" s="1">
        <v>37.3</v>
      </c>
      <c r="M1208" s="1">
        <v>7.9</v>
      </c>
      <c r="N1208" s="1">
        <v>23.1</v>
      </c>
      <c r="O1208" s="1">
        <v>98.3119455189999</v>
      </c>
      <c r="P1208" s="1">
        <v>10.785763555</v>
      </c>
      <c r="Q1208" s="1">
        <v>53.90269</v>
      </c>
      <c r="R1208" s="1">
        <v>82.69</v>
      </c>
      <c r="S1208" s="1">
        <v>12.0</v>
      </c>
      <c r="T1208" s="1">
        <v>202018.0</v>
      </c>
      <c r="U1208" s="1">
        <v>41.641338891</v>
      </c>
      <c r="V1208" s="1">
        <v>423.19424699</v>
      </c>
      <c r="W1208" s="1">
        <v>19.438557595</v>
      </c>
      <c r="X1208" s="1">
        <v>15.929989637</v>
      </c>
      <c r="Y1208" s="1">
        <v>79.530472935</v>
      </c>
      <c r="Z1208" s="1">
        <v>12.7</v>
      </c>
      <c r="AA1208" s="1">
        <v>4.0427560294</v>
      </c>
      <c r="AB1208" s="1">
        <v>82445.0</v>
      </c>
      <c r="AC1208" s="1">
        <v>66.454801726</v>
      </c>
      <c r="AD1208" s="1">
        <v>62.024484457</v>
      </c>
      <c r="AE1208" s="1">
        <v>16.112490749</v>
      </c>
      <c r="AF1208" s="1">
        <v>61.872764784</v>
      </c>
      <c r="AG1208" s="1">
        <v>1.1844171612</v>
      </c>
      <c r="AH1208" s="1">
        <v>4.5091432166</v>
      </c>
      <c r="AI1208" s="1">
        <v>0.1932238581</v>
      </c>
      <c r="AJ1208" s="1">
        <v>19.057789</v>
      </c>
      <c r="AK1208" s="1">
        <v>12.465963128</v>
      </c>
      <c r="AL1208" s="1">
        <v>6.22801056559999</v>
      </c>
      <c r="AM1208" s="1">
        <v>51.8594359669999</v>
      </c>
      <c r="AN1208" s="1">
        <v>1.9667137662</v>
      </c>
      <c r="AO1208" s="1">
        <v>33220.0</v>
      </c>
      <c r="AP1208" s="1">
        <v>9.7</v>
      </c>
      <c r="AQ1208" s="1">
        <v>8.0</v>
      </c>
      <c r="AR1208" s="1">
        <v>14.2</v>
      </c>
      <c r="AS1208" s="1">
        <v>11.3</v>
      </c>
      <c r="AT1208" s="1">
        <v>22.7</v>
      </c>
      <c r="AU1208" s="1">
        <v>9.1</v>
      </c>
      <c r="AV1208" s="1">
        <v>86.4</v>
      </c>
      <c r="AW1208" s="1">
        <v>5.9</v>
      </c>
      <c r="AX1208" s="1">
        <v>0.618</v>
      </c>
      <c r="AY1208" s="1">
        <v>8.7</v>
      </c>
      <c r="AZ1208" s="1">
        <v>10.3</v>
      </c>
      <c r="BA1208" s="1">
        <v>14.3</v>
      </c>
      <c r="BB1208" s="1">
        <v>3.26</v>
      </c>
      <c r="BC1208" s="1" t="s">
        <v>2078</v>
      </c>
      <c r="BD1208" s="1">
        <v>13.3</v>
      </c>
      <c r="BE1208" s="1">
        <v>25.8</v>
      </c>
      <c r="BF1208" s="1">
        <v>27.8</v>
      </c>
      <c r="BG1208" s="1">
        <v>33.1</v>
      </c>
      <c r="BH1208" s="1" t="s">
        <v>2102</v>
      </c>
    </row>
    <row r="1209">
      <c r="A1209" s="1">
        <v>24035.0</v>
      </c>
      <c r="B1209" s="2" t="str">
        <f>IFERROR(__xludf.DUMMYFUNCTION("TO_TEXT(A1209)"),"24035")</f>
        <v>24035</v>
      </c>
      <c r="C1209" s="1">
        <v>48712.0</v>
      </c>
      <c r="D1209" s="1">
        <v>371.679349752184</v>
      </c>
      <c r="E1209" s="1" t="s">
        <v>2103</v>
      </c>
      <c r="F1209" s="1" t="s">
        <v>2104</v>
      </c>
      <c r="G1209" s="1">
        <v>131.059204748605</v>
      </c>
      <c r="H1209" s="1">
        <v>11.145342604</v>
      </c>
      <c r="I1209" s="1">
        <v>3.7461017684</v>
      </c>
      <c r="J1209" s="1">
        <v>7.1384803922</v>
      </c>
      <c r="K1209" s="1">
        <v>11.981789447</v>
      </c>
      <c r="L1209" s="1">
        <v>29.2</v>
      </c>
      <c r="M1209" s="1">
        <v>9.3</v>
      </c>
      <c r="N1209" s="1">
        <v>23.3</v>
      </c>
      <c r="O1209" s="1">
        <v>82.164525712</v>
      </c>
      <c r="P1209" s="1">
        <v>5.4117295629</v>
      </c>
      <c r="Q1209" s="1">
        <v>36.16637</v>
      </c>
      <c r="R1209" s="1">
        <v>97.5</v>
      </c>
      <c r="S1209" s="1">
        <v>8.6</v>
      </c>
      <c r="T1209" s="1">
        <v>10740.0</v>
      </c>
      <c r="U1209" s="1">
        <v>22.793296089</v>
      </c>
      <c r="V1209" s="1">
        <v>232.55337459</v>
      </c>
      <c r="W1209" s="1">
        <v>12.229406803</v>
      </c>
      <c r="X1209" s="1">
        <v>11.023532747</v>
      </c>
      <c r="Y1209" s="1">
        <v>79.503633933</v>
      </c>
      <c r="Z1209" s="1">
        <v>10.4</v>
      </c>
      <c r="AA1209" s="1">
        <v>2.702718665</v>
      </c>
      <c r="AB1209" s="1">
        <v>93751.0</v>
      </c>
      <c r="AC1209" s="1">
        <v>27.462072512</v>
      </c>
      <c r="AD1209" s="1">
        <v>81.794137095</v>
      </c>
      <c r="AE1209" s="1">
        <v>11.526903668</v>
      </c>
      <c r="AF1209" s="1">
        <v>6.194901594</v>
      </c>
      <c r="AG1209" s="1">
        <v>0.4656623749</v>
      </c>
      <c r="AH1209" s="1">
        <v>1.1860460488</v>
      </c>
      <c r="AI1209" s="1">
        <v>0.1134305785</v>
      </c>
      <c r="AJ1209" s="1">
        <v>4.1233010288</v>
      </c>
      <c r="AK1209" s="1">
        <v>86.332610296</v>
      </c>
      <c r="AL1209" s="1">
        <v>1.0736163582</v>
      </c>
      <c r="AM1209" s="1">
        <v>50.3591968319999</v>
      </c>
      <c r="AN1209" s="1">
        <v>54.487635466</v>
      </c>
      <c r="AO1209" s="1">
        <v>39593.0</v>
      </c>
      <c r="AP1209" s="1">
        <v>6.5</v>
      </c>
      <c r="AQ1209" s="1">
        <v>4.3</v>
      </c>
      <c r="AR1209" s="1">
        <v>8.4</v>
      </c>
      <c r="AS1209" s="1">
        <v>17.3</v>
      </c>
      <c r="AT1209" s="1">
        <v>22.3</v>
      </c>
      <c r="AU1209" s="1">
        <v>10.6</v>
      </c>
      <c r="AV1209" s="1">
        <v>13.1</v>
      </c>
      <c r="AW1209" s="1">
        <v>0.9</v>
      </c>
      <c r="AX1209" s="1">
        <v>0.0261</v>
      </c>
      <c r="AY1209" s="1">
        <v>6.0</v>
      </c>
      <c r="AZ1209" s="1">
        <v>8.0</v>
      </c>
      <c r="BA1209" s="1">
        <v>13.1</v>
      </c>
      <c r="BB1209" s="1">
        <v>4.04</v>
      </c>
      <c r="BC1209" s="1" t="s">
        <v>2078</v>
      </c>
      <c r="BD1209" s="1">
        <v>6.8</v>
      </c>
      <c r="BE1209" s="1">
        <v>28.9</v>
      </c>
      <c r="BF1209" s="1">
        <v>27.8</v>
      </c>
      <c r="BG1209" s="1">
        <v>36.5</v>
      </c>
      <c r="BH1209" s="1" t="s">
        <v>2104</v>
      </c>
    </row>
    <row r="1210">
      <c r="A1210" s="1">
        <v>24037.0</v>
      </c>
      <c r="B1210" s="2" t="str">
        <f>IFERROR(__xludf.DUMMYFUNCTION("TO_TEXT(A1210)"),"24037")</f>
        <v>24037</v>
      </c>
      <c r="C1210" s="1">
        <v>110675.0</v>
      </c>
      <c r="D1210" s="1">
        <v>357.401201652786</v>
      </c>
      <c r="E1210" s="1" t="s">
        <v>2105</v>
      </c>
      <c r="F1210" s="1" t="s">
        <v>2106</v>
      </c>
      <c r="G1210" s="1">
        <v>309.665998570201</v>
      </c>
      <c r="H1210" s="1">
        <v>12.993604323</v>
      </c>
      <c r="I1210" s="1">
        <v>3.5755904315</v>
      </c>
      <c r="J1210" s="1">
        <v>6.5622440622</v>
      </c>
      <c r="K1210" s="1">
        <v>15.013894977</v>
      </c>
      <c r="L1210" s="1">
        <v>36.4</v>
      </c>
      <c r="M1210" s="1">
        <v>8.8</v>
      </c>
      <c r="N1210" s="1">
        <v>23.9</v>
      </c>
      <c r="O1210" s="1">
        <v>76.54896292</v>
      </c>
      <c r="P1210" s="1">
        <v>5.24797376529999</v>
      </c>
      <c r="Q1210" s="1">
        <v>39.94071</v>
      </c>
      <c r="R1210" s="1">
        <v>93.93</v>
      </c>
      <c r="S1210" s="1">
        <v>10.6</v>
      </c>
      <c r="T1210" s="1">
        <v>27246.0</v>
      </c>
      <c r="U1210" s="1">
        <v>25.629450195</v>
      </c>
      <c r="V1210" s="1">
        <v>221.30249762</v>
      </c>
      <c r="W1210" s="1">
        <v>11.78809646</v>
      </c>
      <c r="X1210" s="1">
        <v>10.340364954</v>
      </c>
      <c r="Y1210" s="1">
        <v>78.972302086</v>
      </c>
      <c r="Z1210" s="1">
        <v>11.9</v>
      </c>
      <c r="AA1210" s="1">
        <v>3.7422486609</v>
      </c>
      <c r="AB1210" s="1">
        <v>89964.0</v>
      </c>
      <c r="AC1210" s="1">
        <v>34.326704703</v>
      </c>
      <c r="AD1210" s="1">
        <v>70.824655361</v>
      </c>
      <c r="AE1210" s="1">
        <v>11.0945210679999</v>
      </c>
      <c r="AF1210" s="1">
        <v>14.306255769</v>
      </c>
      <c r="AG1210" s="1">
        <v>0.4579990059</v>
      </c>
      <c r="AH1210" s="1">
        <v>2.9432649293</v>
      </c>
      <c r="AI1210" s="1">
        <v>0.096747852</v>
      </c>
      <c r="AJ1210" s="1">
        <v>5.3211318611</v>
      </c>
      <c r="AK1210" s="1">
        <v>73.858552865</v>
      </c>
      <c r="AL1210" s="1">
        <v>0.715839506299999</v>
      </c>
      <c r="AM1210" s="1">
        <v>50.15355393</v>
      </c>
      <c r="AN1210" s="1">
        <v>50.417970347</v>
      </c>
      <c r="AO1210" s="1">
        <v>36814.0</v>
      </c>
      <c r="AP1210" s="1">
        <v>7.8</v>
      </c>
      <c r="AQ1210" s="1">
        <v>4.4</v>
      </c>
      <c r="AR1210" s="1">
        <v>10.1</v>
      </c>
      <c r="AS1210" s="1">
        <v>11.8</v>
      </c>
      <c r="AT1210" s="1">
        <v>24.9</v>
      </c>
      <c r="AU1210" s="1">
        <v>11.7</v>
      </c>
      <c r="AV1210" s="1">
        <v>24.5</v>
      </c>
      <c r="AW1210" s="1">
        <v>0.7</v>
      </c>
      <c r="AX1210" s="1">
        <v>0.184</v>
      </c>
      <c r="AY1210" s="1">
        <v>7.7</v>
      </c>
      <c r="AZ1210" s="1">
        <v>10.3</v>
      </c>
      <c r="BA1210" s="1">
        <v>15.9</v>
      </c>
      <c r="BB1210" s="1">
        <v>3.31</v>
      </c>
      <c r="BC1210" s="1" t="s">
        <v>2078</v>
      </c>
      <c r="BD1210" s="1">
        <v>10.2</v>
      </c>
      <c r="BE1210" s="1">
        <v>30.3</v>
      </c>
      <c r="BF1210" s="1">
        <v>27.6</v>
      </c>
      <c r="BG1210" s="1">
        <v>31.9</v>
      </c>
      <c r="BH1210" s="1" t="s">
        <v>2106</v>
      </c>
    </row>
    <row r="1211">
      <c r="A1211" s="1">
        <v>24039.0</v>
      </c>
      <c r="B1211" s="2" t="str">
        <f>IFERROR(__xludf.DUMMYFUNCTION("TO_TEXT(A1211)"),"24039")</f>
        <v>24039</v>
      </c>
      <c r="C1211" s="1">
        <v>25899.0</v>
      </c>
      <c r="D1211" s="1">
        <v>319.727583173858</v>
      </c>
      <c r="E1211" s="1" t="s">
        <v>2069</v>
      </c>
      <c r="F1211" s="1" t="s">
        <v>2107</v>
      </c>
      <c r="G1211" s="1">
        <v>81.0033333468039</v>
      </c>
      <c r="H1211" s="1">
        <v>19.072143524</v>
      </c>
      <c r="I1211" s="1">
        <v>4.5006288679</v>
      </c>
      <c r="J1211" s="1">
        <v>8.8419851683</v>
      </c>
      <c r="K1211" s="1">
        <v>19.7601601159999</v>
      </c>
      <c r="L1211" s="1">
        <v>44.4</v>
      </c>
      <c r="M1211" s="1">
        <v>6.2</v>
      </c>
      <c r="N1211" s="1">
        <v>34.5</v>
      </c>
      <c r="O1211" s="1">
        <v>60.997355497</v>
      </c>
      <c r="P1211" s="1">
        <v>8.4829200937</v>
      </c>
      <c r="Q1211" s="1">
        <v>34.7249</v>
      </c>
      <c r="R1211" s="1">
        <v>85.95</v>
      </c>
      <c r="S1211" s="1">
        <v>31.4</v>
      </c>
      <c r="T1211" s="1">
        <v>4258.0</v>
      </c>
      <c r="U1211" s="1">
        <v>49.882573978</v>
      </c>
      <c r="V1211" s="1">
        <v>357.48101486</v>
      </c>
      <c r="W1211" s="1">
        <v>25.81032413</v>
      </c>
      <c r="X1211" s="1">
        <v>24.301336574</v>
      </c>
      <c r="Y1211" s="1">
        <v>75.323966485</v>
      </c>
      <c r="Z1211" s="1">
        <v>13.3</v>
      </c>
      <c r="AA1211" s="1">
        <v>11.997545582</v>
      </c>
      <c r="AB1211" s="1">
        <v>42098.0</v>
      </c>
      <c r="AC1211" s="1">
        <v>100.0</v>
      </c>
      <c r="AD1211" s="1">
        <v>64.964809734</v>
      </c>
      <c r="AE1211" s="1">
        <v>22.329735765</v>
      </c>
      <c r="AF1211" s="1">
        <v>41.370983447</v>
      </c>
      <c r="AG1211" s="1">
        <v>0.4907497566</v>
      </c>
      <c r="AH1211" s="1">
        <v>0.9152872444</v>
      </c>
      <c r="AI1211" s="1">
        <v>0.0662122687</v>
      </c>
      <c r="AJ1211" s="1">
        <v>3.6455696203</v>
      </c>
      <c r="AK1211" s="1">
        <v>51.427458617</v>
      </c>
      <c r="AL1211" s="1">
        <v>1.2432234134</v>
      </c>
      <c r="AM1211" s="1">
        <v>45.947419669</v>
      </c>
      <c r="AN1211" s="1">
        <v>45.791462032</v>
      </c>
      <c r="AO1211" s="1">
        <v>17143.0</v>
      </c>
      <c r="AP1211" s="1">
        <v>25.1</v>
      </c>
      <c r="AQ1211" s="1">
        <v>8.4</v>
      </c>
      <c r="AR1211" s="1">
        <v>20.8</v>
      </c>
      <c r="AS1211" s="1">
        <v>15.4</v>
      </c>
      <c r="AT1211" s="1">
        <v>16.9</v>
      </c>
      <c r="AU1211" s="1">
        <v>16.4</v>
      </c>
      <c r="AV1211" s="1">
        <v>48.4</v>
      </c>
      <c r="AW1211" s="1">
        <v>1.5</v>
      </c>
      <c r="AX1211" s="1">
        <v>0.8924</v>
      </c>
      <c r="AY1211" s="1">
        <v>23.6</v>
      </c>
      <c r="AZ1211" s="1">
        <v>16.6</v>
      </c>
      <c r="BA1211" s="1">
        <v>27.9</v>
      </c>
      <c r="BB1211" s="1">
        <v>3.1</v>
      </c>
      <c r="BC1211" s="1" t="s">
        <v>2078</v>
      </c>
      <c r="BD1211" s="1">
        <v>18.7</v>
      </c>
      <c r="BE1211" s="1">
        <v>39.7</v>
      </c>
      <c r="BF1211" s="1">
        <v>27.2</v>
      </c>
      <c r="BG1211" s="1">
        <v>14.4</v>
      </c>
      <c r="BH1211" s="1" t="s">
        <v>2107</v>
      </c>
    </row>
    <row r="1212">
      <c r="A1212" s="1">
        <v>24041.0</v>
      </c>
      <c r="B1212" s="2" t="str">
        <f>IFERROR(__xludf.DUMMYFUNCTION("TO_TEXT(A1212)"),"24041")</f>
        <v>24041</v>
      </c>
      <c r="C1212" s="1">
        <v>37668.0</v>
      </c>
      <c r="D1212" s="1">
        <v>268.541373077398</v>
      </c>
      <c r="E1212" s="1" t="s">
        <v>1011</v>
      </c>
      <c r="F1212" s="1" t="s">
        <v>2108</v>
      </c>
      <c r="G1212" s="1">
        <v>140.268888805985</v>
      </c>
      <c r="H1212" s="1">
        <v>12.5813864909999</v>
      </c>
      <c r="I1212" s="1">
        <v>3.675025895</v>
      </c>
      <c r="J1212" s="1">
        <v>6.8298969072</v>
      </c>
      <c r="K1212" s="1">
        <v>12.815309817</v>
      </c>
      <c r="L1212" s="1">
        <v>28.4</v>
      </c>
      <c r="M1212" s="1">
        <v>8.8</v>
      </c>
      <c r="N1212" s="1">
        <v>20.3</v>
      </c>
      <c r="O1212" s="1">
        <v>75.628606215</v>
      </c>
      <c r="P1212" s="1">
        <v>8.5427135678</v>
      </c>
      <c r="Q1212" s="1">
        <v>91.63679</v>
      </c>
      <c r="R1212" s="1">
        <v>87.11</v>
      </c>
      <c r="S1212" s="1">
        <v>14.6</v>
      </c>
      <c r="T1212" s="1">
        <v>6829.0</v>
      </c>
      <c r="U1212" s="1">
        <v>33.445599649</v>
      </c>
      <c r="V1212" s="1">
        <v>243.21845802</v>
      </c>
      <c r="W1212" s="1">
        <v>16.71723301</v>
      </c>
      <c r="X1212" s="1">
        <v>15.749385749</v>
      </c>
      <c r="Y1212" s="1">
        <v>81.409548658</v>
      </c>
      <c r="Z1212" s="1">
        <v>11.6</v>
      </c>
      <c r="AA1212" s="1">
        <v>2.3706893118</v>
      </c>
      <c r="AB1212" s="1">
        <v>64245.0</v>
      </c>
      <c r="AC1212" s="1">
        <v>48.278088678</v>
      </c>
      <c r="AD1212" s="1">
        <v>69.693871414</v>
      </c>
      <c r="AE1212" s="1">
        <v>13.854706727</v>
      </c>
      <c r="AF1212" s="1">
        <v>12.383683185</v>
      </c>
      <c r="AG1212" s="1">
        <v>0.4030512876</v>
      </c>
      <c r="AH1212" s="1">
        <v>1.4309673231</v>
      </c>
      <c r="AI1212" s="1">
        <v>0.2055832071</v>
      </c>
      <c r="AJ1212" s="1">
        <v>6.8437567626</v>
      </c>
      <c r="AK1212" s="1">
        <v>77.729387578</v>
      </c>
      <c r="AL1212" s="1">
        <v>1.471334348</v>
      </c>
      <c r="AM1212" s="1">
        <v>52.7672581689999</v>
      </c>
      <c r="AN1212" s="1">
        <v>54.655656133</v>
      </c>
      <c r="AO1212" s="1">
        <v>40533.0</v>
      </c>
      <c r="AP1212" s="1">
        <v>10.9</v>
      </c>
      <c r="AQ1212" s="1">
        <v>6.0</v>
      </c>
      <c r="AR1212" s="1">
        <v>10.8</v>
      </c>
      <c r="AS1212" s="1">
        <v>26.4</v>
      </c>
      <c r="AT1212" s="1">
        <v>18.7</v>
      </c>
      <c r="AU1212" s="1">
        <v>14.1</v>
      </c>
      <c r="AV1212" s="1">
        <v>22.0</v>
      </c>
      <c r="AW1212" s="1">
        <v>1.5</v>
      </c>
      <c r="AX1212" s="1">
        <v>0.1913</v>
      </c>
      <c r="AY1212" s="1">
        <v>8.7</v>
      </c>
      <c r="AZ1212" s="1">
        <v>11.0</v>
      </c>
      <c r="BA1212" s="1">
        <v>17.2</v>
      </c>
      <c r="BB1212" s="1">
        <v>3.33</v>
      </c>
      <c r="BC1212" s="1" t="s">
        <v>2078</v>
      </c>
      <c r="BD1212" s="1">
        <v>8.8</v>
      </c>
      <c r="BE1212" s="1">
        <v>24.5</v>
      </c>
      <c r="BF1212" s="1">
        <v>26.2</v>
      </c>
      <c r="BG1212" s="1">
        <v>40.6</v>
      </c>
      <c r="BH1212" s="1" t="s">
        <v>2108</v>
      </c>
    </row>
    <row r="1213">
      <c r="A1213" s="1">
        <v>24043.0</v>
      </c>
      <c r="B1213" s="2" t="str">
        <f>IFERROR(__xludf.DUMMYFUNCTION("TO_TEXT(A1213)"),"24043")</f>
        <v>24043</v>
      </c>
      <c r="C1213" s="1">
        <v>149571.0</v>
      </c>
      <c r="D1213" s="1">
        <v>457.766135848272</v>
      </c>
      <c r="E1213" s="1" t="s">
        <v>188</v>
      </c>
      <c r="F1213" s="1" t="s">
        <v>2109</v>
      </c>
      <c r="G1213" s="1">
        <v>326.741076473109</v>
      </c>
      <c r="H1213" s="1">
        <v>15.827228872</v>
      </c>
      <c r="I1213" s="1">
        <v>4.0538117434</v>
      </c>
      <c r="J1213" s="1">
        <v>8.8539063801</v>
      </c>
      <c r="K1213" s="1">
        <v>15.46402323</v>
      </c>
      <c r="L1213" s="1">
        <v>36.3</v>
      </c>
      <c r="M1213" s="1">
        <v>8.1</v>
      </c>
      <c r="N1213" s="1">
        <v>27.2</v>
      </c>
      <c r="O1213" s="1">
        <v>74.573017703</v>
      </c>
      <c r="P1213" s="1">
        <v>6.3738374444</v>
      </c>
      <c r="Q1213" s="1">
        <v>55.78504</v>
      </c>
      <c r="R1213" s="1">
        <v>92.21</v>
      </c>
      <c r="S1213" s="1">
        <v>16.5</v>
      </c>
      <c r="T1213" s="1">
        <v>32691.0</v>
      </c>
      <c r="U1213" s="1">
        <v>34.875042061</v>
      </c>
      <c r="V1213" s="1">
        <v>311.59306547</v>
      </c>
      <c r="W1213" s="1">
        <v>14.680452803</v>
      </c>
      <c r="X1213" s="1">
        <v>12.896273013</v>
      </c>
      <c r="Y1213" s="1">
        <v>77.161942121</v>
      </c>
      <c r="Z1213" s="1">
        <v>13.7</v>
      </c>
      <c r="AA1213" s="1">
        <v>6.483888395</v>
      </c>
      <c r="AB1213" s="1">
        <v>62556.0</v>
      </c>
      <c r="AC1213" s="1">
        <v>49.922549237</v>
      </c>
      <c r="AD1213" s="1">
        <v>65.42675068</v>
      </c>
      <c r="AE1213" s="1">
        <v>13.166920382</v>
      </c>
      <c r="AF1213" s="1">
        <v>11.5970740629999</v>
      </c>
      <c r="AG1213" s="1">
        <v>0.3253249937</v>
      </c>
      <c r="AH1213" s="1">
        <v>1.9088824987</v>
      </c>
      <c r="AI1213" s="1">
        <v>0.0874600798</v>
      </c>
      <c r="AJ1213" s="1">
        <v>5.39602189149999</v>
      </c>
      <c r="AK1213" s="1">
        <v>78.213826644</v>
      </c>
      <c r="AL1213" s="1">
        <v>0.873507846</v>
      </c>
      <c r="AM1213" s="1">
        <v>49.0922703839999</v>
      </c>
      <c r="AN1213" s="1">
        <v>29.489927423</v>
      </c>
      <c r="AO1213" s="1">
        <v>27586.0</v>
      </c>
      <c r="AP1213" s="1">
        <v>12.9</v>
      </c>
      <c r="AQ1213" s="1">
        <v>7.5</v>
      </c>
      <c r="AR1213" s="1">
        <v>13.1</v>
      </c>
      <c r="AS1213" s="1">
        <v>15.8</v>
      </c>
      <c r="AT1213" s="1">
        <v>22.3</v>
      </c>
      <c r="AU1213" s="1">
        <v>15.6</v>
      </c>
      <c r="AV1213" s="1">
        <v>19.0</v>
      </c>
      <c r="AW1213" s="1">
        <v>1.1</v>
      </c>
      <c r="AX1213" s="1">
        <v>0.5934</v>
      </c>
      <c r="AY1213" s="1">
        <v>12.3</v>
      </c>
      <c r="AZ1213" s="1">
        <v>13.1</v>
      </c>
      <c r="BA1213" s="1">
        <v>20.4</v>
      </c>
      <c r="BB1213" s="1">
        <v>3.04</v>
      </c>
      <c r="BC1213" s="1" t="s">
        <v>2078</v>
      </c>
      <c r="BD1213" s="1">
        <v>12.8</v>
      </c>
      <c r="BE1213" s="1">
        <v>36.5</v>
      </c>
      <c r="BF1213" s="1">
        <v>28.8</v>
      </c>
      <c r="BG1213" s="1">
        <v>21.9</v>
      </c>
      <c r="BH1213" s="1" t="s">
        <v>2109</v>
      </c>
    </row>
    <row r="1214">
      <c r="A1214" s="1">
        <v>24045.0</v>
      </c>
      <c r="B1214" s="2" t="str">
        <f>IFERROR(__xludf.DUMMYFUNCTION("TO_TEXT(A1214)"),"24045")</f>
        <v>24045</v>
      </c>
      <c r="C1214" s="1">
        <v>101527.0</v>
      </c>
      <c r="D1214" s="1">
        <v>374.41723687218</v>
      </c>
      <c r="E1214" s="1" t="s">
        <v>2110</v>
      </c>
      <c r="F1214" s="1" t="s">
        <v>2111</v>
      </c>
      <c r="G1214" s="1">
        <v>271.160058890824</v>
      </c>
      <c r="H1214" s="1">
        <v>15.307423384</v>
      </c>
      <c r="I1214" s="1">
        <v>4.2788404463</v>
      </c>
      <c r="J1214" s="1">
        <v>9.0508749565</v>
      </c>
      <c r="K1214" s="1">
        <v>15.308955351</v>
      </c>
      <c r="L1214" s="1">
        <v>36.1</v>
      </c>
      <c r="M1214" s="1">
        <v>7.3</v>
      </c>
      <c r="N1214" s="1">
        <v>26.7</v>
      </c>
      <c r="O1214" s="1">
        <v>77.162650785</v>
      </c>
      <c r="P1214" s="1">
        <v>8.1475077152</v>
      </c>
      <c r="Q1214" s="1">
        <v>68.01201</v>
      </c>
      <c r="R1214" s="1">
        <v>83.79</v>
      </c>
      <c r="S1214" s="1">
        <v>20.1</v>
      </c>
      <c r="T1214" s="1">
        <v>22307.0</v>
      </c>
      <c r="U1214" s="1">
        <v>39.00569328</v>
      </c>
      <c r="V1214" s="1">
        <v>468.95902856</v>
      </c>
      <c r="W1214" s="1">
        <v>19.706752758</v>
      </c>
      <c r="X1214" s="1">
        <v>16.797615822</v>
      </c>
      <c r="Y1214" s="1">
        <v>76.289116055</v>
      </c>
      <c r="Z1214" s="1">
        <v>11.7</v>
      </c>
      <c r="AA1214" s="1">
        <v>8.8587174199</v>
      </c>
      <c r="AB1214" s="1">
        <v>54313.0</v>
      </c>
      <c r="AC1214" s="1">
        <v>61.967498161</v>
      </c>
      <c r="AD1214" s="1">
        <v>59.173154077</v>
      </c>
      <c r="AE1214" s="1">
        <v>16.1959339609999</v>
      </c>
      <c r="AF1214" s="1">
        <v>26.467367605</v>
      </c>
      <c r="AG1214" s="1">
        <v>0.3837395223</v>
      </c>
      <c r="AH1214" s="1">
        <v>3.0970492756</v>
      </c>
      <c r="AI1214" s="1">
        <v>0.138572605299999</v>
      </c>
      <c r="AJ1214" s="1">
        <v>5.4324337419</v>
      </c>
      <c r="AK1214" s="1">
        <v>62.341198701</v>
      </c>
      <c r="AL1214" s="1">
        <v>3.01303949339999</v>
      </c>
      <c r="AM1214" s="1">
        <v>52.618828432</v>
      </c>
      <c r="AN1214" s="1">
        <v>25.805961533</v>
      </c>
      <c r="AO1214" s="1">
        <v>26498.0</v>
      </c>
      <c r="AP1214" s="1">
        <v>16.3</v>
      </c>
      <c r="AQ1214" s="1">
        <v>7.7</v>
      </c>
      <c r="AR1214" s="1">
        <v>11.4</v>
      </c>
      <c r="AS1214" s="1">
        <v>14.3</v>
      </c>
      <c r="AT1214" s="1">
        <v>22.0</v>
      </c>
      <c r="AU1214" s="1">
        <v>10.7</v>
      </c>
      <c r="AV1214" s="1">
        <v>35.6</v>
      </c>
      <c r="AW1214" s="1">
        <v>3.1</v>
      </c>
      <c r="AX1214" s="1">
        <v>0.6533</v>
      </c>
      <c r="AY1214" s="1">
        <v>16.0</v>
      </c>
      <c r="AZ1214" s="1">
        <v>13.3</v>
      </c>
      <c r="BA1214" s="1">
        <v>20.4</v>
      </c>
      <c r="BB1214" s="1">
        <v>3.09</v>
      </c>
      <c r="BC1214" s="1" t="s">
        <v>2078</v>
      </c>
      <c r="BD1214" s="1">
        <v>12.8</v>
      </c>
      <c r="BE1214" s="1">
        <v>32.3</v>
      </c>
      <c r="BF1214" s="1">
        <v>27.7</v>
      </c>
      <c r="BG1214" s="1">
        <v>27.2</v>
      </c>
      <c r="BH1214" s="1" t="s">
        <v>2111</v>
      </c>
    </row>
    <row r="1215">
      <c r="A1215" s="1">
        <v>24047.0</v>
      </c>
      <c r="B1215" s="2" t="str">
        <f>IFERROR(__xludf.DUMMYFUNCTION("TO_TEXT(A1215)"),"24047")</f>
        <v>24047</v>
      </c>
      <c r="C1215" s="1">
        <v>51441.0</v>
      </c>
      <c r="D1215" s="1">
        <v>468.277090980792</v>
      </c>
      <c r="E1215" s="1" t="s">
        <v>2112</v>
      </c>
      <c r="F1215" s="1" t="s">
        <v>2113</v>
      </c>
      <c r="G1215" s="1">
        <v>109.85162629301</v>
      </c>
      <c r="H1215" s="1">
        <v>13.557171781</v>
      </c>
      <c r="I1215" s="1">
        <v>4.2329339844</v>
      </c>
      <c r="J1215" s="1">
        <v>6.2</v>
      </c>
      <c r="K1215" s="1">
        <v>13.753866362</v>
      </c>
      <c r="L1215" s="1">
        <v>34.7</v>
      </c>
      <c r="M1215" s="1">
        <v>8.1</v>
      </c>
      <c r="N1215" s="1">
        <v>26.1</v>
      </c>
      <c r="O1215" s="1">
        <v>89.573211023</v>
      </c>
      <c r="P1215" s="1">
        <v>7.78284182309999</v>
      </c>
      <c r="Q1215" s="1">
        <v>87.0574599999999</v>
      </c>
      <c r="R1215" s="1">
        <v>91.79</v>
      </c>
      <c r="S1215" s="1">
        <v>17.7</v>
      </c>
      <c r="T1215" s="1">
        <v>8818.0</v>
      </c>
      <c r="U1215" s="1">
        <v>34.214107507</v>
      </c>
      <c r="V1215" s="1">
        <v>333.9449185</v>
      </c>
      <c r="W1215" s="1">
        <v>16.753926702</v>
      </c>
      <c r="X1215" s="1">
        <v>15.517241379</v>
      </c>
      <c r="Y1215" s="1">
        <v>78.4749554919999</v>
      </c>
      <c r="Z1215" s="1">
        <v>12.6</v>
      </c>
      <c r="AA1215" s="1">
        <v>4.3451790469</v>
      </c>
      <c r="AB1215" s="1">
        <v>59266.0</v>
      </c>
      <c r="AC1215" s="1">
        <v>43.7761819269999</v>
      </c>
      <c r="AD1215" s="1">
        <v>75.5813953489999</v>
      </c>
      <c r="AE1215" s="1">
        <v>14.7050468709999</v>
      </c>
      <c r="AF1215" s="1">
        <v>12.84371804</v>
      </c>
      <c r="AG1215" s="1">
        <v>0.4129440596</v>
      </c>
      <c r="AH1215" s="1">
        <v>1.4742488856</v>
      </c>
      <c r="AI1215" s="1">
        <v>0.042452193</v>
      </c>
      <c r="AJ1215" s="1">
        <v>3.5679138606</v>
      </c>
      <c r="AK1215" s="1">
        <v>80.149740463</v>
      </c>
      <c r="AL1215" s="1">
        <v>0.5201797353</v>
      </c>
      <c r="AM1215" s="1">
        <v>51.513806611</v>
      </c>
      <c r="AN1215" s="1">
        <v>35.5268783769999</v>
      </c>
      <c r="AO1215" s="1">
        <v>32988.0</v>
      </c>
      <c r="AP1215" s="1">
        <v>10.2</v>
      </c>
      <c r="AQ1215" s="1">
        <v>7.7</v>
      </c>
      <c r="AR1215" s="1">
        <v>10.4</v>
      </c>
      <c r="AS1215" s="1">
        <v>25.5</v>
      </c>
      <c r="AT1215" s="1">
        <v>17.7</v>
      </c>
      <c r="AU1215" s="1">
        <v>14.6</v>
      </c>
      <c r="AV1215" s="1">
        <v>20.0</v>
      </c>
      <c r="AW1215" s="1">
        <v>0.3</v>
      </c>
      <c r="AX1215" s="1">
        <v>0.2884</v>
      </c>
      <c r="AY1215" s="1">
        <v>9.9</v>
      </c>
      <c r="AZ1215" s="1">
        <v>13.3</v>
      </c>
      <c r="BA1215" s="1">
        <v>22.3</v>
      </c>
      <c r="BB1215" s="1">
        <v>3.43</v>
      </c>
      <c r="BC1215" s="1" t="s">
        <v>2078</v>
      </c>
      <c r="BD1215" s="1">
        <v>8.7</v>
      </c>
      <c r="BE1215" s="1">
        <v>31.8</v>
      </c>
      <c r="BF1215" s="1">
        <v>30.5</v>
      </c>
      <c r="BG1215" s="1">
        <v>29.0</v>
      </c>
      <c r="BH1215" s="1" t="s">
        <v>2113</v>
      </c>
    </row>
    <row r="1216">
      <c r="A1216" s="1">
        <v>24510.0</v>
      </c>
      <c r="B1216" s="2" t="str">
        <f>IFERROR(__xludf.DUMMYFUNCTION("TO_TEXT(A1216)"),"24510")</f>
        <v>24510</v>
      </c>
      <c r="C1216" s="1">
        <v>621000.0</v>
      </c>
      <c r="D1216" s="1">
        <v>80.943796644814</v>
      </c>
      <c r="E1216" s="1" t="s">
        <v>2114</v>
      </c>
      <c r="F1216" s="1" t="s">
        <v>2115</v>
      </c>
      <c r="G1216" s="1">
        <v>7671.99001950679</v>
      </c>
      <c r="H1216" s="1">
        <v>18.766013095</v>
      </c>
      <c r="I1216" s="1">
        <v>4.9333556672</v>
      </c>
      <c r="J1216" s="1">
        <v>11.869017632</v>
      </c>
      <c r="K1216" s="1">
        <v>20.262595245</v>
      </c>
      <c r="L1216" s="1">
        <v>34.9</v>
      </c>
      <c r="M1216" s="1">
        <v>6.6</v>
      </c>
      <c r="N1216" s="1">
        <v>26.5</v>
      </c>
      <c r="O1216" s="1">
        <v>99.608832117</v>
      </c>
      <c r="P1216" s="1">
        <v>7.6409224371</v>
      </c>
      <c r="Q1216" s="1">
        <v>96.95119</v>
      </c>
      <c r="R1216" s="1">
        <v>70.8496289989999</v>
      </c>
      <c r="S1216" s="1">
        <v>26.1</v>
      </c>
      <c r="T1216" s="1">
        <v>126554.0</v>
      </c>
      <c r="U1216" s="1">
        <v>62.632552112</v>
      </c>
      <c r="V1216" s="1">
        <v>1566.3122092</v>
      </c>
      <c r="W1216" s="1">
        <v>22.51304581</v>
      </c>
      <c r="X1216" s="1">
        <v>20.803397853</v>
      </c>
      <c r="Y1216" s="1">
        <v>72.7825900839999</v>
      </c>
      <c r="Z1216" s="1">
        <v>12.5</v>
      </c>
      <c r="AA1216" s="1">
        <v>0.8868075237</v>
      </c>
      <c r="AB1216" s="1">
        <v>50501.0</v>
      </c>
      <c r="AC1216" s="1">
        <v>100.0</v>
      </c>
      <c r="AD1216" s="1">
        <v>47.348974148</v>
      </c>
      <c r="AE1216" s="1">
        <v>20.610264128</v>
      </c>
      <c r="AF1216" s="1">
        <v>61.902588403</v>
      </c>
      <c r="AG1216" s="1">
        <v>0.4519539581</v>
      </c>
      <c r="AH1216" s="1">
        <v>2.7656661051</v>
      </c>
      <c r="AI1216" s="1">
        <v>0.0795027345</v>
      </c>
      <c r="AJ1216" s="1">
        <v>5.4873484427</v>
      </c>
      <c r="AK1216" s="1">
        <v>27.759234516</v>
      </c>
      <c r="AL1216" s="1">
        <v>1.8454518877</v>
      </c>
      <c r="AM1216" s="1">
        <v>53.13239114</v>
      </c>
      <c r="AN1216" s="1">
        <v>0.0</v>
      </c>
      <c r="AO1216" s="1">
        <v>27129.0</v>
      </c>
      <c r="AP1216" s="1">
        <v>23.1</v>
      </c>
      <c r="AQ1216" s="1">
        <v>11.4</v>
      </c>
      <c r="AR1216" s="1">
        <v>16.5</v>
      </c>
      <c r="AS1216" s="1">
        <v>12.3</v>
      </c>
      <c r="AT1216" s="1">
        <v>21.1</v>
      </c>
      <c r="AU1216" s="1">
        <v>15.3</v>
      </c>
      <c r="AV1216" s="1">
        <v>72.3</v>
      </c>
      <c r="AW1216" s="1">
        <v>1.8</v>
      </c>
      <c r="AX1216" s="1">
        <v>0.8364</v>
      </c>
      <c r="AY1216" s="1">
        <v>20.4</v>
      </c>
      <c r="AZ1216" s="1">
        <v>18.0</v>
      </c>
      <c r="BA1216" s="1">
        <v>25.8</v>
      </c>
      <c r="BB1216" s="1">
        <v>3.51</v>
      </c>
      <c r="BC1216" s="1" t="s">
        <v>2078</v>
      </c>
      <c r="BD1216" s="1">
        <v>14.8</v>
      </c>
      <c r="BE1216" s="1">
        <v>29.1</v>
      </c>
      <c r="BF1216" s="1">
        <v>24.2</v>
      </c>
      <c r="BG1216" s="1">
        <v>31.9</v>
      </c>
      <c r="BH1216" s="1" t="s">
        <v>2115</v>
      </c>
    </row>
    <row r="1217">
      <c r="A1217" s="1">
        <v>25001.0</v>
      </c>
      <c r="B1217" s="2" t="str">
        <f>IFERROR(__xludf.DUMMYFUNCTION("TO_TEXT(A1217)"),"25001")</f>
        <v>25001</v>
      </c>
      <c r="C1217" s="1">
        <v>214703.0</v>
      </c>
      <c r="D1217" s="1">
        <v>394.206239667086</v>
      </c>
      <c r="E1217" s="1" t="s">
        <v>2116</v>
      </c>
      <c r="F1217" s="1" t="s">
        <v>2117</v>
      </c>
      <c r="G1217" s="1">
        <v>544.646376428035</v>
      </c>
      <c r="H1217" s="1">
        <v>10.040827353</v>
      </c>
      <c r="I1217" s="1">
        <v>3.8636761724</v>
      </c>
      <c r="J1217" s="1">
        <v>6.8572496263</v>
      </c>
      <c r="K1217" s="1">
        <v>11.853906316</v>
      </c>
      <c r="L1217" s="1">
        <v>21.4</v>
      </c>
      <c r="M1217" s="1">
        <v>8.4</v>
      </c>
      <c r="N1217" s="1">
        <v>18.2</v>
      </c>
      <c r="O1217" s="1">
        <v>91.578040465</v>
      </c>
      <c r="P1217" s="1">
        <v>3.5225606776</v>
      </c>
      <c r="Q1217" s="1">
        <v>97.44945</v>
      </c>
      <c r="R1217" s="1">
        <v>91.741586074</v>
      </c>
      <c r="S1217" s="1">
        <v>9.9</v>
      </c>
      <c r="T1217" s="1">
        <v>32513.0</v>
      </c>
      <c r="U1217" s="1">
        <v>28.9545720169999</v>
      </c>
      <c r="V1217" s="1">
        <v>399.5658922</v>
      </c>
      <c r="W1217" s="1">
        <v>17.323794383</v>
      </c>
      <c r="X1217" s="1">
        <v>16.250133504</v>
      </c>
      <c r="Y1217" s="1">
        <v>79.6111606589999</v>
      </c>
      <c r="Z1217" s="1">
        <v>8.8</v>
      </c>
      <c r="AA1217" s="1">
        <v>9.7177261426</v>
      </c>
      <c r="AB1217" s="1">
        <v>69001.0</v>
      </c>
      <c r="AC1217" s="1">
        <v>52.4746192889999</v>
      </c>
      <c r="AD1217" s="1">
        <v>79.53060705</v>
      </c>
      <c r="AE1217" s="1">
        <v>16.481177863</v>
      </c>
      <c r="AF1217" s="1">
        <v>3.1071209345</v>
      </c>
      <c r="AG1217" s="1">
        <v>0.7614344018</v>
      </c>
      <c r="AH1217" s="1">
        <v>1.6137723569</v>
      </c>
      <c r="AI1217" s="1">
        <v>0.0646633523</v>
      </c>
      <c r="AJ1217" s="1">
        <v>3.2022416629</v>
      </c>
      <c r="AK1217" s="1">
        <v>89.764915914</v>
      </c>
      <c r="AL1217" s="1">
        <v>0.8469140841</v>
      </c>
      <c r="AM1217" s="1">
        <v>52.162239414</v>
      </c>
      <c r="AN1217" s="1">
        <v>7.483046765</v>
      </c>
      <c r="AO1217" s="1">
        <v>39104.0</v>
      </c>
      <c r="AP1217" s="1">
        <v>8.2</v>
      </c>
      <c r="AQ1217" s="1">
        <v>6.3</v>
      </c>
      <c r="AR1217" s="1">
        <v>4.6</v>
      </c>
      <c r="AS1217" s="1">
        <v>27.8</v>
      </c>
      <c r="AT1217" s="1">
        <v>15.9</v>
      </c>
      <c r="AU1217" s="1">
        <v>13.8</v>
      </c>
      <c r="AV1217" s="1">
        <v>9.4</v>
      </c>
      <c r="AW1217" s="1">
        <v>0.7</v>
      </c>
      <c r="AX1217" s="1">
        <v>0.0691</v>
      </c>
      <c r="AY1217" s="1">
        <v>6.5</v>
      </c>
      <c r="AZ1217" s="1">
        <v>7.6</v>
      </c>
      <c r="BA1217" s="1">
        <v>11.0</v>
      </c>
      <c r="BB1217" s="1">
        <v>4.39</v>
      </c>
      <c r="BC1217" s="1" t="s">
        <v>2118</v>
      </c>
      <c r="BD1217" s="1">
        <v>4.5</v>
      </c>
      <c r="BE1217" s="1">
        <v>23.7</v>
      </c>
      <c r="BF1217" s="1">
        <v>28.3</v>
      </c>
      <c r="BG1217" s="1">
        <v>43.4</v>
      </c>
      <c r="BH1217" s="1" t="s">
        <v>2117</v>
      </c>
    </row>
    <row r="1218">
      <c r="A1218" s="1">
        <v>25003.0</v>
      </c>
      <c r="B1218" s="2" t="str">
        <f>IFERROR(__xludf.DUMMYFUNCTION("TO_TEXT(A1218)"),"25003")</f>
        <v>25003</v>
      </c>
      <c r="C1218" s="1">
        <v>128563.0</v>
      </c>
      <c r="D1218" s="1">
        <v>926.906911906434</v>
      </c>
      <c r="E1218" s="1" t="s">
        <v>2119</v>
      </c>
      <c r="F1218" s="1" t="s">
        <v>2120</v>
      </c>
      <c r="G1218" s="1">
        <v>138.701091068115</v>
      </c>
      <c r="H1218" s="1">
        <v>13.207584399</v>
      </c>
      <c r="I1218" s="1">
        <v>3.9402568995</v>
      </c>
      <c r="J1218" s="1">
        <v>7.9475624744</v>
      </c>
      <c r="K1218" s="1">
        <v>13.782954088</v>
      </c>
      <c r="L1218" s="1">
        <v>25.7</v>
      </c>
      <c r="M1218" s="1">
        <v>8.4</v>
      </c>
      <c r="N1218" s="1">
        <v>19.9</v>
      </c>
      <c r="O1218" s="1">
        <v>85.326057964</v>
      </c>
      <c r="P1218" s="1">
        <v>3.3426123967</v>
      </c>
      <c r="Q1218" s="1">
        <v>109.25241</v>
      </c>
      <c r="R1218" s="1">
        <v>87.57268623</v>
      </c>
      <c r="S1218" s="1">
        <v>15.9</v>
      </c>
      <c r="T1218" s="1">
        <v>21304.0</v>
      </c>
      <c r="U1218" s="1">
        <v>39.053698836</v>
      </c>
      <c r="V1218" s="1">
        <v>420.48342801</v>
      </c>
      <c r="W1218" s="1">
        <v>15.887339349</v>
      </c>
      <c r="X1218" s="1">
        <v>14.702413857</v>
      </c>
      <c r="Y1218" s="1">
        <v>78.869062697</v>
      </c>
      <c r="Z1218" s="1">
        <v>10.0</v>
      </c>
      <c r="AA1218" s="1">
        <v>5.9717446074</v>
      </c>
      <c r="AB1218" s="1">
        <v>58375.0</v>
      </c>
      <c r="AC1218" s="1">
        <v>52.4746192889999</v>
      </c>
      <c r="AD1218" s="1">
        <v>68.870882955</v>
      </c>
      <c r="AE1218" s="1">
        <v>14.464515888</v>
      </c>
      <c r="AF1218" s="1">
        <v>3.1239117358</v>
      </c>
      <c r="AG1218" s="1">
        <v>0.3205432615</v>
      </c>
      <c r="AH1218" s="1">
        <v>1.7135213854</v>
      </c>
      <c r="AI1218" s="1">
        <v>0.05065375</v>
      </c>
      <c r="AJ1218" s="1">
        <v>5.0669579257</v>
      </c>
      <c r="AK1218" s="1">
        <v>87.81698167</v>
      </c>
      <c r="AL1218" s="1">
        <v>1.4756787794</v>
      </c>
      <c r="AM1218" s="1">
        <v>51.572640643</v>
      </c>
      <c r="AN1218" s="1">
        <v>31.5937478569999</v>
      </c>
      <c r="AO1218" s="1">
        <v>31417.0</v>
      </c>
      <c r="AP1218" s="1">
        <v>12.4</v>
      </c>
      <c r="AQ1218" s="1">
        <v>8.2</v>
      </c>
      <c r="AR1218" s="1">
        <v>9.4</v>
      </c>
      <c r="AS1218" s="1">
        <v>20.9</v>
      </c>
      <c r="AT1218" s="1">
        <v>18.0</v>
      </c>
      <c r="AU1218" s="1">
        <v>15.2</v>
      </c>
      <c r="AV1218" s="1">
        <v>10.5</v>
      </c>
      <c r="AW1218" s="1">
        <v>1.3</v>
      </c>
      <c r="AX1218" s="1">
        <v>0.4148</v>
      </c>
      <c r="AY1218" s="1">
        <v>11.2</v>
      </c>
      <c r="AZ1218" s="1">
        <v>9.9</v>
      </c>
      <c r="BA1218" s="1">
        <v>13.8</v>
      </c>
      <c r="BB1218" s="1">
        <v>3.68</v>
      </c>
      <c r="BC1218" s="1" t="s">
        <v>2118</v>
      </c>
      <c r="BD1218" s="1">
        <v>8.7</v>
      </c>
      <c r="BE1218" s="1">
        <v>29.4</v>
      </c>
      <c r="BF1218" s="1">
        <v>28.4</v>
      </c>
      <c r="BG1218" s="1">
        <v>33.6</v>
      </c>
      <c r="BH1218" s="1" t="s">
        <v>2120</v>
      </c>
    </row>
    <row r="1219">
      <c r="A1219" s="1">
        <v>25005.0</v>
      </c>
      <c r="B1219" s="2" t="str">
        <f>IFERROR(__xludf.DUMMYFUNCTION("TO_TEXT(A1219)"),"25005")</f>
        <v>25005</v>
      </c>
      <c r="C1219" s="1">
        <v>554868.0</v>
      </c>
      <c r="D1219" s="1">
        <v>553.084363620428</v>
      </c>
      <c r="E1219" s="1" t="s">
        <v>2121</v>
      </c>
      <c r="F1219" s="1" t="s">
        <v>2122</v>
      </c>
      <c r="G1219" s="1">
        <v>1003.22489026429</v>
      </c>
      <c r="H1219" s="1">
        <v>14.342738308</v>
      </c>
      <c r="I1219" s="1">
        <v>4.2462951582</v>
      </c>
      <c r="J1219" s="1">
        <v>8.0082187611</v>
      </c>
      <c r="K1219" s="1">
        <v>15.01321279</v>
      </c>
      <c r="L1219" s="1">
        <v>29.1</v>
      </c>
      <c r="M1219" s="1">
        <v>8.4</v>
      </c>
      <c r="N1219" s="1">
        <v>26.8</v>
      </c>
      <c r="O1219" s="1">
        <v>95.486289065</v>
      </c>
      <c r="P1219" s="1">
        <v>3.6661107974</v>
      </c>
      <c r="Q1219" s="1">
        <v>53.25183</v>
      </c>
      <c r="R1219" s="1">
        <v>88.2244429989999</v>
      </c>
      <c r="S1219" s="1">
        <v>14.3</v>
      </c>
      <c r="T1219" s="1">
        <v>115058.0</v>
      </c>
      <c r="U1219" s="1">
        <v>36.490291853</v>
      </c>
      <c r="V1219" s="1">
        <v>503.52014126</v>
      </c>
      <c r="W1219" s="1">
        <v>17.016930049</v>
      </c>
      <c r="X1219" s="1">
        <v>15.5896243209999</v>
      </c>
      <c r="Y1219" s="1">
        <v>78.645806892</v>
      </c>
      <c r="Z1219" s="1">
        <v>10.7</v>
      </c>
      <c r="AA1219" s="1">
        <v>4.5020999062</v>
      </c>
      <c r="AB1219" s="1">
        <v>66005.0</v>
      </c>
      <c r="AC1219" s="1">
        <v>52.4746192889999</v>
      </c>
      <c r="AD1219" s="1">
        <v>62.49572981</v>
      </c>
      <c r="AE1219" s="1">
        <v>15.062233605</v>
      </c>
      <c r="AF1219" s="1">
        <v>4.5953881232</v>
      </c>
      <c r="AG1219" s="1">
        <v>0.6278123903</v>
      </c>
      <c r="AH1219" s="1">
        <v>2.4970657173</v>
      </c>
      <c r="AI1219" s="1">
        <v>0.1253497204</v>
      </c>
      <c r="AJ1219" s="1">
        <v>8.4314087039</v>
      </c>
      <c r="AK1219" s="1">
        <v>82.399977306</v>
      </c>
      <c r="AL1219" s="1">
        <v>4.1701137441</v>
      </c>
      <c r="AM1219" s="1">
        <v>51.572279095</v>
      </c>
      <c r="AN1219" s="1">
        <v>9.8343015038</v>
      </c>
      <c r="AO1219" s="1">
        <v>30525.0</v>
      </c>
      <c r="AP1219" s="1">
        <v>12.5</v>
      </c>
      <c r="AQ1219" s="1">
        <v>8.1</v>
      </c>
      <c r="AR1219" s="1">
        <v>16.3</v>
      </c>
      <c r="AS1219" s="1">
        <v>15.7</v>
      </c>
      <c r="AT1219" s="1">
        <v>21.2</v>
      </c>
      <c r="AU1219" s="1">
        <v>14.2</v>
      </c>
      <c r="AV1219" s="1">
        <v>16.3</v>
      </c>
      <c r="AW1219" s="1">
        <v>4.1</v>
      </c>
      <c r="AX1219" s="1">
        <v>0.5403</v>
      </c>
      <c r="AY1219" s="1">
        <v>11.3</v>
      </c>
      <c r="AZ1219" s="1">
        <v>9.9</v>
      </c>
      <c r="BA1219" s="1">
        <v>13.0</v>
      </c>
      <c r="BB1219" s="1">
        <v>3.55</v>
      </c>
      <c r="BC1219" s="1" t="s">
        <v>2118</v>
      </c>
      <c r="BD1219" s="1">
        <v>14.3</v>
      </c>
      <c r="BE1219" s="1">
        <v>29.9</v>
      </c>
      <c r="BF1219" s="1">
        <v>27.1</v>
      </c>
      <c r="BG1219" s="1">
        <v>28.7</v>
      </c>
      <c r="BH1219" s="1" t="s">
        <v>2122</v>
      </c>
    </row>
    <row r="1220">
      <c r="A1220" s="1">
        <v>25007.0</v>
      </c>
      <c r="B1220" s="2" t="str">
        <f>IFERROR(__xludf.DUMMYFUNCTION("TO_TEXT(A1220)"),"25007")</f>
        <v>25007</v>
      </c>
      <c r="C1220" s="1">
        <v>17137.0</v>
      </c>
      <c r="D1220" s="1">
        <v>103.265272573676</v>
      </c>
      <c r="E1220" s="1" t="s">
        <v>2123</v>
      </c>
      <c r="F1220" s="1" t="s">
        <v>2124</v>
      </c>
      <c r="G1220" s="1">
        <v>165.951239684894</v>
      </c>
      <c r="H1220" s="1">
        <v>11.05661153</v>
      </c>
      <c r="I1220" s="1">
        <v>3.7976072096</v>
      </c>
      <c r="J1220" s="1">
        <v>5.5307760928</v>
      </c>
      <c r="K1220" s="1">
        <v>12.018529245</v>
      </c>
      <c r="L1220" s="1">
        <v>26.8</v>
      </c>
      <c r="M1220" s="1">
        <v>8.9</v>
      </c>
      <c r="N1220" s="1">
        <v>18.2</v>
      </c>
      <c r="O1220" s="1">
        <v>88.351980647</v>
      </c>
      <c r="P1220" s="1">
        <v>4.7268588771</v>
      </c>
      <c r="Q1220" s="1">
        <v>63.49206</v>
      </c>
      <c r="R1220" s="1">
        <v>91.718041237</v>
      </c>
      <c r="S1220" s="1">
        <v>11.7</v>
      </c>
      <c r="T1220" s="1">
        <v>3229.0</v>
      </c>
      <c r="U1220" s="1">
        <v>35.274078662</v>
      </c>
      <c r="V1220" s="1">
        <v>204.509002055</v>
      </c>
      <c r="W1220" s="1">
        <v>23.9608801959999</v>
      </c>
      <c r="X1220" s="1">
        <v>22.029950083</v>
      </c>
      <c r="Y1220" s="1">
        <v>81.978420755</v>
      </c>
      <c r="Z1220" s="1">
        <v>6.6</v>
      </c>
      <c r="AA1220" s="1">
        <v>1.3729309494</v>
      </c>
      <c r="AB1220" s="1">
        <v>70224.0</v>
      </c>
      <c r="AC1220" s="1">
        <v>52.4746192889999</v>
      </c>
      <c r="AD1220" s="1">
        <v>77.430501021</v>
      </c>
      <c r="AE1220" s="1">
        <v>22.525318523</v>
      </c>
      <c r="AF1220" s="1">
        <v>4.0744582757</v>
      </c>
      <c r="AG1220" s="1">
        <v>1.2563393269</v>
      </c>
      <c r="AH1220" s="1">
        <v>1.1065006916</v>
      </c>
      <c r="AI1220" s="1">
        <v>0.0576302444</v>
      </c>
      <c r="AJ1220" s="1">
        <v>3.7690179806</v>
      </c>
      <c r="AK1220" s="1">
        <v>87.2694790229999</v>
      </c>
      <c r="AL1220" s="1">
        <v>0.8402352659</v>
      </c>
      <c r="AM1220" s="1">
        <v>50.685799908</v>
      </c>
      <c r="AN1220" s="1">
        <v>39.026307832</v>
      </c>
      <c r="AO1220" s="1">
        <v>40051.0</v>
      </c>
      <c r="AP1220" s="1">
        <v>9.1</v>
      </c>
      <c r="AQ1220" s="1">
        <v>4.3</v>
      </c>
      <c r="AR1220" s="1">
        <v>7.2</v>
      </c>
      <c r="AS1220" s="1">
        <v>20.4</v>
      </c>
      <c r="AT1220" s="1">
        <v>18.2</v>
      </c>
      <c r="AU1220" s="1">
        <v>8.4</v>
      </c>
      <c r="AV1220" s="1">
        <v>13.1</v>
      </c>
      <c r="AW1220" s="1">
        <v>2.5</v>
      </c>
      <c r="AX1220" s="1">
        <v>0.0169</v>
      </c>
      <c r="AY1220" s="1">
        <v>7.3</v>
      </c>
      <c r="AZ1220" s="1">
        <v>7.3</v>
      </c>
      <c r="BA1220" s="1">
        <v>10.3</v>
      </c>
      <c r="BB1220" s="1">
        <v>3.82</v>
      </c>
      <c r="BC1220" s="1" t="s">
        <v>2118</v>
      </c>
      <c r="BD1220" s="1">
        <v>5.2</v>
      </c>
      <c r="BE1220" s="1">
        <v>23.6</v>
      </c>
      <c r="BF1220" s="1">
        <v>26.3</v>
      </c>
      <c r="BG1220" s="1">
        <v>44.9</v>
      </c>
      <c r="BH1220" s="1" t="s">
        <v>2124</v>
      </c>
    </row>
    <row r="1221">
      <c r="A1221" s="1">
        <v>25009.0</v>
      </c>
      <c r="B1221" s="2" t="str">
        <f>IFERROR(__xludf.DUMMYFUNCTION("TO_TEXT(A1221)"),"25009")</f>
        <v>25009</v>
      </c>
      <c r="C1221" s="1">
        <v>769362.0</v>
      </c>
      <c r="D1221" s="1">
        <v>492.418905020566</v>
      </c>
      <c r="E1221" s="1" t="s">
        <v>2125</v>
      </c>
      <c r="F1221" s="1" t="s">
        <v>2126</v>
      </c>
      <c r="G1221" s="1">
        <v>1562.41361197915</v>
      </c>
      <c r="H1221" s="1">
        <v>13.3952842159999</v>
      </c>
      <c r="I1221" s="1">
        <v>3.5634146172</v>
      </c>
      <c r="J1221" s="1">
        <v>7.6851507257</v>
      </c>
      <c r="K1221" s="1">
        <v>11.74006476</v>
      </c>
      <c r="L1221" s="1">
        <v>24.8</v>
      </c>
      <c r="M1221" s="1">
        <v>9.0</v>
      </c>
      <c r="N1221" s="1">
        <v>21.1</v>
      </c>
      <c r="O1221" s="1">
        <v>95.733483682</v>
      </c>
      <c r="P1221" s="1">
        <v>3.7921392098</v>
      </c>
      <c r="Q1221" s="1">
        <v>76.28581</v>
      </c>
      <c r="R1221" s="1">
        <v>89.194978792</v>
      </c>
      <c r="S1221" s="1">
        <v>13.3</v>
      </c>
      <c r="T1221" s="1">
        <v>167753.0</v>
      </c>
      <c r="U1221" s="1">
        <v>33.533230404</v>
      </c>
      <c r="V1221" s="1">
        <v>368.18137777</v>
      </c>
      <c r="W1221" s="1">
        <v>18.660029831</v>
      </c>
      <c r="X1221" s="1">
        <v>16.521784851</v>
      </c>
      <c r="Y1221" s="1">
        <v>80.283813135</v>
      </c>
      <c r="Z1221" s="1">
        <v>9.7</v>
      </c>
      <c r="AA1221" s="1">
        <v>4.413227733</v>
      </c>
      <c r="AB1221" s="1">
        <v>76373.0</v>
      </c>
      <c r="AC1221" s="1">
        <v>52.4746192889999</v>
      </c>
      <c r="AD1221" s="1">
        <v>64.084480573</v>
      </c>
      <c r="AE1221" s="1">
        <v>17.428707258</v>
      </c>
      <c r="AF1221" s="1">
        <v>3.3833435782</v>
      </c>
      <c r="AG1221" s="1">
        <v>0.886878698</v>
      </c>
      <c r="AH1221" s="1">
        <v>3.8992560439</v>
      </c>
      <c r="AI1221" s="1">
        <v>0.1684715382</v>
      </c>
      <c r="AJ1221" s="1">
        <v>21.871577131</v>
      </c>
      <c r="AK1221" s="1">
        <v>69.5155052</v>
      </c>
      <c r="AL1221" s="1">
        <v>6.3434982739</v>
      </c>
      <c r="AM1221" s="1">
        <v>51.77767828</v>
      </c>
      <c r="AN1221" s="1">
        <v>4.2440446795</v>
      </c>
      <c r="AO1221" s="1">
        <v>37210.0</v>
      </c>
      <c r="AP1221" s="1">
        <v>11.3</v>
      </c>
      <c r="AQ1221" s="1">
        <v>7.0</v>
      </c>
      <c r="AR1221" s="1">
        <v>10.7</v>
      </c>
      <c r="AS1221" s="1">
        <v>15.6</v>
      </c>
      <c r="AT1221" s="1">
        <v>22.0</v>
      </c>
      <c r="AU1221" s="1">
        <v>12.1</v>
      </c>
      <c r="AV1221" s="1">
        <v>27.1</v>
      </c>
      <c r="AW1221" s="1">
        <v>5.9</v>
      </c>
      <c r="AX1221" s="1">
        <v>0.4826</v>
      </c>
      <c r="AY1221" s="1">
        <v>8.8</v>
      </c>
      <c r="AZ1221" s="1">
        <v>8.0</v>
      </c>
      <c r="BA1221" s="1">
        <v>9.3</v>
      </c>
      <c r="BB1221" s="1">
        <v>3.81</v>
      </c>
      <c r="BC1221" s="1" t="s">
        <v>2118</v>
      </c>
      <c r="BD1221" s="1">
        <v>10.7</v>
      </c>
      <c r="BE1221" s="1">
        <v>25.1</v>
      </c>
      <c r="BF1221" s="1">
        <v>24.4</v>
      </c>
      <c r="BG1221" s="1">
        <v>39.9</v>
      </c>
      <c r="BH1221" s="1" t="s">
        <v>2126</v>
      </c>
    </row>
    <row r="1222">
      <c r="A1222" s="1">
        <v>25011.0</v>
      </c>
      <c r="B1222" s="2" t="str">
        <f>IFERROR(__xludf.DUMMYFUNCTION("TO_TEXT(A1222)"),"25011")</f>
        <v>25011</v>
      </c>
      <c r="C1222" s="1">
        <v>70916.0</v>
      </c>
      <c r="D1222" s="1">
        <v>699.2124400703</v>
      </c>
      <c r="E1222" s="1" t="s">
        <v>118</v>
      </c>
      <c r="F1222" s="1" t="s">
        <v>2127</v>
      </c>
      <c r="G1222" s="1">
        <v>101.422680627464</v>
      </c>
      <c r="H1222" s="1">
        <v>12.4967007109999</v>
      </c>
      <c r="I1222" s="1">
        <v>3.9480965427</v>
      </c>
      <c r="J1222" s="1">
        <v>5.64915758179999</v>
      </c>
      <c r="K1222" s="1">
        <v>13.611180122</v>
      </c>
      <c r="L1222" s="1">
        <v>28.8</v>
      </c>
      <c r="M1222" s="1">
        <v>8.6</v>
      </c>
      <c r="N1222" s="1">
        <v>21.7</v>
      </c>
      <c r="O1222" s="1">
        <v>79.235554559</v>
      </c>
      <c r="P1222" s="1">
        <v>3.1031539956</v>
      </c>
      <c r="Q1222" s="1">
        <v>76.37691</v>
      </c>
      <c r="R1222" s="1">
        <v>82.446783626</v>
      </c>
      <c r="S1222" s="1">
        <v>14.5</v>
      </c>
      <c r="T1222" s="1">
        <v>12309.0</v>
      </c>
      <c r="U1222" s="1">
        <v>31.9766024859999</v>
      </c>
      <c r="V1222" s="1">
        <v>406.74266912</v>
      </c>
      <c r="W1222" s="1">
        <v>15.3833497859999</v>
      </c>
      <c r="X1222" s="1">
        <v>14.140910602</v>
      </c>
      <c r="Y1222" s="1">
        <v>79.768817256</v>
      </c>
      <c r="Z1222" s="1">
        <v>11.7</v>
      </c>
      <c r="AA1222" s="1">
        <v>5.6828649041</v>
      </c>
      <c r="AB1222" s="1">
        <v>58992.0</v>
      </c>
      <c r="AC1222" s="1">
        <v>52.4746192889999</v>
      </c>
      <c r="AD1222" s="1">
        <v>69.335267739</v>
      </c>
      <c r="AE1222" s="1">
        <v>14.887355389</v>
      </c>
      <c r="AF1222" s="1">
        <v>1.3161788538</v>
      </c>
      <c r="AG1222" s="1">
        <v>0.4777137381</v>
      </c>
      <c r="AH1222" s="1">
        <v>1.795301777</v>
      </c>
      <c r="AI1222" s="1">
        <v>0.1578287276</v>
      </c>
      <c r="AJ1222" s="1">
        <v>4.1655510618</v>
      </c>
      <c r="AK1222" s="1">
        <v>90.418950721</v>
      </c>
      <c r="AL1222" s="1">
        <v>1.1847327343</v>
      </c>
      <c r="AM1222" s="1">
        <v>51.474712174</v>
      </c>
      <c r="AN1222" s="1">
        <v>54.4317099139999</v>
      </c>
      <c r="AO1222" s="1">
        <v>31689.0</v>
      </c>
      <c r="AP1222" s="1">
        <v>11.3</v>
      </c>
      <c r="AQ1222" s="1">
        <v>6.1</v>
      </c>
      <c r="AR1222" s="1">
        <v>7.2</v>
      </c>
      <c r="AS1222" s="1">
        <v>18.2</v>
      </c>
      <c r="AT1222" s="1">
        <v>18.3</v>
      </c>
      <c r="AU1222" s="1">
        <v>14.0</v>
      </c>
      <c r="AV1222" s="1">
        <v>8.6</v>
      </c>
      <c r="AW1222" s="1">
        <v>1.2</v>
      </c>
      <c r="AX1222" s="1">
        <v>0.1729</v>
      </c>
      <c r="AY1222" s="1">
        <v>9.3</v>
      </c>
      <c r="AZ1222" s="1">
        <v>8.9</v>
      </c>
      <c r="BA1222" s="1">
        <v>11.6</v>
      </c>
      <c r="BB1222" s="1">
        <v>3.8</v>
      </c>
      <c r="BC1222" s="1" t="s">
        <v>2118</v>
      </c>
      <c r="BD1222" s="1">
        <v>6.7</v>
      </c>
      <c r="BE1222" s="1">
        <v>28.5</v>
      </c>
      <c r="BF1222" s="1">
        <v>27.5</v>
      </c>
      <c r="BG1222" s="1">
        <v>37.3</v>
      </c>
      <c r="BH1222" s="1" t="s">
        <v>2127</v>
      </c>
    </row>
    <row r="1223">
      <c r="A1223" s="1">
        <v>25013.0</v>
      </c>
      <c r="B1223" s="2" t="str">
        <f>IFERROR(__xludf.DUMMYFUNCTION("TO_TEXT(A1223)"),"25013")</f>
        <v>25013</v>
      </c>
      <c r="C1223" s="1">
        <v>468072.0</v>
      </c>
      <c r="D1223" s="1">
        <v>617.043678073492</v>
      </c>
      <c r="E1223" s="1" t="s">
        <v>2128</v>
      </c>
      <c r="F1223" s="1" t="s">
        <v>2129</v>
      </c>
      <c r="G1223" s="1">
        <v>758.571907683091</v>
      </c>
      <c r="H1223" s="1">
        <v>18.348080662</v>
      </c>
      <c r="I1223" s="1">
        <v>4.7009141709</v>
      </c>
      <c r="J1223" s="1">
        <v>8.0880914452</v>
      </c>
      <c r="K1223" s="1">
        <v>15.440525252</v>
      </c>
      <c r="L1223" s="1">
        <v>31.2</v>
      </c>
      <c r="M1223" s="1">
        <v>8.4</v>
      </c>
      <c r="N1223" s="1">
        <v>25.7</v>
      </c>
      <c r="O1223" s="1">
        <v>95.167317526</v>
      </c>
      <c r="P1223" s="1">
        <v>3.6304772065</v>
      </c>
      <c r="Q1223" s="1">
        <v>68.53718</v>
      </c>
      <c r="R1223" s="1">
        <v>85.254646981</v>
      </c>
      <c r="S1223" s="1">
        <v>25.8</v>
      </c>
      <c r="T1223" s="1">
        <v>101558.0</v>
      </c>
      <c r="U1223" s="1">
        <v>46.838259911</v>
      </c>
      <c r="V1223" s="1">
        <v>616.34669963</v>
      </c>
      <c r="W1223" s="1">
        <v>19.014422398</v>
      </c>
      <c r="X1223" s="1">
        <v>16.540602255</v>
      </c>
      <c r="Y1223" s="1">
        <v>78.402249958</v>
      </c>
      <c r="Z1223" s="1">
        <v>10.7</v>
      </c>
      <c r="AA1223" s="1">
        <v>4.9328121643</v>
      </c>
      <c r="AB1223" s="1">
        <v>52682.0</v>
      </c>
      <c r="AC1223" s="1">
        <v>52.4746192889999</v>
      </c>
      <c r="AD1223" s="1">
        <v>60.844601576</v>
      </c>
      <c r="AE1223" s="1">
        <v>16.8923172</v>
      </c>
      <c r="AF1223" s="1">
        <v>7.7331071457</v>
      </c>
      <c r="AG1223" s="1">
        <v>0.7942075569</v>
      </c>
      <c r="AH1223" s="1">
        <v>2.7046848892</v>
      </c>
      <c r="AI1223" s="1">
        <v>0.177293657</v>
      </c>
      <c r="AJ1223" s="1">
        <v>26.146137592</v>
      </c>
      <c r="AK1223" s="1">
        <v>61.702656854</v>
      </c>
      <c r="AL1223" s="1">
        <v>4.9919808444</v>
      </c>
      <c r="AM1223" s="1">
        <v>51.66133085</v>
      </c>
      <c r="AN1223" s="1">
        <v>8.5708429524</v>
      </c>
      <c r="AO1223" s="1">
        <v>27057.0</v>
      </c>
      <c r="AP1223" s="1">
        <v>17.6</v>
      </c>
      <c r="AQ1223" s="1">
        <v>8.8</v>
      </c>
      <c r="AR1223" s="1">
        <v>14.6</v>
      </c>
      <c r="AS1223" s="1">
        <v>15.3</v>
      </c>
      <c r="AT1223" s="1">
        <v>22.5</v>
      </c>
      <c r="AU1223" s="1">
        <v>15.7</v>
      </c>
      <c r="AV1223" s="1">
        <v>35.2</v>
      </c>
      <c r="AW1223" s="1">
        <v>5.2</v>
      </c>
      <c r="AX1223" s="1">
        <v>0.823</v>
      </c>
      <c r="AY1223" s="1">
        <v>13.8</v>
      </c>
      <c r="AZ1223" s="1">
        <v>11.6</v>
      </c>
      <c r="BA1223" s="1">
        <v>15.4</v>
      </c>
      <c r="BB1223" s="1">
        <v>3.36</v>
      </c>
      <c r="BC1223" s="1" t="s">
        <v>2118</v>
      </c>
      <c r="BD1223" s="1">
        <v>14.2</v>
      </c>
      <c r="BE1223" s="1">
        <v>30.7</v>
      </c>
      <c r="BF1223" s="1">
        <v>28.0</v>
      </c>
      <c r="BG1223" s="1">
        <v>27.1</v>
      </c>
      <c r="BH1223" s="1" t="s">
        <v>2129</v>
      </c>
    </row>
    <row r="1224">
      <c r="A1224" s="1">
        <v>25015.0</v>
      </c>
      <c r="B1224" s="2" t="str">
        <f>IFERROR(__xludf.DUMMYFUNCTION("TO_TEXT(A1224)"),"25015")</f>
        <v>25015</v>
      </c>
      <c r="C1224" s="1">
        <v>161035.0</v>
      </c>
      <c r="D1224" s="1">
        <v>527.227249746638</v>
      </c>
      <c r="E1224" s="1" t="s">
        <v>2130</v>
      </c>
      <c r="F1224" s="1" t="s">
        <v>2131</v>
      </c>
      <c r="G1224" s="1">
        <v>305.437551032095</v>
      </c>
      <c r="H1224" s="1">
        <v>12.295515245</v>
      </c>
      <c r="I1224" s="1">
        <v>3.9794659736</v>
      </c>
      <c r="J1224" s="1">
        <v>6.2577532736</v>
      </c>
      <c r="K1224" s="1">
        <v>13.3861569129999</v>
      </c>
      <c r="L1224" s="1">
        <v>20.4</v>
      </c>
      <c r="M1224" s="1">
        <v>8.0</v>
      </c>
      <c r="N1224" s="1">
        <v>16.9</v>
      </c>
      <c r="O1224" s="1">
        <v>85.124620445</v>
      </c>
      <c r="P1224" s="1">
        <v>2.761778952</v>
      </c>
      <c r="Q1224" s="1">
        <v>139.03135</v>
      </c>
      <c r="R1224" s="1">
        <v>93.667143831</v>
      </c>
      <c r="S1224" s="1">
        <v>9.4</v>
      </c>
      <c r="T1224" s="1">
        <v>23901.0</v>
      </c>
      <c r="U1224" s="1">
        <v>30.191205389</v>
      </c>
      <c r="V1224" s="1">
        <v>270.9836354</v>
      </c>
      <c r="W1224" s="1">
        <v>17.44225834</v>
      </c>
      <c r="X1224" s="1">
        <v>16.497527973</v>
      </c>
      <c r="Y1224" s="1">
        <v>80.829069118</v>
      </c>
      <c r="Z1224" s="1">
        <v>6.8</v>
      </c>
      <c r="AA1224" s="1">
        <v>9.9802933774</v>
      </c>
      <c r="AB1224" s="1">
        <v>74456.0</v>
      </c>
      <c r="AC1224" s="1">
        <v>52.4746192889999</v>
      </c>
      <c r="AD1224" s="1">
        <v>65.7751640669999</v>
      </c>
      <c r="AE1224" s="1">
        <v>15.457817575</v>
      </c>
      <c r="AF1224" s="1">
        <v>2.9060146881</v>
      </c>
      <c r="AG1224" s="1">
        <v>0.2962412073</v>
      </c>
      <c r="AH1224" s="1">
        <v>5.7748442874</v>
      </c>
      <c r="AI1224" s="1">
        <v>0.0743701776</v>
      </c>
      <c r="AJ1224" s="1">
        <v>5.7779430448</v>
      </c>
      <c r="AK1224" s="1">
        <v>83.42598618</v>
      </c>
      <c r="AL1224" s="1">
        <v>1.0629609862</v>
      </c>
      <c r="AM1224" s="1">
        <v>53.304824765</v>
      </c>
      <c r="AN1224" s="1">
        <v>27.443699393</v>
      </c>
      <c r="AO1224" s="1">
        <v>31051.0</v>
      </c>
      <c r="AP1224" s="1">
        <v>14.7</v>
      </c>
      <c r="AQ1224" s="1">
        <v>7.1</v>
      </c>
      <c r="AR1224" s="1">
        <v>5.7</v>
      </c>
      <c r="AS1224" s="1">
        <v>14.8</v>
      </c>
      <c r="AT1224" s="1">
        <v>15.5</v>
      </c>
      <c r="AU1224" s="1">
        <v>10.9</v>
      </c>
      <c r="AV1224" s="1">
        <v>15.4</v>
      </c>
      <c r="AW1224" s="1">
        <v>0.9</v>
      </c>
      <c r="AX1224" s="1">
        <v>0.2194</v>
      </c>
      <c r="AY1224" s="1">
        <v>11.1</v>
      </c>
      <c r="AZ1224" s="1">
        <v>8.2</v>
      </c>
      <c r="BA1224" s="1">
        <v>9.3</v>
      </c>
      <c r="BB1224" s="1">
        <v>4.05</v>
      </c>
      <c r="BC1224" s="1" t="s">
        <v>2118</v>
      </c>
      <c r="BD1224" s="1">
        <v>5.3</v>
      </c>
      <c r="BE1224" s="1">
        <v>22.6</v>
      </c>
      <c r="BF1224" s="1">
        <v>23.8</v>
      </c>
      <c r="BG1224" s="1">
        <v>48.3</v>
      </c>
      <c r="BH1224" s="1" t="s">
        <v>2131</v>
      </c>
    </row>
    <row r="1225">
      <c r="A1225" s="1">
        <v>25017.0</v>
      </c>
      <c r="B1225" s="2" t="str">
        <f>IFERROR(__xludf.DUMMYFUNCTION("TO_TEXT(A1225)"),"25017")</f>
        <v>25017</v>
      </c>
      <c r="C1225" s="1">
        <v>1567610.0</v>
      </c>
      <c r="D1225" s="1">
        <v>817.70881183094</v>
      </c>
      <c r="E1225" s="1" t="s">
        <v>659</v>
      </c>
      <c r="F1225" s="1" t="s">
        <v>2132</v>
      </c>
      <c r="G1225" s="1">
        <v>1917.07607563864</v>
      </c>
      <c r="H1225" s="1">
        <v>10.844166864</v>
      </c>
      <c r="I1225" s="1">
        <v>3.4518247623</v>
      </c>
      <c r="J1225" s="1">
        <v>7.1693880095</v>
      </c>
      <c r="K1225" s="1">
        <v>9.9544431395</v>
      </c>
      <c r="L1225" s="1">
        <v>22.1</v>
      </c>
      <c r="M1225" s="1">
        <v>9.0</v>
      </c>
      <c r="N1225" s="1">
        <v>18.8</v>
      </c>
      <c r="O1225" s="1">
        <v>97.7114401379999</v>
      </c>
      <c r="P1225" s="1">
        <v>3.0072168971</v>
      </c>
      <c r="Q1225" s="1">
        <v>125.33165</v>
      </c>
      <c r="R1225" s="1">
        <v>93.513354492</v>
      </c>
      <c r="S1225" s="1">
        <v>8.0</v>
      </c>
      <c r="T1225" s="1">
        <v>318807.0</v>
      </c>
      <c r="U1225" s="1">
        <v>21.317286007</v>
      </c>
      <c r="V1225" s="1">
        <v>184.95980882</v>
      </c>
      <c r="W1225" s="1">
        <v>16.224148638</v>
      </c>
      <c r="X1225" s="1">
        <v>14.389826279</v>
      </c>
      <c r="Y1225" s="1">
        <v>82.18800762</v>
      </c>
      <c r="Z1225" s="1">
        <v>7.4</v>
      </c>
      <c r="AA1225" s="1">
        <v>2.9933657061</v>
      </c>
      <c r="AB1225" s="1">
        <v>100374.0</v>
      </c>
      <c r="AC1225" s="1">
        <v>52.4746192889999</v>
      </c>
      <c r="AD1225" s="1">
        <v>62.398838729</v>
      </c>
      <c r="AE1225" s="1">
        <v>14.652595537</v>
      </c>
      <c r="AF1225" s="1">
        <v>5.2439627079</v>
      </c>
      <c r="AG1225" s="1">
        <v>0.2620278266</v>
      </c>
      <c r="AH1225" s="1">
        <v>12.8508206409999</v>
      </c>
      <c r="AI1225" s="1">
        <v>0.0660798135</v>
      </c>
      <c r="AJ1225" s="1">
        <v>8.2597289675</v>
      </c>
      <c r="AK1225" s="1">
        <v>71.57279865</v>
      </c>
      <c r="AL1225" s="1">
        <v>4.0650940231</v>
      </c>
      <c r="AM1225" s="1">
        <v>51.04470513</v>
      </c>
      <c r="AN1225" s="1">
        <v>3.0277063506</v>
      </c>
      <c r="AO1225" s="1">
        <v>45579.0</v>
      </c>
      <c r="AP1225" s="1">
        <v>8.2</v>
      </c>
      <c r="AQ1225" s="1">
        <v>5.4</v>
      </c>
      <c r="AR1225" s="1">
        <v>7.4</v>
      </c>
      <c r="AS1225" s="1">
        <v>14.0</v>
      </c>
      <c r="AT1225" s="1">
        <v>20.6</v>
      </c>
      <c r="AU1225" s="1">
        <v>9.1</v>
      </c>
      <c r="AV1225" s="1">
        <v>25.9</v>
      </c>
      <c r="AW1225" s="1">
        <v>4.0</v>
      </c>
      <c r="AX1225" s="1">
        <v>0.2321</v>
      </c>
      <c r="AY1225" s="1">
        <v>6.9</v>
      </c>
      <c r="AZ1225" s="1">
        <v>6.6</v>
      </c>
      <c r="BA1225" s="1">
        <v>6.1</v>
      </c>
      <c r="BB1225" s="1">
        <v>4.08</v>
      </c>
      <c r="BC1225" s="1" t="s">
        <v>2118</v>
      </c>
      <c r="BD1225" s="1">
        <v>6.6</v>
      </c>
      <c r="BE1225" s="1">
        <v>19.0</v>
      </c>
      <c r="BF1225" s="1">
        <v>18.1</v>
      </c>
      <c r="BG1225" s="1">
        <v>56.3</v>
      </c>
      <c r="BH1225" s="1" t="s">
        <v>2132</v>
      </c>
    </row>
    <row r="1226">
      <c r="A1226" s="1">
        <v>25019.0</v>
      </c>
      <c r="B1226" s="2" t="str">
        <f>IFERROR(__xludf.DUMMYFUNCTION("TO_TEXT(A1226)"),"25019")</f>
        <v>25019</v>
      </c>
      <c r="C1226" s="1">
        <v>10694.0</v>
      </c>
      <c r="D1226" s="1">
        <v>46.112807036442</v>
      </c>
      <c r="E1226" s="1" t="s">
        <v>2133</v>
      </c>
      <c r="F1226" s="1" t="s">
        <v>2134</v>
      </c>
      <c r="G1226" s="1">
        <v>231.909542864062</v>
      </c>
      <c r="H1226" s="1">
        <v>12.574023513</v>
      </c>
      <c r="I1226" s="1">
        <v>3.8830326449</v>
      </c>
      <c r="J1226" s="1">
        <v>5.6092843327</v>
      </c>
      <c r="K1226" s="1">
        <v>13.948758427</v>
      </c>
      <c r="L1226" s="1">
        <v>24.9</v>
      </c>
      <c r="M1226" s="1">
        <v>8.9</v>
      </c>
      <c r="N1226" s="1">
        <v>19.5</v>
      </c>
      <c r="O1226" s="1">
        <v>95.418796697</v>
      </c>
      <c r="P1226" s="1">
        <v>4.4342187827</v>
      </c>
      <c r="Q1226" s="1">
        <v>62.33859</v>
      </c>
      <c r="R1226" s="1">
        <v>85.6</v>
      </c>
      <c r="S1226" s="1">
        <v>5.6</v>
      </c>
      <c r="T1226" s="1">
        <v>2294.0</v>
      </c>
      <c r="U1226" s="1">
        <v>32.127288579</v>
      </c>
      <c r="V1226" s="1">
        <v>157.91918254</v>
      </c>
      <c r="W1226" s="1">
        <v>20.469361147</v>
      </c>
      <c r="X1226" s="1">
        <v>16.470588235</v>
      </c>
      <c r="Y1226" s="1">
        <v>82.770274788</v>
      </c>
      <c r="Z1226" s="1">
        <v>7.6</v>
      </c>
      <c r="AA1226" s="1">
        <v>1.1506619503</v>
      </c>
      <c r="AB1226" s="1">
        <v>97525.0</v>
      </c>
      <c r="AC1226" s="1">
        <v>52.4746192889999</v>
      </c>
      <c r="AD1226" s="1">
        <v>69.210102096</v>
      </c>
      <c r="AE1226" s="1">
        <v>19.960751332</v>
      </c>
      <c r="AF1226" s="1">
        <v>9.48176922399999</v>
      </c>
      <c r="AG1226" s="1">
        <v>0.4149377593</v>
      </c>
      <c r="AH1226" s="1">
        <v>1.6862364262</v>
      </c>
      <c r="AI1226" s="1">
        <v>0.0353138519</v>
      </c>
      <c r="AJ1226" s="1">
        <v>15.308554781</v>
      </c>
      <c r="AK1226" s="1">
        <v>71.74009005</v>
      </c>
      <c r="AL1226" s="1">
        <v>1.3551177319</v>
      </c>
      <c r="AM1226" s="1">
        <v>49.068597157</v>
      </c>
      <c r="AN1226" s="1">
        <v>18.895005899</v>
      </c>
      <c r="AO1226" s="1">
        <v>46009.0</v>
      </c>
      <c r="AP1226" s="1">
        <v>10.3</v>
      </c>
      <c r="AQ1226" s="1">
        <v>3.4</v>
      </c>
      <c r="AR1226" s="1">
        <v>5.3</v>
      </c>
      <c r="AS1226" s="1">
        <v>14.0</v>
      </c>
      <c r="AT1226" s="1">
        <v>19.9</v>
      </c>
      <c r="AU1226" s="1">
        <v>8.1</v>
      </c>
      <c r="AV1226" s="1">
        <v>25.1</v>
      </c>
      <c r="AW1226" s="1">
        <v>3.0</v>
      </c>
      <c r="AX1226" s="1">
        <v>0.0939</v>
      </c>
      <c r="AY1226" s="1">
        <v>5.5</v>
      </c>
      <c r="AZ1226" s="1">
        <v>7.3</v>
      </c>
      <c r="BA1226" s="1">
        <v>10.5</v>
      </c>
      <c r="BB1226" s="1">
        <v>3.8</v>
      </c>
      <c r="BC1226" s="1" t="s">
        <v>2118</v>
      </c>
      <c r="BD1226" s="1">
        <v>4.4</v>
      </c>
      <c r="BE1226" s="1">
        <v>19.8</v>
      </c>
      <c r="BF1226" s="1">
        <v>23.0</v>
      </c>
      <c r="BG1226" s="1">
        <v>52.8</v>
      </c>
      <c r="BH1226" s="1" t="s">
        <v>2134</v>
      </c>
    </row>
    <row r="1227">
      <c r="A1227" s="1">
        <v>25021.0</v>
      </c>
      <c r="B1227" s="2" t="str">
        <f>IFERROR(__xludf.DUMMYFUNCTION("TO_TEXT(A1227)"),"25021")</f>
        <v>25021</v>
      </c>
      <c r="C1227" s="1">
        <v>691218.0</v>
      </c>
      <c r="D1227" s="1">
        <v>396.092739444514</v>
      </c>
      <c r="E1227" s="1" t="s">
        <v>2135</v>
      </c>
      <c r="F1227" s="1" t="s">
        <v>2136</v>
      </c>
      <c r="G1227" s="1">
        <v>1745.09131616341</v>
      </c>
      <c r="H1227" s="1">
        <v>11.764851333</v>
      </c>
      <c r="I1227" s="1">
        <v>3.649546939</v>
      </c>
      <c r="J1227" s="1">
        <v>7.1178552961</v>
      </c>
      <c r="K1227" s="1">
        <v>12.238980283</v>
      </c>
      <c r="L1227" s="1">
        <v>23.2</v>
      </c>
      <c r="M1227" s="1">
        <v>9.0</v>
      </c>
      <c r="N1227" s="1">
        <v>19.9</v>
      </c>
      <c r="O1227" s="1">
        <v>93.6599836029999</v>
      </c>
      <c r="P1227" s="1">
        <v>2.2627241308</v>
      </c>
      <c r="Q1227" s="1">
        <v>126.94161</v>
      </c>
      <c r="R1227" s="1">
        <v>93.281733787</v>
      </c>
      <c r="S1227" s="1">
        <v>5.9</v>
      </c>
      <c r="T1227" s="1">
        <v>147905.0</v>
      </c>
      <c r="U1227" s="1">
        <v>17.835772962</v>
      </c>
      <c r="V1227" s="1">
        <v>193.05699625</v>
      </c>
      <c r="W1227" s="1">
        <v>15.8636468509999</v>
      </c>
      <c r="X1227" s="1">
        <v>14.345860577</v>
      </c>
      <c r="Y1227" s="1">
        <v>81.718054362</v>
      </c>
      <c r="Z1227" s="1">
        <v>8.5</v>
      </c>
      <c r="AA1227" s="1">
        <v>3.4768689156</v>
      </c>
      <c r="AB1227" s="1">
        <v>100184.0</v>
      </c>
      <c r="AC1227" s="1">
        <v>52.4746192889999</v>
      </c>
      <c r="AD1227" s="1">
        <v>69.175605481</v>
      </c>
      <c r="AE1227" s="1">
        <v>14.13033388</v>
      </c>
      <c r="AF1227" s="1">
        <v>7.07539680289999</v>
      </c>
      <c r="AG1227" s="1">
        <v>0.2109477337</v>
      </c>
      <c r="AH1227" s="1">
        <v>11.815624876</v>
      </c>
      <c r="AI1227" s="1">
        <v>0.0460739338</v>
      </c>
      <c r="AJ1227" s="1">
        <v>4.7698571566</v>
      </c>
      <c r="AK1227" s="1">
        <v>74.443852178</v>
      </c>
      <c r="AL1227" s="1">
        <v>3.2703618163</v>
      </c>
      <c r="AM1227" s="1">
        <v>51.908169688</v>
      </c>
      <c r="AN1227" s="1">
        <v>1.240366699</v>
      </c>
      <c r="AO1227" s="1">
        <v>47306.0</v>
      </c>
      <c r="AP1227" s="1">
        <v>6.7</v>
      </c>
      <c r="AQ1227" s="1">
        <v>6.3</v>
      </c>
      <c r="AR1227" s="1">
        <v>6.1</v>
      </c>
      <c r="AS1227" s="1">
        <v>15.7</v>
      </c>
      <c r="AT1227" s="1">
        <v>21.7</v>
      </c>
      <c r="AU1227" s="1">
        <v>9.7</v>
      </c>
      <c r="AV1227" s="1">
        <v>22.5</v>
      </c>
      <c r="AW1227" s="1">
        <v>3.2</v>
      </c>
      <c r="AX1227" s="1">
        <v>0.2076</v>
      </c>
      <c r="AY1227" s="1">
        <v>5.8</v>
      </c>
      <c r="AZ1227" s="1">
        <v>6.2</v>
      </c>
      <c r="BA1227" s="1">
        <v>6.1</v>
      </c>
      <c r="BB1227" s="1">
        <v>3.93</v>
      </c>
      <c r="BC1227" s="1" t="s">
        <v>2118</v>
      </c>
      <c r="BD1227" s="1">
        <v>6.1</v>
      </c>
      <c r="BE1227" s="1">
        <v>19.2</v>
      </c>
      <c r="BF1227" s="1">
        <v>21.1</v>
      </c>
      <c r="BG1227" s="1">
        <v>53.6</v>
      </c>
      <c r="BH1227" s="1" t="s">
        <v>2136</v>
      </c>
    </row>
    <row r="1228">
      <c r="A1228" s="1">
        <v>25023.0</v>
      </c>
      <c r="B1228" s="2" t="str">
        <f>IFERROR(__xludf.DUMMYFUNCTION("TO_TEXT(A1228)"),"25023")</f>
        <v>25023</v>
      </c>
      <c r="C1228" s="1">
        <v>506657.0</v>
      </c>
      <c r="D1228" s="1">
        <v>658.811098220424</v>
      </c>
      <c r="E1228" s="1" t="s">
        <v>1549</v>
      </c>
      <c r="F1228" s="1" t="s">
        <v>2137</v>
      </c>
      <c r="G1228" s="1">
        <v>769.047457410141</v>
      </c>
      <c r="H1228" s="1">
        <v>12.604951904</v>
      </c>
      <c r="I1228" s="1">
        <v>3.6635989282</v>
      </c>
      <c r="J1228" s="1">
        <v>7.1358803338</v>
      </c>
      <c r="K1228" s="1">
        <v>14.512457326</v>
      </c>
      <c r="L1228" s="1">
        <v>28.2</v>
      </c>
      <c r="M1228" s="1">
        <v>8.7</v>
      </c>
      <c r="N1228" s="1">
        <v>24.8</v>
      </c>
      <c r="O1228" s="1">
        <v>86.663676278</v>
      </c>
      <c r="P1228" s="1">
        <v>2.812291393</v>
      </c>
      <c r="Q1228" s="1">
        <v>62.89528</v>
      </c>
      <c r="R1228" s="1">
        <v>91.048503466</v>
      </c>
      <c r="S1228" s="1">
        <v>7.3</v>
      </c>
      <c r="T1228" s="1">
        <v>111501.0</v>
      </c>
      <c r="U1228" s="1">
        <v>28.857140295</v>
      </c>
      <c r="V1228" s="1">
        <v>372.53642252</v>
      </c>
      <c r="W1228" s="1">
        <v>15.80521262</v>
      </c>
      <c r="X1228" s="1">
        <v>14.697183293</v>
      </c>
      <c r="Y1228" s="1">
        <v>79.569408995</v>
      </c>
      <c r="Z1228" s="1">
        <v>10.9</v>
      </c>
      <c r="AA1228" s="1">
        <v>5.8246572615</v>
      </c>
      <c r="AB1228" s="1">
        <v>89678.0</v>
      </c>
      <c r="AC1228" s="1">
        <v>52.4746192889999</v>
      </c>
      <c r="AD1228" s="1">
        <v>75.940656769</v>
      </c>
      <c r="AE1228" s="1">
        <v>14.84136117</v>
      </c>
      <c r="AF1228" s="1">
        <v>10.639180749</v>
      </c>
      <c r="AG1228" s="1">
        <v>0.3298387284</v>
      </c>
      <c r="AH1228" s="1">
        <v>1.5461311017</v>
      </c>
      <c r="AI1228" s="1">
        <v>0.1312406877</v>
      </c>
      <c r="AJ1228" s="1">
        <v>4.0719353369</v>
      </c>
      <c r="AK1228" s="1">
        <v>81.6816950119999</v>
      </c>
      <c r="AL1228" s="1">
        <v>2.4026433408</v>
      </c>
      <c r="AM1228" s="1">
        <v>51.388449275</v>
      </c>
      <c r="AN1228" s="1">
        <v>10.307747328</v>
      </c>
      <c r="AO1228" s="1">
        <v>37188.0</v>
      </c>
      <c r="AP1228" s="1">
        <v>8.0</v>
      </c>
      <c r="AQ1228" s="1">
        <v>6.9</v>
      </c>
      <c r="AR1228" s="1">
        <v>7.5</v>
      </c>
      <c r="AS1228" s="1">
        <v>16.2</v>
      </c>
      <c r="AT1228" s="1">
        <v>22.5</v>
      </c>
      <c r="AU1228" s="1">
        <v>11.3</v>
      </c>
      <c r="AV1228" s="1">
        <v>17.3</v>
      </c>
      <c r="AW1228" s="1">
        <v>2.2</v>
      </c>
      <c r="AX1228" s="1">
        <v>0.2436</v>
      </c>
      <c r="AY1228" s="1">
        <v>7.4</v>
      </c>
      <c r="AZ1228" s="1">
        <v>7.0</v>
      </c>
      <c r="BA1228" s="1">
        <v>9.1</v>
      </c>
      <c r="BB1228" s="1">
        <v>3.83</v>
      </c>
      <c r="BC1228" s="1" t="s">
        <v>2118</v>
      </c>
      <c r="BD1228" s="1">
        <v>7.1</v>
      </c>
      <c r="BE1228" s="1">
        <v>27.8</v>
      </c>
      <c r="BF1228" s="1">
        <v>27.5</v>
      </c>
      <c r="BG1228" s="1">
        <v>37.6</v>
      </c>
      <c r="BH1228" s="1" t="s">
        <v>2137</v>
      </c>
    </row>
    <row r="1229">
      <c r="A1229" s="1">
        <v>25025.0</v>
      </c>
      <c r="B1229" s="2" t="str">
        <f>IFERROR(__xludf.DUMMYFUNCTION("TO_TEXT(A1229)"),"25025")</f>
        <v>25025</v>
      </c>
      <c r="C1229" s="1">
        <v>767719.0</v>
      </c>
      <c r="D1229" s="1">
        <v>58.249311434772</v>
      </c>
      <c r="E1229" s="1" t="s">
        <v>2138</v>
      </c>
      <c r="F1229" s="1" t="s">
        <v>2139</v>
      </c>
      <c r="G1229" s="1">
        <v>13179.881119448</v>
      </c>
      <c r="H1229" s="1">
        <v>17.354595326</v>
      </c>
      <c r="I1229" s="1">
        <v>4.3706871501</v>
      </c>
      <c r="J1229" s="1">
        <v>8.4671801075</v>
      </c>
      <c r="K1229" s="1">
        <v>14.475410922</v>
      </c>
      <c r="L1229" s="1">
        <v>21.2</v>
      </c>
      <c r="M1229" s="1">
        <v>8.1</v>
      </c>
      <c r="N1229" s="1">
        <v>19.3</v>
      </c>
      <c r="O1229" s="1">
        <v>99.877012228</v>
      </c>
      <c r="P1229" s="1">
        <v>4.160588272</v>
      </c>
      <c r="Q1229" s="1">
        <v>148.25695</v>
      </c>
      <c r="R1229" s="1">
        <v>71.3625216189999</v>
      </c>
      <c r="S1229" s="1">
        <v>24.1</v>
      </c>
      <c r="T1229" s="1">
        <v>132942.0</v>
      </c>
      <c r="U1229" s="1">
        <v>47.6643949989999</v>
      </c>
      <c r="V1229" s="1">
        <v>751.53217026</v>
      </c>
      <c r="W1229" s="1">
        <v>24.609557498</v>
      </c>
      <c r="X1229" s="1">
        <v>21.725425703</v>
      </c>
      <c r="Y1229" s="1">
        <v>81.236190675</v>
      </c>
      <c r="Z1229" s="1">
        <v>8.2</v>
      </c>
      <c r="AA1229" s="1">
        <v>0.2115041909</v>
      </c>
      <c r="AB1229" s="1">
        <v>68743.0</v>
      </c>
      <c r="AC1229" s="1">
        <v>52.4746192889999</v>
      </c>
      <c r="AD1229" s="1">
        <v>36.117192321</v>
      </c>
      <c r="AE1229" s="1">
        <v>22.364903006</v>
      </c>
      <c r="AF1229" s="1">
        <v>20.34395703</v>
      </c>
      <c r="AG1229" s="1">
        <v>0.7366968431</v>
      </c>
      <c r="AH1229" s="1">
        <v>9.2560935123</v>
      </c>
      <c r="AI1229" s="1">
        <v>0.1777635732</v>
      </c>
      <c r="AJ1229" s="1">
        <v>23.381050775</v>
      </c>
      <c r="AK1229" s="1">
        <v>44.9429670039999</v>
      </c>
      <c r="AL1229" s="1">
        <v>10.386559512</v>
      </c>
      <c r="AM1229" s="1">
        <v>51.677666949</v>
      </c>
      <c r="AN1229" s="1">
        <v>0.0740973625</v>
      </c>
      <c r="AO1229" s="1">
        <v>35844.0</v>
      </c>
      <c r="AP1229" s="1">
        <v>20.1</v>
      </c>
      <c r="AQ1229" s="1">
        <v>7.9</v>
      </c>
      <c r="AR1229" s="1">
        <v>15.2</v>
      </c>
      <c r="AS1229" s="1">
        <v>11.0</v>
      </c>
      <c r="AT1229" s="1">
        <v>17.2</v>
      </c>
      <c r="AU1229" s="1">
        <v>12.4</v>
      </c>
      <c r="AV1229" s="1">
        <v>53.9</v>
      </c>
      <c r="AW1229" s="1">
        <v>10.5</v>
      </c>
      <c r="AX1229" s="1">
        <v>0.7214</v>
      </c>
      <c r="AY1229" s="1">
        <v>16.7</v>
      </c>
      <c r="AZ1229" s="1">
        <v>11.9</v>
      </c>
      <c r="BA1229" s="1">
        <v>13.3</v>
      </c>
      <c r="BB1229" s="1">
        <v>4.32</v>
      </c>
      <c r="BC1229" s="1" t="s">
        <v>2118</v>
      </c>
      <c r="BD1229" s="1">
        <v>13.7</v>
      </c>
      <c r="BE1229" s="1">
        <v>22.1</v>
      </c>
      <c r="BF1229" s="1">
        <v>18.2</v>
      </c>
      <c r="BG1229" s="1">
        <v>46.1</v>
      </c>
      <c r="BH1229" s="1" t="s">
        <v>2139</v>
      </c>
    </row>
    <row r="1230">
      <c r="A1230" s="1">
        <v>25027.0</v>
      </c>
      <c r="B1230" s="2" t="str">
        <f>IFERROR(__xludf.DUMMYFUNCTION("TO_TEXT(A1230)"),"25027")</f>
        <v>25027</v>
      </c>
      <c r="C1230" s="1">
        <v>813589.0</v>
      </c>
      <c r="D1230" s="1">
        <v>1510.63596539719</v>
      </c>
      <c r="E1230" s="1" t="s">
        <v>2112</v>
      </c>
      <c r="F1230" s="1" t="s">
        <v>2140</v>
      </c>
      <c r="G1230" s="1">
        <v>538.573831575686</v>
      </c>
      <c r="H1230" s="1">
        <v>13.835612796</v>
      </c>
      <c r="I1230" s="1">
        <v>4.3646993668</v>
      </c>
      <c r="J1230" s="1">
        <v>7.467776719</v>
      </c>
      <c r="K1230" s="1">
        <v>13.804747585</v>
      </c>
      <c r="L1230" s="1">
        <v>27.0</v>
      </c>
      <c r="M1230" s="1">
        <v>8.6</v>
      </c>
      <c r="N1230" s="1">
        <v>23.4</v>
      </c>
      <c r="O1230" s="1">
        <v>92.295304501</v>
      </c>
      <c r="P1230" s="1">
        <v>3.1634715682</v>
      </c>
      <c r="Q1230" s="1">
        <v>98.89652</v>
      </c>
      <c r="R1230" s="1">
        <v>91.232972568</v>
      </c>
      <c r="S1230" s="1">
        <v>10.8</v>
      </c>
      <c r="T1230" s="1">
        <v>174484.0</v>
      </c>
      <c r="U1230" s="1">
        <v>30.259508035</v>
      </c>
      <c r="V1230" s="1">
        <v>436.27712718</v>
      </c>
      <c r="W1230" s="1">
        <v>16.172658069</v>
      </c>
      <c r="X1230" s="1">
        <v>14.328428015</v>
      </c>
      <c r="Y1230" s="1">
        <v>79.206003121</v>
      </c>
      <c r="Z1230" s="1">
        <v>9.0</v>
      </c>
      <c r="AA1230" s="1">
        <v>5.020361978</v>
      </c>
      <c r="AB1230" s="1">
        <v>71767.0</v>
      </c>
      <c r="AC1230" s="1">
        <v>52.4746192889999</v>
      </c>
      <c r="AD1230" s="1">
        <v>64.980442182</v>
      </c>
      <c r="AE1230" s="1">
        <v>13.900792801</v>
      </c>
      <c r="AF1230" s="1">
        <v>4.731602633</v>
      </c>
      <c r="AG1230" s="1">
        <v>0.4015218352</v>
      </c>
      <c r="AH1230" s="1">
        <v>5.3809462483</v>
      </c>
      <c r="AI1230" s="1">
        <v>0.0708921945</v>
      </c>
      <c r="AJ1230" s="1">
        <v>11.914221648</v>
      </c>
      <c r="AK1230" s="1">
        <v>76.086221278</v>
      </c>
      <c r="AL1230" s="1">
        <v>3.3372813329</v>
      </c>
      <c r="AM1230" s="1">
        <v>50.691890968</v>
      </c>
      <c r="AN1230" s="1">
        <v>18.390286418</v>
      </c>
      <c r="AO1230" s="1">
        <v>33272.0</v>
      </c>
      <c r="AP1230" s="1">
        <v>11.4</v>
      </c>
      <c r="AQ1230" s="1">
        <v>6.7</v>
      </c>
      <c r="AR1230" s="1">
        <v>10.0</v>
      </c>
      <c r="AS1230" s="1">
        <v>14.1</v>
      </c>
      <c r="AT1230" s="1">
        <v>22.0</v>
      </c>
      <c r="AU1230" s="1">
        <v>11.9</v>
      </c>
      <c r="AV1230" s="1">
        <v>21.5</v>
      </c>
      <c r="AW1230" s="1">
        <v>3.1</v>
      </c>
      <c r="AX1230" s="1">
        <v>0.3935</v>
      </c>
      <c r="AY1230" s="1">
        <v>9.4</v>
      </c>
      <c r="AZ1230" s="1">
        <v>8.3</v>
      </c>
      <c r="BA1230" s="1">
        <v>9.8</v>
      </c>
      <c r="BB1230" s="1">
        <v>3.63</v>
      </c>
      <c r="BC1230" s="1" t="s">
        <v>2118</v>
      </c>
      <c r="BD1230" s="1">
        <v>9.3</v>
      </c>
      <c r="BE1230" s="1">
        <v>27.8</v>
      </c>
      <c r="BF1230" s="1">
        <v>26.6</v>
      </c>
      <c r="BG1230" s="1">
        <v>36.4</v>
      </c>
      <c r="BH1230" s="1" t="s">
        <v>2140</v>
      </c>
    </row>
    <row r="1231">
      <c r="A1231" s="1">
        <v>26001.0</v>
      </c>
      <c r="B1231" s="2" t="str">
        <f>IFERROR(__xludf.DUMMYFUNCTION("TO_TEXT(A1231)"),"26001")</f>
        <v>26001</v>
      </c>
      <c r="C1231" s="1">
        <v>10461.0</v>
      </c>
      <c r="D1231" s="1">
        <v>674.57486025167</v>
      </c>
      <c r="E1231" s="1" t="s">
        <v>2141</v>
      </c>
      <c r="F1231" s="1" t="s">
        <v>2142</v>
      </c>
      <c r="G1231" s="1">
        <v>15.5075449981893</v>
      </c>
      <c r="H1231" s="1">
        <v>14.749692104</v>
      </c>
      <c r="I1231" s="1">
        <v>4.39002871029999</v>
      </c>
      <c r="J1231" s="1">
        <v>7.76255707759999</v>
      </c>
      <c r="K1231" s="1">
        <v>16.050088064</v>
      </c>
      <c r="L1231" s="1">
        <v>34.9</v>
      </c>
      <c r="M1231" s="1">
        <v>8.0</v>
      </c>
      <c r="N1231" s="1">
        <v>21.7</v>
      </c>
      <c r="O1231" s="1">
        <v>71.531712667</v>
      </c>
      <c r="P1231" s="1">
        <v>8.80916030529999</v>
      </c>
      <c r="Q1231" s="1">
        <v>57.96541</v>
      </c>
      <c r="R1231" s="1">
        <v>94.6428571429999</v>
      </c>
      <c r="S1231" s="1">
        <v>31.6</v>
      </c>
      <c r="T1231" s="1">
        <v>1318.0</v>
      </c>
      <c r="U1231" s="1">
        <v>33.308042489</v>
      </c>
      <c r="V1231" s="1">
        <v>120.47612163</v>
      </c>
      <c r="W1231" s="1">
        <v>11.658291457</v>
      </c>
      <c r="X1231" s="1">
        <v>10.3384615379999</v>
      </c>
      <c r="Y1231" s="1">
        <v>76.845122069</v>
      </c>
      <c r="Z1231" s="1">
        <v>11.3</v>
      </c>
      <c r="AA1231" s="1">
        <v>4.2644059573</v>
      </c>
      <c r="AB1231" s="1">
        <v>39862.0</v>
      </c>
      <c r="AC1231" s="1">
        <v>69.008264463</v>
      </c>
      <c r="AD1231" s="1">
        <v>87.819488818</v>
      </c>
      <c r="AE1231" s="1">
        <v>10.732323232</v>
      </c>
      <c r="AF1231" s="1">
        <v>0.4535803899</v>
      </c>
      <c r="AG1231" s="1">
        <v>0.7237984945</v>
      </c>
      <c r="AH1231" s="1">
        <v>0.3763752171</v>
      </c>
      <c r="AI1231" s="1">
        <v>0.0675545262</v>
      </c>
      <c r="AJ1231" s="1">
        <v>1.5537541015</v>
      </c>
      <c r="AK1231" s="1">
        <v>95.715112913</v>
      </c>
      <c r="AL1231" s="1">
        <v>0.1990842126</v>
      </c>
      <c r="AM1231" s="1">
        <v>49.585022196</v>
      </c>
      <c r="AN1231" s="1">
        <v>98.921586547</v>
      </c>
      <c r="AO1231" s="1">
        <v>23380.0</v>
      </c>
      <c r="AP1231" s="1">
        <v>14.9</v>
      </c>
      <c r="AQ1231" s="1">
        <v>10.3</v>
      </c>
      <c r="AR1231" s="1">
        <v>11.4</v>
      </c>
      <c r="AS1231" s="1">
        <v>34.5</v>
      </c>
      <c r="AT1231" s="1">
        <v>13.2</v>
      </c>
      <c r="AU1231" s="1">
        <v>22.8</v>
      </c>
      <c r="AV1231" s="1">
        <v>3.9</v>
      </c>
      <c r="AW1231" s="1">
        <v>0.2</v>
      </c>
      <c r="AX1231" s="1">
        <v>0.2416</v>
      </c>
      <c r="AY1231" s="1">
        <v>18.0</v>
      </c>
      <c r="AZ1231" s="1">
        <v>15.9</v>
      </c>
      <c r="BA1231" s="1">
        <v>20.8</v>
      </c>
      <c r="BB1231" s="1">
        <v>2.94</v>
      </c>
      <c r="BC1231" s="1" t="s">
        <v>2143</v>
      </c>
      <c r="BD1231" s="1">
        <v>10.7</v>
      </c>
      <c r="BE1231" s="1">
        <v>39.3</v>
      </c>
      <c r="BF1231" s="1">
        <v>33.1</v>
      </c>
      <c r="BG1231" s="1">
        <v>16.9</v>
      </c>
      <c r="BH1231" s="1" t="s">
        <v>2142</v>
      </c>
    </row>
    <row r="1232">
      <c r="A1232" s="1">
        <v>26003.0</v>
      </c>
      <c r="B1232" s="2" t="str">
        <f>IFERROR(__xludf.DUMMYFUNCTION("TO_TEXT(A1232)"),"26003")</f>
        <v>26003</v>
      </c>
      <c r="C1232" s="1">
        <v>9396.0</v>
      </c>
      <c r="D1232" s="1">
        <v>915.075796815514</v>
      </c>
      <c r="E1232" s="1" t="s">
        <v>2144</v>
      </c>
      <c r="F1232" s="1" t="s">
        <v>2145</v>
      </c>
      <c r="G1232" s="1">
        <v>10.2680018777661</v>
      </c>
      <c r="H1232" s="1">
        <v>15.404847507</v>
      </c>
      <c r="I1232" s="1">
        <v>4.1913962762</v>
      </c>
      <c r="J1232" s="1">
        <v>7.4941451991</v>
      </c>
      <c r="K1232" s="1">
        <v>17.608933881</v>
      </c>
      <c r="L1232" s="1">
        <v>25.8</v>
      </c>
      <c r="M1232" s="1">
        <v>6.9</v>
      </c>
      <c r="N1232" s="1">
        <v>25.8</v>
      </c>
      <c r="O1232" s="1">
        <v>94.271430059</v>
      </c>
      <c r="P1232" s="1">
        <v>7.6301162203</v>
      </c>
      <c r="Q1232" s="1">
        <v>76.74597</v>
      </c>
      <c r="R1232" s="1">
        <v>79.220779221</v>
      </c>
      <c r="S1232" s="1">
        <v>18.5</v>
      </c>
      <c r="T1232" s="1">
        <v>1387.0</v>
      </c>
      <c r="U1232" s="1">
        <v>29.055515501</v>
      </c>
      <c r="V1232" s="1">
        <v>206.74300254</v>
      </c>
      <c r="W1232" s="1">
        <v>11.9359534209999</v>
      </c>
      <c r="X1232" s="1">
        <v>10.159010601</v>
      </c>
      <c r="Y1232" s="1">
        <v>80.135048232</v>
      </c>
      <c r="Z1232" s="1">
        <v>11.2</v>
      </c>
      <c r="AA1232" s="1">
        <v>14.032856465</v>
      </c>
      <c r="AB1232" s="1">
        <v>47441.0</v>
      </c>
      <c r="AC1232" s="1">
        <v>56.1830574489999</v>
      </c>
      <c r="AD1232" s="1">
        <v>84.938590821</v>
      </c>
      <c r="AE1232" s="1">
        <v>9.6134786918</v>
      </c>
      <c r="AF1232" s="1">
        <v>7.233153787</v>
      </c>
      <c r="AG1232" s="1">
        <v>4.4080466088</v>
      </c>
      <c r="AH1232" s="1">
        <v>0.4506980323</v>
      </c>
      <c r="AI1232" s="1">
        <v>0.0109926349</v>
      </c>
      <c r="AJ1232" s="1">
        <v>1.5609541607</v>
      </c>
      <c r="AK1232" s="1">
        <v>83.522040233</v>
      </c>
      <c r="AL1232" s="1">
        <v>0.3156352159</v>
      </c>
      <c r="AM1232" s="1">
        <v>44.6740683739999</v>
      </c>
      <c r="AN1232" s="1">
        <v>69.044891157</v>
      </c>
      <c r="AO1232" s="1">
        <v>20993.0</v>
      </c>
      <c r="AP1232" s="1">
        <v>13.1</v>
      </c>
      <c r="AQ1232" s="1">
        <v>7.6</v>
      </c>
      <c r="AR1232" s="1">
        <v>10.6</v>
      </c>
      <c r="AS1232" s="1">
        <v>23.4</v>
      </c>
      <c r="AT1232" s="1">
        <v>15.5</v>
      </c>
      <c r="AU1232" s="1">
        <v>19.0</v>
      </c>
      <c r="AV1232" s="1">
        <v>15.5</v>
      </c>
      <c r="AW1232" s="1">
        <v>0.3</v>
      </c>
      <c r="AX1232" s="1">
        <v>0.3967</v>
      </c>
      <c r="AY1232" s="1">
        <v>12.6</v>
      </c>
      <c r="AZ1232" s="1">
        <v>14.2</v>
      </c>
      <c r="BA1232" s="1">
        <v>17.7</v>
      </c>
      <c r="BB1232" s="1">
        <v>3.05</v>
      </c>
      <c r="BC1232" s="1" t="s">
        <v>2143</v>
      </c>
      <c r="BD1232" s="1">
        <v>10.1</v>
      </c>
      <c r="BE1232" s="1">
        <v>45.2</v>
      </c>
      <c r="BF1232" s="1">
        <v>27.3</v>
      </c>
      <c r="BG1232" s="1">
        <v>17.4</v>
      </c>
      <c r="BH1232" s="1" t="s">
        <v>2145</v>
      </c>
    </row>
    <row r="1233">
      <c r="A1233" s="1">
        <v>26005.0</v>
      </c>
      <c r="B1233" s="2" t="str">
        <f>IFERROR(__xludf.DUMMYFUNCTION("TO_TEXT(A1233)"),"26005")</f>
        <v>26005</v>
      </c>
      <c r="C1233" s="1">
        <v>113666.0</v>
      </c>
      <c r="D1233" s="1">
        <v>825.234936340202</v>
      </c>
      <c r="E1233" s="1" t="s">
        <v>2146</v>
      </c>
      <c r="F1233" s="1" t="s">
        <v>2147</v>
      </c>
      <c r="G1233" s="1">
        <v>137.737745937045</v>
      </c>
      <c r="H1233" s="1">
        <v>14.210075459</v>
      </c>
      <c r="I1233" s="1">
        <v>4.2424568477</v>
      </c>
      <c r="J1233" s="1">
        <v>6.5528866414</v>
      </c>
      <c r="K1233" s="1">
        <v>16.273922329</v>
      </c>
      <c r="L1233" s="1">
        <v>33.5</v>
      </c>
      <c r="M1233" s="1">
        <v>8.9</v>
      </c>
      <c r="N1233" s="1">
        <v>20.4</v>
      </c>
      <c r="O1233" s="1">
        <v>68.162968548</v>
      </c>
      <c r="P1233" s="1">
        <v>5.4587306807</v>
      </c>
      <c r="Q1233" s="1">
        <v>23.18651</v>
      </c>
      <c r="R1233" s="1">
        <v>87.049300957</v>
      </c>
      <c r="S1233" s="1">
        <v>13.6</v>
      </c>
      <c r="T1233" s="1">
        <v>28201.0</v>
      </c>
      <c r="U1233" s="1">
        <v>23.566540194</v>
      </c>
      <c r="V1233" s="1">
        <v>245.50635686</v>
      </c>
      <c r="W1233" s="1">
        <v>12.1035752459999</v>
      </c>
      <c r="X1233" s="1">
        <v>9.7133261365</v>
      </c>
      <c r="Y1233" s="1">
        <v>79.133354588</v>
      </c>
      <c r="Z1233" s="1">
        <v>8.8</v>
      </c>
      <c r="AA1233" s="1">
        <v>0.8315203154</v>
      </c>
      <c r="AB1233" s="1">
        <v>62247.0</v>
      </c>
      <c r="AC1233" s="1">
        <v>44.601760526</v>
      </c>
      <c r="AD1233" s="1">
        <v>82.311627907</v>
      </c>
      <c r="AE1233" s="1">
        <v>8.9090647758</v>
      </c>
      <c r="AF1233" s="1">
        <v>1.3142754865</v>
      </c>
      <c r="AG1233" s="1">
        <v>0.7415172978</v>
      </c>
      <c r="AH1233" s="1">
        <v>0.897491626</v>
      </c>
      <c r="AI1233" s="1">
        <v>0.0366497055</v>
      </c>
      <c r="AJ1233" s="1">
        <v>7.4254008029</v>
      </c>
      <c r="AK1233" s="1">
        <v>88.209022646</v>
      </c>
      <c r="AL1233" s="1">
        <v>0.739171461899999</v>
      </c>
      <c r="AM1233" s="1">
        <v>50.041337459</v>
      </c>
      <c r="AN1233" s="1">
        <v>64.467542726</v>
      </c>
      <c r="AO1233" s="1">
        <v>25840.0</v>
      </c>
      <c r="AP1233" s="1">
        <v>11.7</v>
      </c>
      <c r="AQ1233" s="1">
        <v>4.7</v>
      </c>
      <c r="AR1233" s="1">
        <v>9.9</v>
      </c>
      <c r="AS1233" s="1">
        <v>15.1</v>
      </c>
      <c r="AT1233" s="1">
        <v>24.9</v>
      </c>
      <c r="AU1233" s="1">
        <v>10.7</v>
      </c>
      <c r="AV1233" s="1">
        <v>11.1</v>
      </c>
      <c r="AW1233" s="1">
        <v>0.7</v>
      </c>
      <c r="AX1233" s="1">
        <v>0.1859</v>
      </c>
      <c r="AY1233" s="1">
        <v>10.8</v>
      </c>
      <c r="AZ1233" s="1">
        <v>9.7</v>
      </c>
      <c r="BA1233" s="1">
        <v>9.4</v>
      </c>
      <c r="BB1233" s="1">
        <v>2.86</v>
      </c>
      <c r="BC1233" s="1" t="s">
        <v>2143</v>
      </c>
      <c r="BD1233" s="1">
        <v>9.1</v>
      </c>
      <c r="BE1233" s="1">
        <v>37.9</v>
      </c>
      <c r="BF1233" s="1">
        <v>30.4</v>
      </c>
      <c r="BG1233" s="1">
        <v>22.6</v>
      </c>
      <c r="BH1233" s="1" t="s">
        <v>2147</v>
      </c>
    </row>
    <row r="1234">
      <c r="A1234" s="1">
        <v>26007.0</v>
      </c>
      <c r="B1234" s="2" t="str">
        <f>IFERROR(__xludf.DUMMYFUNCTION("TO_TEXT(A1234)"),"26007")</f>
        <v>26007</v>
      </c>
      <c r="C1234" s="1">
        <v>28929.0</v>
      </c>
      <c r="D1234" s="1">
        <v>571.865441738906</v>
      </c>
      <c r="E1234" s="1" t="s">
        <v>2148</v>
      </c>
      <c r="F1234" s="1" t="s">
        <v>2149</v>
      </c>
      <c r="G1234" s="1">
        <v>50.5870750154684</v>
      </c>
      <c r="H1234" s="1">
        <v>14.694377187</v>
      </c>
      <c r="I1234" s="1">
        <v>4.2942931524</v>
      </c>
      <c r="J1234" s="1">
        <v>6.98429886299999</v>
      </c>
      <c r="K1234" s="1">
        <v>17.356943389</v>
      </c>
      <c r="L1234" s="1">
        <v>33.6</v>
      </c>
      <c r="M1234" s="1">
        <v>8.1</v>
      </c>
      <c r="N1234" s="1">
        <v>24.5</v>
      </c>
      <c r="O1234" s="1">
        <v>74.93411717</v>
      </c>
      <c r="P1234" s="1">
        <v>6.1520684077</v>
      </c>
      <c r="Q1234" s="1">
        <v>73.78259</v>
      </c>
      <c r="R1234" s="1">
        <v>79.885057471</v>
      </c>
      <c r="S1234" s="1">
        <v>22.6</v>
      </c>
      <c r="T1234" s="1">
        <v>5262.0</v>
      </c>
      <c r="U1234" s="1">
        <v>34.853667807</v>
      </c>
      <c r="V1234" s="1">
        <v>303.56647238</v>
      </c>
      <c r="W1234" s="1">
        <v>12.075769534</v>
      </c>
      <c r="X1234" s="1">
        <v>11.178585697</v>
      </c>
      <c r="Y1234" s="1">
        <v>77.992790879</v>
      </c>
      <c r="Z1234" s="1">
        <v>13.7</v>
      </c>
      <c r="AA1234" s="1">
        <v>2.2872271465</v>
      </c>
      <c r="AB1234" s="1">
        <v>42792.0</v>
      </c>
      <c r="AC1234" s="1">
        <v>54.706188248</v>
      </c>
      <c r="AD1234" s="1">
        <v>77.5261461039999</v>
      </c>
      <c r="AE1234" s="1">
        <v>10.249735622</v>
      </c>
      <c r="AF1234" s="1">
        <v>0.5042313117</v>
      </c>
      <c r="AG1234" s="1">
        <v>0.6417489422</v>
      </c>
      <c r="AH1234" s="1">
        <v>0.5818053597</v>
      </c>
      <c r="AI1234" s="1">
        <v>0.0599435825</v>
      </c>
      <c r="AJ1234" s="1">
        <v>1.4210155148</v>
      </c>
      <c r="AK1234" s="1">
        <v>95.599435825</v>
      </c>
      <c r="AL1234" s="1">
        <v>0.2863646376</v>
      </c>
      <c r="AM1234" s="1">
        <v>50.71932299</v>
      </c>
      <c r="AN1234" s="1">
        <v>51.827826204</v>
      </c>
      <c r="AO1234" s="1">
        <v>22776.0</v>
      </c>
      <c r="AP1234" s="1">
        <v>16.3</v>
      </c>
      <c r="AQ1234" s="1">
        <v>7.8</v>
      </c>
      <c r="AR1234" s="1">
        <v>9.6</v>
      </c>
      <c r="AS1234" s="1">
        <v>21.6</v>
      </c>
      <c r="AT1234" s="1">
        <v>19.5</v>
      </c>
      <c r="AU1234" s="1">
        <v>18.4</v>
      </c>
      <c r="AV1234" s="1">
        <v>3.9</v>
      </c>
      <c r="AW1234" s="1">
        <v>0.4</v>
      </c>
      <c r="AX1234" s="1">
        <v>0.3922</v>
      </c>
      <c r="AY1234" s="1">
        <v>13.9</v>
      </c>
      <c r="AZ1234" s="1">
        <v>14.1</v>
      </c>
      <c r="BA1234" s="1">
        <v>16.3</v>
      </c>
      <c r="BB1234" s="1">
        <v>3.04</v>
      </c>
      <c r="BC1234" s="1" t="s">
        <v>2143</v>
      </c>
      <c r="BD1234" s="1">
        <v>8.1</v>
      </c>
      <c r="BE1234" s="1">
        <v>33.7</v>
      </c>
      <c r="BF1234" s="1">
        <v>40.2</v>
      </c>
      <c r="BG1234" s="1">
        <v>18.0</v>
      </c>
      <c r="BH1234" s="1" t="s">
        <v>2149</v>
      </c>
    </row>
    <row r="1235">
      <c r="A1235" s="1">
        <v>26009.0</v>
      </c>
      <c r="B1235" s="2" t="str">
        <f>IFERROR(__xludf.DUMMYFUNCTION("TO_TEXT(A1235)"),"26009")</f>
        <v>26009</v>
      </c>
      <c r="C1235" s="1">
        <v>23215.0</v>
      </c>
      <c r="D1235" s="1">
        <v>475.702412752098</v>
      </c>
      <c r="E1235" s="1" t="s">
        <v>2150</v>
      </c>
      <c r="F1235" s="1" t="s">
        <v>2151</v>
      </c>
      <c r="G1235" s="1">
        <v>48.8015182973184</v>
      </c>
      <c r="H1235" s="1">
        <v>14.002848344</v>
      </c>
      <c r="I1235" s="1">
        <v>4.3224542969</v>
      </c>
      <c r="J1235" s="1">
        <v>6.1423220974</v>
      </c>
      <c r="K1235" s="1">
        <v>16.385554035</v>
      </c>
      <c r="L1235" s="1">
        <v>31.9</v>
      </c>
      <c r="M1235" s="1">
        <v>8.5</v>
      </c>
      <c r="N1235" s="1">
        <v>29.2</v>
      </c>
      <c r="O1235" s="1">
        <v>67.472434266</v>
      </c>
      <c r="P1235" s="1">
        <v>8.1259582498</v>
      </c>
      <c r="Q1235" s="1">
        <v>60.10647</v>
      </c>
      <c r="R1235" s="1">
        <v>92.653061224</v>
      </c>
      <c r="S1235" s="1">
        <v>18.7</v>
      </c>
      <c r="T1235" s="1">
        <v>4285.0</v>
      </c>
      <c r="U1235" s="1">
        <v>30.1283547259999</v>
      </c>
      <c r="V1235" s="1">
        <v>118.46299647</v>
      </c>
      <c r="W1235" s="1">
        <v>13.821138211</v>
      </c>
      <c r="X1235" s="1">
        <v>11.402157165</v>
      </c>
      <c r="Y1235" s="1">
        <v>80.485174326</v>
      </c>
      <c r="Z1235" s="1">
        <v>7.4</v>
      </c>
      <c r="AA1235" s="1">
        <v>0.0593319661</v>
      </c>
      <c r="AB1235" s="1">
        <v>56456.0</v>
      </c>
      <c r="AC1235" s="1">
        <v>53.43605547</v>
      </c>
      <c r="AD1235" s="1">
        <v>86.078531362</v>
      </c>
      <c r="AE1235" s="1">
        <v>11.485127554</v>
      </c>
      <c r="AF1235" s="1">
        <v>0.2867536914</v>
      </c>
      <c r="AG1235" s="1">
        <v>1.19409372989999</v>
      </c>
      <c r="AH1235" s="1">
        <v>0.2953135031</v>
      </c>
      <c r="AI1235" s="1">
        <v>0.0641985876</v>
      </c>
      <c r="AJ1235" s="1">
        <v>2.4438262358</v>
      </c>
      <c r="AK1235" s="1">
        <v>94.560239675</v>
      </c>
      <c r="AL1235" s="1">
        <v>0.545388984</v>
      </c>
      <c r="AM1235" s="1">
        <v>50.280333833</v>
      </c>
      <c r="AN1235" s="1">
        <v>100.0</v>
      </c>
      <c r="AO1235" s="1">
        <v>28180.0</v>
      </c>
      <c r="AP1235" s="1">
        <v>12.9</v>
      </c>
      <c r="AQ1235" s="1">
        <v>7.8</v>
      </c>
      <c r="AR1235" s="1">
        <v>9.3</v>
      </c>
      <c r="AS1235" s="1">
        <v>25.4</v>
      </c>
      <c r="AT1235" s="1">
        <v>19.1</v>
      </c>
      <c r="AU1235" s="1">
        <v>15.7</v>
      </c>
      <c r="AV1235" s="1">
        <v>4.8</v>
      </c>
      <c r="AW1235" s="1">
        <v>0.5</v>
      </c>
      <c r="AX1235" s="1">
        <v>0.1875</v>
      </c>
      <c r="AY1235" s="1">
        <v>9.6</v>
      </c>
      <c r="AZ1235" s="1">
        <v>12.6</v>
      </c>
      <c r="BA1235" s="1">
        <v>15.9</v>
      </c>
      <c r="BB1235" s="1">
        <v>3.49</v>
      </c>
      <c r="BC1235" s="1" t="s">
        <v>2143</v>
      </c>
      <c r="BD1235" s="1">
        <v>8.3</v>
      </c>
      <c r="BE1235" s="1">
        <v>31.5</v>
      </c>
      <c r="BF1235" s="1">
        <v>31.3</v>
      </c>
      <c r="BG1235" s="1">
        <v>28.8</v>
      </c>
      <c r="BH1235" s="1" t="s">
        <v>2151</v>
      </c>
    </row>
    <row r="1236">
      <c r="A1236" s="1">
        <v>26011.0</v>
      </c>
      <c r="B1236" s="2" t="str">
        <f>IFERROR(__xludf.DUMMYFUNCTION("TO_TEXT(A1236)"),"26011")</f>
        <v>26011</v>
      </c>
      <c r="C1236" s="1">
        <v>15327.0</v>
      </c>
      <c r="D1236" s="1">
        <v>363.190954811381</v>
      </c>
      <c r="E1236" s="1" t="s">
        <v>2152</v>
      </c>
      <c r="F1236" s="1" t="s">
        <v>2153</v>
      </c>
      <c r="G1236" s="1">
        <v>42.2009408465579</v>
      </c>
      <c r="H1236" s="1">
        <v>15.811227659</v>
      </c>
      <c r="I1236" s="1">
        <v>4.4415670009</v>
      </c>
      <c r="J1236" s="1">
        <v>7.7097505669</v>
      </c>
      <c r="K1236" s="1">
        <v>18.485783597</v>
      </c>
      <c r="L1236" s="1">
        <v>35.6</v>
      </c>
      <c r="M1236" s="1">
        <v>6.9</v>
      </c>
      <c r="N1236" s="1">
        <v>30.6</v>
      </c>
      <c r="O1236" s="1">
        <v>69.76539405</v>
      </c>
      <c r="P1236" s="1">
        <v>8.1025549401</v>
      </c>
      <c r="Q1236" s="1">
        <v>33.23363</v>
      </c>
      <c r="R1236" s="1">
        <v>90.131578947</v>
      </c>
      <c r="S1236" s="1">
        <v>24.1</v>
      </c>
      <c r="T1236" s="1">
        <v>2709.0</v>
      </c>
      <c r="U1236" s="1">
        <v>35.105204873</v>
      </c>
      <c r="V1236" s="1">
        <v>256.09057519</v>
      </c>
      <c r="W1236" s="1">
        <v>11.818879509</v>
      </c>
      <c r="X1236" s="1">
        <v>10.452418097</v>
      </c>
      <c r="Y1236" s="1">
        <v>76.704584873</v>
      </c>
      <c r="Z1236" s="1">
        <v>16.4</v>
      </c>
      <c r="AA1236" s="1">
        <v>12.237593147</v>
      </c>
      <c r="AB1236" s="1">
        <v>42540.0</v>
      </c>
      <c r="AC1236" s="1">
        <v>59.814905017</v>
      </c>
      <c r="AD1236" s="1">
        <v>82.49551167</v>
      </c>
      <c r="AE1236" s="1">
        <v>9.97359018179999</v>
      </c>
      <c r="AF1236" s="1">
        <v>0.4720430822</v>
      </c>
      <c r="AG1236" s="1">
        <v>1.2299714115</v>
      </c>
      <c r="AH1236" s="1">
        <v>0.3191277176</v>
      </c>
      <c r="AI1236" s="1">
        <v>0.059836447</v>
      </c>
      <c r="AJ1236" s="1">
        <v>2.0011967289</v>
      </c>
      <c r="AK1236" s="1">
        <v>94.514992354</v>
      </c>
      <c r="AL1236" s="1">
        <v>0.2970639033</v>
      </c>
      <c r="AM1236" s="1">
        <v>49.577820624</v>
      </c>
      <c r="AN1236" s="1">
        <v>100.0</v>
      </c>
      <c r="AO1236" s="1">
        <v>21602.0</v>
      </c>
      <c r="AP1236" s="1">
        <v>19.2</v>
      </c>
      <c r="AQ1236" s="1">
        <v>10.8</v>
      </c>
      <c r="AR1236" s="1">
        <v>13.7</v>
      </c>
      <c r="AS1236" s="1">
        <v>22.7</v>
      </c>
      <c r="AT1236" s="1">
        <v>18.4</v>
      </c>
      <c r="AU1236" s="1">
        <v>20.5</v>
      </c>
      <c r="AV1236" s="1">
        <v>5.0</v>
      </c>
      <c r="AW1236" s="1">
        <v>0.3</v>
      </c>
      <c r="AX1236" s="1">
        <v>0.462</v>
      </c>
      <c r="AY1236" s="1">
        <v>17.2</v>
      </c>
      <c r="AZ1236" s="1">
        <v>16.5</v>
      </c>
      <c r="BA1236" s="1">
        <v>22.5</v>
      </c>
      <c r="BB1236" s="1">
        <v>2.85</v>
      </c>
      <c r="BC1236" s="1" t="s">
        <v>2143</v>
      </c>
      <c r="BD1236" s="1">
        <v>11.5</v>
      </c>
      <c r="BE1236" s="1">
        <v>41.9</v>
      </c>
      <c r="BF1236" s="1">
        <v>34.0</v>
      </c>
      <c r="BG1236" s="1">
        <v>12.6</v>
      </c>
      <c r="BH1236" s="1" t="s">
        <v>2153</v>
      </c>
    </row>
    <row r="1237">
      <c r="A1237" s="1">
        <v>26013.0</v>
      </c>
      <c r="B1237" s="2" t="str">
        <f>IFERROR(__xludf.DUMMYFUNCTION("TO_TEXT(A1237)"),"26013")</f>
        <v>26013</v>
      </c>
      <c r="C1237" s="1">
        <v>8612.0</v>
      </c>
      <c r="D1237" s="1">
        <v>898.268635828284</v>
      </c>
      <c r="E1237" s="1" t="s">
        <v>2154</v>
      </c>
      <c r="F1237" s="1" t="s">
        <v>2155</v>
      </c>
      <c r="G1237" s="1">
        <v>9.58733240425228</v>
      </c>
      <c r="H1237" s="1">
        <v>16.124144828</v>
      </c>
      <c r="I1237" s="1">
        <v>4.4080653411</v>
      </c>
      <c r="J1237" s="1">
        <v>6.8226120858</v>
      </c>
      <c r="K1237" s="1">
        <v>19.338342617</v>
      </c>
      <c r="L1237" s="1">
        <v>35.9</v>
      </c>
      <c r="M1237" s="1">
        <v>7.4</v>
      </c>
      <c r="N1237" s="1">
        <v>24.1</v>
      </c>
      <c r="O1237" s="1">
        <v>25.6659142209999</v>
      </c>
      <c r="P1237" s="1">
        <v>8.0097510012</v>
      </c>
      <c r="Q1237" s="1">
        <v>106.62244</v>
      </c>
      <c r="R1237" s="1">
        <v>86.666666667</v>
      </c>
      <c r="S1237" s="1">
        <v>21.0</v>
      </c>
      <c r="T1237" s="1">
        <v>1464.0</v>
      </c>
      <c r="U1237" s="1">
        <v>37.363387978</v>
      </c>
      <c r="V1237" s="1">
        <v>333.40503334</v>
      </c>
      <c r="W1237" s="1">
        <v>13.682432432</v>
      </c>
      <c r="X1237" s="1">
        <v>11.141396934</v>
      </c>
      <c r="Y1237" s="1">
        <v>75.413379091</v>
      </c>
      <c r="Z1237" s="1">
        <v>18.5</v>
      </c>
      <c r="AA1237" s="1">
        <v>5.4265981854</v>
      </c>
      <c r="AB1237" s="1">
        <v>43435.0</v>
      </c>
      <c r="AC1237" s="1">
        <v>60.57312253</v>
      </c>
      <c r="AD1237" s="1">
        <v>80.961791831</v>
      </c>
      <c r="AE1237" s="1">
        <v>13.631669535</v>
      </c>
      <c r="AF1237" s="1">
        <v>7.9206730769</v>
      </c>
      <c r="AG1237" s="1">
        <v>14.21875</v>
      </c>
      <c r="AH1237" s="1">
        <v>0.2524038462</v>
      </c>
      <c r="AI1237" s="1">
        <v>0.0</v>
      </c>
      <c r="AJ1237" s="1">
        <v>1.5865384615</v>
      </c>
      <c r="AK1237" s="1">
        <v>72.3317307689999</v>
      </c>
      <c r="AL1237" s="1">
        <v>0.0984615385</v>
      </c>
      <c r="AM1237" s="1">
        <v>44.879807692</v>
      </c>
      <c r="AN1237" s="1">
        <v>100.0</v>
      </c>
      <c r="AO1237" s="1">
        <v>17664.0</v>
      </c>
      <c r="AP1237" s="1">
        <v>15.0</v>
      </c>
      <c r="AQ1237" s="1">
        <v>6.8</v>
      </c>
      <c r="AR1237" s="1">
        <v>16.7</v>
      </c>
      <c r="AS1237" s="1">
        <v>18.7</v>
      </c>
      <c r="AT1237" s="1">
        <v>17.0</v>
      </c>
      <c r="AU1237" s="1">
        <v>15.8</v>
      </c>
      <c r="AV1237" s="1">
        <v>26.9</v>
      </c>
      <c r="AW1237" s="1">
        <v>0.4</v>
      </c>
      <c r="AX1237" s="1">
        <v>0.5237</v>
      </c>
      <c r="AY1237" s="1">
        <v>13.7</v>
      </c>
      <c r="AZ1237" s="1">
        <v>14.8</v>
      </c>
      <c r="BA1237" s="1">
        <v>19.3</v>
      </c>
      <c r="BB1237" s="1">
        <v>3.29</v>
      </c>
      <c r="BC1237" s="1" t="s">
        <v>2143</v>
      </c>
      <c r="BD1237" s="1">
        <v>10.8</v>
      </c>
      <c r="BE1237" s="1">
        <v>40.6</v>
      </c>
      <c r="BF1237" s="1">
        <v>32.8</v>
      </c>
      <c r="BG1237" s="1">
        <v>15.8</v>
      </c>
      <c r="BH1237" s="1" t="s">
        <v>2155</v>
      </c>
    </row>
    <row r="1238">
      <c r="A1238" s="1">
        <v>26015.0</v>
      </c>
      <c r="B1238" s="2" t="str">
        <f>IFERROR(__xludf.DUMMYFUNCTION("TO_TEXT(A1238)"),"26015")</f>
        <v>26015</v>
      </c>
      <c r="C1238" s="1">
        <v>59316.0</v>
      </c>
      <c r="D1238" s="1">
        <v>553.094198796673</v>
      </c>
      <c r="E1238" s="1" t="s">
        <v>2156</v>
      </c>
      <c r="F1238" s="1" t="s">
        <v>2157</v>
      </c>
      <c r="G1238" s="1">
        <v>107.243938065251</v>
      </c>
      <c r="H1238" s="1">
        <v>12.85412236</v>
      </c>
      <c r="I1238" s="1">
        <v>4.228558758</v>
      </c>
      <c r="J1238" s="1">
        <v>6.5072430444</v>
      </c>
      <c r="K1238" s="1">
        <v>15.997102557</v>
      </c>
      <c r="L1238" s="1">
        <v>37.2</v>
      </c>
      <c r="M1238" s="1">
        <v>8.8</v>
      </c>
      <c r="N1238" s="1">
        <v>27.3</v>
      </c>
      <c r="O1238" s="1">
        <v>56.660977135</v>
      </c>
      <c r="P1238" s="1">
        <v>5.3673120729</v>
      </c>
      <c r="Q1238" s="1">
        <v>33.01093</v>
      </c>
      <c r="R1238" s="1">
        <v>86.962750716</v>
      </c>
      <c r="S1238" s="1">
        <v>10.8</v>
      </c>
      <c r="T1238" s="1">
        <v>13411.0</v>
      </c>
      <c r="U1238" s="1">
        <v>25.6580419059999</v>
      </c>
      <c r="V1238" s="1">
        <v>170.60856161</v>
      </c>
      <c r="W1238" s="1">
        <v>11.439195101</v>
      </c>
      <c r="X1238" s="1">
        <v>9.320345362</v>
      </c>
      <c r="Y1238" s="1">
        <v>79.459166737</v>
      </c>
      <c r="Z1238" s="1">
        <v>17.1</v>
      </c>
      <c r="AA1238" s="1">
        <v>1.0164865528</v>
      </c>
      <c r="AB1238" s="1">
        <v>64121.0</v>
      </c>
      <c r="AC1238" s="1">
        <v>42.2708933719999</v>
      </c>
      <c r="AD1238" s="1">
        <v>82.315436242</v>
      </c>
      <c r="AE1238" s="1">
        <v>8.8114488305</v>
      </c>
      <c r="AF1238" s="1">
        <v>0.5919191589</v>
      </c>
      <c r="AG1238" s="1">
        <v>0.5722975293</v>
      </c>
      <c r="AH1238" s="1">
        <v>0.485635332</v>
      </c>
      <c r="AI1238" s="1">
        <v>0.0179864938</v>
      </c>
      <c r="AJ1238" s="1">
        <v>3.12474451</v>
      </c>
      <c r="AK1238" s="1">
        <v>93.99578135</v>
      </c>
      <c r="AL1238" s="1">
        <v>0.3347073953</v>
      </c>
      <c r="AM1238" s="1">
        <v>49.663979594</v>
      </c>
      <c r="AN1238" s="1">
        <v>77.128082064</v>
      </c>
      <c r="AO1238" s="1">
        <v>25909.0</v>
      </c>
      <c r="AP1238" s="1">
        <v>9.3</v>
      </c>
      <c r="AQ1238" s="1">
        <v>6.2</v>
      </c>
      <c r="AR1238" s="1">
        <v>8.3</v>
      </c>
      <c r="AS1238" s="1">
        <v>16.9</v>
      </c>
      <c r="AT1238" s="1">
        <v>22.9</v>
      </c>
      <c r="AU1238" s="1">
        <v>13.4</v>
      </c>
      <c r="AV1238" s="1">
        <v>5.2</v>
      </c>
      <c r="AW1238" s="1">
        <v>0.4</v>
      </c>
      <c r="AX1238" s="1">
        <v>0.1035</v>
      </c>
      <c r="AY1238" s="1">
        <v>7.8</v>
      </c>
      <c r="AZ1238" s="1">
        <v>9.8</v>
      </c>
      <c r="BA1238" s="1">
        <v>9.9</v>
      </c>
      <c r="BB1238" s="1">
        <v>2.62</v>
      </c>
      <c r="BC1238" s="1" t="s">
        <v>2143</v>
      </c>
      <c r="BD1238" s="1">
        <v>7.3</v>
      </c>
      <c r="BE1238" s="1">
        <v>37.7</v>
      </c>
      <c r="BF1238" s="1">
        <v>33.8</v>
      </c>
      <c r="BG1238" s="1">
        <v>21.1</v>
      </c>
      <c r="BH1238" s="1" t="s">
        <v>2157</v>
      </c>
    </row>
    <row r="1239">
      <c r="A1239" s="1">
        <v>26017.0</v>
      </c>
      <c r="B1239" s="2" t="str">
        <f>IFERROR(__xludf.DUMMYFUNCTION("TO_TEXT(A1239)"),"26017")</f>
        <v>26017</v>
      </c>
      <c r="C1239" s="1">
        <v>106107.0</v>
      </c>
      <c r="D1239" s="1">
        <v>442.302116382686</v>
      </c>
      <c r="E1239" s="1" t="s">
        <v>684</v>
      </c>
      <c r="F1239" s="1" t="s">
        <v>2158</v>
      </c>
      <c r="G1239" s="1">
        <v>239.897111204855</v>
      </c>
      <c r="H1239" s="1">
        <v>14.5045526409999</v>
      </c>
      <c r="I1239" s="1">
        <v>4.1597508016</v>
      </c>
      <c r="J1239" s="1">
        <v>7.2912310052</v>
      </c>
      <c r="K1239" s="1">
        <v>17.7918125759999</v>
      </c>
      <c r="L1239" s="1">
        <v>35.9</v>
      </c>
      <c r="M1239" s="1">
        <v>7.7</v>
      </c>
      <c r="N1239" s="1">
        <v>25.5</v>
      </c>
      <c r="O1239" s="1">
        <v>85.870967143</v>
      </c>
      <c r="P1239" s="1">
        <v>6.1048088631</v>
      </c>
      <c r="Q1239" s="1">
        <v>41.25136</v>
      </c>
      <c r="R1239" s="1">
        <v>87.9259980529999</v>
      </c>
      <c r="S1239" s="1">
        <v>24.8</v>
      </c>
      <c r="T1239" s="1">
        <v>21374.0</v>
      </c>
      <c r="U1239" s="1">
        <v>40.048657247</v>
      </c>
      <c r="V1239" s="1">
        <v>327.95394488</v>
      </c>
      <c r="W1239" s="1">
        <v>12.5243051579999</v>
      </c>
      <c r="X1239" s="1">
        <v>11.373913043</v>
      </c>
      <c r="Y1239" s="1">
        <v>77.491961023</v>
      </c>
      <c r="Z1239" s="1">
        <v>8.9</v>
      </c>
      <c r="AA1239" s="1">
        <v>7.7437063087</v>
      </c>
      <c r="AB1239" s="1">
        <v>50576.0</v>
      </c>
      <c r="AC1239" s="1">
        <v>53.195596225</v>
      </c>
      <c r="AD1239" s="1">
        <v>77.69930054</v>
      </c>
      <c r="AE1239" s="1">
        <v>10.867983002</v>
      </c>
      <c r="AF1239" s="1">
        <v>1.6685430559</v>
      </c>
      <c r="AG1239" s="1">
        <v>0.660104115499999</v>
      </c>
      <c r="AH1239" s="1">
        <v>0.609104817999999</v>
      </c>
      <c r="AI1239" s="1">
        <v>0.0144337635</v>
      </c>
      <c r="AJ1239" s="1">
        <v>5.4222838063</v>
      </c>
      <c r="AK1239" s="1">
        <v>89.894441077</v>
      </c>
      <c r="AL1239" s="1">
        <v>0.2911500427</v>
      </c>
      <c r="AM1239" s="1">
        <v>50.859771177</v>
      </c>
      <c r="AN1239" s="1">
        <v>30.311493816</v>
      </c>
      <c r="AO1239" s="1">
        <v>24753.0</v>
      </c>
      <c r="AP1239" s="1">
        <v>15.8</v>
      </c>
      <c r="AQ1239" s="1">
        <v>8.2</v>
      </c>
      <c r="AR1239" s="1">
        <v>10.6</v>
      </c>
      <c r="AS1239" s="1">
        <v>18.3</v>
      </c>
      <c r="AT1239" s="1">
        <v>21.0</v>
      </c>
      <c r="AU1239" s="1">
        <v>16.6</v>
      </c>
      <c r="AV1239" s="1">
        <v>9.5</v>
      </c>
      <c r="AW1239" s="1">
        <v>0.3</v>
      </c>
      <c r="AX1239" s="1">
        <v>0.4031</v>
      </c>
      <c r="AY1239" s="1">
        <v>13.4</v>
      </c>
      <c r="AZ1239" s="1">
        <v>13.6</v>
      </c>
      <c r="BA1239" s="1">
        <v>16.7</v>
      </c>
      <c r="BB1239" s="1">
        <v>2.82</v>
      </c>
      <c r="BC1239" s="1" t="s">
        <v>2143</v>
      </c>
      <c r="BD1239" s="1">
        <v>9.5</v>
      </c>
      <c r="BE1239" s="1">
        <v>34.6</v>
      </c>
      <c r="BF1239" s="1">
        <v>36.6</v>
      </c>
      <c r="BG1239" s="1">
        <v>19.3</v>
      </c>
      <c r="BH1239" s="1" t="s">
        <v>2158</v>
      </c>
    </row>
    <row r="1240">
      <c r="A1240" s="1">
        <v>26019.0</v>
      </c>
      <c r="B1240" s="2" t="str">
        <f>IFERROR(__xludf.DUMMYFUNCTION("TO_TEXT(A1240)"),"26019")</f>
        <v>26019</v>
      </c>
      <c r="C1240" s="1">
        <v>17462.0</v>
      </c>
      <c r="D1240" s="1">
        <v>319.703740989256</v>
      </c>
      <c r="E1240" s="1" t="s">
        <v>2159</v>
      </c>
      <c r="F1240" s="1" t="s">
        <v>2160</v>
      </c>
      <c r="G1240" s="1">
        <v>54.6193170776404</v>
      </c>
      <c r="H1240" s="1">
        <v>13.037894213</v>
      </c>
      <c r="I1240" s="1">
        <v>4.1336096482</v>
      </c>
      <c r="J1240" s="1">
        <v>6.1281337047</v>
      </c>
      <c r="K1240" s="1">
        <v>15.681946188</v>
      </c>
      <c r="L1240" s="1">
        <v>36.5</v>
      </c>
      <c r="M1240" s="1">
        <v>7.7</v>
      </c>
      <c r="N1240" s="1">
        <v>30.0</v>
      </c>
      <c r="O1240" s="1">
        <v>88.679029957</v>
      </c>
      <c r="P1240" s="1">
        <v>7.3985496065</v>
      </c>
      <c r="Q1240" s="1">
        <v>51.21493</v>
      </c>
      <c r="R1240" s="1">
        <v>83.13253012</v>
      </c>
      <c r="S1240" s="1">
        <v>15.7</v>
      </c>
      <c r="T1240" s="1">
        <v>3241.0</v>
      </c>
      <c r="U1240" s="1">
        <v>27.707497686</v>
      </c>
      <c r="V1240" s="1">
        <v>126.21192129</v>
      </c>
      <c r="W1240" s="1">
        <v>13.458856346</v>
      </c>
      <c r="X1240" s="1">
        <v>11.2208892029999</v>
      </c>
      <c r="Y1240" s="1">
        <v>80.465840727</v>
      </c>
      <c r="Z1240" s="1">
        <v>13.6</v>
      </c>
      <c r="AA1240" s="1">
        <v>6.508531482</v>
      </c>
      <c r="AB1240" s="1">
        <v>51905.0</v>
      </c>
      <c r="AC1240" s="1">
        <v>56.1867266589999</v>
      </c>
      <c r="AD1240" s="1">
        <v>89.662854597</v>
      </c>
      <c r="AE1240" s="1">
        <v>11.0213414629999</v>
      </c>
      <c r="AF1240" s="1">
        <v>0.6365121388</v>
      </c>
      <c r="AG1240" s="1">
        <v>1.5321354137</v>
      </c>
      <c r="AH1240" s="1">
        <v>0.4506280629</v>
      </c>
      <c r="AI1240" s="1">
        <v>0.0337971047</v>
      </c>
      <c r="AJ1240" s="1">
        <v>2.5798456599</v>
      </c>
      <c r="AK1240" s="1">
        <v>93.510955895</v>
      </c>
      <c r="AL1240" s="1">
        <v>0.2751525302</v>
      </c>
      <c r="AM1240" s="1">
        <v>50.352053174</v>
      </c>
      <c r="AN1240" s="1">
        <v>100.0</v>
      </c>
      <c r="AO1240" s="1">
        <v>25506.0</v>
      </c>
      <c r="AP1240" s="1">
        <v>11.2</v>
      </c>
      <c r="AQ1240" s="1">
        <v>7.6</v>
      </c>
      <c r="AR1240" s="1">
        <v>8.5</v>
      </c>
      <c r="AS1240" s="1">
        <v>24.0</v>
      </c>
      <c r="AT1240" s="1">
        <v>19.1</v>
      </c>
      <c r="AU1240" s="1">
        <v>16.7</v>
      </c>
      <c r="AV1240" s="1">
        <v>5.9</v>
      </c>
      <c r="AW1240" s="1">
        <v>0.4</v>
      </c>
      <c r="AX1240" s="1">
        <v>0.2053</v>
      </c>
      <c r="AY1240" s="1">
        <v>9.6</v>
      </c>
      <c r="AZ1240" s="1">
        <v>11.6</v>
      </c>
      <c r="BA1240" s="1">
        <v>13.7</v>
      </c>
      <c r="BB1240" s="1">
        <v>3.0</v>
      </c>
      <c r="BC1240" s="1" t="s">
        <v>2143</v>
      </c>
      <c r="BD1240" s="1">
        <v>6.7</v>
      </c>
      <c r="BE1240" s="1">
        <v>31.2</v>
      </c>
      <c r="BF1240" s="1">
        <v>31.8</v>
      </c>
      <c r="BG1240" s="1">
        <v>30.3</v>
      </c>
      <c r="BH1240" s="1" t="s">
        <v>2160</v>
      </c>
    </row>
    <row r="1241">
      <c r="A1241" s="1">
        <v>26021.0</v>
      </c>
      <c r="B1241" s="2" t="str">
        <f>IFERROR(__xludf.DUMMYFUNCTION("TO_TEXT(A1241)"),"26021")</f>
        <v>26021</v>
      </c>
      <c r="C1241" s="1">
        <v>155134.0</v>
      </c>
      <c r="D1241" s="1">
        <v>567.750256969937</v>
      </c>
      <c r="E1241" s="1" t="s">
        <v>813</v>
      </c>
      <c r="F1241" s="1" t="s">
        <v>2161</v>
      </c>
      <c r="G1241" s="1">
        <v>273.243381390868</v>
      </c>
      <c r="H1241" s="1">
        <v>16.08037215</v>
      </c>
      <c r="I1241" s="1">
        <v>4.554292904</v>
      </c>
      <c r="J1241" s="1">
        <v>7.8566342274</v>
      </c>
      <c r="K1241" s="1">
        <v>16.593027897</v>
      </c>
      <c r="L1241" s="1">
        <v>32.6</v>
      </c>
      <c r="M1241" s="1">
        <v>7.1</v>
      </c>
      <c r="N1241" s="1">
        <v>22.5</v>
      </c>
      <c r="O1241" s="1">
        <v>86.706459286</v>
      </c>
      <c r="P1241" s="1">
        <v>7.2588057644</v>
      </c>
      <c r="Q1241" s="1">
        <v>76.49473</v>
      </c>
      <c r="R1241" s="1">
        <v>82.91250734</v>
      </c>
      <c r="S1241" s="1">
        <v>21.1</v>
      </c>
      <c r="T1241" s="1">
        <v>33719.0</v>
      </c>
      <c r="U1241" s="1">
        <v>37.590082743</v>
      </c>
      <c r="V1241" s="1">
        <v>427.65993007</v>
      </c>
      <c r="W1241" s="1">
        <v>13.961143224</v>
      </c>
      <c r="X1241" s="1">
        <v>12.361743656</v>
      </c>
      <c r="Y1241" s="1">
        <v>77.416689256</v>
      </c>
      <c r="Z1241" s="1">
        <v>11.7</v>
      </c>
      <c r="AA1241" s="1">
        <v>10.1193132239999</v>
      </c>
      <c r="AB1241" s="1">
        <v>51509.0</v>
      </c>
      <c r="AC1241" s="1">
        <v>57.349335398</v>
      </c>
      <c r="AD1241" s="1">
        <v>69.7690429989999</v>
      </c>
      <c r="AE1241" s="1">
        <v>12.7650283829999</v>
      </c>
      <c r="AF1241" s="1">
        <v>14.579508372</v>
      </c>
      <c r="AG1241" s="1">
        <v>0.6552442244</v>
      </c>
      <c r="AH1241" s="1">
        <v>2.1421944843</v>
      </c>
      <c r="AI1241" s="1">
        <v>0.0888796621</v>
      </c>
      <c r="AJ1241" s="1">
        <v>5.7103561025</v>
      </c>
      <c r="AK1241" s="1">
        <v>74.71276299</v>
      </c>
      <c r="AL1241" s="1">
        <v>1.1391006594</v>
      </c>
      <c r="AM1241" s="1">
        <v>51.0513101639999</v>
      </c>
      <c r="AN1241" s="1">
        <v>32.8569697669999</v>
      </c>
      <c r="AO1241" s="1">
        <v>26309.0</v>
      </c>
      <c r="AP1241" s="1">
        <v>17.9</v>
      </c>
      <c r="AQ1241" s="1">
        <v>7.8</v>
      </c>
      <c r="AR1241" s="1">
        <v>10.9</v>
      </c>
      <c r="AS1241" s="1">
        <v>17.7</v>
      </c>
      <c r="AT1241" s="1">
        <v>22.5</v>
      </c>
      <c r="AU1241" s="1">
        <v>14.4</v>
      </c>
      <c r="AV1241" s="1">
        <v>24.7</v>
      </c>
      <c r="AW1241" s="1">
        <v>1.1</v>
      </c>
      <c r="AX1241" s="1">
        <v>0.6351</v>
      </c>
      <c r="AY1241" s="1">
        <v>15.9</v>
      </c>
      <c r="AZ1241" s="1">
        <v>14.0</v>
      </c>
      <c r="BA1241" s="1">
        <v>15.5</v>
      </c>
      <c r="BB1241" s="1">
        <v>2.98</v>
      </c>
      <c r="BC1241" s="1" t="s">
        <v>2143</v>
      </c>
      <c r="BD1241" s="1">
        <v>10.3</v>
      </c>
      <c r="BE1241" s="1">
        <v>28.1</v>
      </c>
      <c r="BF1241" s="1">
        <v>33.8</v>
      </c>
      <c r="BG1241" s="1">
        <v>27.8</v>
      </c>
      <c r="BH1241" s="1" t="s">
        <v>2161</v>
      </c>
    </row>
    <row r="1242">
      <c r="A1242" s="1">
        <v>26023.0</v>
      </c>
      <c r="B1242" s="2" t="str">
        <f>IFERROR(__xludf.DUMMYFUNCTION("TO_TEXT(A1242)"),"26023")</f>
        <v>26023</v>
      </c>
      <c r="C1242" s="1">
        <v>43603.0</v>
      </c>
      <c r="D1242" s="1">
        <v>506.378175339184</v>
      </c>
      <c r="E1242" s="1" t="s">
        <v>2162</v>
      </c>
      <c r="F1242" s="1" t="s">
        <v>2163</v>
      </c>
      <c r="G1242" s="1">
        <v>86.1075814943914</v>
      </c>
      <c r="H1242" s="1">
        <v>15.089663139</v>
      </c>
      <c r="I1242" s="1">
        <v>4.2917745565</v>
      </c>
      <c r="J1242" s="1">
        <v>6.5832426551</v>
      </c>
      <c r="K1242" s="1">
        <v>18.400619448</v>
      </c>
      <c r="L1242" s="1">
        <v>38.0</v>
      </c>
      <c r="M1242" s="1">
        <v>8.3</v>
      </c>
      <c r="N1242" s="1">
        <v>29.5</v>
      </c>
      <c r="O1242" s="1">
        <v>62.404968175</v>
      </c>
      <c r="P1242" s="1">
        <v>8.1180702996</v>
      </c>
      <c r="Q1242" s="1">
        <v>46.07233</v>
      </c>
      <c r="R1242" s="1">
        <v>80.71278826</v>
      </c>
      <c r="S1242" s="1">
        <v>21.2</v>
      </c>
      <c r="T1242" s="1">
        <v>9980.0</v>
      </c>
      <c r="U1242" s="1">
        <v>29.448897796</v>
      </c>
      <c r="V1242" s="1">
        <v>276.92201184</v>
      </c>
      <c r="W1242" s="1">
        <v>12.3759305209999</v>
      </c>
      <c r="X1242" s="1">
        <v>9.7252920745</v>
      </c>
      <c r="Y1242" s="1">
        <v>76.687309171</v>
      </c>
      <c r="Z1242" s="1">
        <v>10.2</v>
      </c>
      <c r="AA1242" s="1">
        <v>1.4481061184</v>
      </c>
      <c r="AB1242" s="1">
        <v>50477.0</v>
      </c>
      <c r="AC1242" s="1">
        <v>58.219278882</v>
      </c>
      <c r="AD1242" s="1">
        <v>74.578940991</v>
      </c>
      <c r="AE1242" s="1">
        <v>8.923521649</v>
      </c>
      <c r="AF1242" s="1">
        <v>2.1525835588</v>
      </c>
      <c r="AG1242" s="1">
        <v>0.5272568887</v>
      </c>
      <c r="AH1242" s="1">
        <v>0.731282380499999</v>
      </c>
      <c r="AI1242" s="1">
        <v>0.0275090551</v>
      </c>
      <c r="AJ1242" s="1">
        <v>5.0112328642</v>
      </c>
      <c r="AK1242" s="1">
        <v>90.0073357479999</v>
      </c>
      <c r="AL1242" s="1">
        <v>1.4876154184</v>
      </c>
      <c r="AM1242" s="1">
        <v>48.4549080739999</v>
      </c>
      <c r="AN1242" s="1">
        <v>62.7033239039999</v>
      </c>
      <c r="AO1242" s="1">
        <v>21838.0</v>
      </c>
      <c r="AP1242" s="1">
        <v>17.9</v>
      </c>
      <c r="AQ1242" s="1">
        <v>5.5</v>
      </c>
      <c r="AR1242" s="1">
        <v>11.9</v>
      </c>
      <c r="AS1242" s="1">
        <v>16.7</v>
      </c>
      <c r="AT1242" s="1">
        <v>23.7</v>
      </c>
      <c r="AU1242" s="1">
        <v>14.3</v>
      </c>
      <c r="AV1242" s="1">
        <v>8.9</v>
      </c>
      <c r="AW1242" s="1">
        <v>1.7</v>
      </c>
      <c r="AX1242" s="1">
        <v>0.6422</v>
      </c>
      <c r="AY1242" s="1">
        <v>13.2</v>
      </c>
      <c r="AZ1242" s="1">
        <v>12.8</v>
      </c>
      <c r="BA1242" s="1">
        <v>15.1</v>
      </c>
      <c r="BB1242" s="1">
        <v>2.61</v>
      </c>
      <c r="BC1242" s="1" t="s">
        <v>2143</v>
      </c>
      <c r="BD1242" s="1">
        <v>10.9</v>
      </c>
      <c r="BE1242" s="1">
        <v>41.5</v>
      </c>
      <c r="BF1242" s="1">
        <v>33.2</v>
      </c>
      <c r="BG1242" s="1">
        <v>14.4</v>
      </c>
      <c r="BH1242" s="1" t="s">
        <v>2163</v>
      </c>
    </row>
    <row r="1243">
      <c r="A1243" s="1">
        <v>26025.0</v>
      </c>
      <c r="B1243" s="2" t="str">
        <f>IFERROR(__xludf.DUMMYFUNCTION("TO_TEXT(A1243)"),"26025")</f>
        <v>26025</v>
      </c>
      <c r="C1243" s="1">
        <v>134691.0</v>
      </c>
      <c r="D1243" s="1">
        <v>706.27703330674</v>
      </c>
      <c r="E1243" s="1" t="s">
        <v>74</v>
      </c>
      <c r="F1243" s="1" t="s">
        <v>2164</v>
      </c>
      <c r="G1243" s="1">
        <v>190.705620667552</v>
      </c>
      <c r="H1243" s="1">
        <v>16.188793548</v>
      </c>
      <c r="I1243" s="1">
        <v>4.54342686029999</v>
      </c>
      <c r="J1243" s="1">
        <v>8.45945236639999</v>
      </c>
      <c r="K1243" s="1">
        <v>18.79289397</v>
      </c>
      <c r="L1243" s="1">
        <v>33.8</v>
      </c>
      <c r="M1243" s="1">
        <v>7.3</v>
      </c>
      <c r="N1243" s="1">
        <v>27.0</v>
      </c>
      <c r="O1243" s="1">
        <v>76.700013221</v>
      </c>
      <c r="P1243" s="1">
        <v>5.626721827</v>
      </c>
      <c r="Q1243" s="1">
        <v>59.6445199999999</v>
      </c>
      <c r="R1243" s="1">
        <v>88.130333592</v>
      </c>
      <c r="S1243" s="1">
        <v>27.6</v>
      </c>
      <c r="T1243" s="1">
        <v>30612.0</v>
      </c>
      <c r="U1243" s="1">
        <v>42.333071998</v>
      </c>
      <c r="V1243" s="1">
        <v>644.35482671</v>
      </c>
      <c r="W1243" s="1">
        <v>14.503673008</v>
      </c>
      <c r="X1243" s="1">
        <v>12.925622979</v>
      </c>
      <c r="Y1243" s="1">
        <v>75.96794176</v>
      </c>
      <c r="Z1243" s="1">
        <v>13.8</v>
      </c>
      <c r="AA1243" s="1">
        <v>8.2456140873</v>
      </c>
      <c r="AB1243" s="1">
        <v>48413.0</v>
      </c>
      <c r="AC1243" s="1">
        <v>58.478729661</v>
      </c>
      <c r="AD1243" s="1">
        <v>69.475763618</v>
      </c>
      <c r="AE1243" s="1">
        <v>13.116850887</v>
      </c>
      <c r="AF1243" s="1">
        <v>10.763122086</v>
      </c>
      <c r="AG1243" s="1">
        <v>0.7785139084</v>
      </c>
      <c r="AH1243" s="1">
        <v>2.9935978942</v>
      </c>
      <c r="AI1243" s="1">
        <v>0.0453575439</v>
      </c>
      <c r="AJ1243" s="1">
        <v>5.3440109453</v>
      </c>
      <c r="AK1243" s="1">
        <v>77.250589276</v>
      </c>
      <c r="AL1243" s="1">
        <v>1.0588095333</v>
      </c>
      <c r="AM1243" s="1">
        <v>51.060697316</v>
      </c>
      <c r="AN1243" s="1">
        <v>30.977039355</v>
      </c>
      <c r="AO1243" s="1">
        <v>23812.0</v>
      </c>
      <c r="AP1243" s="1">
        <v>17.0</v>
      </c>
      <c r="AQ1243" s="1">
        <v>8.5</v>
      </c>
      <c r="AR1243" s="1">
        <v>9.4</v>
      </c>
      <c r="AS1243" s="1">
        <v>16.3</v>
      </c>
      <c r="AT1243" s="1">
        <v>23.3</v>
      </c>
      <c r="AU1243" s="1">
        <v>15.7</v>
      </c>
      <c r="AV1243" s="1">
        <v>21.3</v>
      </c>
      <c r="AW1243" s="1">
        <v>1.2</v>
      </c>
      <c r="AX1243" s="1">
        <v>0.6915</v>
      </c>
      <c r="AY1243" s="1">
        <v>13.9</v>
      </c>
      <c r="AZ1243" s="1">
        <v>14.3</v>
      </c>
      <c r="BA1243" s="1">
        <v>16.3</v>
      </c>
      <c r="BB1243" s="1">
        <v>2.93</v>
      </c>
      <c r="BC1243" s="1" t="s">
        <v>2143</v>
      </c>
      <c r="BD1243" s="1">
        <v>9.0</v>
      </c>
      <c r="BE1243" s="1">
        <v>36.8</v>
      </c>
      <c r="BF1243" s="1">
        <v>33.2</v>
      </c>
      <c r="BG1243" s="1">
        <v>21.0</v>
      </c>
      <c r="BH1243" s="1" t="s">
        <v>2164</v>
      </c>
    </row>
    <row r="1244">
      <c r="A1244" s="1">
        <v>26027.0</v>
      </c>
      <c r="B1244" s="2" t="str">
        <f>IFERROR(__xludf.DUMMYFUNCTION("TO_TEXT(A1244)"),"26027")</f>
        <v>26027</v>
      </c>
      <c r="C1244" s="1">
        <v>51795.0</v>
      </c>
      <c r="D1244" s="1">
        <v>490.100362510566</v>
      </c>
      <c r="E1244" s="1" t="s">
        <v>1164</v>
      </c>
      <c r="F1244" s="1" t="s">
        <v>2165</v>
      </c>
      <c r="G1244" s="1">
        <v>105.682435602939</v>
      </c>
      <c r="H1244" s="1">
        <v>14.501142904</v>
      </c>
      <c r="I1244" s="1">
        <v>4.08401836449999</v>
      </c>
      <c r="J1244" s="1">
        <v>7.8775857183</v>
      </c>
      <c r="K1244" s="1">
        <v>16.491718519</v>
      </c>
      <c r="L1244" s="1">
        <v>39.8</v>
      </c>
      <c r="M1244" s="1">
        <v>8.3</v>
      </c>
      <c r="N1244" s="1">
        <v>29.8</v>
      </c>
      <c r="O1244" s="1">
        <v>61.937544222</v>
      </c>
      <c r="P1244" s="1">
        <v>7.2215331183</v>
      </c>
      <c r="Q1244" s="1">
        <v>19.46245</v>
      </c>
      <c r="R1244" s="1">
        <v>89.910313901</v>
      </c>
      <c r="S1244" s="1">
        <v>17.3</v>
      </c>
      <c r="T1244" s="1">
        <v>10715.0</v>
      </c>
      <c r="U1244" s="1">
        <v>32.655156323</v>
      </c>
      <c r="V1244" s="1">
        <v>223.3723781</v>
      </c>
      <c r="W1244" s="1">
        <v>12.916769573</v>
      </c>
      <c r="X1244" s="1">
        <v>10.978233675</v>
      </c>
      <c r="Y1244" s="1">
        <v>78.163888659</v>
      </c>
      <c r="Z1244" s="1">
        <v>18.7</v>
      </c>
      <c r="AA1244" s="1">
        <v>2.6960027156</v>
      </c>
      <c r="AB1244" s="1">
        <v>55978.0</v>
      </c>
      <c r="AC1244" s="1">
        <v>55.632920206</v>
      </c>
      <c r="AD1244" s="1">
        <v>80.479501319</v>
      </c>
      <c r="AE1244" s="1">
        <v>9.2597252277</v>
      </c>
      <c r="AF1244" s="1">
        <v>5.0258455462</v>
      </c>
      <c r="AG1244" s="1">
        <v>1.2390374228</v>
      </c>
      <c r="AH1244" s="1">
        <v>0.816990300699999</v>
      </c>
      <c r="AI1244" s="1">
        <v>0.0638878671</v>
      </c>
      <c r="AJ1244" s="1">
        <v>3.9707277409</v>
      </c>
      <c r="AK1244" s="1">
        <v>86.281532534</v>
      </c>
      <c r="AL1244" s="1">
        <v>0.2576318318</v>
      </c>
      <c r="AM1244" s="1">
        <v>49.8209203719999</v>
      </c>
      <c r="AN1244" s="1">
        <v>71.181611306</v>
      </c>
      <c r="AO1244" s="1">
        <v>25955.0</v>
      </c>
      <c r="AP1244" s="1">
        <v>14.9</v>
      </c>
      <c r="AQ1244" s="1">
        <v>8.9</v>
      </c>
      <c r="AR1244" s="1">
        <v>12.2</v>
      </c>
      <c r="AS1244" s="1">
        <v>19.2</v>
      </c>
      <c r="AT1244" s="1">
        <v>21.4</v>
      </c>
      <c r="AU1244" s="1">
        <v>17.3</v>
      </c>
      <c r="AV1244" s="1">
        <v>13.3</v>
      </c>
      <c r="AW1244" s="1">
        <v>0.4</v>
      </c>
      <c r="AX1244" s="1">
        <v>0.3588</v>
      </c>
      <c r="AY1244" s="1">
        <v>14.8</v>
      </c>
      <c r="AZ1244" s="1">
        <v>12.5</v>
      </c>
      <c r="BA1244" s="1">
        <v>14.5</v>
      </c>
      <c r="BB1244" s="1">
        <v>3.3</v>
      </c>
      <c r="BC1244" s="1" t="s">
        <v>2143</v>
      </c>
      <c r="BD1244" s="1">
        <v>12.3</v>
      </c>
      <c r="BE1244" s="1">
        <v>33.2</v>
      </c>
      <c r="BF1244" s="1">
        <v>35.4</v>
      </c>
      <c r="BG1244" s="1">
        <v>19.2</v>
      </c>
      <c r="BH1244" s="1" t="s">
        <v>2165</v>
      </c>
    </row>
    <row r="1245">
      <c r="A1245" s="1">
        <v>26029.0</v>
      </c>
      <c r="B1245" s="2" t="str">
        <f>IFERROR(__xludf.DUMMYFUNCTION("TO_TEXT(A1245)"),"26029")</f>
        <v>26029</v>
      </c>
      <c r="C1245" s="1">
        <v>26172.0</v>
      </c>
      <c r="D1245" s="1">
        <v>416.34334069399</v>
      </c>
      <c r="E1245" s="1" t="s">
        <v>2166</v>
      </c>
      <c r="F1245" s="1" t="s">
        <v>2167</v>
      </c>
      <c r="G1245" s="1">
        <v>62.8615794751867</v>
      </c>
      <c r="H1245" s="1">
        <v>12.95207101</v>
      </c>
      <c r="I1245" s="1">
        <v>4.10437809389999</v>
      </c>
      <c r="J1245" s="1">
        <v>5.8787507655</v>
      </c>
      <c r="K1245" s="1">
        <v>15.422152828</v>
      </c>
      <c r="L1245" s="1">
        <v>34.9</v>
      </c>
      <c r="M1245" s="1">
        <v>8.5</v>
      </c>
      <c r="N1245" s="1">
        <v>17.2</v>
      </c>
      <c r="O1245" s="1">
        <v>83.775868049</v>
      </c>
      <c r="P1245" s="1">
        <v>6.3711911357</v>
      </c>
      <c r="Q1245" s="1">
        <v>87.99112</v>
      </c>
      <c r="R1245" s="1">
        <v>91.902834008</v>
      </c>
      <c r="S1245" s="1">
        <v>16.0</v>
      </c>
      <c r="T1245" s="1">
        <v>5056.0</v>
      </c>
      <c r="U1245" s="1">
        <v>28.283227848</v>
      </c>
      <c r="V1245" s="1">
        <v>158.08319366</v>
      </c>
      <c r="W1245" s="1">
        <v>12.31326392</v>
      </c>
      <c r="X1245" s="1">
        <v>11.238008223</v>
      </c>
      <c r="Y1245" s="1">
        <v>79.930377516</v>
      </c>
      <c r="Z1245" s="1">
        <v>12.5</v>
      </c>
      <c r="AA1245" s="1">
        <v>1.588880135</v>
      </c>
      <c r="AB1245" s="1">
        <v>54491.0</v>
      </c>
      <c r="AC1245" s="1">
        <v>50.485436893</v>
      </c>
      <c r="AD1245" s="1">
        <v>81.263731435</v>
      </c>
      <c r="AE1245" s="1">
        <v>9.4923536332</v>
      </c>
      <c r="AF1245" s="1">
        <v>0.4839201341</v>
      </c>
      <c r="AG1245" s="1">
        <v>1.61941777169999</v>
      </c>
      <c r="AH1245" s="1">
        <v>0.5715592135</v>
      </c>
      <c r="AI1245" s="1">
        <v>0.0533455266</v>
      </c>
      <c r="AJ1245" s="1">
        <v>2.1109586953</v>
      </c>
      <c r="AK1245" s="1">
        <v>93.731900625</v>
      </c>
      <c r="AL1245" s="1">
        <v>0.2994011976</v>
      </c>
      <c r="AM1245" s="1">
        <v>50.5105928969999</v>
      </c>
      <c r="AN1245" s="1">
        <v>70.403483757</v>
      </c>
      <c r="AO1245" s="1">
        <v>29581.0</v>
      </c>
      <c r="AP1245" s="1">
        <v>12.4</v>
      </c>
      <c r="AQ1245" s="1">
        <v>7.5</v>
      </c>
      <c r="AR1245" s="1">
        <v>7.3</v>
      </c>
      <c r="AS1245" s="1">
        <v>21.4</v>
      </c>
      <c r="AT1245" s="1">
        <v>20.3</v>
      </c>
      <c r="AU1245" s="1">
        <v>15.0</v>
      </c>
      <c r="AV1245" s="1">
        <v>5.9</v>
      </c>
      <c r="AW1245" s="1">
        <v>0.1</v>
      </c>
      <c r="AX1245" s="1">
        <v>0.1477</v>
      </c>
      <c r="AY1245" s="1">
        <v>9.7</v>
      </c>
      <c r="AZ1245" s="1">
        <v>11.7</v>
      </c>
      <c r="BA1245" s="1">
        <v>13.4</v>
      </c>
      <c r="BB1245" s="1">
        <v>3.71</v>
      </c>
      <c r="BC1245" s="1" t="s">
        <v>2143</v>
      </c>
      <c r="BD1245" s="1">
        <v>6.0</v>
      </c>
      <c r="BE1245" s="1">
        <v>29.7</v>
      </c>
      <c r="BF1245" s="1">
        <v>33.2</v>
      </c>
      <c r="BG1245" s="1">
        <v>31.1</v>
      </c>
      <c r="BH1245" s="1" t="s">
        <v>2167</v>
      </c>
    </row>
    <row r="1246">
      <c r="A1246" s="1">
        <v>26031.0</v>
      </c>
      <c r="B1246" s="2" t="str">
        <f>IFERROR(__xludf.DUMMYFUNCTION("TO_TEXT(A1246)"),"26031")</f>
        <v>26031</v>
      </c>
      <c r="C1246" s="1">
        <v>25579.0</v>
      </c>
      <c r="D1246" s="1">
        <v>715.264867400826</v>
      </c>
      <c r="E1246" s="1" t="s">
        <v>2168</v>
      </c>
      <c r="F1246" s="1" t="s">
        <v>2169</v>
      </c>
      <c r="G1246" s="1">
        <v>35.7615775159635</v>
      </c>
      <c r="H1246" s="1">
        <v>15.003031267</v>
      </c>
      <c r="I1246" s="1">
        <v>4.4102012509</v>
      </c>
      <c r="J1246" s="1">
        <v>7.1932299013</v>
      </c>
      <c r="K1246" s="1">
        <v>17.531842858</v>
      </c>
      <c r="L1246" s="1">
        <v>30.3</v>
      </c>
      <c r="M1246" s="1">
        <v>7.4</v>
      </c>
      <c r="N1246" s="1">
        <v>26.5</v>
      </c>
      <c r="O1246" s="1">
        <v>78.093453656</v>
      </c>
      <c r="P1246" s="1">
        <v>8.289985216</v>
      </c>
      <c r="Q1246" s="1">
        <v>59.12728</v>
      </c>
      <c r="R1246" s="1">
        <v>86.757990868</v>
      </c>
      <c r="S1246" s="1">
        <v>25.9</v>
      </c>
      <c r="T1246" s="1">
        <v>4226.0</v>
      </c>
      <c r="U1246" s="1">
        <v>27.946048273</v>
      </c>
      <c r="V1246" s="1">
        <v>133.4694198</v>
      </c>
      <c r="W1246" s="1">
        <v>12.069736254</v>
      </c>
      <c r="X1246" s="1">
        <v>11.086657497</v>
      </c>
      <c r="Y1246" s="1">
        <v>78.778456217</v>
      </c>
      <c r="Z1246" s="1">
        <v>17.7</v>
      </c>
      <c r="AA1246" s="1">
        <v>5.893783178</v>
      </c>
      <c r="AB1246" s="1">
        <v>48589.0</v>
      </c>
      <c r="AC1246" s="1">
        <v>62.683284457</v>
      </c>
      <c r="AD1246" s="1">
        <v>82.37657352</v>
      </c>
      <c r="AE1246" s="1">
        <v>10.343219549</v>
      </c>
      <c r="AF1246" s="1">
        <v>0.6217290363</v>
      </c>
      <c r="AG1246" s="1">
        <v>2.9551804195</v>
      </c>
      <c r="AH1246" s="1">
        <v>0.4289143352</v>
      </c>
      <c r="AI1246" s="1">
        <v>0.0511549207</v>
      </c>
      <c r="AJ1246" s="1">
        <v>1.4913626884</v>
      </c>
      <c r="AK1246" s="1">
        <v>92.0001574</v>
      </c>
      <c r="AL1246" s="1">
        <v>0.2245906325</v>
      </c>
      <c r="AM1246" s="1">
        <v>50.131822296</v>
      </c>
      <c r="AN1246" s="1">
        <v>82.72789844</v>
      </c>
      <c r="AO1246" s="1">
        <v>24220.0</v>
      </c>
      <c r="AP1246" s="1">
        <v>18.6</v>
      </c>
      <c r="AQ1246" s="1">
        <v>12.6</v>
      </c>
      <c r="AR1246" s="1">
        <v>11.2</v>
      </c>
      <c r="AS1246" s="1">
        <v>24.7</v>
      </c>
      <c r="AT1246" s="1">
        <v>17.9</v>
      </c>
      <c r="AU1246" s="1">
        <v>20.1</v>
      </c>
      <c r="AV1246" s="1">
        <v>7.7</v>
      </c>
      <c r="AW1246" s="1">
        <v>0.3</v>
      </c>
      <c r="AX1246" s="1">
        <v>0.4199</v>
      </c>
      <c r="AY1246" s="1">
        <v>14.9</v>
      </c>
      <c r="AZ1246" s="1">
        <v>16.2</v>
      </c>
      <c r="BA1246" s="1">
        <v>22.9</v>
      </c>
      <c r="BB1246" s="1">
        <v>2.99</v>
      </c>
      <c r="BC1246" s="1" t="s">
        <v>2143</v>
      </c>
      <c r="BD1246" s="1">
        <v>9.9</v>
      </c>
      <c r="BE1246" s="1">
        <v>38.0</v>
      </c>
      <c r="BF1246" s="1">
        <v>31.4</v>
      </c>
      <c r="BG1246" s="1">
        <v>20.7</v>
      </c>
      <c r="BH1246" s="1" t="s">
        <v>2169</v>
      </c>
    </row>
    <row r="1247">
      <c r="A1247" s="1">
        <v>26033.0</v>
      </c>
      <c r="B1247" s="2" t="str">
        <f>IFERROR(__xludf.DUMMYFUNCTION("TO_TEXT(A1247)"),"26033")</f>
        <v>26033</v>
      </c>
      <c r="C1247" s="1">
        <v>38330.0</v>
      </c>
      <c r="D1247" s="1">
        <v>1558.42945783725</v>
      </c>
      <c r="E1247" s="1" t="s">
        <v>2170</v>
      </c>
      <c r="F1247" s="1" t="s">
        <v>2171</v>
      </c>
      <c r="G1247" s="1">
        <v>24.5952743046794</v>
      </c>
      <c r="H1247" s="1">
        <v>18.503666075</v>
      </c>
      <c r="I1247" s="1">
        <v>4.5991289624</v>
      </c>
      <c r="J1247" s="1">
        <v>5.9142024157</v>
      </c>
      <c r="K1247" s="1">
        <v>21.610632823</v>
      </c>
      <c r="L1247" s="1">
        <v>40.5</v>
      </c>
      <c r="M1247" s="1">
        <v>7.1</v>
      </c>
      <c r="N1247" s="1">
        <v>30.5</v>
      </c>
      <c r="O1247" s="1">
        <v>85.503634476</v>
      </c>
      <c r="P1247" s="1">
        <v>9.3312186096</v>
      </c>
      <c r="Q1247" s="1">
        <v>60.99016</v>
      </c>
      <c r="R1247" s="1">
        <v>87.5</v>
      </c>
      <c r="S1247" s="1">
        <v>22.4</v>
      </c>
      <c r="T1247" s="1">
        <v>7014.0</v>
      </c>
      <c r="U1247" s="1">
        <v>34.017678928</v>
      </c>
      <c r="V1247" s="1">
        <v>288.13934993</v>
      </c>
      <c r="W1247" s="1">
        <v>13.376483279</v>
      </c>
      <c r="X1247" s="1">
        <v>11.8502362779999</v>
      </c>
      <c r="Y1247" s="1">
        <v>78.919421515</v>
      </c>
      <c r="Z1247" s="1">
        <v>12.5</v>
      </c>
      <c r="AA1247" s="1">
        <v>8.0976553139</v>
      </c>
      <c r="AB1247" s="1">
        <v>47380.0</v>
      </c>
      <c r="AC1247" s="1">
        <v>58.337349398</v>
      </c>
      <c r="AD1247" s="1">
        <v>69.208315535</v>
      </c>
      <c r="AE1247" s="1">
        <v>11.689369263</v>
      </c>
      <c r="AF1247" s="1">
        <v>6.615667564</v>
      </c>
      <c r="AG1247" s="1">
        <v>16.083375536</v>
      </c>
      <c r="AH1247" s="1">
        <v>0.9835541221</v>
      </c>
      <c r="AI1247" s="1">
        <v>0.0613055415</v>
      </c>
      <c r="AJ1247" s="1">
        <v>1.9937628275</v>
      </c>
      <c r="AK1247" s="1">
        <v>69.565796839</v>
      </c>
      <c r="AL1247" s="1">
        <v>0.4667703934</v>
      </c>
      <c r="AM1247" s="1">
        <v>44.7956926189999</v>
      </c>
      <c r="AN1247" s="1">
        <v>48.938213915</v>
      </c>
      <c r="AO1247" s="1">
        <v>20839.0</v>
      </c>
      <c r="AP1247" s="1">
        <v>17.7</v>
      </c>
      <c r="AQ1247" s="1">
        <v>10.1</v>
      </c>
      <c r="AR1247" s="1">
        <v>10.5</v>
      </c>
      <c r="AS1247" s="1">
        <v>16.2</v>
      </c>
      <c r="AT1247" s="1">
        <v>19.1</v>
      </c>
      <c r="AU1247" s="1">
        <v>17.4</v>
      </c>
      <c r="AV1247" s="1">
        <v>29.6</v>
      </c>
      <c r="AW1247" s="1">
        <v>0.3</v>
      </c>
      <c r="AX1247" s="1">
        <v>0.6243</v>
      </c>
      <c r="AY1247" s="1">
        <v>18.3</v>
      </c>
      <c r="AZ1247" s="1">
        <v>16.2</v>
      </c>
      <c r="BA1247" s="1">
        <v>20.8</v>
      </c>
      <c r="BB1247" s="1">
        <v>2.99</v>
      </c>
      <c r="BC1247" s="1" t="s">
        <v>2143</v>
      </c>
      <c r="BD1247" s="1">
        <v>10.0</v>
      </c>
      <c r="BE1247" s="1">
        <v>34.1</v>
      </c>
      <c r="BF1247" s="1">
        <v>34.7</v>
      </c>
      <c r="BG1247" s="1">
        <v>21.2</v>
      </c>
      <c r="BH1247" s="1" t="s">
        <v>2171</v>
      </c>
    </row>
    <row r="1248">
      <c r="A1248" s="1">
        <v>26035.0</v>
      </c>
      <c r="B1248" s="2" t="str">
        <f>IFERROR(__xludf.DUMMYFUNCTION("TO_TEXT(A1248)"),"26035")</f>
        <v>26035</v>
      </c>
      <c r="C1248" s="1">
        <v>30608.0</v>
      </c>
      <c r="D1248" s="1">
        <v>564.33506740493</v>
      </c>
      <c r="E1248" s="1" t="s">
        <v>2172</v>
      </c>
      <c r="F1248" s="1" t="s">
        <v>2173</v>
      </c>
      <c r="G1248" s="1">
        <v>54.2372816574195</v>
      </c>
      <c r="H1248" s="1">
        <v>17.162905772</v>
      </c>
      <c r="I1248" s="1">
        <v>4.63293307339999</v>
      </c>
      <c r="J1248" s="1">
        <v>6.52463382159999</v>
      </c>
      <c r="K1248" s="1">
        <v>20.224785458</v>
      </c>
      <c r="L1248" s="1">
        <v>37.3</v>
      </c>
      <c r="M1248" s="1">
        <v>7.7</v>
      </c>
      <c r="N1248" s="1">
        <v>31.2</v>
      </c>
      <c r="O1248" s="1">
        <v>65.792537024</v>
      </c>
      <c r="P1248" s="1">
        <v>8.009898411</v>
      </c>
      <c r="Q1248" s="1">
        <v>32.62323</v>
      </c>
      <c r="R1248" s="1">
        <v>88.620689655</v>
      </c>
      <c r="S1248" s="1">
        <v>32.4</v>
      </c>
      <c r="T1248" s="1">
        <v>6031.0</v>
      </c>
      <c r="U1248" s="1">
        <v>29.6634057369999</v>
      </c>
      <c r="V1248" s="1">
        <v>349.52412209</v>
      </c>
      <c r="W1248" s="1">
        <v>16.756965944</v>
      </c>
      <c r="X1248" s="1">
        <v>14.493322859</v>
      </c>
      <c r="Y1248" s="1">
        <v>75.052810825</v>
      </c>
      <c r="Z1248" s="1">
        <v>16.7</v>
      </c>
      <c r="AA1248" s="1">
        <v>1.69559206539999</v>
      </c>
      <c r="AB1248" s="1">
        <v>39394.0</v>
      </c>
      <c r="AC1248" s="1">
        <v>64.061054579</v>
      </c>
      <c r="AD1248" s="1">
        <v>81.500886668</v>
      </c>
      <c r="AE1248" s="1">
        <v>13.752620545</v>
      </c>
      <c r="AF1248" s="1">
        <v>0.708781740699999</v>
      </c>
      <c r="AG1248" s="1">
        <v>0.855089898199999</v>
      </c>
      <c r="AH1248" s="1">
        <v>0.3088727769</v>
      </c>
      <c r="AI1248" s="1">
        <v>0.0357642163</v>
      </c>
      <c r="AJ1248" s="1">
        <v>2.0288064506</v>
      </c>
      <c r="AK1248" s="1">
        <v>94.726403745</v>
      </c>
      <c r="AL1248" s="1">
        <v>0.57995029</v>
      </c>
      <c r="AM1248" s="1">
        <v>50.011379523</v>
      </c>
      <c r="AN1248" s="1">
        <v>70.642824808</v>
      </c>
      <c r="AO1248" s="1">
        <v>20418.0</v>
      </c>
      <c r="AP1248" s="1">
        <v>24.2</v>
      </c>
      <c r="AQ1248" s="1">
        <v>12.5</v>
      </c>
      <c r="AR1248" s="1">
        <v>15.9</v>
      </c>
      <c r="AS1248" s="1">
        <v>21.9</v>
      </c>
      <c r="AT1248" s="1">
        <v>20.1</v>
      </c>
      <c r="AU1248" s="1">
        <v>21.7</v>
      </c>
      <c r="AV1248" s="1">
        <v>4.9</v>
      </c>
      <c r="AW1248" s="1">
        <v>0.5</v>
      </c>
      <c r="AX1248" s="1">
        <v>0.7765</v>
      </c>
      <c r="AY1248" s="1">
        <v>19.6</v>
      </c>
      <c r="AZ1248" s="1">
        <v>18.1</v>
      </c>
      <c r="BA1248" s="1">
        <v>25.0</v>
      </c>
      <c r="BB1248" s="1">
        <v>3.26</v>
      </c>
      <c r="BC1248" s="1" t="s">
        <v>2143</v>
      </c>
      <c r="BD1248" s="1">
        <v>15.5</v>
      </c>
      <c r="BE1248" s="1">
        <v>36.6</v>
      </c>
      <c r="BF1248" s="1">
        <v>35.3</v>
      </c>
      <c r="BG1248" s="1">
        <v>12.6</v>
      </c>
      <c r="BH1248" s="1" t="s">
        <v>2173</v>
      </c>
    </row>
    <row r="1249">
      <c r="A1249" s="1">
        <v>26037.0</v>
      </c>
      <c r="B1249" s="2" t="str">
        <f>IFERROR(__xludf.DUMMYFUNCTION("TO_TEXT(A1249)"),"26037")</f>
        <v>26037</v>
      </c>
      <c r="C1249" s="1">
        <v>77245.0</v>
      </c>
      <c r="D1249" s="1">
        <v>566.408414295422</v>
      </c>
      <c r="E1249" s="1" t="s">
        <v>1172</v>
      </c>
      <c r="F1249" s="1" t="s">
        <v>2174</v>
      </c>
      <c r="G1249" s="1">
        <v>136.376858200612</v>
      </c>
      <c r="H1249" s="1">
        <v>12.3069587759999</v>
      </c>
      <c r="I1249" s="1">
        <v>3.9698832735</v>
      </c>
      <c r="J1249" s="1">
        <v>6.0275962237</v>
      </c>
      <c r="K1249" s="1">
        <v>15.278114989</v>
      </c>
      <c r="L1249" s="1">
        <v>34.1</v>
      </c>
      <c r="M1249" s="1">
        <v>8.4</v>
      </c>
      <c r="N1249" s="1">
        <v>23.7</v>
      </c>
      <c r="O1249" s="1">
        <v>72.332917673</v>
      </c>
      <c r="P1249" s="1">
        <v>4.5972279402</v>
      </c>
      <c r="Q1249" s="1">
        <v>31.87028</v>
      </c>
      <c r="R1249" s="1">
        <v>94.849246231</v>
      </c>
      <c r="S1249" s="1">
        <v>8.6</v>
      </c>
      <c r="T1249" s="1">
        <v>17469.0</v>
      </c>
      <c r="U1249" s="1">
        <v>19.892380789</v>
      </c>
      <c r="V1249" s="1">
        <v>94.25253223</v>
      </c>
      <c r="W1249" s="1">
        <v>10.269709544</v>
      </c>
      <c r="X1249" s="1">
        <v>9.2605510987</v>
      </c>
      <c r="Y1249" s="1">
        <v>81.460923069</v>
      </c>
      <c r="Z1249" s="1">
        <v>11.4</v>
      </c>
      <c r="AA1249" s="1">
        <v>5.7151576052</v>
      </c>
      <c r="AB1249" s="1">
        <v>70967.0</v>
      </c>
      <c r="AC1249" s="1">
        <v>31.744672755</v>
      </c>
      <c r="AD1249" s="1">
        <v>78.763468271</v>
      </c>
      <c r="AE1249" s="1">
        <v>8.6026748398</v>
      </c>
      <c r="AF1249" s="1">
        <v>1.9046538597</v>
      </c>
      <c r="AG1249" s="1">
        <v>0.5029496294</v>
      </c>
      <c r="AH1249" s="1">
        <v>1.69792769629999</v>
      </c>
      <c r="AI1249" s="1">
        <v>0.0516815409</v>
      </c>
      <c r="AJ1249" s="1">
        <v>4.5391519185</v>
      </c>
      <c r="AK1249" s="1">
        <v>89.647304997</v>
      </c>
      <c r="AL1249" s="1">
        <v>0.5328476083</v>
      </c>
      <c r="AM1249" s="1">
        <v>50.5445469669999</v>
      </c>
      <c r="AN1249" s="1">
        <v>52.92642806</v>
      </c>
      <c r="AO1249" s="1">
        <v>31170.0</v>
      </c>
      <c r="AP1249" s="1">
        <v>11.4</v>
      </c>
      <c r="AQ1249" s="1">
        <v>5.3</v>
      </c>
      <c r="AR1249" s="1">
        <v>6.3</v>
      </c>
      <c r="AS1249" s="1">
        <v>15.4</v>
      </c>
      <c r="AT1249" s="1">
        <v>23.2</v>
      </c>
      <c r="AU1249" s="1">
        <v>11.7</v>
      </c>
      <c r="AV1249" s="1">
        <v>9.6</v>
      </c>
      <c r="AW1249" s="1">
        <v>0.4</v>
      </c>
      <c r="AX1249" s="1">
        <v>0.049</v>
      </c>
      <c r="AY1249" s="1">
        <v>7.8</v>
      </c>
      <c r="AZ1249" s="1">
        <v>9.5</v>
      </c>
      <c r="BA1249" s="1">
        <v>8.7</v>
      </c>
      <c r="BB1249" s="1">
        <v>3.17</v>
      </c>
      <c r="BC1249" s="1" t="s">
        <v>2143</v>
      </c>
      <c r="BD1249" s="1">
        <v>5.5</v>
      </c>
      <c r="BE1249" s="1">
        <v>26.8</v>
      </c>
      <c r="BF1249" s="1">
        <v>35.7</v>
      </c>
      <c r="BG1249" s="1">
        <v>32.1</v>
      </c>
      <c r="BH1249" s="1" t="s">
        <v>2174</v>
      </c>
    </row>
    <row r="1250">
      <c r="A1250" s="1">
        <v>26039.0</v>
      </c>
      <c r="B1250" s="2" t="str">
        <f>IFERROR(__xludf.DUMMYFUNCTION("TO_TEXT(A1250)"),"26039")</f>
        <v>26039</v>
      </c>
      <c r="C1250" s="1">
        <v>13840.0</v>
      </c>
      <c r="D1250" s="1">
        <v>556.281831812044</v>
      </c>
      <c r="E1250" s="1" t="s">
        <v>314</v>
      </c>
      <c r="F1250" s="1" t="s">
        <v>2175</v>
      </c>
      <c r="G1250" s="1">
        <v>24.8794751302902</v>
      </c>
      <c r="H1250" s="1">
        <v>15.173149275</v>
      </c>
      <c r="I1250" s="1">
        <v>4.34240731</v>
      </c>
      <c r="J1250" s="1">
        <v>10.396039604</v>
      </c>
      <c r="K1250" s="1">
        <v>17.845257997</v>
      </c>
      <c r="L1250" s="1">
        <v>32.4</v>
      </c>
      <c r="M1250" s="1">
        <v>7.6</v>
      </c>
      <c r="N1250" s="1">
        <v>23.7</v>
      </c>
      <c r="O1250" s="1">
        <v>99.1544692339999</v>
      </c>
      <c r="P1250" s="1">
        <v>6.543509966</v>
      </c>
      <c r="Q1250" s="1">
        <v>93.4781</v>
      </c>
      <c r="R1250" s="1">
        <v>88.983050847</v>
      </c>
      <c r="S1250" s="1">
        <v>26.1</v>
      </c>
      <c r="T1250" s="1">
        <v>2454.0</v>
      </c>
      <c r="U1250" s="1">
        <v>33.985330073</v>
      </c>
      <c r="V1250" s="1">
        <v>264.25339367</v>
      </c>
      <c r="W1250" s="1">
        <v>13.025556472</v>
      </c>
      <c r="X1250" s="1">
        <v>10.887772194</v>
      </c>
      <c r="Y1250" s="1">
        <v>75.587239926</v>
      </c>
      <c r="Z1250" s="1">
        <v>15.0</v>
      </c>
      <c r="AA1250" s="1">
        <v>6.8954400376</v>
      </c>
      <c r="AB1250" s="1">
        <v>46930.0</v>
      </c>
      <c r="AC1250" s="1">
        <v>59.189842805</v>
      </c>
      <c r="AD1250" s="1">
        <v>81.643790309</v>
      </c>
      <c r="AE1250" s="1">
        <v>11.3049427059999</v>
      </c>
      <c r="AF1250" s="1">
        <v>0.8128911589</v>
      </c>
      <c r="AG1250" s="1">
        <v>0.7553413423</v>
      </c>
      <c r="AH1250" s="1">
        <v>0.762535069399999</v>
      </c>
      <c r="AI1250" s="1">
        <v>0.0359686353</v>
      </c>
      <c r="AJ1250" s="1">
        <v>2.0286310337</v>
      </c>
      <c r="AK1250" s="1">
        <v>94.338536796</v>
      </c>
      <c r="AL1250" s="1">
        <v>0.2040816327</v>
      </c>
      <c r="AM1250" s="1">
        <v>49.197899432</v>
      </c>
      <c r="AN1250" s="1">
        <v>72.587750462</v>
      </c>
      <c r="AO1250" s="1">
        <v>22348.0</v>
      </c>
      <c r="AP1250" s="1">
        <v>17.2</v>
      </c>
      <c r="AQ1250" s="1">
        <v>10.9</v>
      </c>
      <c r="AR1250" s="1">
        <v>12.0</v>
      </c>
      <c r="AS1250" s="1">
        <v>23.7</v>
      </c>
      <c r="AT1250" s="1">
        <v>18.6</v>
      </c>
      <c r="AU1250" s="1">
        <v>19.9</v>
      </c>
      <c r="AV1250" s="1">
        <v>4.7</v>
      </c>
      <c r="AW1250" s="1">
        <v>0.3</v>
      </c>
      <c r="AX1250" s="1">
        <v>0.4556</v>
      </c>
      <c r="AY1250" s="1">
        <v>14.0</v>
      </c>
      <c r="AZ1250" s="1">
        <v>15.1</v>
      </c>
      <c r="BA1250" s="1">
        <v>18.3</v>
      </c>
      <c r="BB1250" s="1">
        <v>2.87</v>
      </c>
      <c r="BC1250" s="1" t="s">
        <v>2143</v>
      </c>
      <c r="BD1250" s="1">
        <v>10.1</v>
      </c>
      <c r="BE1250" s="1">
        <v>33.0</v>
      </c>
      <c r="BF1250" s="1">
        <v>37.5</v>
      </c>
      <c r="BG1250" s="1">
        <v>19.4</v>
      </c>
      <c r="BH1250" s="1" t="s">
        <v>2175</v>
      </c>
    </row>
    <row r="1251">
      <c r="A1251" s="1">
        <v>26041.0</v>
      </c>
      <c r="B1251" s="2" t="str">
        <f>IFERROR(__xludf.DUMMYFUNCTION("TO_TEXT(A1251)"),"26041")</f>
        <v>26041</v>
      </c>
      <c r="C1251" s="1">
        <v>36570.0</v>
      </c>
      <c r="D1251" s="1">
        <v>1171.0933341458</v>
      </c>
      <c r="E1251" s="1" t="s">
        <v>563</v>
      </c>
      <c r="F1251" s="1" t="s">
        <v>2176</v>
      </c>
      <c r="G1251" s="1">
        <v>31.2272292341873</v>
      </c>
      <c r="H1251" s="1">
        <v>15.796926183</v>
      </c>
      <c r="I1251" s="1">
        <v>4.4151487132</v>
      </c>
      <c r="J1251" s="1">
        <v>7.0771691323</v>
      </c>
      <c r="K1251" s="1">
        <v>17.399183296</v>
      </c>
      <c r="L1251" s="1">
        <v>35.8</v>
      </c>
      <c r="M1251" s="1">
        <v>7.6</v>
      </c>
      <c r="N1251" s="1">
        <v>22.7</v>
      </c>
      <c r="O1251" s="1">
        <v>93.2935876339999</v>
      </c>
      <c r="P1251" s="1">
        <v>6.454699345</v>
      </c>
      <c r="Q1251" s="1">
        <v>75.07299</v>
      </c>
      <c r="R1251" s="1">
        <v>73.70030581</v>
      </c>
      <c r="S1251" s="1">
        <v>17.4</v>
      </c>
      <c r="T1251" s="1">
        <v>7198.0</v>
      </c>
      <c r="U1251" s="1">
        <v>38.246735204</v>
      </c>
      <c r="V1251" s="1">
        <v>187.35811384</v>
      </c>
      <c r="W1251" s="1">
        <v>13.7211508059999</v>
      </c>
      <c r="X1251" s="1">
        <v>12.171684817</v>
      </c>
      <c r="Y1251" s="1">
        <v>78.3532158439999</v>
      </c>
      <c r="Z1251" s="1">
        <v>14.4</v>
      </c>
      <c r="AA1251" s="1">
        <v>8.3831317386</v>
      </c>
      <c r="AB1251" s="1">
        <v>49292.0</v>
      </c>
      <c r="AC1251" s="1">
        <v>49.124270225</v>
      </c>
      <c r="AD1251" s="1">
        <v>79.4720672139999</v>
      </c>
      <c r="AE1251" s="1">
        <v>10.966410934</v>
      </c>
      <c r="AF1251" s="1">
        <v>0.3513958223</v>
      </c>
      <c r="AG1251" s="1">
        <v>2.6466240901</v>
      </c>
      <c r="AH1251" s="1">
        <v>0.4880497532</v>
      </c>
      <c r="AI1251" s="1">
        <v>0.0250997016</v>
      </c>
      <c r="AJ1251" s="1">
        <v>1.3944278662</v>
      </c>
      <c r="AK1251" s="1">
        <v>92.8521627579999</v>
      </c>
      <c r="AL1251" s="1">
        <v>0.1367630798</v>
      </c>
      <c r="AM1251" s="1">
        <v>50.336057116</v>
      </c>
      <c r="AN1251" s="1">
        <v>43.7535406939999</v>
      </c>
      <c r="AO1251" s="1">
        <v>24182.0</v>
      </c>
      <c r="AP1251" s="1">
        <v>16.6</v>
      </c>
      <c r="AQ1251" s="1">
        <v>7.5</v>
      </c>
      <c r="AR1251" s="1">
        <v>7.4</v>
      </c>
      <c r="AS1251" s="1">
        <v>21.2</v>
      </c>
      <c r="AT1251" s="1">
        <v>20.4</v>
      </c>
      <c r="AU1251" s="1">
        <v>18.2</v>
      </c>
      <c r="AV1251" s="1">
        <v>6.5</v>
      </c>
      <c r="AW1251" s="1">
        <v>0.1</v>
      </c>
      <c r="AX1251" s="1">
        <v>0.3862</v>
      </c>
      <c r="AY1251" s="1">
        <v>13.8</v>
      </c>
      <c r="AZ1251" s="1">
        <v>13.8</v>
      </c>
      <c r="BA1251" s="1">
        <v>16.0</v>
      </c>
      <c r="BB1251" s="1">
        <v>2.78</v>
      </c>
      <c r="BC1251" s="1" t="s">
        <v>2143</v>
      </c>
      <c r="BD1251" s="1">
        <v>5.9</v>
      </c>
      <c r="BE1251" s="1">
        <v>33.8</v>
      </c>
      <c r="BF1251" s="1">
        <v>39.4</v>
      </c>
      <c r="BG1251" s="1">
        <v>21.0</v>
      </c>
      <c r="BH1251" s="1" t="s">
        <v>2176</v>
      </c>
    </row>
    <row r="1252">
      <c r="A1252" s="1">
        <v>26043.0</v>
      </c>
      <c r="B1252" s="2" t="str">
        <f>IFERROR(__xludf.DUMMYFUNCTION("TO_TEXT(A1252)"),"26043")</f>
        <v>26043</v>
      </c>
      <c r="C1252" s="1">
        <v>25889.0</v>
      </c>
      <c r="D1252" s="1">
        <v>761.400409667436</v>
      </c>
      <c r="E1252" s="1" t="s">
        <v>1485</v>
      </c>
      <c r="F1252" s="1" t="s">
        <v>2177</v>
      </c>
      <c r="G1252" s="1">
        <v>34.0018204236425</v>
      </c>
      <c r="H1252" s="1">
        <v>15.133066067</v>
      </c>
      <c r="I1252" s="1">
        <v>4.301554316</v>
      </c>
      <c r="J1252" s="1">
        <v>7.85077951</v>
      </c>
      <c r="K1252" s="1">
        <v>17.76838109</v>
      </c>
      <c r="L1252" s="1">
        <v>24.4</v>
      </c>
      <c r="M1252" s="1">
        <v>7.4</v>
      </c>
      <c r="N1252" s="1">
        <v>21.0</v>
      </c>
      <c r="O1252" s="1">
        <v>89.273158056</v>
      </c>
      <c r="P1252" s="1">
        <v>5.9984813971</v>
      </c>
      <c r="Q1252" s="1">
        <v>90.49774</v>
      </c>
      <c r="R1252" s="1">
        <v>89.1385767789999</v>
      </c>
      <c r="S1252" s="1">
        <v>15.1</v>
      </c>
      <c r="T1252" s="1">
        <v>4966.0</v>
      </c>
      <c r="U1252" s="1">
        <v>30.346355215</v>
      </c>
      <c r="V1252" s="1">
        <v>204.509002055</v>
      </c>
      <c r="W1252" s="1">
        <v>13.243847875</v>
      </c>
      <c r="X1252" s="1">
        <v>11.9474637679999</v>
      </c>
      <c r="Y1252" s="1">
        <v>78.937286034</v>
      </c>
      <c r="Z1252" s="1">
        <v>11.7</v>
      </c>
      <c r="AA1252" s="1">
        <v>11.461844881</v>
      </c>
      <c r="AB1252" s="1">
        <v>52348.0</v>
      </c>
      <c r="AC1252" s="1">
        <v>46.100241222</v>
      </c>
      <c r="AD1252" s="1">
        <v>77.730675566</v>
      </c>
      <c r="AE1252" s="1">
        <v>11.106983655</v>
      </c>
      <c r="AF1252" s="1">
        <v>0.4963952252</v>
      </c>
      <c r="AG1252" s="1">
        <v>0.9770318717</v>
      </c>
      <c r="AH1252" s="1">
        <v>0.5988259859</v>
      </c>
      <c r="AI1252" s="1">
        <v>0.0630343142999999</v>
      </c>
      <c r="AJ1252" s="1">
        <v>1.6310128826</v>
      </c>
      <c r="AK1252" s="1">
        <v>95.099082063</v>
      </c>
      <c r="AL1252" s="1">
        <v>0.1974414874</v>
      </c>
      <c r="AM1252" s="1">
        <v>49.8759011939999</v>
      </c>
      <c r="AN1252" s="1">
        <v>32.765209416</v>
      </c>
      <c r="AO1252" s="1">
        <v>25136.0</v>
      </c>
      <c r="AP1252" s="1">
        <v>14.6</v>
      </c>
      <c r="AQ1252" s="1">
        <v>6.9</v>
      </c>
      <c r="AR1252" s="1">
        <v>6.4</v>
      </c>
      <c r="AS1252" s="1">
        <v>20.7</v>
      </c>
      <c r="AT1252" s="1">
        <v>20.1</v>
      </c>
      <c r="AU1252" s="1">
        <v>17.7</v>
      </c>
      <c r="AV1252" s="1">
        <v>4.2</v>
      </c>
      <c r="AW1252" s="1">
        <v>0.1</v>
      </c>
      <c r="AX1252" s="1">
        <v>0.2254</v>
      </c>
      <c r="AY1252" s="1">
        <v>9.9</v>
      </c>
      <c r="AZ1252" s="1">
        <v>13.1</v>
      </c>
      <c r="BA1252" s="1">
        <v>13.9</v>
      </c>
      <c r="BB1252" s="1">
        <v>3.36</v>
      </c>
      <c r="BC1252" s="1" t="s">
        <v>2143</v>
      </c>
      <c r="BD1252" s="1">
        <v>5.0</v>
      </c>
      <c r="BE1252" s="1">
        <v>33.2</v>
      </c>
      <c r="BF1252" s="1">
        <v>36.1</v>
      </c>
      <c r="BG1252" s="1">
        <v>25.7</v>
      </c>
      <c r="BH1252" s="1" t="s">
        <v>2177</v>
      </c>
    </row>
    <row r="1253">
      <c r="A1253" s="1">
        <v>26045.0</v>
      </c>
      <c r="B1253" s="2" t="str">
        <f>IFERROR(__xludf.DUMMYFUNCTION("TO_TEXT(A1253)"),"26045")</f>
        <v>26045</v>
      </c>
      <c r="C1253" s="1">
        <v>108544.0</v>
      </c>
      <c r="D1253" s="1">
        <v>575.177529328548</v>
      </c>
      <c r="E1253" s="1" t="s">
        <v>2178</v>
      </c>
      <c r="F1253" s="1" t="s">
        <v>2179</v>
      </c>
      <c r="G1253" s="1">
        <v>188.713909124218</v>
      </c>
      <c r="H1253" s="1">
        <v>14.071035291</v>
      </c>
      <c r="I1253" s="1">
        <v>4.0027301495</v>
      </c>
      <c r="J1253" s="1">
        <v>6.957949236</v>
      </c>
      <c r="K1253" s="1">
        <v>17.176635533</v>
      </c>
      <c r="L1253" s="1">
        <v>37.0</v>
      </c>
      <c r="M1253" s="1">
        <v>7.8</v>
      </c>
      <c r="N1253" s="1">
        <v>22.9</v>
      </c>
      <c r="O1253" s="1">
        <v>71.691459646</v>
      </c>
      <c r="P1253" s="1">
        <v>5.5236411843</v>
      </c>
      <c r="Q1253" s="1">
        <v>33.01934</v>
      </c>
      <c r="R1253" s="1">
        <v>87.18487395</v>
      </c>
      <c r="S1253" s="1">
        <v>12.2</v>
      </c>
      <c r="T1253" s="1">
        <v>22866.0</v>
      </c>
      <c r="U1253" s="1">
        <v>32.664217616</v>
      </c>
      <c r="V1253" s="1">
        <v>244.27466709</v>
      </c>
      <c r="W1253" s="1">
        <v>12.71919836</v>
      </c>
      <c r="X1253" s="1">
        <v>11.006757531</v>
      </c>
      <c r="Y1253" s="1">
        <v>79.196455913</v>
      </c>
      <c r="Z1253" s="1">
        <v>9.8</v>
      </c>
      <c r="AA1253" s="1">
        <v>9.2202357923</v>
      </c>
      <c r="AB1253" s="1">
        <v>66716.0</v>
      </c>
      <c r="AC1253" s="1">
        <v>46.4197954169999</v>
      </c>
      <c r="AD1253" s="1">
        <v>71.9058346469999</v>
      </c>
      <c r="AE1253" s="1">
        <v>9.8785517874</v>
      </c>
      <c r="AF1253" s="1">
        <v>6.6687305374</v>
      </c>
      <c r="AG1253" s="1">
        <v>0.5335712855</v>
      </c>
      <c r="AH1253" s="1">
        <v>2.4675395626</v>
      </c>
      <c r="AI1253" s="1">
        <v>0.0346001857</v>
      </c>
      <c r="AJ1253" s="1">
        <v>5.4804873163</v>
      </c>
      <c r="AK1253" s="1">
        <v>82.790960246</v>
      </c>
      <c r="AL1253" s="1">
        <v>1.1408355142</v>
      </c>
      <c r="AM1253" s="1">
        <v>50.857720394</v>
      </c>
      <c r="AN1253" s="1">
        <v>37.971770339</v>
      </c>
      <c r="AO1253" s="1">
        <v>28624.0</v>
      </c>
      <c r="AP1253" s="1">
        <v>11.1</v>
      </c>
      <c r="AQ1253" s="1">
        <v>6.7</v>
      </c>
      <c r="AR1253" s="1">
        <v>6.4</v>
      </c>
      <c r="AS1253" s="1">
        <v>16.3</v>
      </c>
      <c r="AT1253" s="1">
        <v>21.9</v>
      </c>
      <c r="AU1253" s="1">
        <v>15.6</v>
      </c>
      <c r="AV1253" s="1">
        <v>16.3</v>
      </c>
      <c r="AW1253" s="1">
        <v>1.2</v>
      </c>
      <c r="AX1253" s="1">
        <v>0.2954</v>
      </c>
      <c r="AY1253" s="1">
        <v>7.5</v>
      </c>
      <c r="AZ1253" s="1">
        <v>11.7</v>
      </c>
      <c r="BA1253" s="1">
        <v>12.6</v>
      </c>
      <c r="BB1253" s="1">
        <v>2.96</v>
      </c>
      <c r="BC1253" s="1" t="s">
        <v>2143</v>
      </c>
      <c r="BD1253" s="1">
        <v>5.7</v>
      </c>
      <c r="BE1253" s="1">
        <v>27.7</v>
      </c>
      <c r="BF1253" s="1">
        <v>38.8</v>
      </c>
      <c r="BG1253" s="1">
        <v>27.8</v>
      </c>
      <c r="BH1253" s="1" t="s">
        <v>2179</v>
      </c>
    </row>
    <row r="1254">
      <c r="A1254" s="1">
        <v>26047.0</v>
      </c>
      <c r="B1254" s="2" t="str">
        <f>IFERROR(__xludf.DUMMYFUNCTION("TO_TEXT(A1254)"),"26047")</f>
        <v>26047</v>
      </c>
      <c r="C1254" s="1">
        <v>33091.0</v>
      </c>
      <c r="D1254" s="1">
        <v>467.525793245785</v>
      </c>
      <c r="E1254" s="1" t="s">
        <v>1489</v>
      </c>
      <c r="F1254" s="1" t="s">
        <v>2180</v>
      </c>
      <c r="G1254" s="1">
        <v>70.7789826316674</v>
      </c>
      <c r="H1254" s="1">
        <v>13.798117145</v>
      </c>
      <c r="I1254" s="1">
        <v>4.2569670602</v>
      </c>
      <c r="J1254" s="1">
        <v>6.6473988439</v>
      </c>
      <c r="K1254" s="1">
        <v>16.529075452</v>
      </c>
      <c r="L1254" s="1">
        <v>27.3</v>
      </c>
      <c r="M1254" s="1">
        <v>8.0</v>
      </c>
      <c r="N1254" s="1">
        <v>19.4</v>
      </c>
      <c r="O1254" s="1">
        <v>87.5695846329999</v>
      </c>
      <c r="P1254" s="1">
        <v>7.7009708738</v>
      </c>
      <c r="Q1254" s="1">
        <v>132.55807</v>
      </c>
      <c r="R1254" s="1">
        <v>93.820224719</v>
      </c>
      <c r="S1254" s="1">
        <v>11.4</v>
      </c>
      <c r="T1254" s="1">
        <v>6535.0</v>
      </c>
      <c r="U1254" s="1">
        <v>27.589900536</v>
      </c>
      <c r="V1254" s="1">
        <v>172.82837391</v>
      </c>
      <c r="W1254" s="1">
        <v>14.2806645459999</v>
      </c>
      <c r="X1254" s="1">
        <v>12.57183908</v>
      </c>
      <c r="Y1254" s="1">
        <v>79.687930186</v>
      </c>
      <c r="Z1254" s="1">
        <v>8.5</v>
      </c>
      <c r="AA1254" s="1">
        <v>4.851723558</v>
      </c>
      <c r="AB1254" s="1">
        <v>58891.0</v>
      </c>
      <c r="AC1254" s="1">
        <v>38.942826321</v>
      </c>
      <c r="AD1254" s="1">
        <v>73.314955203</v>
      </c>
      <c r="AE1254" s="1">
        <v>12.528555111</v>
      </c>
      <c r="AF1254" s="1">
        <v>0.7325567431</v>
      </c>
      <c r="AG1254" s="1">
        <v>3.8159000841</v>
      </c>
      <c r="AH1254" s="1">
        <v>0.5974540651</v>
      </c>
      <c r="AI1254" s="1">
        <v>0.1290981146</v>
      </c>
      <c r="AJ1254" s="1">
        <v>1.6872823346</v>
      </c>
      <c r="AK1254" s="1">
        <v>91.176293983</v>
      </c>
      <c r="AL1254" s="1">
        <v>0.2226179875</v>
      </c>
      <c r="AM1254" s="1">
        <v>50.720547616</v>
      </c>
      <c r="AN1254" s="1">
        <v>74.88835872</v>
      </c>
      <c r="AO1254" s="1">
        <v>30250.0</v>
      </c>
      <c r="AP1254" s="1">
        <v>10.5</v>
      </c>
      <c r="AQ1254" s="1">
        <v>7.5</v>
      </c>
      <c r="AR1254" s="1">
        <v>6.0</v>
      </c>
      <c r="AS1254" s="1">
        <v>19.7</v>
      </c>
      <c r="AT1254" s="1">
        <v>20.6</v>
      </c>
      <c r="AU1254" s="1">
        <v>14.1</v>
      </c>
      <c r="AV1254" s="1">
        <v>8.6</v>
      </c>
      <c r="AW1254" s="1">
        <v>0.3</v>
      </c>
      <c r="AX1254" s="1">
        <v>0.1745</v>
      </c>
      <c r="AY1254" s="1">
        <v>9.2</v>
      </c>
      <c r="AZ1254" s="1">
        <v>12.1</v>
      </c>
      <c r="BA1254" s="1">
        <v>13.0</v>
      </c>
      <c r="BB1254" s="1">
        <v>2.98</v>
      </c>
      <c r="BC1254" s="1" t="s">
        <v>2143</v>
      </c>
      <c r="BD1254" s="1">
        <v>6.1</v>
      </c>
      <c r="BE1254" s="1">
        <v>24.7</v>
      </c>
      <c r="BF1254" s="1">
        <v>35.8</v>
      </c>
      <c r="BG1254" s="1">
        <v>33.4</v>
      </c>
      <c r="BH1254" s="1" t="s">
        <v>2180</v>
      </c>
    </row>
    <row r="1255">
      <c r="A1255" s="1">
        <v>26049.0</v>
      </c>
      <c r="B1255" s="2" t="str">
        <f>IFERROR(__xludf.DUMMYFUNCTION("TO_TEXT(A1255)"),"26049")</f>
        <v>26049</v>
      </c>
      <c r="C1255" s="1">
        <v>413090.0</v>
      </c>
      <c r="D1255" s="1">
        <v>636.963859409</v>
      </c>
      <c r="E1255" s="1" t="s">
        <v>2181</v>
      </c>
      <c r="F1255" s="1" t="s">
        <v>2182</v>
      </c>
      <c r="G1255" s="1">
        <v>648.529730373212</v>
      </c>
      <c r="H1255" s="1">
        <v>16.783055113</v>
      </c>
      <c r="I1255" s="1">
        <v>4.6098329115</v>
      </c>
      <c r="J1255" s="1">
        <v>10.530978678</v>
      </c>
      <c r="K1255" s="1">
        <v>18.9868877559999</v>
      </c>
      <c r="L1255" s="1">
        <v>34.9</v>
      </c>
      <c r="M1255" s="1">
        <v>6.6</v>
      </c>
      <c r="N1255" s="1">
        <v>26.2</v>
      </c>
      <c r="O1255" s="1">
        <v>85.719251274</v>
      </c>
      <c r="P1255" s="1">
        <v>6.7293853231</v>
      </c>
      <c r="Q1255" s="1">
        <v>86.40475</v>
      </c>
      <c r="R1255" s="1">
        <v>83.142493639</v>
      </c>
      <c r="S1255" s="1">
        <v>28.9</v>
      </c>
      <c r="T1255" s="1">
        <v>93067.0</v>
      </c>
      <c r="U1255" s="1">
        <v>44.272405901</v>
      </c>
      <c r="V1255" s="1">
        <v>653.19905516</v>
      </c>
      <c r="W1255" s="1">
        <v>16.6621552529999</v>
      </c>
      <c r="X1255" s="1">
        <v>15.458050303</v>
      </c>
      <c r="Y1255" s="1">
        <v>75.317827674</v>
      </c>
      <c r="Z1255" s="1">
        <v>13.5</v>
      </c>
      <c r="AA1255" s="1">
        <v>10.977488495</v>
      </c>
      <c r="AB1255" s="1">
        <v>48370.0</v>
      </c>
      <c r="AC1255" s="1">
        <v>58.533698767</v>
      </c>
      <c r="AD1255" s="1">
        <v>69.506042683</v>
      </c>
      <c r="AE1255" s="1">
        <v>15.142549592</v>
      </c>
      <c r="AF1255" s="1">
        <v>19.980977753</v>
      </c>
      <c r="AG1255" s="1">
        <v>0.5652605605</v>
      </c>
      <c r="AH1255" s="1">
        <v>1.052121939</v>
      </c>
      <c r="AI1255" s="1">
        <v>0.0262969043</v>
      </c>
      <c r="AJ1255" s="1">
        <v>3.4893780168</v>
      </c>
      <c r="AK1255" s="1">
        <v>72.5155569539999</v>
      </c>
      <c r="AL1255" s="1">
        <v>0.4187295765</v>
      </c>
      <c r="AM1255" s="1">
        <v>51.7704943819999</v>
      </c>
      <c r="AN1255" s="1">
        <v>16.755207966</v>
      </c>
      <c r="AO1255" s="1">
        <v>23755.0</v>
      </c>
      <c r="AP1255" s="1">
        <v>20.9</v>
      </c>
      <c r="AQ1255" s="1">
        <v>12.0</v>
      </c>
      <c r="AR1255" s="1">
        <v>10.4</v>
      </c>
      <c r="AS1255" s="1">
        <v>15.6</v>
      </c>
      <c r="AT1255" s="1">
        <v>23.5</v>
      </c>
      <c r="AU1255" s="1">
        <v>16.5</v>
      </c>
      <c r="AV1255" s="1">
        <v>27.5</v>
      </c>
      <c r="AW1255" s="1">
        <v>0.4</v>
      </c>
      <c r="AX1255" s="1">
        <v>0.694</v>
      </c>
      <c r="AY1255" s="1">
        <v>16.6</v>
      </c>
      <c r="AZ1255" s="1">
        <v>15.7</v>
      </c>
      <c r="BA1255" s="1">
        <v>18.9</v>
      </c>
      <c r="BB1255" s="1">
        <v>2.92</v>
      </c>
      <c r="BC1255" s="1" t="s">
        <v>2143</v>
      </c>
      <c r="BD1255" s="1">
        <v>9.4</v>
      </c>
      <c r="BE1255" s="1">
        <v>31.6</v>
      </c>
      <c r="BF1255" s="1">
        <v>37.8</v>
      </c>
      <c r="BG1255" s="1">
        <v>21.2</v>
      </c>
      <c r="BH1255" s="1" t="s">
        <v>2182</v>
      </c>
    </row>
    <row r="1256">
      <c r="A1256" s="1">
        <v>26051.0</v>
      </c>
      <c r="B1256" s="2" t="str">
        <f>IFERROR(__xludf.DUMMYFUNCTION("TO_TEXT(A1256)"),"26051")</f>
        <v>26051</v>
      </c>
      <c r="C1256" s="1">
        <v>25367.0</v>
      </c>
      <c r="D1256" s="1">
        <v>501.784150730836</v>
      </c>
      <c r="E1256" s="1" t="s">
        <v>2183</v>
      </c>
      <c r="F1256" s="1" t="s">
        <v>2184</v>
      </c>
      <c r="G1256" s="1">
        <v>50.5536094813947</v>
      </c>
      <c r="H1256" s="1">
        <v>17.115977843</v>
      </c>
      <c r="I1256" s="1">
        <v>4.6456464853</v>
      </c>
      <c r="J1256" s="1">
        <v>7.0382882883</v>
      </c>
      <c r="K1256" s="1">
        <v>17.6913312109999</v>
      </c>
      <c r="L1256" s="1">
        <v>42.5</v>
      </c>
      <c r="M1256" s="1">
        <v>8.1</v>
      </c>
      <c r="N1256" s="1">
        <v>26.1</v>
      </c>
      <c r="O1256" s="1">
        <v>64.81784213</v>
      </c>
      <c r="P1256" s="1">
        <v>8.0198451641</v>
      </c>
      <c r="Q1256" s="1">
        <v>15.8516299999999</v>
      </c>
      <c r="R1256" s="1">
        <v>89.230769231</v>
      </c>
      <c r="S1256" s="1">
        <v>26.8</v>
      </c>
      <c r="T1256" s="1">
        <v>4835.0</v>
      </c>
      <c r="U1256" s="1">
        <v>30.0103412619999</v>
      </c>
      <c r="V1256" s="1">
        <v>219.78892343</v>
      </c>
      <c r="W1256" s="1">
        <v>16.143911439</v>
      </c>
      <c r="X1256" s="1">
        <v>13.668388915</v>
      </c>
      <c r="Y1256" s="1">
        <v>76.646704855</v>
      </c>
      <c r="Z1256" s="1">
        <v>19.4</v>
      </c>
      <c r="AA1256" s="1">
        <v>0.4917691976</v>
      </c>
      <c r="AB1256" s="1">
        <v>44635.0</v>
      </c>
      <c r="AC1256" s="1">
        <v>58.413284133</v>
      </c>
      <c r="AD1256" s="1">
        <v>84.48040731</v>
      </c>
      <c r="AE1256" s="1">
        <v>12.45150913</v>
      </c>
      <c r="AF1256" s="1">
        <v>0.5091368355</v>
      </c>
      <c r="AG1256" s="1">
        <v>0.6275407507</v>
      </c>
      <c r="AH1256" s="1">
        <v>0.430200892</v>
      </c>
      <c r="AI1256" s="1">
        <v>0.0315743774</v>
      </c>
      <c r="AJ1256" s="1">
        <v>1.7721119312</v>
      </c>
      <c r="AK1256" s="1">
        <v>95.674310297</v>
      </c>
      <c r="AL1256" s="1">
        <v>0.4037460978</v>
      </c>
      <c r="AM1256" s="1">
        <v>49.425741011</v>
      </c>
      <c r="AN1256" s="1">
        <v>88.580102756</v>
      </c>
      <c r="AO1256" s="1">
        <v>22255.0</v>
      </c>
      <c r="AP1256" s="1">
        <v>20.3</v>
      </c>
      <c r="AQ1256" s="1">
        <v>9.3</v>
      </c>
      <c r="AR1256" s="1">
        <v>14.9</v>
      </c>
      <c r="AS1256" s="1">
        <v>24.8</v>
      </c>
      <c r="AT1256" s="1">
        <v>19.6</v>
      </c>
      <c r="AU1256" s="1">
        <v>21.4</v>
      </c>
      <c r="AV1256" s="1">
        <v>3.6</v>
      </c>
      <c r="AW1256" s="1">
        <v>0.6</v>
      </c>
      <c r="AX1256" s="1">
        <v>0.6148</v>
      </c>
      <c r="AY1256" s="1">
        <v>13.5</v>
      </c>
      <c r="AZ1256" s="1">
        <v>15.8</v>
      </c>
      <c r="BA1256" s="1">
        <v>21.0</v>
      </c>
      <c r="BB1256" s="1">
        <v>3.14</v>
      </c>
      <c r="BC1256" s="1" t="s">
        <v>2143</v>
      </c>
      <c r="BD1256" s="1">
        <v>13.0</v>
      </c>
      <c r="BE1256" s="1">
        <v>39.3</v>
      </c>
      <c r="BF1256" s="1">
        <v>34.2</v>
      </c>
      <c r="BG1256" s="1">
        <v>13.5</v>
      </c>
      <c r="BH1256" s="1" t="s">
        <v>2184</v>
      </c>
    </row>
    <row r="1257">
      <c r="A1257" s="1">
        <v>26053.0</v>
      </c>
      <c r="B1257" s="2" t="str">
        <f>IFERROR(__xludf.DUMMYFUNCTION("TO_TEXT(A1257)"),"26053")</f>
        <v>26053</v>
      </c>
      <c r="C1257" s="1">
        <v>15650.0</v>
      </c>
      <c r="D1257" s="1">
        <v>1101.86302738982</v>
      </c>
      <c r="E1257" s="1" t="s">
        <v>2185</v>
      </c>
      <c r="F1257" s="1" t="s">
        <v>2186</v>
      </c>
      <c r="G1257" s="1">
        <v>14.2032172883348</v>
      </c>
      <c r="H1257" s="1">
        <v>17.1855378709999</v>
      </c>
      <c r="I1257" s="1">
        <v>4.447853415</v>
      </c>
      <c r="J1257" s="1">
        <v>6.15735461799999</v>
      </c>
      <c r="K1257" s="1">
        <v>19.421207172</v>
      </c>
      <c r="L1257" s="1">
        <v>31.2</v>
      </c>
      <c r="M1257" s="1">
        <v>7.6</v>
      </c>
      <c r="N1257" s="1">
        <v>24.3</v>
      </c>
      <c r="O1257" s="1">
        <v>90.3025506789999</v>
      </c>
      <c r="P1257" s="1">
        <v>7.7622445987</v>
      </c>
      <c r="Q1257" s="1">
        <v>91.25277</v>
      </c>
      <c r="R1257" s="1">
        <v>88.495575221</v>
      </c>
      <c r="S1257" s="1">
        <v>26.8</v>
      </c>
      <c r="T1257" s="1">
        <v>2362.0</v>
      </c>
      <c r="U1257" s="1">
        <v>37.976291279</v>
      </c>
      <c r="V1257" s="1">
        <v>99.838969404</v>
      </c>
      <c r="W1257" s="1">
        <v>11.6804822909999</v>
      </c>
      <c r="X1257" s="1">
        <v>10.993071594</v>
      </c>
      <c r="Y1257" s="1">
        <v>79.157880418</v>
      </c>
      <c r="Z1257" s="1">
        <v>14.1</v>
      </c>
      <c r="AA1257" s="1">
        <v>3.5056496033</v>
      </c>
      <c r="AB1257" s="1">
        <v>39934.0</v>
      </c>
      <c r="AC1257" s="1">
        <v>59.588626739</v>
      </c>
      <c r="AD1257" s="1">
        <v>78.712796495</v>
      </c>
      <c r="AE1257" s="1">
        <v>10.377507503</v>
      </c>
      <c r="AF1257" s="1">
        <v>3.8818229995</v>
      </c>
      <c r="AG1257" s="1">
        <v>2.9279279279</v>
      </c>
      <c r="AH1257" s="1">
        <v>0.3709591945</v>
      </c>
      <c r="AI1257" s="1">
        <v>0.0529941706</v>
      </c>
      <c r="AJ1257" s="1">
        <v>1.5434552199</v>
      </c>
      <c r="AK1257" s="1">
        <v>89.864864865</v>
      </c>
      <c r="AL1257" s="1">
        <v>0.202020202</v>
      </c>
      <c r="AM1257" s="1">
        <v>46.171171171</v>
      </c>
      <c r="AN1257" s="1">
        <v>68.168259573</v>
      </c>
      <c r="AO1257" s="1">
        <v>21464.0</v>
      </c>
      <c r="AP1257" s="1">
        <v>20.6</v>
      </c>
      <c r="AQ1257" s="1">
        <v>8.5</v>
      </c>
      <c r="AR1257" s="1">
        <v>7.3</v>
      </c>
      <c r="AS1257" s="1">
        <v>23.3</v>
      </c>
      <c r="AT1257" s="1">
        <v>15.6</v>
      </c>
      <c r="AU1257" s="1">
        <v>16.0</v>
      </c>
      <c r="AV1257" s="1">
        <v>10.2</v>
      </c>
      <c r="AW1257" s="1">
        <v>0.1</v>
      </c>
      <c r="AX1257" s="1">
        <v>0.4709</v>
      </c>
      <c r="AY1257" s="1">
        <v>17.1</v>
      </c>
      <c r="AZ1257" s="1">
        <v>14.6</v>
      </c>
      <c r="BA1257" s="1">
        <v>18.7</v>
      </c>
      <c r="BB1257" s="1">
        <v>3.04</v>
      </c>
      <c r="BC1257" s="1" t="s">
        <v>2143</v>
      </c>
      <c r="BD1257" s="1">
        <v>6.3</v>
      </c>
      <c r="BE1257" s="1">
        <v>37.3</v>
      </c>
      <c r="BF1257" s="1">
        <v>36.9</v>
      </c>
      <c r="BG1257" s="1">
        <v>19.4</v>
      </c>
      <c r="BH1257" s="1" t="s">
        <v>2186</v>
      </c>
    </row>
    <row r="1258">
      <c r="A1258" s="1">
        <v>26055.0</v>
      </c>
      <c r="B1258" s="2" t="str">
        <f>IFERROR(__xludf.DUMMYFUNCTION("TO_TEXT(A1258)"),"26055")</f>
        <v>26055</v>
      </c>
      <c r="C1258" s="1">
        <v>90715.0</v>
      </c>
      <c r="D1258" s="1">
        <v>464.342974150152</v>
      </c>
      <c r="E1258" s="1" t="s">
        <v>2187</v>
      </c>
      <c r="F1258" s="1" t="s">
        <v>2188</v>
      </c>
      <c r="G1258" s="1">
        <v>195.362060050608</v>
      </c>
      <c r="H1258" s="1">
        <v>12.04494201</v>
      </c>
      <c r="I1258" s="1">
        <v>3.9101278616</v>
      </c>
      <c r="J1258" s="1">
        <v>6.5629332923</v>
      </c>
      <c r="K1258" s="1">
        <v>17.178488287</v>
      </c>
      <c r="L1258" s="1">
        <v>30.9</v>
      </c>
      <c r="M1258" s="1">
        <v>8.3</v>
      </c>
      <c r="N1258" s="1">
        <v>18.2</v>
      </c>
      <c r="O1258" s="1">
        <v>90.550203481</v>
      </c>
      <c r="P1258" s="1">
        <v>6.3453738996</v>
      </c>
      <c r="Q1258" s="1">
        <v>131.79823</v>
      </c>
      <c r="R1258" s="1">
        <v>86.1664712779999</v>
      </c>
      <c r="S1258" s="1">
        <v>11.5</v>
      </c>
      <c r="T1258" s="1">
        <v>18393.0</v>
      </c>
      <c r="U1258" s="1">
        <v>27.064644158</v>
      </c>
      <c r="V1258" s="1">
        <v>223.56848012</v>
      </c>
      <c r="W1258" s="1">
        <v>12.741528983</v>
      </c>
      <c r="X1258" s="1">
        <v>10.858514544</v>
      </c>
      <c r="Y1258" s="1">
        <v>80.01792865</v>
      </c>
      <c r="Z1258" s="1">
        <v>6.5</v>
      </c>
      <c r="AA1258" s="1">
        <v>5.2097591231</v>
      </c>
      <c r="AB1258" s="1">
        <v>64591.0</v>
      </c>
      <c r="AC1258" s="1">
        <v>39.098260604</v>
      </c>
      <c r="AD1258" s="1">
        <v>76.288576507</v>
      </c>
      <c r="AE1258" s="1">
        <v>11.10230193</v>
      </c>
      <c r="AF1258" s="1">
        <v>0.7086299461</v>
      </c>
      <c r="AG1258" s="1">
        <v>1.3308416061</v>
      </c>
      <c r="AH1258" s="1">
        <v>0.7896470893</v>
      </c>
      <c r="AI1258" s="1">
        <v>0.0572521145</v>
      </c>
      <c r="AJ1258" s="1">
        <v>2.9414624134</v>
      </c>
      <c r="AK1258" s="1">
        <v>92.722500081</v>
      </c>
      <c r="AL1258" s="1">
        <v>0.4858560623</v>
      </c>
      <c r="AM1258" s="1">
        <v>51.069966405</v>
      </c>
      <c r="AN1258" s="1">
        <v>48.023819925</v>
      </c>
      <c r="AO1258" s="1">
        <v>30024.0</v>
      </c>
      <c r="AP1258" s="1">
        <v>9.8</v>
      </c>
      <c r="AQ1258" s="1">
        <v>5.8</v>
      </c>
      <c r="AR1258" s="1">
        <v>5.5</v>
      </c>
      <c r="AS1258" s="1">
        <v>17.0</v>
      </c>
      <c r="AT1258" s="1">
        <v>20.9</v>
      </c>
      <c r="AU1258" s="1">
        <v>12.8</v>
      </c>
      <c r="AV1258" s="1">
        <v>7.3</v>
      </c>
      <c r="AW1258" s="1">
        <v>0.5</v>
      </c>
      <c r="AX1258" s="1">
        <v>0.142</v>
      </c>
      <c r="AY1258" s="1">
        <v>7.2</v>
      </c>
      <c r="AZ1258" s="1">
        <v>10.8</v>
      </c>
      <c r="BA1258" s="1">
        <v>10.9</v>
      </c>
      <c r="BB1258" s="1">
        <v>3.06</v>
      </c>
      <c r="BC1258" s="1" t="s">
        <v>2143</v>
      </c>
      <c r="BD1258" s="1">
        <v>4.8</v>
      </c>
      <c r="BE1258" s="1">
        <v>24.0</v>
      </c>
      <c r="BF1258" s="1">
        <v>35.2</v>
      </c>
      <c r="BG1258" s="1">
        <v>36.0</v>
      </c>
      <c r="BH1258" s="1" t="s">
        <v>2188</v>
      </c>
    </row>
    <row r="1259">
      <c r="A1259" s="1">
        <v>26057.0</v>
      </c>
      <c r="B1259" s="2" t="str">
        <f>IFERROR(__xludf.DUMMYFUNCTION("TO_TEXT(A1259)"),"26057")</f>
        <v>26057</v>
      </c>
      <c r="C1259" s="1">
        <v>41676.0</v>
      </c>
      <c r="D1259" s="1">
        <v>568.461798554208</v>
      </c>
      <c r="E1259" s="1" t="s">
        <v>2189</v>
      </c>
      <c r="F1259" s="1" t="s">
        <v>2190</v>
      </c>
      <c r="G1259" s="1">
        <v>73.3136335739645</v>
      </c>
      <c r="H1259" s="1">
        <v>16.5249964209999</v>
      </c>
      <c r="I1259" s="1">
        <v>4.398052582</v>
      </c>
      <c r="J1259" s="1">
        <v>6.9759079468</v>
      </c>
      <c r="K1259" s="1">
        <v>19.8229122</v>
      </c>
      <c r="L1259" s="1">
        <v>37.8</v>
      </c>
      <c r="M1259" s="1">
        <v>6.8</v>
      </c>
      <c r="N1259" s="1">
        <v>20.3</v>
      </c>
      <c r="O1259" s="1">
        <v>54.8639231569999</v>
      </c>
      <c r="P1259" s="1">
        <v>5.672805021</v>
      </c>
      <c r="Q1259" s="1">
        <v>48.75908</v>
      </c>
      <c r="R1259" s="1">
        <v>87.79956427</v>
      </c>
      <c r="S1259" s="1">
        <v>20.8</v>
      </c>
      <c r="T1259" s="1">
        <v>8154.0</v>
      </c>
      <c r="U1259" s="1">
        <v>34.49840569</v>
      </c>
      <c r="V1259" s="1">
        <v>203.02495165</v>
      </c>
      <c r="W1259" s="1">
        <v>12.3980978259999</v>
      </c>
      <c r="X1259" s="1">
        <v>11.496670172</v>
      </c>
      <c r="Y1259" s="1">
        <v>77.924411349</v>
      </c>
      <c r="Z1259" s="1">
        <v>11.1</v>
      </c>
      <c r="AA1259" s="1">
        <v>14.288856946</v>
      </c>
      <c r="AB1259" s="1">
        <v>48988.0</v>
      </c>
      <c r="AC1259" s="1">
        <v>56.1420818939999</v>
      </c>
      <c r="AD1259" s="1">
        <v>72.754826382</v>
      </c>
      <c r="AE1259" s="1">
        <v>12.906815021</v>
      </c>
      <c r="AF1259" s="1">
        <v>5.8080248282</v>
      </c>
      <c r="AG1259" s="1">
        <v>0.7290819971</v>
      </c>
      <c r="AH1259" s="1">
        <v>0.5591270721</v>
      </c>
      <c r="AI1259" s="1">
        <v>0.0418729525</v>
      </c>
      <c r="AJ1259" s="1">
        <v>6.3228158329</v>
      </c>
      <c r="AK1259" s="1">
        <v>85.7459543339999</v>
      </c>
      <c r="AL1259" s="1">
        <v>0.3688430112</v>
      </c>
      <c r="AM1259" s="1">
        <v>46.294243701</v>
      </c>
      <c r="AN1259" s="1">
        <v>60.156323571</v>
      </c>
      <c r="AO1259" s="1">
        <v>20358.0</v>
      </c>
      <c r="AP1259" s="1">
        <v>19.0</v>
      </c>
      <c r="AQ1259" s="1">
        <v>8.0</v>
      </c>
      <c r="AR1259" s="1">
        <v>10.4</v>
      </c>
      <c r="AS1259" s="1">
        <v>16.3</v>
      </c>
      <c r="AT1259" s="1">
        <v>20.4</v>
      </c>
      <c r="AU1259" s="1">
        <v>15.1</v>
      </c>
      <c r="AV1259" s="1">
        <v>13.2</v>
      </c>
      <c r="AW1259" s="1">
        <v>0.4</v>
      </c>
      <c r="AX1259" s="1">
        <v>0.6135</v>
      </c>
      <c r="AY1259" s="1">
        <v>14.3</v>
      </c>
      <c r="AZ1259" s="1">
        <v>14.4</v>
      </c>
      <c r="BA1259" s="1">
        <v>15.3</v>
      </c>
      <c r="BB1259" s="1">
        <v>2.79</v>
      </c>
      <c r="BC1259" s="1" t="s">
        <v>2143</v>
      </c>
      <c r="BD1259" s="1">
        <v>8.9</v>
      </c>
      <c r="BE1259" s="1">
        <v>40.4</v>
      </c>
      <c r="BF1259" s="1">
        <v>35.3</v>
      </c>
      <c r="BG1259" s="1">
        <v>15.4</v>
      </c>
      <c r="BH1259" s="1" t="s">
        <v>2190</v>
      </c>
    </row>
    <row r="1260">
      <c r="A1260" s="1">
        <v>26059.0</v>
      </c>
      <c r="B1260" s="2" t="str">
        <f>IFERROR(__xludf.DUMMYFUNCTION("TO_TEXT(A1260)"),"26059")</f>
        <v>26059</v>
      </c>
      <c r="C1260" s="1">
        <v>46024.0</v>
      </c>
      <c r="D1260" s="1">
        <v>598.149053920548</v>
      </c>
      <c r="E1260" s="1" t="s">
        <v>2191</v>
      </c>
      <c r="F1260" s="1" t="s">
        <v>2192</v>
      </c>
      <c r="G1260" s="1">
        <v>76.9440320908931</v>
      </c>
      <c r="H1260" s="1">
        <v>14.1164465459999</v>
      </c>
      <c r="I1260" s="1">
        <v>4.2272872352</v>
      </c>
      <c r="J1260" s="1">
        <v>6.2801932367</v>
      </c>
      <c r="K1260" s="1">
        <v>18.587417902</v>
      </c>
      <c r="L1260" s="1">
        <v>38.6</v>
      </c>
      <c r="M1260" s="1">
        <v>8.2</v>
      </c>
      <c r="N1260" s="1">
        <v>23.6</v>
      </c>
      <c r="O1260" s="1">
        <v>60.977124743</v>
      </c>
      <c r="P1260" s="1">
        <v>7.0918410218</v>
      </c>
      <c r="Q1260" s="1">
        <v>26.15576</v>
      </c>
      <c r="R1260" s="1">
        <v>85.3608247419999</v>
      </c>
      <c r="S1260" s="1">
        <v>20.0</v>
      </c>
      <c r="T1260" s="1">
        <v>9957.0</v>
      </c>
      <c r="U1260" s="1">
        <v>27.889926685</v>
      </c>
      <c r="V1260" s="1">
        <v>184.08984456</v>
      </c>
      <c r="W1260" s="1">
        <v>13.6708860759999</v>
      </c>
      <c r="X1260" s="1">
        <v>10.81158589</v>
      </c>
      <c r="Y1260" s="1">
        <v>77.421271055</v>
      </c>
      <c r="Z1260" s="1">
        <v>12.2</v>
      </c>
      <c r="AA1260" s="1">
        <v>1.6974860231</v>
      </c>
      <c r="AB1260" s="1">
        <v>50388.0</v>
      </c>
      <c r="AC1260" s="1">
        <v>58.466898955</v>
      </c>
      <c r="AD1260" s="1">
        <v>76.731456658</v>
      </c>
      <c r="AE1260" s="1">
        <v>9.6493786827</v>
      </c>
      <c r="AF1260" s="1">
        <v>0.6426369975</v>
      </c>
      <c r="AG1260" s="1">
        <v>0.6076635555</v>
      </c>
      <c r="AH1260" s="1">
        <v>0.4918140287</v>
      </c>
      <c r="AI1260" s="1">
        <v>0.0327876019</v>
      </c>
      <c r="AJ1260" s="1">
        <v>2.327919736</v>
      </c>
      <c r="AK1260" s="1">
        <v>94.611904085</v>
      </c>
      <c r="AL1260" s="1">
        <v>0.5124281209</v>
      </c>
      <c r="AM1260" s="1">
        <v>50.2437211739999</v>
      </c>
      <c r="AN1260" s="1">
        <v>69.126970528</v>
      </c>
      <c r="AO1260" s="1">
        <v>22435.0</v>
      </c>
      <c r="AP1260" s="1">
        <v>18.6</v>
      </c>
      <c r="AQ1260" s="1">
        <v>7.6</v>
      </c>
      <c r="AR1260" s="1">
        <v>12.9</v>
      </c>
      <c r="AS1260" s="1">
        <v>17.6</v>
      </c>
      <c r="AT1260" s="1">
        <v>22.4</v>
      </c>
      <c r="AU1260" s="1">
        <v>14.5</v>
      </c>
      <c r="AV1260" s="1">
        <v>4.7</v>
      </c>
      <c r="AW1260" s="1">
        <v>0.3</v>
      </c>
      <c r="AX1260" s="1">
        <v>0.4995</v>
      </c>
      <c r="AY1260" s="1">
        <v>15.3</v>
      </c>
      <c r="AZ1260" s="1">
        <v>13.1</v>
      </c>
      <c r="BA1260" s="1">
        <v>15.2</v>
      </c>
      <c r="BB1260" s="1">
        <v>2.75</v>
      </c>
      <c r="BC1260" s="1" t="s">
        <v>2143</v>
      </c>
      <c r="BD1260" s="1">
        <v>11.8</v>
      </c>
      <c r="BE1260" s="1">
        <v>38.9</v>
      </c>
      <c r="BF1260" s="1">
        <v>32.0</v>
      </c>
      <c r="BG1260" s="1">
        <v>17.3</v>
      </c>
      <c r="BH1260" s="1" t="s">
        <v>2192</v>
      </c>
    </row>
    <row r="1261">
      <c r="A1261" s="1">
        <v>26061.0</v>
      </c>
      <c r="B1261" s="2" t="str">
        <f>IFERROR(__xludf.DUMMYFUNCTION("TO_TEXT(A1261)"),"26061")</f>
        <v>26061</v>
      </c>
      <c r="C1261" s="1">
        <v>36565.0</v>
      </c>
      <c r="D1261" s="1">
        <v>1009.08298126969</v>
      </c>
      <c r="E1261" s="1" t="s">
        <v>2193</v>
      </c>
      <c r="F1261" s="1" t="s">
        <v>2194</v>
      </c>
      <c r="G1261" s="1">
        <v>36.2358702690553</v>
      </c>
      <c r="H1261" s="1">
        <v>15.683848845</v>
      </c>
      <c r="I1261" s="1">
        <v>4.4760500324</v>
      </c>
      <c r="J1261" s="1">
        <v>5.9322033898</v>
      </c>
      <c r="K1261" s="1">
        <v>18.545265799</v>
      </c>
      <c r="L1261" s="1">
        <v>31.3</v>
      </c>
      <c r="M1261" s="1">
        <v>7.5</v>
      </c>
      <c r="N1261" s="1">
        <v>21.0</v>
      </c>
      <c r="O1261" s="1">
        <v>78.800371301</v>
      </c>
      <c r="P1261" s="1">
        <v>6.6703096539</v>
      </c>
      <c r="Q1261" s="1">
        <v>63.35216</v>
      </c>
      <c r="R1261" s="1">
        <v>76.941747573</v>
      </c>
      <c r="S1261" s="1">
        <v>15.5</v>
      </c>
      <c r="T1261" s="1">
        <v>7274.0</v>
      </c>
      <c r="U1261" s="1">
        <v>21.047566676</v>
      </c>
      <c r="V1261" s="1">
        <v>156.00193277</v>
      </c>
      <c r="W1261" s="1">
        <v>16.517189836</v>
      </c>
      <c r="X1261" s="1">
        <v>14.098613251</v>
      </c>
      <c r="Y1261" s="1">
        <v>78.53615381</v>
      </c>
      <c r="Z1261" s="1">
        <v>8.3</v>
      </c>
      <c r="AA1261" s="1">
        <v>4.2375439467</v>
      </c>
      <c r="AB1261" s="1">
        <v>42282.0</v>
      </c>
      <c r="AC1261" s="1">
        <v>46.363297277</v>
      </c>
      <c r="AD1261" s="1">
        <v>67.871064468</v>
      </c>
      <c r="AE1261" s="1">
        <v>14.884778178</v>
      </c>
      <c r="AF1261" s="1">
        <v>0.9083630139</v>
      </c>
      <c r="AG1261" s="1">
        <v>0.7068113421</v>
      </c>
      <c r="AH1261" s="1">
        <v>3.3104171844</v>
      </c>
      <c r="AI1261" s="1">
        <v>0.0441757089</v>
      </c>
      <c r="AJ1261" s="1">
        <v>1.6593500649</v>
      </c>
      <c r="AK1261" s="1">
        <v>91.913084293</v>
      </c>
      <c r="AL1261" s="1">
        <v>0.7425886175</v>
      </c>
      <c r="AM1261" s="1">
        <v>45.917888401</v>
      </c>
      <c r="AN1261" s="1">
        <v>37.815332532</v>
      </c>
      <c r="AO1261" s="1">
        <v>20248.0</v>
      </c>
      <c r="AP1261" s="1">
        <v>22.8</v>
      </c>
      <c r="AQ1261" s="1">
        <v>7.4</v>
      </c>
      <c r="AR1261" s="1">
        <v>8.0</v>
      </c>
      <c r="AS1261" s="1">
        <v>16.1</v>
      </c>
      <c r="AT1261" s="1">
        <v>20.3</v>
      </c>
      <c r="AU1261" s="1">
        <v>11.5</v>
      </c>
      <c r="AV1261" s="1">
        <v>7.5</v>
      </c>
      <c r="AW1261" s="1">
        <v>1.2</v>
      </c>
      <c r="AX1261" s="1">
        <v>0.5298</v>
      </c>
      <c r="AY1261" s="1">
        <v>14.7</v>
      </c>
      <c r="AZ1261" s="1">
        <v>13.9</v>
      </c>
      <c r="BA1261" s="1">
        <v>13.5</v>
      </c>
      <c r="BB1261" s="1">
        <v>3.24</v>
      </c>
      <c r="BC1261" s="1" t="s">
        <v>2143</v>
      </c>
      <c r="BD1261" s="1">
        <v>7.2</v>
      </c>
      <c r="BE1261" s="1">
        <v>33.1</v>
      </c>
      <c r="BF1261" s="1">
        <v>27.1</v>
      </c>
      <c r="BG1261" s="1">
        <v>32.6</v>
      </c>
      <c r="BH1261" s="1" t="s">
        <v>2194</v>
      </c>
    </row>
    <row r="1262">
      <c r="A1262" s="1">
        <v>26063.0</v>
      </c>
      <c r="B1262" s="2" t="str">
        <f>IFERROR(__xludf.DUMMYFUNCTION("TO_TEXT(A1262)"),"26063")</f>
        <v>26063</v>
      </c>
      <c r="C1262" s="1">
        <v>32021.0</v>
      </c>
      <c r="D1262" s="1">
        <v>836.079290549722</v>
      </c>
      <c r="E1262" s="1" t="s">
        <v>2195</v>
      </c>
      <c r="F1262" s="1" t="s">
        <v>2196</v>
      </c>
      <c r="G1262" s="1">
        <v>38.2989991044345</v>
      </c>
      <c r="H1262" s="1">
        <v>14.458323982</v>
      </c>
      <c r="I1262" s="1">
        <v>4.2360795688</v>
      </c>
      <c r="J1262" s="1">
        <v>6.6795740561</v>
      </c>
      <c r="K1262" s="1">
        <v>16.020265019</v>
      </c>
      <c r="L1262" s="1">
        <v>34.2</v>
      </c>
      <c r="M1262" s="1">
        <v>7.6</v>
      </c>
      <c r="N1262" s="1">
        <v>23.8</v>
      </c>
      <c r="O1262" s="1">
        <v>60.459568815</v>
      </c>
      <c r="P1262" s="1">
        <v>6.86618212909999</v>
      </c>
      <c r="Q1262" s="1">
        <v>54.34783</v>
      </c>
      <c r="R1262" s="1">
        <v>91.647331787</v>
      </c>
      <c r="S1262" s="1">
        <v>18.4</v>
      </c>
      <c r="T1262" s="1">
        <v>6054.0</v>
      </c>
      <c r="U1262" s="1">
        <v>29.121242154</v>
      </c>
      <c r="V1262" s="1">
        <v>162.56116779</v>
      </c>
      <c r="W1262" s="1">
        <v>11.379186172</v>
      </c>
      <c r="X1262" s="1">
        <v>10.127690624</v>
      </c>
      <c r="Y1262" s="1">
        <v>76.84605503</v>
      </c>
      <c r="Z1262" s="1">
        <v>13.0</v>
      </c>
      <c r="AA1262" s="1">
        <v>10.468006101</v>
      </c>
      <c r="AB1262" s="1">
        <v>45817.0</v>
      </c>
      <c r="AC1262" s="1">
        <v>49.89504618</v>
      </c>
      <c r="AD1262" s="1">
        <v>81.117976721</v>
      </c>
      <c r="AE1262" s="1">
        <v>9.2418826333</v>
      </c>
      <c r="AF1262" s="1">
        <v>0.5518834627</v>
      </c>
      <c r="AG1262" s="1">
        <v>0.4010780979</v>
      </c>
      <c r="AH1262" s="1">
        <v>0.6000128345</v>
      </c>
      <c r="AI1262" s="1">
        <v>0.0128344991</v>
      </c>
      <c r="AJ1262" s="1">
        <v>2.4578065841</v>
      </c>
      <c r="AK1262" s="1">
        <v>95.167811076</v>
      </c>
      <c r="AL1262" s="1">
        <v>0.2635793407</v>
      </c>
      <c r="AM1262" s="1">
        <v>50.462041969</v>
      </c>
      <c r="AN1262" s="1">
        <v>89.461924029</v>
      </c>
      <c r="AO1262" s="1">
        <v>24455.0</v>
      </c>
      <c r="AP1262" s="1">
        <v>13.9</v>
      </c>
      <c r="AQ1262" s="1">
        <v>6.6</v>
      </c>
      <c r="AR1262" s="1">
        <v>11.3</v>
      </c>
      <c r="AS1262" s="1">
        <v>23.4</v>
      </c>
      <c r="AT1262" s="1">
        <v>19.6</v>
      </c>
      <c r="AU1262" s="1">
        <v>16.3</v>
      </c>
      <c r="AV1262" s="1">
        <v>4.4</v>
      </c>
      <c r="AW1262" s="1">
        <v>0.3</v>
      </c>
      <c r="AX1262" s="1">
        <v>0.2932</v>
      </c>
      <c r="AY1262" s="1">
        <v>13.7</v>
      </c>
      <c r="AZ1262" s="1">
        <v>12.8</v>
      </c>
      <c r="BA1262" s="1">
        <v>15.9</v>
      </c>
      <c r="BB1262" s="1">
        <v>2.72</v>
      </c>
      <c r="BC1262" s="1" t="s">
        <v>2143</v>
      </c>
      <c r="BD1262" s="1">
        <v>10.9</v>
      </c>
      <c r="BE1262" s="1">
        <v>41.6</v>
      </c>
      <c r="BF1262" s="1">
        <v>31.5</v>
      </c>
      <c r="BG1262" s="1">
        <v>16.0</v>
      </c>
      <c r="BH1262" s="1" t="s">
        <v>2196</v>
      </c>
    </row>
    <row r="1263">
      <c r="A1263" s="1">
        <v>26065.0</v>
      </c>
      <c r="B1263" s="2" t="str">
        <f>IFERROR(__xludf.DUMMYFUNCTION("TO_TEXT(A1263)"),"26065")</f>
        <v>26065</v>
      </c>
      <c r="C1263" s="1">
        <v>284559.0</v>
      </c>
      <c r="D1263" s="1">
        <v>556.120609902618</v>
      </c>
      <c r="E1263" s="1" t="s">
        <v>2197</v>
      </c>
      <c r="F1263" s="1" t="s">
        <v>2198</v>
      </c>
      <c r="G1263" s="1">
        <v>511.685765520952</v>
      </c>
      <c r="H1263" s="1">
        <v>16.190869431</v>
      </c>
      <c r="I1263" s="1">
        <v>4.7653620587</v>
      </c>
      <c r="J1263" s="1">
        <v>8.4693656636</v>
      </c>
      <c r="K1263" s="1">
        <v>17.751105135</v>
      </c>
      <c r="L1263" s="1">
        <v>31.5</v>
      </c>
      <c r="M1263" s="1">
        <v>6.8</v>
      </c>
      <c r="N1263" s="1">
        <v>20.2</v>
      </c>
      <c r="O1263" s="1">
        <v>89.359013154</v>
      </c>
      <c r="P1263" s="1">
        <v>6.1948219845</v>
      </c>
      <c r="Q1263" s="1">
        <v>106.13882</v>
      </c>
      <c r="R1263" s="1">
        <v>88.020626735</v>
      </c>
      <c r="S1263" s="1">
        <v>19.1</v>
      </c>
      <c r="T1263" s="1">
        <v>56921.0</v>
      </c>
      <c r="U1263" s="1">
        <v>37.132165633</v>
      </c>
      <c r="V1263" s="1">
        <v>608.81117727</v>
      </c>
      <c r="W1263" s="1">
        <v>18.979481641</v>
      </c>
      <c r="X1263" s="1">
        <v>17.423240111</v>
      </c>
      <c r="Y1263" s="1">
        <v>78.565097951</v>
      </c>
      <c r="Z1263" s="1">
        <v>9.3</v>
      </c>
      <c r="AA1263" s="1">
        <v>11.262907338</v>
      </c>
      <c r="AB1263" s="1">
        <v>52837.0</v>
      </c>
      <c r="AC1263" s="1">
        <v>48.40339432</v>
      </c>
      <c r="AD1263" s="1">
        <v>58.221033868</v>
      </c>
      <c r="AE1263" s="1">
        <v>16.641210203</v>
      </c>
      <c r="AF1263" s="1">
        <v>11.4936717509999</v>
      </c>
      <c r="AG1263" s="1">
        <v>0.6364117717</v>
      </c>
      <c r="AH1263" s="1">
        <v>7.3195893897</v>
      </c>
      <c r="AI1263" s="1">
        <v>0.0676379661</v>
      </c>
      <c r="AJ1263" s="1">
        <v>7.8791398364</v>
      </c>
      <c r="AK1263" s="1">
        <v>69.244538576</v>
      </c>
      <c r="AL1263" s="1">
        <v>1.6902253878</v>
      </c>
      <c r="AM1263" s="1">
        <v>51.2969067589999</v>
      </c>
      <c r="AN1263" s="1">
        <v>13.2063582479999</v>
      </c>
      <c r="AO1263" s="1">
        <v>26083.0</v>
      </c>
      <c r="AP1263" s="1">
        <v>22.2</v>
      </c>
      <c r="AQ1263" s="1">
        <v>8.9</v>
      </c>
      <c r="AR1263" s="1">
        <v>7.7</v>
      </c>
      <c r="AS1263" s="1">
        <v>11.9</v>
      </c>
      <c r="AT1263" s="1">
        <v>20.3</v>
      </c>
      <c r="AU1263" s="1">
        <v>12.3</v>
      </c>
      <c r="AV1263" s="1">
        <v>29.0</v>
      </c>
      <c r="AW1263" s="1">
        <v>1.8</v>
      </c>
      <c r="AX1263" s="1">
        <v>0.5715</v>
      </c>
      <c r="AY1263" s="1">
        <v>17.3</v>
      </c>
      <c r="AZ1263" s="1">
        <v>13.8</v>
      </c>
      <c r="BA1263" s="1">
        <v>13.7</v>
      </c>
      <c r="BB1263" s="1">
        <v>3.07</v>
      </c>
      <c r="BC1263" s="1" t="s">
        <v>2143</v>
      </c>
      <c r="BD1263" s="1">
        <v>7.1</v>
      </c>
      <c r="BE1263" s="1">
        <v>22.0</v>
      </c>
      <c r="BF1263" s="1">
        <v>32.1</v>
      </c>
      <c r="BG1263" s="1">
        <v>38.9</v>
      </c>
      <c r="BH1263" s="1" t="s">
        <v>2198</v>
      </c>
    </row>
    <row r="1264">
      <c r="A1264" s="1">
        <v>26067.0</v>
      </c>
      <c r="B1264" s="2" t="str">
        <f>IFERROR(__xludf.DUMMYFUNCTION("TO_TEXT(A1264)"),"26067")</f>
        <v>26067</v>
      </c>
      <c r="C1264" s="1">
        <v>64126.0</v>
      </c>
      <c r="D1264" s="1">
        <v>571.30429344737</v>
      </c>
      <c r="E1264" s="1" t="s">
        <v>2199</v>
      </c>
      <c r="F1264" s="1" t="s">
        <v>2200</v>
      </c>
      <c r="G1264" s="1">
        <v>112.244911749307</v>
      </c>
      <c r="H1264" s="1">
        <v>13.966618237</v>
      </c>
      <c r="I1264" s="1">
        <v>4.231440143</v>
      </c>
      <c r="J1264" s="1">
        <v>7.1485148515</v>
      </c>
      <c r="K1264" s="1">
        <v>18.167545439</v>
      </c>
      <c r="L1264" s="1">
        <v>34.8</v>
      </c>
      <c r="M1264" s="1">
        <v>8.4</v>
      </c>
      <c r="N1264" s="1">
        <v>25.8</v>
      </c>
      <c r="O1264" s="1">
        <v>74.577889054</v>
      </c>
      <c r="P1264" s="1">
        <v>5.8430751338</v>
      </c>
      <c r="Q1264" s="1">
        <v>29.55313</v>
      </c>
      <c r="R1264" s="1">
        <v>84.144144144</v>
      </c>
      <c r="S1264" s="1">
        <v>12.4</v>
      </c>
      <c r="T1264" s="1">
        <v>14856.0</v>
      </c>
      <c r="U1264" s="1">
        <v>26.723209478</v>
      </c>
      <c r="V1264" s="1">
        <v>246.52496166</v>
      </c>
      <c r="W1264" s="1">
        <v>12.91769455</v>
      </c>
      <c r="X1264" s="1">
        <v>10.382266456</v>
      </c>
      <c r="Y1264" s="1">
        <v>78.523600933</v>
      </c>
      <c r="Z1264" s="1">
        <v>12.7</v>
      </c>
      <c r="AA1264" s="1">
        <v>2.7811319396</v>
      </c>
      <c r="AB1264" s="1">
        <v>61667.0</v>
      </c>
      <c r="AC1264" s="1">
        <v>49.527758581</v>
      </c>
      <c r="AD1264" s="1">
        <v>77.088984163</v>
      </c>
      <c r="AE1264" s="1">
        <v>10.487391963</v>
      </c>
      <c r="AF1264" s="1">
        <v>4.4915122255</v>
      </c>
      <c r="AG1264" s="1">
        <v>0.6836941286</v>
      </c>
      <c r="AH1264" s="1">
        <v>0.4781186731</v>
      </c>
      <c r="AI1264" s="1">
        <v>0.0342625759</v>
      </c>
      <c r="AJ1264" s="1">
        <v>4.8310232051</v>
      </c>
      <c r="AK1264" s="1">
        <v>88.384986762</v>
      </c>
      <c r="AL1264" s="1">
        <v>0.3487718602</v>
      </c>
      <c r="AM1264" s="1">
        <v>46.361937393</v>
      </c>
      <c r="AN1264" s="1">
        <v>60.538299038</v>
      </c>
      <c r="AO1264" s="1">
        <v>21526.0</v>
      </c>
      <c r="AP1264" s="1">
        <v>14.3</v>
      </c>
      <c r="AQ1264" s="1">
        <v>8.2</v>
      </c>
      <c r="AR1264" s="1">
        <v>10.7</v>
      </c>
      <c r="AS1264" s="1">
        <v>13.2</v>
      </c>
      <c r="AT1264" s="1">
        <v>23.3</v>
      </c>
      <c r="AU1264" s="1">
        <v>14.2</v>
      </c>
      <c r="AV1264" s="1">
        <v>11.6</v>
      </c>
      <c r="AW1264" s="1">
        <v>0.4</v>
      </c>
      <c r="AX1264" s="1">
        <v>0.5686</v>
      </c>
      <c r="AY1264" s="1">
        <v>11.5</v>
      </c>
      <c r="AZ1264" s="1">
        <v>11.3</v>
      </c>
      <c r="BA1264" s="1">
        <v>11.4</v>
      </c>
      <c r="BB1264" s="1">
        <v>2.69</v>
      </c>
      <c r="BC1264" s="1" t="s">
        <v>2143</v>
      </c>
      <c r="BD1264" s="1">
        <v>9.5</v>
      </c>
      <c r="BE1264" s="1">
        <v>39.1</v>
      </c>
      <c r="BF1264" s="1">
        <v>35.0</v>
      </c>
      <c r="BG1264" s="1">
        <v>16.4</v>
      </c>
      <c r="BH1264" s="1" t="s">
        <v>2200</v>
      </c>
    </row>
    <row r="1265">
      <c r="A1265" s="1">
        <v>26069.0</v>
      </c>
      <c r="B1265" s="2" t="str">
        <f>IFERROR(__xludf.DUMMYFUNCTION("TO_TEXT(A1265)"),"26069")</f>
        <v>26069</v>
      </c>
      <c r="C1265" s="1">
        <v>25373.0</v>
      </c>
      <c r="D1265" s="1">
        <v>549.11620842357</v>
      </c>
      <c r="E1265" s="1" t="s">
        <v>2201</v>
      </c>
      <c r="F1265" s="1" t="s">
        <v>2202</v>
      </c>
      <c r="G1265" s="1">
        <v>46.2069769764074</v>
      </c>
      <c r="H1265" s="1">
        <v>15.0330533359999</v>
      </c>
      <c r="I1265" s="1">
        <v>4.3158676539</v>
      </c>
      <c r="J1265" s="1">
        <v>6.7028985507</v>
      </c>
      <c r="K1265" s="1">
        <v>16.972381864</v>
      </c>
      <c r="L1265" s="1">
        <v>30.5</v>
      </c>
      <c r="M1265" s="1">
        <v>7.3</v>
      </c>
      <c r="N1265" s="1">
        <v>27.9</v>
      </c>
      <c r="O1265" s="1">
        <v>89.6125468379999</v>
      </c>
      <c r="P1265" s="1">
        <v>7.6253343197</v>
      </c>
      <c r="Q1265" s="1">
        <v>51.66521</v>
      </c>
      <c r="R1265" s="1">
        <v>90.579710145</v>
      </c>
      <c r="S1265" s="1">
        <v>27.5</v>
      </c>
      <c r="T1265" s="1">
        <v>4079.0</v>
      </c>
      <c r="U1265" s="1">
        <v>38.587889189</v>
      </c>
      <c r="V1265" s="1">
        <v>266.81951142</v>
      </c>
      <c r="W1265" s="1">
        <v>11.493252068</v>
      </c>
      <c r="X1265" s="1">
        <v>9.7666226332</v>
      </c>
      <c r="Y1265" s="1">
        <v>75.637750278</v>
      </c>
      <c r="Z1265" s="1">
        <v>17.7</v>
      </c>
      <c r="AA1265" s="1">
        <v>9.9055100439</v>
      </c>
      <c r="AB1265" s="1">
        <v>41256.0</v>
      </c>
      <c r="AC1265" s="1">
        <v>70.735607676</v>
      </c>
      <c r="AD1265" s="1">
        <v>79.62342017</v>
      </c>
      <c r="AE1265" s="1">
        <v>9.9947071277</v>
      </c>
      <c r="AF1265" s="1">
        <v>0.6977393246</v>
      </c>
      <c r="AG1265" s="1">
        <v>0.9648738089</v>
      </c>
      <c r="AH1265" s="1">
        <v>0.8731709262</v>
      </c>
      <c r="AI1265" s="1">
        <v>0.0518320641</v>
      </c>
      <c r="AJ1265" s="1">
        <v>2.4081974403</v>
      </c>
      <c r="AK1265" s="1">
        <v>93.4093536939999</v>
      </c>
      <c r="AL1265" s="1">
        <v>0.1945203212</v>
      </c>
      <c r="AM1265" s="1">
        <v>50.412662972</v>
      </c>
      <c r="AN1265" s="1">
        <v>58.906014602</v>
      </c>
      <c r="AO1265" s="1">
        <v>23723.0</v>
      </c>
      <c r="AP1265" s="1">
        <v>16.9</v>
      </c>
      <c r="AQ1265" s="1">
        <v>11.5</v>
      </c>
      <c r="AR1265" s="1">
        <v>11.6</v>
      </c>
      <c r="AS1265" s="1">
        <v>28.0</v>
      </c>
      <c r="AT1265" s="1">
        <v>16.8</v>
      </c>
      <c r="AU1265" s="1">
        <v>22.4</v>
      </c>
      <c r="AV1265" s="1">
        <v>5.5</v>
      </c>
      <c r="AW1265" s="1">
        <v>0.1</v>
      </c>
      <c r="AX1265" s="1">
        <v>0.4094</v>
      </c>
      <c r="AY1265" s="1">
        <v>14.2</v>
      </c>
      <c r="AZ1265" s="1">
        <v>16.1</v>
      </c>
      <c r="BA1265" s="1">
        <v>21.4</v>
      </c>
      <c r="BB1265" s="1">
        <v>2.97</v>
      </c>
      <c r="BC1265" s="1" t="s">
        <v>2143</v>
      </c>
      <c r="BD1265" s="1">
        <v>11.1</v>
      </c>
      <c r="BE1265" s="1">
        <v>38.3</v>
      </c>
      <c r="BF1265" s="1">
        <v>34.8</v>
      </c>
      <c r="BG1265" s="1">
        <v>15.9</v>
      </c>
      <c r="BH1265" s="1" t="s">
        <v>2202</v>
      </c>
    </row>
    <row r="1266">
      <c r="A1266" s="1">
        <v>26071.0</v>
      </c>
      <c r="B1266" s="2" t="str">
        <f>IFERROR(__xludf.DUMMYFUNCTION("TO_TEXT(A1266)"),"26071")</f>
        <v>26071</v>
      </c>
      <c r="C1266" s="1">
        <v>11393.0</v>
      </c>
      <c r="D1266" s="1">
        <v>1166.1355501019</v>
      </c>
      <c r="E1266" s="1" t="s">
        <v>2203</v>
      </c>
      <c r="F1266" s="1" t="s">
        <v>2204</v>
      </c>
      <c r="G1266" s="1">
        <v>9.76987623694728</v>
      </c>
      <c r="H1266" s="1">
        <v>15.098506011</v>
      </c>
      <c r="I1266" s="1">
        <v>4.3397090997</v>
      </c>
      <c r="J1266" s="1">
        <v>9.794628752</v>
      </c>
      <c r="K1266" s="1">
        <v>16.729066197</v>
      </c>
      <c r="L1266" s="1">
        <v>27.5</v>
      </c>
      <c r="M1266" s="1">
        <v>7.9</v>
      </c>
      <c r="N1266" s="1">
        <v>23.2</v>
      </c>
      <c r="O1266" s="1">
        <v>87.619531184</v>
      </c>
      <c r="P1266" s="1">
        <v>7.1093138534</v>
      </c>
      <c r="Q1266" s="1">
        <v>71.91658</v>
      </c>
      <c r="R1266" s="1">
        <v>95.698924731</v>
      </c>
      <c r="S1266" s="1">
        <v>24.7</v>
      </c>
      <c r="T1266" s="1">
        <v>1741.0</v>
      </c>
      <c r="U1266" s="1">
        <v>40.379092476</v>
      </c>
      <c r="V1266" s="1">
        <v>189.3522392</v>
      </c>
      <c r="W1266" s="1">
        <v>12.685185185</v>
      </c>
      <c r="X1266" s="1">
        <v>11.719626168</v>
      </c>
      <c r="Y1266" s="1">
        <v>76.537394178</v>
      </c>
      <c r="Z1266" s="1">
        <v>7.7</v>
      </c>
      <c r="AA1266" s="1">
        <v>4.990782865</v>
      </c>
      <c r="AB1266" s="1">
        <v>40959.0</v>
      </c>
      <c r="AC1266" s="1">
        <v>62.3211446739999</v>
      </c>
      <c r="AD1266" s="1">
        <v>80.814717477</v>
      </c>
      <c r="AE1266" s="1">
        <v>10.678466077</v>
      </c>
      <c r="AF1266" s="1">
        <v>0.4137806962</v>
      </c>
      <c r="AG1266" s="1">
        <v>1.4932085994</v>
      </c>
      <c r="AH1266" s="1">
        <v>0.494737789</v>
      </c>
      <c r="AI1266" s="1">
        <v>0.0179904651</v>
      </c>
      <c r="AJ1266" s="1">
        <v>2.3297652244</v>
      </c>
      <c r="AK1266" s="1">
        <v>94.009175137</v>
      </c>
      <c r="AL1266" s="1">
        <v>0.1389789678</v>
      </c>
      <c r="AM1266" s="1">
        <v>50.094449942</v>
      </c>
      <c r="AN1266" s="1">
        <v>72.852669882</v>
      </c>
      <c r="AO1266" s="1">
        <v>22454.0</v>
      </c>
      <c r="AP1266" s="1">
        <v>17.2</v>
      </c>
      <c r="AQ1266" s="1">
        <v>7.7</v>
      </c>
      <c r="AR1266" s="1">
        <v>8.3</v>
      </c>
      <c r="AS1266" s="1">
        <v>28.4</v>
      </c>
      <c r="AT1266" s="1">
        <v>16.3</v>
      </c>
      <c r="AU1266" s="1">
        <v>19.1</v>
      </c>
      <c r="AV1266" s="1">
        <v>4.8</v>
      </c>
      <c r="AW1266" s="1">
        <v>0.2</v>
      </c>
      <c r="AX1266" s="1">
        <v>0.3547</v>
      </c>
      <c r="AY1266" s="1">
        <v>13.7</v>
      </c>
      <c r="AZ1266" s="1">
        <v>13.9</v>
      </c>
      <c r="BA1266" s="1">
        <v>17.6</v>
      </c>
      <c r="BB1266" s="1">
        <v>3.05</v>
      </c>
      <c r="BC1266" s="1" t="s">
        <v>2143</v>
      </c>
      <c r="BD1266" s="1">
        <v>8.9</v>
      </c>
      <c r="BE1266" s="1">
        <v>41.9</v>
      </c>
      <c r="BF1266" s="1">
        <v>30.7</v>
      </c>
      <c r="BG1266" s="1">
        <v>18.5</v>
      </c>
      <c r="BH1266" s="1" t="s">
        <v>2204</v>
      </c>
    </row>
    <row r="1267">
      <c r="A1267" s="1">
        <v>26073.0</v>
      </c>
      <c r="B1267" s="2" t="str">
        <f>IFERROR(__xludf.DUMMYFUNCTION("TO_TEXT(A1267)"),"26073")</f>
        <v>26073</v>
      </c>
      <c r="C1267" s="1">
        <v>70574.0</v>
      </c>
      <c r="D1267" s="1">
        <v>572.676700342308</v>
      </c>
      <c r="E1267" s="1" t="s">
        <v>2205</v>
      </c>
      <c r="F1267" s="1" t="s">
        <v>2206</v>
      </c>
      <c r="G1267" s="1">
        <v>123.235326245708</v>
      </c>
      <c r="H1267" s="1">
        <v>18.592365146</v>
      </c>
      <c r="I1267" s="1">
        <v>4.7346351432</v>
      </c>
      <c r="J1267" s="1">
        <v>7.3069350252</v>
      </c>
      <c r="K1267" s="1">
        <v>19.92928351</v>
      </c>
      <c r="L1267" s="1">
        <v>33.4</v>
      </c>
      <c r="M1267" s="1">
        <v>7.3</v>
      </c>
      <c r="N1267" s="1">
        <v>17.9</v>
      </c>
      <c r="O1267" s="1">
        <v>75.867218501</v>
      </c>
      <c r="P1267" s="1">
        <v>7.7452000212</v>
      </c>
      <c r="Q1267" s="1">
        <v>46.43767</v>
      </c>
      <c r="R1267" s="1">
        <v>82.692307692</v>
      </c>
      <c r="S1267" s="1">
        <v>16.8</v>
      </c>
      <c r="T1267" s="1">
        <v>12048.0</v>
      </c>
      <c r="U1267" s="1">
        <v>35.682270916</v>
      </c>
      <c r="V1267" s="1">
        <v>251.99436552</v>
      </c>
      <c r="W1267" s="1">
        <v>21.246458924</v>
      </c>
      <c r="X1267" s="1">
        <v>19.708478752</v>
      </c>
      <c r="Y1267" s="1">
        <v>78.611584184</v>
      </c>
      <c r="Z1267" s="1">
        <v>8.0</v>
      </c>
      <c r="AA1267" s="1">
        <v>3.6904139416</v>
      </c>
      <c r="AB1267" s="1">
        <v>47056.0</v>
      </c>
      <c r="AC1267" s="1">
        <v>47.332461114</v>
      </c>
      <c r="AD1267" s="1">
        <v>61.786331311</v>
      </c>
      <c r="AE1267" s="1">
        <v>18.586540063</v>
      </c>
      <c r="AF1267" s="1">
        <v>2.607635838</v>
      </c>
      <c r="AG1267" s="1">
        <v>4.0489215158</v>
      </c>
      <c r="AH1267" s="1">
        <v>1.9642300388</v>
      </c>
      <c r="AI1267" s="1">
        <v>0.0410986083</v>
      </c>
      <c r="AJ1267" s="1">
        <v>3.9865650067</v>
      </c>
      <c r="AK1267" s="1">
        <v>85.176157138</v>
      </c>
      <c r="AL1267" s="1">
        <v>0.7488581766</v>
      </c>
      <c r="AM1267" s="1">
        <v>51.346333721</v>
      </c>
      <c r="AN1267" s="1">
        <v>46.588727226</v>
      </c>
      <c r="AO1267" s="1">
        <v>21387.0</v>
      </c>
      <c r="AP1267" s="1">
        <v>28.8</v>
      </c>
      <c r="AQ1267" s="1">
        <v>9.9</v>
      </c>
      <c r="AR1267" s="1">
        <v>8.5</v>
      </c>
      <c r="AS1267" s="1">
        <v>11.0</v>
      </c>
      <c r="AT1267" s="1">
        <v>17.4</v>
      </c>
      <c r="AU1267" s="1">
        <v>12.2</v>
      </c>
      <c r="AV1267" s="1">
        <v>13.9</v>
      </c>
      <c r="AW1267" s="1">
        <v>0.6</v>
      </c>
      <c r="AX1267" s="1">
        <v>0.5931</v>
      </c>
      <c r="AY1267" s="1">
        <v>22.9</v>
      </c>
      <c r="AZ1267" s="1">
        <v>13.9</v>
      </c>
      <c r="BA1267" s="1">
        <v>13.4</v>
      </c>
      <c r="BB1267" s="1">
        <v>2.77</v>
      </c>
      <c r="BC1267" s="1" t="s">
        <v>2143</v>
      </c>
      <c r="BD1267" s="1">
        <v>8.5</v>
      </c>
      <c r="BE1267" s="1">
        <v>31.8</v>
      </c>
      <c r="BF1267" s="1">
        <v>30.6</v>
      </c>
      <c r="BG1267" s="1">
        <v>29.1</v>
      </c>
      <c r="BH1267" s="1" t="s">
        <v>2206</v>
      </c>
    </row>
    <row r="1268">
      <c r="A1268" s="1">
        <v>26075.0</v>
      </c>
      <c r="B1268" s="2" t="str">
        <f>IFERROR(__xludf.DUMMYFUNCTION("TO_TEXT(A1268)"),"26075")</f>
        <v>26075</v>
      </c>
      <c r="C1268" s="1">
        <v>159483.0</v>
      </c>
      <c r="D1268" s="1">
        <v>701.666379285252</v>
      </c>
      <c r="E1268" s="1" t="s">
        <v>130</v>
      </c>
      <c r="F1268" s="1" t="s">
        <v>2207</v>
      </c>
      <c r="G1268" s="1">
        <v>227.291779552636</v>
      </c>
      <c r="H1268" s="1">
        <v>15.830568962</v>
      </c>
      <c r="I1268" s="1">
        <v>4.4862930418</v>
      </c>
      <c r="J1268" s="1">
        <v>8.6166518614</v>
      </c>
      <c r="K1268" s="1">
        <v>19.325637606</v>
      </c>
      <c r="L1268" s="1">
        <v>36.2</v>
      </c>
      <c r="M1268" s="1">
        <v>7.4</v>
      </c>
      <c r="N1268" s="1">
        <v>24.6</v>
      </c>
      <c r="O1268" s="1">
        <v>72.073910439</v>
      </c>
      <c r="P1268" s="1">
        <v>5.7216457147</v>
      </c>
      <c r="Q1268" s="1">
        <v>45.38578</v>
      </c>
      <c r="R1268" s="1">
        <v>80.607627666</v>
      </c>
      <c r="S1268" s="1">
        <v>19.9</v>
      </c>
      <c r="T1268" s="1">
        <v>34185.0</v>
      </c>
      <c r="U1268" s="1">
        <v>38.411584028</v>
      </c>
      <c r="V1268" s="1">
        <v>475.68643359</v>
      </c>
      <c r="W1268" s="1">
        <v>14.719184278</v>
      </c>
      <c r="X1268" s="1">
        <v>13.13231996</v>
      </c>
      <c r="Y1268" s="1">
        <v>76.629473038</v>
      </c>
      <c r="Z1268" s="1">
        <v>12.3</v>
      </c>
      <c r="AA1268" s="1">
        <v>10.047202581</v>
      </c>
      <c r="AB1268" s="1">
        <v>52047.0</v>
      </c>
      <c r="AC1268" s="1">
        <v>55.9636955219999</v>
      </c>
      <c r="AD1268" s="1">
        <v>73.390495332</v>
      </c>
      <c r="AE1268" s="1">
        <v>11.896849661</v>
      </c>
      <c r="AF1268" s="1">
        <v>7.9264338289</v>
      </c>
      <c r="AG1268" s="1">
        <v>0.4199643628</v>
      </c>
      <c r="AH1268" s="1">
        <v>0.941299434</v>
      </c>
      <c r="AI1268" s="1">
        <v>0.0522594335</v>
      </c>
      <c r="AJ1268" s="1">
        <v>3.6052712768</v>
      </c>
      <c r="AK1268" s="1">
        <v>84.602985714</v>
      </c>
      <c r="AL1268" s="1">
        <v>0.4341968359</v>
      </c>
      <c r="AM1268" s="1">
        <v>48.929940878</v>
      </c>
      <c r="AN1268" s="1">
        <v>41.823298887</v>
      </c>
      <c r="AO1268" s="1">
        <v>24444.0</v>
      </c>
      <c r="AP1268" s="1">
        <v>16.7</v>
      </c>
      <c r="AQ1268" s="1">
        <v>8.9</v>
      </c>
      <c r="AR1268" s="1">
        <v>10.2</v>
      </c>
      <c r="AS1268" s="1">
        <v>15.9</v>
      </c>
      <c r="AT1268" s="1">
        <v>22.2</v>
      </c>
      <c r="AU1268" s="1">
        <v>15.4</v>
      </c>
      <c r="AV1268" s="1">
        <v>14.9</v>
      </c>
      <c r="AW1268" s="1">
        <v>0.5</v>
      </c>
      <c r="AX1268" s="1">
        <v>0.595</v>
      </c>
      <c r="AY1268" s="1">
        <v>13.7</v>
      </c>
      <c r="AZ1268" s="1">
        <v>13.0</v>
      </c>
      <c r="BA1268" s="1">
        <v>15.1</v>
      </c>
      <c r="BB1268" s="1">
        <v>2.83</v>
      </c>
      <c r="BC1268" s="1" t="s">
        <v>2143</v>
      </c>
      <c r="BD1268" s="1">
        <v>9.2</v>
      </c>
      <c r="BE1268" s="1">
        <v>32.6</v>
      </c>
      <c r="BF1268" s="1">
        <v>36.0</v>
      </c>
      <c r="BG1268" s="1">
        <v>22.2</v>
      </c>
      <c r="BH1268" s="1" t="s">
        <v>2207</v>
      </c>
    </row>
    <row r="1269">
      <c r="A1269" s="1">
        <v>26077.0</v>
      </c>
      <c r="B1269" s="2" t="str">
        <f>IFERROR(__xludf.DUMMYFUNCTION("TO_TEXT(A1269)"),"26077")</f>
        <v>26077</v>
      </c>
      <c r="C1269" s="1">
        <v>258605.0</v>
      </c>
      <c r="D1269" s="1">
        <v>562.196063483236</v>
      </c>
      <c r="E1269" s="1" t="s">
        <v>2208</v>
      </c>
      <c r="F1269" s="1" t="s">
        <v>2209</v>
      </c>
      <c r="G1269" s="1">
        <v>459.990769764098</v>
      </c>
      <c r="H1269" s="1">
        <v>14.621629593</v>
      </c>
      <c r="I1269" s="1">
        <v>4.3247882388</v>
      </c>
      <c r="J1269" s="1">
        <v>7.6212259835</v>
      </c>
      <c r="K1269" s="1">
        <v>18.001410648</v>
      </c>
      <c r="L1269" s="1">
        <v>31.4</v>
      </c>
      <c r="M1269" s="1">
        <v>7.3</v>
      </c>
      <c r="N1269" s="1">
        <v>19.3</v>
      </c>
      <c r="O1269" s="1">
        <v>78.309118727</v>
      </c>
      <c r="P1269" s="1">
        <v>5.5614101002</v>
      </c>
      <c r="Q1269" s="1">
        <v>95.44271</v>
      </c>
      <c r="R1269" s="1">
        <v>84.612068966</v>
      </c>
      <c r="S1269" s="1">
        <v>16.5</v>
      </c>
      <c r="T1269" s="1">
        <v>56629.0</v>
      </c>
      <c r="U1269" s="1">
        <v>35.047413869</v>
      </c>
      <c r="V1269" s="1">
        <v>534.42857253</v>
      </c>
      <c r="W1269" s="1">
        <v>14.9128851259999</v>
      </c>
      <c r="X1269" s="1">
        <v>13.406735751</v>
      </c>
      <c r="Y1269" s="1">
        <v>78.966543842</v>
      </c>
      <c r="Z1269" s="1">
        <v>10.1</v>
      </c>
      <c r="AA1269" s="1">
        <v>9.2819651736</v>
      </c>
      <c r="AB1269" s="1">
        <v>55881.0</v>
      </c>
      <c r="AC1269" s="1">
        <v>49.278181921</v>
      </c>
      <c r="AD1269" s="1">
        <v>63.8309875589999</v>
      </c>
      <c r="AE1269" s="1">
        <v>12.105116852</v>
      </c>
      <c r="AF1269" s="1">
        <v>11.402952392</v>
      </c>
      <c r="AG1269" s="1">
        <v>0.5191225884</v>
      </c>
      <c r="AH1269" s="1">
        <v>2.8043946087</v>
      </c>
      <c r="AI1269" s="1">
        <v>0.0622947106</v>
      </c>
      <c r="AJ1269" s="1">
        <v>5.0334126175</v>
      </c>
      <c r="AK1269" s="1">
        <v>77.244308529</v>
      </c>
      <c r="AL1269" s="1">
        <v>0.7899009877</v>
      </c>
      <c r="AM1269" s="1">
        <v>51.047306226</v>
      </c>
      <c r="AN1269" s="1">
        <v>17.54716755</v>
      </c>
      <c r="AO1269" s="1">
        <v>27370.0</v>
      </c>
      <c r="AP1269" s="1">
        <v>17.5</v>
      </c>
      <c r="AQ1269" s="1">
        <v>7.3</v>
      </c>
      <c r="AR1269" s="1">
        <v>6.4</v>
      </c>
      <c r="AS1269" s="1">
        <v>13.5</v>
      </c>
      <c r="AT1269" s="1">
        <v>22.1</v>
      </c>
      <c r="AU1269" s="1">
        <v>12.9</v>
      </c>
      <c r="AV1269" s="1">
        <v>21.6</v>
      </c>
      <c r="AW1269" s="1">
        <v>0.8</v>
      </c>
      <c r="AX1269" s="1">
        <v>0.411</v>
      </c>
      <c r="AY1269" s="1">
        <v>13.3</v>
      </c>
      <c r="AZ1269" s="1">
        <v>12.5</v>
      </c>
      <c r="BA1269" s="1">
        <v>11.8</v>
      </c>
      <c r="BB1269" s="1">
        <v>2.97</v>
      </c>
      <c r="BC1269" s="1" t="s">
        <v>2143</v>
      </c>
      <c r="BD1269" s="1">
        <v>6.4</v>
      </c>
      <c r="BE1269" s="1">
        <v>22.0</v>
      </c>
      <c r="BF1269" s="1">
        <v>32.8</v>
      </c>
      <c r="BG1269" s="1">
        <v>38.8</v>
      </c>
      <c r="BH1269" s="1" t="s">
        <v>2209</v>
      </c>
    </row>
    <row r="1270">
      <c r="A1270" s="1">
        <v>26079.0</v>
      </c>
      <c r="B1270" s="2" t="str">
        <f>IFERROR(__xludf.DUMMYFUNCTION("TO_TEXT(A1270)"),"26079")</f>
        <v>26079</v>
      </c>
      <c r="C1270" s="1">
        <v>17259.0</v>
      </c>
      <c r="D1270" s="1">
        <v>559.87117808958</v>
      </c>
      <c r="E1270" s="1" t="s">
        <v>2210</v>
      </c>
      <c r="F1270" s="1" t="s">
        <v>2211</v>
      </c>
      <c r="G1270" s="1">
        <v>30.8267342121307</v>
      </c>
      <c r="H1270" s="1">
        <v>15.705478224</v>
      </c>
      <c r="I1270" s="1">
        <v>4.3981414541</v>
      </c>
      <c r="J1270" s="1">
        <v>6.9049553209</v>
      </c>
      <c r="K1270" s="1">
        <v>18.623563652</v>
      </c>
      <c r="L1270" s="1">
        <v>34.4</v>
      </c>
      <c r="M1270" s="1">
        <v>7.9</v>
      </c>
      <c r="N1270" s="1">
        <v>28.4</v>
      </c>
      <c r="O1270" s="1">
        <v>73.783011718</v>
      </c>
      <c r="P1270" s="1">
        <v>8.2229262673</v>
      </c>
      <c r="Q1270" s="1">
        <v>28.35432</v>
      </c>
      <c r="R1270" s="1">
        <v>78.16091954</v>
      </c>
      <c r="S1270" s="1">
        <v>21.8</v>
      </c>
      <c r="T1270" s="1">
        <v>3559.0</v>
      </c>
      <c r="U1270" s="1">
        <v>32.958696263</v>
      </c>
      <c r="V1270" s="1">
        <v>368.01993683</v>
      </c>
      <c r="W1270" s="1">
        <v>14.0825035559999</v>
      </c>
      <c r="X1270" s="1">
        <v>11.465892598</v>
      </c>
      <c r="Y1270" s="1">
        <v>76.557715601</v>
      </c>
      <c r="Z1270" s="1">
        <v>14.9</v>
      </c>
      <c r="AA1270" s="1">
        <v>2.5594415331</v>
      </c>
      <c r="AB1270" s="1">
        <v>46068.0</v>
      </c>
      <c r="AC1270" s="1">
        <v>63.5213494989999</v>
      </c>
      <c r="AD1270" s="1">
        <v>80.739599384</v>
      </c>
      <c r="AE1270" s="1">
        <v>11.52896762</v>
      </c>
      <c r="AF1270" s="1">
        <v>0.5947037702</v>
      </c>
      <c r="AG1270" s="1">
        <v>1.0042639138</v>
      </c>
      <c r="AH1270" s="1">
        <v>0.6732495512</v>
      </c>
      <c r="AI1270" s="1">
        <v>0.0224416517</v>
      </c>
      <c r="AJ1270" s="1">
        <v>2.2497755835</v>
      </c>
      <c r="AK1270" s="1">
        <v>93.559245961</v>
      </c>
      <c r="AL1270" s="1">
        <v>0.2231200627</v>
      </c>
      <c r="AM1270" s="1">
        <v>48.687163375</v>
      </c>
      <c r="AN1270" s="1">
        <v>84.445869527</v>
      </c>
      <c r="AO1270" s="1">
        <v>22508.0</v>
      </c>
      <c r="AP1270" s="1">
        <v>16.8</v>
      </c>
      <c r="AQ1270" s="1">
        <v>8.9</v>
      </c>
      <c r="AR1270" s="1">
        <v>13.4</v>
      </c>
      <c r="AS1270" s="1">
        <v>18.9</v>
      </c>
      <c r="AT1270" s="1">
        <v>21.6</v>
      </c>
      <c r="AU1270" s="1">
        <v>19.3</v>
      </c>
      <c r="AV1270" s="1">
        <v>5.1</v>
      </c>
      <c r="AW1270" s="1">
        <v>0.2</v>
      </c>
      <c r="AX1270" s="1">
        <v>0.4132</v>
      </c>
      <c r="AY1270" s="1">
        <v>13.9</v>
      </c>
      <c r="AZ1270" s="1">
        <v>15.2</v>
      </c>
      <c r="BA1270" s="1">
        <v>18.3</v>
      </c>
      <c r="BB1270" s="1">
        <v>2.97</v>
      </c>
      <c r="BC1270" s="1" t="s">
        <v>2143</v>
      </c>
      <c r="BD1270" s="1">
        <v>12.7</v>
      </c>
      <c r="BE1270" s="1">
        <v>42.1</v>
      </c>
      <c r="BF1270" s="1">
        <v>33.3</v>
      </c>
      <c r="BG1270" s="1">
        <v>11.9</v>
      </c>
      <c r="BH1270" s="1" t="s">
        <v>2211</v>
      </c>
    </row>
    <row r="1271">
      <c r="A1271" s="1">
        <v>26081.0</v>
      </c>
      <c r="B1271" s="2" t="str">
        <f>IFERROR(__xludf.DUMMYFUNCTION("TO_TEXT(A1271)"),"26081")</f>
        <v>26081</v>
      </c>
      <c r="C1271" s="1">
        <v>629352.0</v>
      </c>
      <c r="D1271" s="1">
        <v>847.668894978622</v>
      </c>
      <c r="E1271" s="1" t="s">
        <v>669</v>
      </c>
      <c r="F1271" s="1" t="s">
        <v>2212</v>
      </c>
      <c r="G1271" s="1">
        <v>742.450270061959</v>
      </c>
      <c r="H1271" s="1">
        <v>13.0980021479999</v>
      </c>
      <c r="I1271" s="1">
        <v>3.8983788194</v>
      </c>
      <c r="J1271" s="1">
        <v>7.9312356201</v>
      </c>
      <c r="K1271" s="1">
        <v>15.052005478</v>
      </c>
      <c r="L1271" s="1">
        <v>29.6</v>
      </c>
      <c r="M1271" s="1">
        <v>8.1</v>
      </c>
      <c r="N1271" s="1">
        <v>19.8</v>
      </c>
      <c r="O1271" s="1">
        <v>91.030529918</v>
      </c>
      <c r="P1271" s="1">
        <v>6.3522487743</v>
      </c>
      <c r="Q1271" s="1">
        <v>90.1951</v>
      </c>
      <c r="R1271" s="1">
        <v>88.549132027</v>
      </c>
      <c r="S1271" s="1">
        <v>14.6</v>
      </c>
      <c r="T1271" s="1">
        <v>156677.0</v>
      </c>
      <c r="U1271" s="1">
        <v>32.087032557</v>
      </c>
      <c r="V1271" s="1">
        <v>372.74269809</v>
      </c>
      <c r="W1271" s="1">
        <v>13.938270026</v>
      </c>
      <c r="X1271" s="1">
        <v>11.8077055379999</v>
      </c>
      <c r="Y1271" s="1">
        <v>79.940486245</v>
      </c>
      <c r="Z1271" s="1">
        <v>9.0</v>
      </c>
      <c r="AA1271" s="1">
        <v>5.2840384191</v>
      </c>
      <c r="AB1271" s="1">
        <v>61675.0</v>
      </c>
      <c r="AC1271" s="1">
        <v>49.26292734</v>
      </c>
      <c r="AD1271" s="1">
        <v>69.053570533</v>
      </c>
      <c r="AE1271" s="1">
        <v>11.368685899</v>
      </c>
      <c r="AF1271" s="1">
        <v>9.6554530076</v>
      </c>
      <c r="AG1271" s="1">
        <v>0.7577403003</v>
      </c>
      <c r="AH1271" s="1">
        <v>3.3509435809</v>
      </c>
      <c r="AI1271" s="1">
        <v>0.0807603711</v>
      </c>
      <c r="AJ1271" s="1">
        <v>10.72246882</v>
      </c>
      <c r="AK1271" s="1">
        <v>73.478783578</v>
      </c>
      <c r="AL1271" s="1">
        <v>2.9051745291</v>
      </c>
      <c r="AM1271" s="1">
        <v>50.697017067</v>
      </c>
      <c r="AN1271" s="1">
        <v>15.675332132</v>
      </c>
      <c r="AO1271" s="1">
        <v>28070.0</v>
      </c>
      <c r="AP1271" s="1">
        <v>14.9</v>
      </c>
      <c r="AQ1271" s="1">
        <v>6.3</v>
      </c>
      <c r="AR1271" s="1">
        <v>10.5</v>
      </c>
      <c r="AS1271" s="1">
        <v>12.2</v>
      </c>
      <c r="AT1271" s="1">
        <v>25.2</v>
      </c>
      <c r="AU1271" s="1">
        <v>11.7</v>
      </c>
      <c r="AV1271" s="1">
        <v>25.2</v>
      </c>
      <c r="AW1271" s="1">
        <v>2.9</v>
      </c>
      <c r="AX1271" s="1">
        <v>0.5043</v>
      </c>
      <c r="AY1271" s="1">
        <v>11.2</v>
      </c>
      <c r="AZ1271" s="1">
        <v>11.0</v>
      </c>
      <c r="BA1271" s="1">
        <v>9.9</v>
      </c>
      <c r="BB1271" s="1">
        <v>3.06</v>
      </c>
      <c r="BC1271" s="1" t="s">
        <v>2143</v>
      </c>
      <c r="BD1271" s="1">
        <v>9.3</v>
      </c>
      <c r="BE1271" s="1">
        <v>24.1</v>
      </c>
      <c r="BF1271" s="1">
        <v>30.9</v>
      </c>
      <c r="BG1271" s="1">
        <v>35.7</v>
      </c>
      <c r="BH1271" s="1" t="s">
        <v>2212</v>
      </c>
    </row>
    <row r="1272">
      <c r="A1272" s="1">
        <v>26083.0</v>
      </c>
      <c r="B1272" s="2" t="str">
        <f>IFERROR(__xludf.DUMMYFUNCTION("TO_TEXT(A1272)"),"26083")</f>
        <v>26083</v>
      </c>
      <c r="C1272" s="1">
        <v>2195.0</v>
      </c>
      <c r="D1272" s="1">
        <v>540.111621749806</v>
      </c>
      <c r="E1272" s="1" t="s">
        <v>2213</v>
      </c>
      <c r="F1272" s="1" t="s">
        <v>2214</v>
      </c>
      <c r="G1272" s="1">
        <v>4.06397476301071</v>
      </c>
      <c r="H1272" s="1">
        <v>14.665941349</v>
      </c>
      <c r="I1272" s="1">
        <v>4.4003843285</v>
      </c>
      <c r="J1272" s="1">
        <v>7.80443539465</v>
      </c>
      <c r="K1272" s="1">
        <v>15.995998524</v>
      </c>
      <c r="L1272" s="1">
        <v>28.5</v>
      </c>
      <c r="M1272" s="1">
        <v>7.4</v>
      </c>
      <c r="N1272" s="1">
        <v>22.1</v>
      </c>
      <c r="O1272" s="1">
        <v>9.1836734694</v>
      </c>
      <c r="P1272" s="1">
        <v>7.0536370316</v>
      </c>
      <c r="Q1272" s="1">
        <v>48.31939</v>
      </c>
      <c r="R1272" s="1">
        <v>61.904761905</v>
      </c>
      <c r="S1272" s="1">
        <v>18.6</v>
      </c>
      <c r="T1272" s="1">
        <v>335.0</v>
      </c>
      <c r="U1272" s="1">
        <v>45.074626866</v>
      </c>
      <c r="V1272" s="1">
        <v>205.62028787</v>
      </c>
      <c r="W1272" s="1">
        <v>16.097560976</v>
      </c>
      <c r="X1272" s="1">
        <v>12.340842311</v>
      </c>
      <c r="Y1272" s="1">
        <v>78.143140612</v>
      </c>
      <c r="Z1272" s="1">
        <v>6.8</v>
      </c>
      <c r="AA1272" s="1">
        <v>8.1974386678</v>
      </c>
      <c r="AB1272" s="1">
        <v>51641.0</v>
      </c>
      <c r="AC1272" s="1">
        <v>80.882352941</v>
      </c>
      <c r="AD1272" s="1">
        <v>88.436632747</v>
      </c>
      <c r="AE1272" s="1">
        <v>8.5146641438</v>
      </c>
      <c r="AF1272" s="1">
        <v>0.3312825367</v>
      </c>
      <c r="AG1272" s="1">
        <v>0.3312825367</v>
      </c>
      <c r="AH1272" s="1">
        <v>0.0946521533</v>
      </c>
      <c r="AI1272" s="1">
        <v>0.0</v>
      </c>
      <c r="AJ1272" s="1">
        <v>1.3251301467</v>
      </c>
      <c r="AK1272" s="1">
        <v>96.87647894</v>
      </c>
      <c r="AL1272" s="1">
        <v>0.0979431929</v>
      </c>
      <c r="AM1272" s="1">
        <v>48.651206815</v>
      </c>
      <c r="AN1272" s="1">
        <v>100.0</v>
      </c>
      <c r="AO1272" s="1">
        <v>26328.0</v>
      </c>
      <c r="AP1272" s="1">
        <v>17.0</v>
      </c>
      <c r="AQ1272" s="1">
        <v>6.6</v>
      </c>
      <c r="AR1272" s="1">
        <v>5.6</v>
      </c>
      <c r="AS1272" s="1">
        <v>31.1</v>
      </c>
      <c r="AT1272" s="1">
        <v>16.6</v>
      </c>
      <c r="AU1272" s="1">
        <v>19.9</v>
      </c>
      <c r="AV1272" s="1">
        <v>2.3</v>
      </c>
      <c r="AW1272" s="1">
        <v>0.2</v>
      </c>
      <c r="AX1272" s="1">
        <v>0.1585</v>
      </c>
      <c r="AY1272" s="1">
        <v>10.3</v>
      </c>
      <c r="AZ1272" s="1">
        <v>12.6</v>
      </c>
      <c r="BA1272" s="1">
        <v>17.9</v>
      </c>
      <c r="BB1272" s="1">
        <v>3.24</v>
      </c>
      <c r="BC1272" s="1" t="s">
        <v>2143</v>
      </c>
      <c r="BD1272" s="1">
        <v>3.6</v>
      </c>
      <c r="BE1272" s="1">
        <v>35.4</v>
      </c>
      <c r="BF1272" s="1">
        <v>29.0</v>
      </c>
      <c r="BG1272" s="1">
        <v>32.0</v>
      </c>
      <c r="BH1272" s="1" t="s">
        <v>2214</v>
      </c>
    </row>
    <row r="1273">
      <c r="A1273" s="1">
        <v>26085.0</v>
      </c>
      <c r="B1273" s="2" t="str">
        <f>IFERROR(__xludf.DUMMYFUNCTION("TO_TEXT(A1273)"),"26085")</f>
        <v>26085</v>
      </c>
      <c r="C1273" s="1">
        <v>11415.0</v>
      </c>
      <c r="D1273" s="1">
        <v>567.514835908662</v>
      </c>
      <c r="E1273" s="1" t="s">
        <v>450</v>
      </c>
      <c r="F1273" s="1" t="s">
        <v>2215</v>
      </c>
      <c r="G1273" s="1">
        <v>20.1140116129707</v>
      </c>
      <c r="H1273" s="1">
        <v>19.26249243</v>
      </c>
      <c r="I1273" s="1">
        <v>4.9217270128</v>
      </c>
      <c r="J1273" s="1">
        <v>9.9859353024</v>
      </c>
      <c r="K1273" s="1">
        <v>20.440323802</v>
      </c>
      <c r="L1273" s="1">
        <v>27.4</v>
      </c>
      <c r="M1273" s="1">
        <v>6.8</v>
      </c>
      <c r="N1273" s="1">
        <v>29.2</v>
      </c>
      <c r="O1273" s="1">
        <v>91.229742612</v>
      </c>
      <c r="P1273" s="1">
        <v>7.96624891429999</v>
      </c>
      <c r="Q1273" s="1">
        <v>8.32432</v>
      </c>
      <c r="R1273" s="1">
        <v>79.411764706</v>
      </c>
      <c r="S1273" s="1">
        <v>36.4</v>
      </c>
      <c r="T1273" s="1">
        <v>1901.0</v>
      </c>
      <c r="U1273" s="1">
        <v>28.7743293</v>
      </c>
      <c r="V1273" s="1">
        <v>329.39523036</v>
      </c>
      <c r="W1273" s="1">
        <v>18.088737201</v>
      </c>
      <c r="X1273" s="1">
        <v>17.364705882</v>
      </c>
      <c r="Y1273" s="1">
        <v>77.045301174</v>
      </c>
      <c r="Z1273" s="1">
        <v>8.1</v>
      </c>
      <c r="AA1273" s="1">
        <v>8.28625218809999</v>
      </c>
      <c r="AB1273" s="1">
        <v>36044.0</v>
      </c>
      <c r="AC1273" s="1">
        <v>95.3271028039999</v>
      </c>
      <c r="AD1273" s="1">
        <v>84.104494133</v>
      </c>
      <c r="AE1273" s="1">
        <v>16.522955022</v>
      </c>
      <c r="AF1273" s="1">
        <v>8.3662991331</v>
      </c>
      <c r="AG1273" s="1">
        <v>0.9595151923</v>
      </c>
      <c r="AH1273" s="1">
        <v>0.3030047976</v>
      </c>
      <c r="AI1273" s="1">
        <v>0.0168335999</v>
      </c>
      <c r="AJ1273" s="1">
        <v>2.5502903796</v>
      </c>
      <c r="AK1273" s="1">
        <v>85.337934517</v>
      </c>
      <c r="AL1273" s="1">
        <v>0.2040635259</v>
      </c>
      <c r="AM1273" s="1">
        <v>49.154111607</v>
      </c>
      <c r="AN1273" s="1">
        <v>100.0</v>
      </c>
      <c r="AO1273" s="1">
        <v>17178.0</v>
      </c>
      <c r="AP1273" s="1">
        <v>27.2</v>
      </c>
      <c r="AQ1273" s="1">
        <v>12.1</v>
      </c>
      <c r="AR1273" s="1">
        <v>17.9</v>
      </c>
      <c r="AS1273" s="1">
        <v>26.3</v>
      </c>
      <c r="AT1273" s="1">
        <v>17.0</v>
      </c>
      <c r="AU1273" s="1">
        <v>24.5</v>
      </c>
      <c r="AV1273" s="1">
        <v>14.7</v>
      </c>
      <c r="AW1273" s="1">
        <v>0.1</v>
      </c>
      <c r="AX1273" s="1">
        <v>0.7803</v>
      </c>
      <c r="AY1273" s="1">
        <v>20.2</v>
      </c>
      <c r="AZ1273" s="1">
        <v>19.0</v>
      </c>
      <c r="BA1273" s="1">
        <v>26.6</v>
      </c>
      <c r="BB1273" s="1">
        <v>2.74</v>
      </c>
      <c r="BC1273" s="1" t="s">
        <v>2143</v>
      </c>
      <c r="BD1273" s="1">
        <v>17.6</v>
      </c>
      <c r="BE1273" s="1">
        <v>40.6</v>
      </c>
      <c r="BF1273" s="1">
        <v>30.0</v>
      </c>
      <c r="BG1273" s="1">
        <v>11.9</v>
      </c>
      <c r="BH1273" s="1" t="s">
        <v>2215</v>
      </c>
    </row>
    <row r="1274">
      <c r="A1274" s="1">
        <v>26087.0</v>
      </c>
      <c r="B1274" s="2" t="str">
        <f>IFERROR(__xludf.DUMMYFUNCTION("TO_TEXT(A1274)"),"26087")</f>
        <v>26087</v>
      </c>
      <c r="C1274" s="1">
        <v>88310.0</v>
      </c>
      <c r="D1274" s="1">
        <v>644.191708926304</v>
      </c>
      <c r="E1274" s="1" t="s">
        <v>2216</v>
      </c>
      <c r="F1274" s="1" t="s">
        <v>2217</v>
      </c>
      <c r="G1274" s="1">
        <v>137.086520637139</v>
      </c>
      <c r="H1274" s="1">
        <v>13.900839684</v>
      </c>
      <c r="I1274" s="1">
        <v>4.1878215613</v>
      </c>
      <c r="J1274" s="1">
        <v>6.9384835479</v>
      </c>
      <c r="K1274" s="1">
        <v>16.3859935029999</v>
      </c>
      <c r="L1274" s="1">
        <v>33.5</v>
      </c>
      <c r="M1274" s="1">
        <v>8.6</v>
      </c>
      <c r="N1274" s="1">
        <v>21.8</v>
      </c>
      <c r="O1274" s="1">
        <v>58.242280823</v>
      </c>
      <c r="P1274" s="1">
        <v>6.3310599284</v>
      </c>
      <c r="Q1274" s="1">
        <v>31.75539</v>
      </c>
      <c r="R1274" s="1">
        <v>90.60832444</v>
      </c>
      <c r="S1274" s="1">
        <v>13.9</v>
      </c>
      <c r="T1274" s="1">
        <v>18609.0</v>
      </c>
      <c r="U1274" s="1">
        <v>25.627384599</v>
      </c>
      <c r="V1274" s="1">
        <v>187.12194019</v>
      </c>
      <c r="W1274" s="1">
        <v>13.8452144709999</v>
      </c>
      <c r="X1274" s="1">
        <v>11.818879509</v>
      </c>
      <c r="Y1274" s="1">
        <v>78.168813057</v>
      </c>
      <c r="Z1274" s="1">
        <v>11.1</v>
      </c>
      <c r="AA1274" s="1">
        <v>2.5693645243</v>
      </c>
      <c r="AB1274" s="1">
        <v>65209.0</v>
      </c>
      <c r="AC1274" s="1">
        <v>47.819672131</v>
      </c>
      <c r="AD1274" s="1">
        <v>83.526410564</v>
      </c>
      <c r="AE1274" s="1">
        <v>11.467875854</v>
      </c>
      <c r="AF1274" s="1">
        <v>1.1394101877</v>
      </c>
      <c r="AG1274" s="1">
        <v>0.5180169946</v>
      </c>
      <c r="AH1274" s="1">
        <v>0.6770573</v>
      </c>
      <c r="AI1274" s="1">
        <v>0.0136320262</v>
      </c>
      <c r="AJ1274" s="1">
        <v>4.6701049666</v>
      </c>
      <c r="AK1274" s="1">
        <v>91.806016268</v>
      </c>
      <c r="AL1274" s="1">
        <v>0.7941997186</v>
      </c>
      <c r="AM1274" s="1">
        <v>49.294542646</v>
      </c>
      <c r="AN1274" s="1">
        <v>77.3480225089999</v>
      </c>
      <c r="AO1274" s="1">
        <v>25373.0</v>
      </c>
      <c r="AP1274" s="1">
        <v>10.3</v>
      </c>
      <c r="AQ1274" s="1">
        <v>9.2</v>
      </c>
      <c r="AR1274" s="1">
        <v>9.8</v>
      </c>
      <c r="AS1274" s="1">
        <v>15.9</v>
      </c>
      <c r="AT1274" s="1">
        <v>22.1</v>
      </c>
      <c r="AU1274" s="1">
        <v>14.5</v>
      </c>
      <c r="AV1274" s="1">
        <v>7.8</v>
      </c>
      <c r="AW1274" s="1">
        <v>0.7</v>
      </c>
      <c r="AX1274" s="1">
        <v>0.2948</v>
      </c>
      <c r="AY1274" s="1">
        <v>10.1</v>
      </c>
      <c r="AZ1274" s="1">
        <v>11.4</v>
      </c>
      <c r="BA1274" s="1">
        <v>12.7</v>
      </c>
      <c r="BB1274" s="1">
        <v>2.87</v>
      </c>
      <c r="BC1274" s="1" t="s">
        <v>2143</v>
      </c>
      <c r="BD1274" s="1">
        <v>9.1</v>
      </c>
      <c r="BE1274" s="1">
        <v>35.8</v>
      </c>
      <c r="BF1274" s="1">
        <v>36.8</v>
      </c>
      <c r="BG1274" s="1">
        <v>18.3</v>
      </c>
      <c r="BH1274" s="1" t="s">
        <v>2217</v>
      </c>
    </row>
    <row r="1275">
      <c r="A1275" s="1">
        <v>26089.0</v>
      </c>
      <c r="B1275" s="2" t="str">
        <f>IFERROR(__xludf.DUMMYFUNCTION("TO_TEXT(A1275)"),"26089")</f>
        <v>26089</v>
      </c>
      <c r="C1275" s="1">
        <v>21764.0</v>
      </c>
      <c r="D1275" s="1">
        <v>347.18573308358</v>
      </c>
      <c r="E1275" s="1" t="s">
        <v>2218</v>
      </c>
      <c r="F1275" s="1" t="s">
        <v>2219</v>
      </c>
      <c r="G1275" s="1">
        <v>62.686907686845</v>
      </c>
      <c r="H1275" s="1">
        <v>11.549025949</v>
      </c>
      <c r="I1275" s="1">
        <v>3.7950449333</v>
      </c>
      <c r="J1275" s="1">
        <v>5.8210251955</v>
      </c>
      <c r="K1275" s="1">
        <v>13.579268461</v>
      </c>
      <c r="L1275" s="1">
        <v>27.7</v>
      </c>
      <c r="M1275" s="1">
        <v>9.0</v>
      </c>
      <c r="N1275" s="1">
        <v>15.4</v>
      </c>
      <c r="O1275" s="1">
        <v>59.217799889</v>
      </c>
      <c r="P1275" s="1">
        <v>8.5286157502</v>
      </c>
      <c r="Q1275" s="1">
        <v>36.93956</v>
      </c>
      <c r="R1275" s="1">
        <v>91.240875912</v>
      </c>
      <c r="S1275" s="1">
        <v>10.6</v>
      </c>
      <c r="T1275" s="1">
        <v>3553.0</v>
      </c>
      <c r="U1275" s="1">
        <v>24.8522375459999</v>
      </c>
      <c r="V1275" s="1">
        <v>77.611395179</v>
      </c>
      <c r="W1275" s="1">
        <v>13.745130774</v>
      </c>
      <c r="X1275" s="1">
        <v>12.593837535</v>
      </c>
      <c r="Y1275" s="1">
        <v>82.831517612</v>
      </c>
      <c r="Z1275" s="1">
        <v>9.7</v>
      </c>
      <c r="AA1275" s="1">
        <v>0.5550989939</v>
      </c>
      <c r="AB1275" s="1">
        <v>67349.0</v>
      </c>
      <c r="AC1275" s="1">
        <v>41.708542714</v>
      </c>
      <c r="AD1275" s="1">
        <v>87.6201923079999</v>
      </c>
      <c r="AE1275" s="1">
        <v>11.1694991059999</v>
      </c>
      <c r="AF1275" s="1">
        <v>0.5789376953</v>
      </c>
      <c r="AG1275" s="1">
        <v>3.7355265576</v>
      </c>
      <c r="AH1275" s="1">
        <v>0.6846167984</v>
      </c>
      <c r="AI1275" s="1">
        <v>0.0459474361</v>
      </c>
      <c r="AJ1275" s="1">
        <v>4.479875023</v>
      </c>
      <c r="AK1275" s="1">
        <v>89.854806102</v>
      </c>
      <c r="AL1275" s="1">
        <v>0.727570588799999</v>
      </c>
      <c r="AM1275" s="1">
        <v>50.615695644</v>
      </c>
      <c r="AN1275" s="1">
        <v>91.261286162</v>
      </c>
      <c r="AO1275" s="1">
        <v>35954.0</v>
      </c>
      <c r="AP1275" s="1">
        <v>8.7</v>
      </c>
      <c r="AQ1275" s="1">
        <v>6.6</v>
      </c>
      <c r="AR1275" s="1">
        <v>5.2</v>
      </c>
      <c r="AS1275" s="1">
        <v>27.9</v>
      </c>
      <c r="AT1275" s="1">
        <v>17.0</v>
      </c>
      <c r="AU1275" s="1">
        <v>12.4</v>
      </c>
      <c r="AV1275" s="1">
        <v>9.6</v>
      </c>
      <c r="AW1275" s="1">
        <v>0.7</v>
      </c>
      <c r="AX1275" s="1">
        <v>0.0376</v>
      </c>
      <c r="AY1275" s="1">
        <v>7.1</v>
      </c>
      <c r="AZ1275" s="1">
        <v>9.1</v>
      </c>
      <c r="BA1275" s="1">
        <v>9.5</v>
      </c>
      <c r="BB1275" s="1">
        <v>6.96</v>
      </c>
      <c r="BC1275" s="1" t="s">
        <v>2143</v>
      </c>
      <c r="BD1275" s="1">
        <v>4.3</v>
      </c>
      <c r="BE1275" s="1">
        <v>21.6</v>
      </c>
      <c r="BF1275" s="1">
        <v>29.3</v>
      </c>
      <c r="BG1275" s="1">
        <v>44.7</v>
      </c>
      <c r="BH1275" s="1" t="s">
        <v>2219</v>
      </c>
    </row>
    <row r="1276">
      <c r="A1276" s="1">
        <v>26091.0</v>
      </c>
      <c r="B1276" s="2" t="str">
        <f>IFERROR(__xludf.DUMMYFUNCTION("TO_TEXT(A1276)"),"26091")</f>
        <v>26091</v>
      </c>
      <c r="C1276" s="1">
        <v>98673.0</v>
      </c>
      <c r="D1276" s="1">
        <v>749.559401098868</v>
      </c>
      <c r="E1276" s="1" t="s">
        <v>2220</v>
      </c>
      <c r="F1276" s="1" t="s">
        <v>2221</v>
      </c>
      <c r="G1276" s="1">
        <v>131.641334703218</v>
      </c>
      <c r="H1276" s="1">
        <v>14.360185001</v>
      </c>
      <c r="I1276" s="1">
        <v>4.1589371245</v>
      </c>
      <c r="J1276" s="1">
        <v>7.059309206</v>
      </c>
      <c r="K1276" s="1">
        <v>17.114590649</v>
      </c>
      <c r="L1276" s="1">
        <v>39.9</v>
      </c>
      <c r="M1276" s="1">
        <v>8.0</v>
      </c>
      <c r="N1276" s="1">
        <v>28.3</v>
      </c>
      <c r="O1276" s="1">
        <v>71.274976975</v>
      </c>
      <c r="P1276" s="1">
        <v>5.9301958307</v>
      </c>
      <c r="Q1276" s="1">
        <v>27.37698</v>
      </c>
      <c r="R1276" s="1">
        <v>89.014821273</v>
      </c>
      <c r="S1276" s="1">
        <v>14.0</v>
      </c>
      <c r="T1276" s="1">
        <v>20778.0</v>
      </c>
      <c r="U1276" s="1">
        <v>36.663778997</v>
      </c>
      <c r="V1276" s="1">
        <v>188.58030294</v>
      </c>
      <c r="W1276" s="1">
        <v>13.459252411</v>
      </c>
      <c r="X1276" s="1">
        <v>12.188291772</v>
      </c>
      <c r="Y1276" s="1">
        <v>78.0828694739999</v>
      </c>
      <c r="Z1276" s="1">
        <v>13.0</v>
      </c>
      <c r="AA1276" s="1">
        <v>7.693844041</v>
      </c>
      <c r="AB1276" s="1">
        <v>55762.0</v>
      </c>
      <c r="AC1276" s="1">
        <v>48.931147541</v>
      </c>
      <c r="AD1276" s="1">
        <v>77.384752237</v>
      </c>
      <c r="AE1276" s="1">
        <v>11.267756634</v>
      </c>
      <c r="AF1276" s="1">
        <v>2.562432581</v>
      </c>
      <c r="AG1276" s="1">
        <v>0.6146581727</v>
      </c>
      <c r="AH1276" s="1">
        <v>0.502717114799999</v>
      </c>
      <c r="AI1276" s="1">
        <v>0.0417234852</v>
      </c>
      <c r="AJ1276" s="1">
        <v>8.1605031242</v>
      </c>
      <c r="AK1276" s="1">
        <v>86.530437791</v>
      </c>
      <c r="AL1276" s="1">
        <v>1.0172656158</v>
      </c>
      <c r="AM1276" s="1">
        <v>49.46064763</v>
      </c>
      <c r="AN1276" s="1">
        <v>51.821967725</v>
      </c>
      <c r="AO1276" s="1">
        <v>24512.0</v>
      </c>
      <c r="AP1276" s="1">
        <v>14.4</v>
      </c>
      <c r="AQ1276" s="1">
        <v>7.4</v>
      </c>
      <c r="AR1276" s="1">
        <v>9.5</v>
      </c>
      <c r="AS1276" s="1">
        <v>16.7</v>
      </c>
      <c r="AT1276" s="1">
        <v>21.9</v>
      </c>
      <c r="AU1276" s="1">
        <v>15.6</v>
      </c>
      <c r="AV1276" s="1">
        <v>12.9</v>
      </c>
      <c r="AW1276" s="1">
        <v>0.7</v>
      </c>
      <c r="AX1276" s="1">
        <v>0.4085</v>
      </c>
      <c r="AY1276" s="1">
        <v>11.8</v>
      </c>
      <c r="AZ1276" s="1">
        <v>12.0</v>
      </c>
      <c r="BA1276" s="1">
        <v>13.1</v>
      </c>
      <c r="BB1276" s="1">
        <v>2.81</v>
      </c>
      <c r="BC1276" s="1" t="s">
        <v>2143</v>
      </c>
      <c r="BD1276" s="1">
        <v>9.1</v>
      </c>
      <c r="BE1276" s="1">
        <v>36.9</v>
      </c>
      <c r="BF1276" s="1">
        <v>33.0</v>
      </c>
      <c r="BG1276" s="1">
        <v>21.0</v>
      </c>
      <c r="BH1276" s="1" t="s">
        <v>2221</v>
      </c>
    </row>
    <row r="1277">
      <c r="A1277" s="1">
        <v>26093.0</v>
      </c>
      <c r="B1277" s="2" t="str">
        <f>IFERROR(__xludf.DUMMYFUNCTION("TO_TEXT(A1277)"),"26093")</f>
        <v>26093</v>
      </c>
      <c r="C1277" s="1">
        <v>185841.0</v>
      </c>
      <c r="D1277" s="1">
        <v>565.136303958718</v>
      </c>
      <c r="E1277" s="1" t="s">
        <v>1231</v>
      </c>
      <c r="F1277" s="1" t="s">
        <v>2222</v>
      </c>
      <c r="G1277" s="1">
        <v>328.842791903836</v>
      </c>
      <c r="H1277" s="1">
        <v>10.5574344939999</v>
      </c>
      <c r="I1277" s="1">
        <v>4.0621245943</v>
      </c>
      <c r="J1277" s="1">
        <v>6.0336300692</v>
      </c>
      <c r="K1277" s="1">
        <v>13.752936332</v>
      </c>
      <c r="L1277" s="1">
        <v>27.6</v>
      </c>
      <c r="M1277" s="1">
        <v>8.9</v>
      </c>
      <c r="N1277" s="1">
        <v>21.5</v>
      </c>
      <c r="O1277" s="1">
        <v>88.768117944</v>
      </c>
      <c r="P1277" s="1">
        <v>4.0599987395</v>
      </c>
      <c r="Q1277" s="1">
        <v>49.56473</v>
      </c>
      <c r="R1277" s="1">
        <v>91.327913279</v>
      </c>
      <c r="S1277" s="1">
        <v>5.5</v>
      </c>
      <c r="T1277" s="1">
        <v>41489.0</v>
      </c>
      <c r="U1277" s="1">
        <v>19.484682687</v>
      </c>
      <c r="V1277" s="1">
        <v>116.5800338</v>
      </c>
      <c r="W1277" s="1">
        <v>10.41353114</v>
      </c>
      <c r="X1277" s="1">
        <v>9.2421841233</v>
      </c>
      <c r="Y1277" s="1">
        <v>80.733027619</v>
      </c>
      <c r="Z1277" s="1">
        <v>8.7</v>
      </c>
      <c r="AA1277" s="1">
        <v>5.0539049188</v>
      </c>
      <c r="AB1277" s="1">
        <v>84048.0</v>
      </c>
      <c r="AC1277" s="1">
        <v>22.055794795</v>
      </c>
      <c r="AD1277" s="1">
        <v>85.223377353</v>
      </c>
      <c r="AE1277" s="1">
        <v>9.66031388539999</v>
      </c>
      <c r="AF1277" s="1">
        <v>0.594590637199999</v>
      </c>
      <c r="AG1277" s="1">
        <v>0.4863406267</v>
      </c>
      <c r="AH1277" s="1">
        <v>0.9711124127</v>
      </c>
      <c r="AI1277" s="1">
        <v>0.0648454169</v>
      </c>
      <c r="AJ1277" s="1">
        <v>2.5064845417</v>
      </c>
      <c r="AK1277" s="1">
        <v>94.210454755</v>
      </c>
      <c r="AL1277" s="1">
        <v>0.2979184832</v>
      </c>
      <c r="AM1277" s="1">
        <v>49.882336945</v>
      </c>
      <c r="AN1277" s="1">
        <v>36.90507109</v>
      </c>
      <c r="AO1277" s="1">
        <v>35156.0</v>
      </c>
      <c r="AP1277" s="1">
        <v>5.9</v>
      </c>
      <c r="AQ1277" s="1">
        <v>5.5</v>
      </c>
      <c r="AR1277" s="1">
        <v>4.9</v>
      </c>
      <c r="AS1277" s="1">
        <v>14.7</v>
      </c>
      <c r="AT1277" s="1">
        <v>23.1</v>
      </c>
      <c r="AU1277" s="1">
        <v>10.3</v>
      </c>
      <c r="AV1277" s="1">
        <v>5.2</v>
      </c>
      <c r="AW1277" s="1">
        <v>0.4</v>
      </c>
      <c r="AX1277" s="1">
        <v>0.0089</v>
      </c>
      <c r="AY1277" s="1">
        <v>4.4</v>
      </c>
      <c r="AZ1277" s="1">
        <v>8.1</v>
      </c>
      <c r="BA1277" s="1">
        <v>7.2</v>
      </c>
      <c r="BB1277" s="1">
        <v>3.16</v>
      </c>
      <c r="BC1277" s="1" t="s">
        <v>2143</v>
      </c>
      <c r="BD1277" s="1">
        <v>4.8</v>
      </c>
      <c r="BE1277" s="1">
        <v>25.8</v>
      </c>
      <c r="BF1277" s="1">
        <v>34.0</v>
      </c>
      <c r="BG1277" s="1">
        <v>35.4</v>
      </c>
      <c r="BH1277" s="1" t="s">
        <v>2222</v>
      </c>
    </row>
    <row r="1278">
      <c r="A1278" s="1">
        <v>26095.0</v>
      </c>
      <c r="B1278" s="2" t="str">
        <f>IFERROR(__xludf.DUMMYFUNCTION("TO_TEXT(A1278)"),"26095")</f>
        <v>26095</v>
      </c>
      <c r="C1278" s="1">
        <v>6451.0</v>
      </c>
      <c r="D1278" s="1">
        <v>899.079503696462</v>
      </c>
      <c r="E1278" s="1" t="s">
        <v>2223</v>
      </c>
      <c r="F1278" s="1" t="s">
        <v>2224</v>
      </c>
      <c r="G1278" s="1">
        <v>7.17511629781066</v>
      </c>
      <c r="H1278" s="1">
        <v>17.866903675</v>
      </c>
      <c r="I1278" s="1">
        <v>4.4581701325</v>
      </c>
      <c r="J1278" s="1">
        <v>8.56353591159999</v>
      </c>
      <c r="K1278" s="1">
        <v>19.919706979</v>
      </c>
      <c r="L1278" s="1">
        <v>30.7</v>
      </c>
      <c r="M1278" s="1">
        <v>7.5</v>
      </c>
      <c r="N1278" s="1">
        <v>19.7</v>
      </c>
      <c r="O1278" s="1">
        <v>69.853717388</v>
      </c>
      <c r="P1278" s="1">
        <v>7.5591753627</v>
      </c>
      <c r="Q1278" s="1">
        <v>125.82573</v>
      </c>
      <c r="R1278" s="1">
        <v>91.111111111</v>
      </c>
      <c r="S1278" s="1">
        <v>26.8</v>
      </c>
      <c r="T1278" s="1">
        <v>1020.0</v>
      </c>
      <c r="U1278" s="1">
        <v>23.431372549</v>
      </c>
      <c r="V1278" s="1">
        <v>388.83272416</v>
      </c>
      <c r="W1278" s="1">
        <v>13.3909287259999</v>
      </c>
      <c r="X1278" s="1">
        <v>11.019163763</v>
      </c>
      <c r="Y1278" s="1">
        <v>78.908035042</v>
      </c>
      <c r="Z1278" s="1">
        <v>7.1</v>
      </c>
      <c r="AA1278" s="1">
        <v>4.3012040577</v>
      </c>
      <c r="AB1278" s="1">
        <v>43196.0</v>
      </c>
      <c r="AC1278" s="1">
        <v>61.597542243</v>
      </c>
      <c r="AD1278" s="1">
        <v>81.141552511</v>
      </c>
      <c r="AE1278" s="1">
        <v>10.276865321</v>
      </c>
      <c r="AF1278" s="1">
        <v>11.507241763</v>
      </c>
      <c r="AG1278" s="1">
        <v>5.4273436257</v>
      </c>
      <c r="AH1278" s="1">
        <v>0.2546554194</v>
      </c>
      <c r="AI1278" s="1">
        <v>0.0636638548</v>
      </c>
      <c r="AJ1278" s="1">
        <v>1.6393442623</v>
      </c>
      <c r="AK1278" s="1">
        <v>78.0200541139999</v>
      </c>
      <c r="AL1278" s="1">
        <v>0.3110674525</v>
      </c>
      <c r="AM1278" s="1">
        <v>41.126850231</v>
      </c>
      <c r="AN1278" s="1">
        <v>51.364801689</v>
      </c>
      <c r="AO1278" s="1">
        <v>18444.0</v>
      </c>
      <c r="AP1278" s="1">
        <v>21.0</v>
      </c>
      <c r="AQ1278" s="1">
        <v>13.4</v>
      </c>
      <c r="AR1278" s="1">
        <v>11.2</v>
      </c>
      <c r="AS1278" s="1">
        <v>20.4</v>
      </c>
      <c r="AT1278" s="1">
        <v>16.8</v>
      </c>
      <c r="AU1278" s="1">
        <v>25.1</v>
      </c>
      <c r="AV1278" s="1">
        <v>21.5</v>
      </c>
      <c r="AW1278" s="1">
        <v>0.3</v>
      </c>
      <c r="AX1278" s="1">
        <v>0.7377</v>
      </c>
      <c r="AY1278" s="1">
        <v>19.2</v>
      </c>
      <c r="AZ1278" s="1">
        <v>16.0</v>
      </c>
      <c r="BA1278" s="1">
        <v>21.4</v>
      </c>
      <c r="BB1278" s="1">
        <v>3.06</v>
      </c>
      <c r="BC1278" s="1" t="s">
        <v>2143</v>
      </c>
      <c r="BD1278" s="1">
        <v>11.6</v>
      </c>
      <c r="BE1278" s="1">
        <v>36.8</v>
      </c>
      <c r="BF1278" s="1">
        <v>33.2</v>
      </c>
      <c r="BG1278" s="1">
        <v>18.4</v>
      </c>
      <c r="BH1278" s="1" t="s">
        <v>2224</v>
      </c>
    </row>
    <row r="1279">
      <c r="A1279" s="1">
        <v>26097.0</v>
      </c>
      <c r="B1279" s="2" t="str">
        <f>IFERROR(__xludf.DUMMYFUNCTION("TO_TEXT(A1279)"),"26097")</f>
        <v>26097</v>
      </c>
      <c r="C1279" s="1">
        <v>10998.0</v>
      </c>
      <c r="D1279" s="1">
        <v>1021.93937902466</v>
      </c>
      <c r="E1279" s="1" t="s">
        <v>2225</v>
      </c>
      <c r="F1279" s="1" t="s">
        <v>2226</v>
      </c>
      <c r="G1279" s="1">
        <v>10.7618907987443</v>
      </c>
      <c r="H1279" s="1">
        <v>17.591514765</v>
      </c>
      <c r="I1279" s="1">
        <v>4.6834173794</v>
      </c>
      <c r="J1279" s="1">
        <v>7.0085470085</v>
      </c>
      <c r="K1279" s="1">
        <v>18.78896244</v>
      </c>
      <c r="L1279" s="1">
        <v>34.9</v>
      </c>
      <c r="M1279" s="1">
        <v>6.6</v>
      </c>
      <c r="N1279" s="1">
        <v>30.4</v>
      </c>
      <c r="O1279" s="1">
        <v>88.5179519479999</v>
      </c>
      <c r="P1279" s="1">
        <v>11.4745586709999</v>
      </c>
      <c r="Q1279" s="1">
        <v>74.6826</v>
      </c>
      <c r="R1279" s="1">
        <v>90.526315789</v>
      </c>
      <c r="S1279" s="1">
        <v>20.8</v>
      </c>
      <c r="T1279" s="1">
        <v>1729.0</v>
      </c>
      <c r="U1279" s="1">
        <v>36.090225564</v>
      </c>
      <c r="V1279" s="1">
        <v>273.83506002</v>
      </c>
      <c r="W1279" s="1">
        <v>15.391969407</v>
      </c>
      <c r="X1279" s="1">
        <v>11.690821256</v>
      </c>
      <c r="Y1279" s="1">
        <v>77.554685319</v>
      </c>
      <c r="Z1279" s="1">
        <v>15.8</v>
      </c>
      <c r="AA1279" s="1">
        <v>13.388999392</v>
      </c>
      <c r="AB1279" s="1">
        <v>46645.0</v>
      </c>
      <c r="AC1279" s="1">
        <v>52.28182546</v>
      </c>
      <c r="AD1279" s="1">
        <v>73.921271764</v>
      </c>
      <c r="AE1279" s="1">
        <v>12.868525896</v>
      </c>
      <c r="AF1279" s="1">
        <v>3.08704922589999</v>
      </c>
      <c r="AG1279" s="1">
        <v>16.631130064</v>
      </c>
      <c r="AH1279" s="1">
        <v>0.7416334477</v>
      </c>
      <c r="AI1279" s="1">
        <v>0.0185408362</v>
      </c>
      <c r="AJ1279" s="1">
        <v>1.8818948735</v>
      </c>
      <c r="AK1279" s="1">
        <v>72.9860016689999</v>
      </c>
      <c r="AL1279" s="1">
        <v>0.6332150053</v>
      </c>
      <c r="AM1279" s="1">
        <v>48.938537128</v>
      </c>
      <c r="AN1279" s="1">
        <v>77.224871772</v>
      </c>
      <c r="AO1279" s="1">
        <v>25604.0</v>
      </c>
      <c r="AP1279" s="1">
        <v>15.5</v>
      </c>
      <c r="AQ1279" s="1">
        <v>11.2</v>
      </c>
      <c r="AR1279" s="1">
        <v>10.9</v>
      </c>
      <c r="AS1279" s="1">
        <v>25.6</v>
      </c>
      <c r="AT1279" s="1">
        <v>16.6</v>
      </c>
      <c r="AU1279" s="1">
        <v>18.3</v>
      </c>
      <c r="AV1279" s="1">
        <v>25.9</v>
      </c>
      <c r="AW1279" s="1">
        <v>0.7</v>
      </c>
      <c r="AX1279" s="1">
        <v>0.6593</v>
      </c>
      <c r="AY1279" s="1">
        <v>14.1</v>
      </c>
      <c r="AZ1279" s="1">
        <v>16.9</v>
      </c>
      <c r="BA1279" s="1">
        <v>21.6</v>
      </c>
      <c r="BB1279" s="1">
        <v>2.95</v>
      </c>
      <c r="BC1279" s="1" t="s">
        <v>2143</v>
      </c>
      <c r="BD1279" s="1">
        <v>9.3</v>
      </c>
      <c r="BE1279" s="1">
        <v>34.0</v>
      </c>
      <c r="BF1279" s="1">
        <v>33.4</v>
      </c>
      <c r="BG1279" s="1">
        <v>23.3</v>
      </c>
      <c r="BH1279" s="1" t="s">
        <v>2226</v>
      </c>
    </row>
    <row r="1280">
      <c r="A1280" s="1">
        <v>26099.0</v>
      </c>
      <c r="B1280" s="2" t="str">
        <f>IFERROR(__xludf.DUMMYFUNCTION("TO_TEXT(A1280)"),"26099")</f>
        <v>26099</v>
      </c>
      <c r="C1280" s="1">
        <v>859703.0</v>
      </c>
      <c r="D1280" s="1">
        <v>479.114820066093</v>
      </c>
      <c r="E1280" s="1" t="s">
        <v>2227</v>
      </c>
      <c r="F1280" s="1" t="s">
        <v>2228</v>
      </c>
      <c r="G1280" s="1">
        <v>1794.35693490216</v>
      </c>
      <c r="H1280" s="1">
        <v>16.156036102</v>
      </c>
      <c r="I1280" s="1">
        <v>4.3809218623</v>
      </c>
      <c r="J1280" s="1">
        <v>8.6839473887</v>
      </c>
      <c r="K1280" s="1">
        <v>18.558096157</v>
      </c>
      <c r="L1280" s="1">
        <v>32.1</v>
      </c>
      <c r="M1280" s="1">
        <v>8.0</v>
      </c>
      <c r="N1280" s="1">
        <v>25.3</v>
      </c>
      <c r="O1280" s="1">
        <v>94.643617312</v>
      </c>
      <c r="P1280" s="1">
        <v>6.39415189299999</v>
      </c>
      <c r="Q1280" s="1">
        <v>53.93774</v>
      </c>
      <c r="R1280" s="1">
        <v>88.565356004</v>
      </c>
      <c r="S1280" s="1">
        <v>16.0</v>
      </c>
      <c r="T1280" s="1">
        <v>184911.0</v>
      </c>
      <c r="U1280" s="1">
        <v>30.596881743</v>
      </c>
      <c r="V1280" s="1">
        <v>292.52529276</v>
      </c>
      <c r="W1280" s="1">
        <v>14.169580549</v>
      </c>
      <c r="X1280" s="1">
        <v>12.54469074</v>
      </c>
      <c r="Y1280" s="1">
        <v>77.902071845</v>
      </c>
      <c r="Z1280" s="1">
        <v>11.0</v>
      </c>
      <c r="AA1280" s="1">
        <v>5.161526186</v>
      </c>
      <c r="AB1280" s="1">
        <v>62191.0</v>
      </c>
      <c r="AC1280" s="1">
        <v>48.222337497</v>
      </c>
      <c r="AD1280" s="1">
        <v>72.981035647</v>
      </c>
      <c r="AE1280" s="1">
        <v>12.336352689</v>
      </c>
      <c r="AF1280" s="1">
        <v>12.057606724</v>
      </c>
      <c r="AG1280" s="1">
        <v>0.3294621719</v>
      </c>
      <c r="AH1280" s="1">
        <v>4.1492571097</v>
      </c>
      <c r="AI1280" s="1">
        <v>0.0341808429999999</v>
      </c>
      <c r="AJ1280" s="1">
        <v>2.6802810831</v>
      </c>
      <c r="AK1280" s="1">
        <v>78.58244385</v>
      </c>
      <c r="AL1280" s="1">
        <v>2.4642307744</v>
      </c>
      <c r="AM1280" s="1">
        <v>51.318706066</v>
      </c>
      <c r="AN1280" s="1">
        <v>2.8053052517</v>
      </c>
      <c r="AO1280" s="1">
        <v>28588.0</v>
      </c>
      <c r="AP1280" s="1">
        <v>12.0</v>
      </c>
      <c r="AQ1280" s="1">
        <v>7.5</v>
      </c>
      <c r="AR1280" s="1">
        <v>10.8</v>
      </c>
      <c r="AS1280" s="1">
        <v>15.6</v>
      </c>
      <c r="AT1280" s="1">
        <v>21.9</v>
      </c>
      <c r="AU1280" s="1">
        <v>13.9</v>
      </c>
      <c r="AV1280" s="1">
        <v>19.1</v>
      </c>
      <c r="AW1280" s="1">
        <v>2.5</v>
      </c>
      <c r="AX1280" s="1">
        <v>0.3365</v>
      </c>
      <c r="AY1280" s="1">
        <v>8.6</v>
      </c>
      <c r="AZ1280" s="1">
        <v>11.9</v>
      </c>
      <c r="BA1280" s="1">
        <v>12.6</v>
      </c>
      <c r="BB1280" s="1">
        <v>3.02</v>
      </c>
      <c r="BC1280" s="1" t="s">
        <v>2143</v>
      </c>
      <c r="BD1280" s="1">
        <v>10.1</v>
      </c>
      <c r="BE1280" s="1">
        <v>29.7</v>
      </c>
      <c r="BF1280" s="1">
        <v>35.4</v>
      </c>
      <c r="BG1280" s="1">
        <v>24.9</v>
      </c>
      <c r="BH1280" s="1" t="s">
        <v>2228</v>
      </c>
    </row>
    <row r="1281">
      <c r="A1281" s="1">
        <v>26101.0</v>
      </c>
      <c r="B1281" s="2" t="str">
        <f>IFERROR(__xludf.DUMMYFUNCTION("TO_TEXT(A1281)"),"26101")</f>
        <v>26101</v>
      </c>
      <c r="C1281" s="1">
        <v>24465.0</v>
      </c>
      <c r="D1281" s="1">
        <v>542.16578940955</v>
      </c>
      <c r="E1281" s="1" t="s">
        <v>2229</v>
      </c>
      <c r="F1281" s="1" t="s">
        <v>2230</v>
      </c>
      <c r="G1281" s="1">
        <v>45.1245734752903</v>
      </c>
      <c r="H1281" s="1">
        <v>13.88721355</v>
      </c>
      <c r="I1281" s="1">
        <v>4.2150270415</v>
      </c>
      <c r="J1281" s="1">
        <v>7.1682044003</v>
      </c>
      <c r="K1281" s="1">
        <v>16.136634514</v>
      </c>
      <c r="L1281" s="1">
        <v>30.0</v>
      </c>
      <c r="M1281" s="1">
        <v>8.0</v>
      </c>
      <c r="N1281" s="1">
        <v>22.0</v>
      </c>
      <c r="O1281" s="1">
        <v>89.548376663</v>
      </c>
      <c r="P1281" s="1">
        <v>7.5064357594</v>
      </c>
      <c r="Q1281" s="1">
        <v>53.2198</v>
      </c>
      <c r="R1281" s="1">
        <v>87.7777777779999</v>
      </c>
      <c r="S1281" s="1">
        <v>21.9</v>
      </c>
      <c r="T1281" s="1">
        <v>4283.0</v>
      </c>
      <c r="U1281" s="1">
        <v>31.006303993</v>
      </c>
      <c r="V1281" s="1">
        <v>259.85186398</v>
      </c>
      <c r="W1281" s="1">
        <v>12.731829574</v>
      </c>
      <c r="X1281" s="1">
        <v>11.037974684</v>
      </c>
      <c r="Y1281" s="1">
        <v>77.397586915</v>
      </c>
      <c r="Z1281" s="1">
        <v>9.6</v>
      </c>
      <c r="AA1281" s="1">
        <v>3.430297115</v>
      </c>
      <c r="AB1281" s="1">
        <v>47401.0</v>
      </c>
      <c r="AC1281" s="1">
        <v>68.913463226</v>
      </c>
      <c r="AD1281" s="1">
        <v>82.473151913</v>
      </c>
      <c r="AE1281" s="1">
        <v>11.462025996</v>
      </c>
      <c r="AF1281" s="1">
        <v>3.420580561</v>
      </c>
      <c r="AG1281" s="1">
        <v>2.25456621</v>
      </c>
      <c r="AH1281" s="1">
        <v>0.4199282453</v>
      </c>
      <c r="AI1281" s="1">
        <v>0.0652315721</v>
      </c>
      <c r="AJ1281" s="1">
        <v>3.2575016308</v>
      </c>
      <c r="AK1281" s="1">
        <v>88.8943248529999</v>
      </c>
      <c r="AL1281" s="1">
        <v>0.3322683706</v>
      </c>
      <c r="AM1281" s="1">
        <v>48.295825179</v>
      </c>
      <c r="AN1281" s="1">
        <v>61.161201633</v>
      </c>
      <c r="AO1281" s="1">
        <v>23290.0</v>
      </c>
      <c r="AP1281" s="1">
        <v>16.1</v>
      </c>
      <c r="AQ1281" s="1">
        <v>10.7</v>
      </c>
      <c r="AR1281" s="1">
        <v>9.7</v>
      </c>
      <c r="AS1281" s="1">
        <v>23.3</v>
      </c>
      <c r="AT1281" s="1">
        <v>18.2</v>
      </c>
      <c r="AU1281" s="1">
        <v>18.9</v>
      </c>
      <c r="AV1281" s="1">
        <v>10.4</v>
      </c>
      <c r="AW1281" s="1">
        <v>0.3</v>
      </c>
      <c r="AX1281" s="1">
        <v>0.4715</v>
      </c>
      <c r="AY1281" s="1">
        <v>12.3</v>
      </c>
      <c r="AZ1281" s="1">
        <v>13.7</v>
      </c>
      <c r="BA1281" s="1">
        <v>16.6</v>
      </c>
      <c r="BB1281" s="1">
        <v>3.21</v>
      </c>
      <c r="BC1281" s="1" t="s">
        <v>2143</v>
      </c>
      <c r="BD1281" s="1">
        <v>10.1</v>
      </c>
      <c r="BE1281" s="1">
        <v>35.6</v>
      </c>
      <c r="BF1281" s="1">
        <v>34.0</v>
      </c>
      <c r="BG1281" s="1">
        <v>20.3</v>
      </c>
      <c r="BH1281" s="1" t="s">
        <v>2230</v>
      </c>
    </row>
    <row r="1282">
      <c r="A1282" s="1">
        <v>26103.0</v>
      </c>
      <c r="B1282" s="2" t="str">
        <f>IFERROR(__xludf.DUMMYFUNCTION("TO_TEXT(A1282)"),"26103")</f>
        <v>26103</v>
      </c>
      <c r="C1282" s="1">
        <v>67418.0</v>
      </c>
      <c r="D1282" s="1">
        <v>1808.48780577948</v>
      </c>
      <c r="E1282" s="1" t="s">
        <v>2231</v>
      </c>
      <c r="F1282" s="1" t="s">
        <v>2232</v>
      </c>
      <c r="G1282" s="1">
        <v>37.278658879838</v>
      </c>
      <c r="H1282" s="1">
        <v>14.885263211</v>
      </c>
      <c r="I1282" s="1">
        <v>4.3125743543</v>
      </c>
      <c r="J1282" s="1">
        <v>6.831162897</v>
      </c>
      <c r="K1282" s="1">
        <v>17.315578197</v>
      </c>
      <c r="L1282" s="1">
        <v>35.7</v>
      </c>
      <c r="M1282" s="1">
        <v>7.8</v>
      </c>
      <c r="N1282" s="1">
        <v>20.3</v>
      </c>
      <c r="O1282" s="1">
        <v>83.957243168</v>
      </c>
      <c r="P1282" s="1">
        <v>5.69594156799999</v>
      </c>
      <c r="Q1282" s="1">
        <v>106.76371</v>
      </c>
      <c r="R1282" s="1">
        <v>87.85046729</v>
      </c>
      <c r="S1282" s="1">
        <v>14.8</v>
      </c>
      <c r="T1282" s="1">
        <v>11932.0</v>
      </c>
      <c r="U1282" s="1">
        <v>28.1763325509999</v>
      </c>
      <c r="V1282" s="1">
        <v>193.16449326</v>
      </c>
      <c r="W1282" s="1">
        <v>14.0140711159999</v>
      </c>
      <c r="X1282" s="1">
        <v>12.831513261</v>
      </c>
      <c r="Y1282" s="1">
        <v>78.738468402</v>
      </c>
      <c r="Z1282" s="1">
        <v>9.8</v>
      </c>
      <c r="AA1282" s="1">
        <v>4.2397139529</v>
      </c>
      <c r="AB1282" s="1">
        <v>54093.0</v>
      </c>
      <c r="AC1282" s="1">
        <v>40.138618677</v>
      </c>
      <c r="AD1282" s="1">
        <v>69.331755906</v>
      </c>
      <c r="AE1282" s="1">
        <v>12.9357761859999</v>
      </c>
      <c r="AF1282" s="1">
        <v>1.5003908834</v>
      </c>
      <c r="AG1282" s="1">
        <v>1.9709543568</v>
      </c>
      <c r="AH1282" s="1">
        <v>0.823861928</v>
      </c>
      <c r="AI1282" s="1">
        <v>0.0300679536</v>
      </c>
      <c r="AJ1282" s="1">
        <v>1.6191593</v>
      </c>
      <c r="AK1282" s="1">
        <v>92.087618017</v>
      </c>
      <c r="AL1282" s="1">
        <v>0.5781073269</v>
      </c>
      <c r="AM1282" s="1">
        <v>49.8707078</v>
      </c>
      <c r="AN1282" s="1">
        <v>41.489631319</v>
      </c>
      <c r="AO1282" s="1">
        <v>24275.0</v>
      </c>
      <c r="AP1282" s="1">
        <v>16.6</v>
      </c>
      <c r="AQ1282" s="1">
        <v>7.2</v>
      </c>
      <c r="AR1282" s="1">
        <v>5.5</v>
      </c>
      <c r="AS1282" s="1">
        <v>16.6</v>
      </c>
      <c r="AT1282" s="1">
        <v>18.1</v>
      </c>
      <c r="AU1282" s="1">
        <v>13.9</v>
      </c>
      <c r="AV1282" s="1">
        <v>7.5</v>
      </c>
      <c r="AW1282" s="1">
        <v>0.6</v>
      </c>
      <c r="AX1282" s="1">
        <v>0.2636</v>
      </c>
      <c r="AY1282" s="1">
        <v>11.8</v>
      </c>
      <c r="AZ1282" s="1">
        <v>13.3</v>
      </c>
      <c r="BA1282" s="1">
        <v>14.0</v>
      </c>
      <c r="BB1282" s="1">
        <v>3.35</v>
      </c>
      <c r="BC1282" s="1" t="s">
        <v>2143</v>
      </c>
      <c r="BD1282" s="1">
        <v>5.0</v>
      </c>
      <c r="BE1282" s="1">
        <v>30.9</v>
      </c>
      <c r="BF1282" s="1">
        <v>31.1</v>
      </c>
      <c r="BG1282" s="1">
        <v>32.9</v>
      </c>
      <c r="BH1282" s="1" t="s">
        <v>2232</v>
      </c>
    </row>
    <row r="1283">
      <c r="A1283" s="1">
        <v>26105.0</v>
      </c>
      <c r="B1283" s="2" t="str">
        <f>IFERROR(__xludf.DUMMYFUNCTION("TO_TEXT(A1283)"),"26105")</f>
        <v>26105</v>
      </c>
      <c r="C1283" s="1">
        <v>28755.0</v>
      </c>
      <c r="D1283" s="1">
        <v>495.074504151812</v>
      </c>
      <c r="E1283" s="1" t="s">
        <v>1246</v>
      </c>
      <c r="F1283" s="1" t="s">
        <v>2233</v>
      </c>
      <c r="G1283" s="1">
        <v>58.0821669442756</v>
      </c>
      <c r="H1283" s="1">
        <v>15.497656625</v>
      </c>
      <c r="I1283" s="1">
        <v>4.4242460122</v>
      </c>
      <c r="J1283" s="1">
        <v>7.6043737575</v>
      </c>
      <c r="K1283" s="1">
        <v>17.64429208</v>
      </c>
      <c r="L1283" s="1">
        <v>28.3</v>
      </c>
      <c r="M1283" s="1">
        <v>8.1</v>
      </c>
      <c r="N1283" s="1">
        <v>24.5</v>
      </c>
      <c r="O1283" s="1">
        <v>85.298728445</v>
      </c>
      <c r="P1283" s="1">
        <v>6.3519235967</v>
      </c>
      <c r="Q1283" s="1">
        <v>75.67159</v>
      </c>
      <c r="R1283" s="1">
        <v>90.526315789</v>
      </c>
      <c r="S1283" s="1">
        <v>18.6</v>
      </c>
      <c r="T1283" s="1">
        <v>5827.0</v>
      </c>
      <c r="U1283" s="1">
        <v>34.2714947659999</v>
      </c>
      <c r="V1283" s="1">
        <v>284.0661543</v>
      </c>
      <c r="W1283" s="1">
        <v>14.872637634</v>
      </c>
      <c r="X1283" s="1">
        <v>13.104588673</v>
      </c>
      <c r="Y1283" s="1">
        <v>78.518650355</v>
      </c>
      <c r="Z1283" s="1">
        <v>14.5</v>
      </c>
      <c r="AA1283" s="1">
        <v>2.5437858489</v>
      </c>
      <c r="AB1283" s="1">
        <v>51083.0</v>
      </c>
      <c r="AC1283" s="1">
        <v>57.300613497</v>
      </c>
      <c r="AD1283" s="1">
        <v>78.200577796</v>
      </c>
      <c r="AE1283" s="1">
        <v>11.756710839</v>
      </c>
      <c r="AF1283" s="1">
        <v>0.7800687285</v>
      </c>
      <c r="AG1283" s="1">
        <v>1.089347079</v>
      </c>
      <c r="AH1283" s="1">
        <v>0.797250859099999</v>
      </c>
      <c r="AI1283" s="1">
        <v>0.0</v>
      </c>
      <c r="AJ1283" s="1">
        <v>4.6494845361</v>
      </c>
      <c r="AK1283" s="1">
        <v>91.2439862539999</v>
      </c>
      <c r="AL1283" s="1">
        <v>0.288637194</v>
      </c>
      <c r="AM1283" s="1">
        <v>50.35395189</v>
      </c>
      <c r="AN1283" s="1">
        <v>62.689426929</v>
      </c>
      <c r="AO1283" s="1">
        <v>24643.0</v>
      </c>
      <c r="AP1283" s="1">
        <v>16.2</v>
      </c>
      <c r="AQ1283" s="1">
        <v>9.8</v>
      </c>
      <c r="AR1283" s="1">
        <v>8.5</v>
      </c>
      <c r="AS1283" s="1">
        <v>21.1</v>
      </c>
      <c r="AT1283" s="1">
        <v>20.8</v>
      </c>
      <c r="AU1283" s="1">
        <v>17.4</v>
      </c>
      <c r="AV1283" s="1">
        <v>8.2</v>
      </c>
      <c r="AW1283" s="1">
        <v>0.4</v>
      </c>
      <c r="AX1283" s="1">
        <v>0.5339</v>
      </c>
      <c r="AY1283" s="1">
        <v>13.9</v>
      </c>
      <c r="AZ1283" s="1">
        <v>13.5</v>
      </c>
      <c r="BA1283" s="1">
        <v>16.9</v>
      </c>
      <c r="BB1283" s="1">
        <v>2.69</v>
      </c>
      <c r="BC1283" s="1" t="s">
        <v>2143</v>
      </c>
      <c r="BD1283" s="1">
        <v>7.9</v>
      </c>
      <c r="BE1283" s="1">
        <v>34.5</v>
      </c>
      <c r="BF1283" s="1">
        <v>34.6</v>
      </c>
      <c r="BG1283" s="1">
        <v>23.1</v>
      </c>
      <c r="BH1283" s="1" t="s">
        <v>2233</v>
      </c>
    </row>
    <row r="1284">
      <c r="A1284" s="1">
        <v>26107.0</v>
      </c>
      <c r="B1284" s="2" t="str">
        <f>IFERROR(__xludf.DUMMYFUNCTION("TO_TEXT(A1284)"),"26107")</f>
        <v>26107</v>
      </c>
      <c r="C1284" s="1">
        <v>43259.0</v>
      </c>
      <c r="D1284" s="1">
        <v>555.070598949884</v>
      </c>
      <c r="E1284" s="1" t="s">
        <v>2234</v>
      </c>
      <c r="F1284" s="1" t="s">
        <v>2235</v>
      </c>
      <c r="G1284" s="1">
        <v>77.9342304957964</v>
      </c>
      <c r="H1284" s="1">
        <v>16.305593457</v>
      </c>
      <c r="I1284" s="1">
        <v>4.4458755973</v>
      </c>
      <c r="J1284" s="1">
        <v>6.83315990289999</v>
      </c>
      <c r="K1284" s="1">
        <v>18.8335299379999</v>
      </c>
      <c r="L1284" s="1">
        <v>34.0</v>
      </c>
      <c r="M1284" s="1">
        <v>7.0</v>
      </c>
      <c r="N1284" s="1">
        <v>26.5</v>
      </c>
      <c r="O1284" s="1">
        <v>67.839618674</v>
      </c>
      <c r="P1284" s="1">
        <v>6.464208243</v>
      </c>
      <c r="Q1284" s="1">
        <v>50.70176</v>
      </c>
      <c r="R1284" s="1">
        <v>85.788113695</v>
      </c>
      <c r="S1284" s="1">
        <v>20.7</v>
      </c>
      <c r="T1284" s="1">
        <v>7939.0</v>
      </c>
      <c r="U1284" s="1">
        <v>33.719612042</v>
      </c>
      <c r="V1284" s="1">
        <v>587.41064291</v>
      </c>
      <c r="W1284" s="1">
        <v>16.387636832</v>
      </c>
      <c r="X1284" s="1">
        <v>14.135782224</v>
      </c>
      <c r="Y1284" s="1">
        <v>78.891274563</v>
      </c>
      <c r="Z1284" s="1">
        <v>6.8</v>
      </c>
      <c r="AA1284" s="1">
        <v>10.49846186</v>
      </c>
      <c r="AB1284" s="1">
        <v>45804.0</v>
      </c>
      <c r="AC1284" s="1">
        <v>58.141210375</v>
      </c>
      <c r="AD1284" s="1">
        <v>73.294236348</v>
      </c>
      <c r="AE1284" s="1">
        <v>13.754671212</v>
      </c>
      <c r="AF1284" s="1">
        <v>2.7373980939</v>
      </c>
      <c r="AG1284" s="1">
        <v>0.8175450683</v>
      </c>
      <c r="AH1284" s="1">
        <v>0.9002181651</v>
      </c>
      <c r="AI1284" s="1">
        <v>0.050522448</v>
      </c>
      <c r="AJ1284" s="1">
        <v>2.3515903089</v>
      </c>
      <c r="AK1284" s="1">
        <v>91.121827994</v>
      </c>
      <c r="AL1284" s="1">
        <v>0.0922173417</v>
      </c>
      <c r="AM1284" s="1">
        <v>49.824319669</v>
      </c>
      <c r="AN1284" s="1">
        <v>66.725080611</v>
      </c>
      <c r="AO1284" s="1">
        <v>20690.0</v>
      </c>
      <c r="AP1284" s="1">
        <v>22.6</v>
      </c>
      <c r="AQ1284" s="1">
        <v>10.7</v>
      </c>
      <c r="AR1284" s="1">
        <v>10.7</v>
      </c>
      <c r="AS1284" s="1">
        <v>16.7</v>
      </c>
      <c r="AT1284" s="1">
        <v>19.0</v>
      </c>
      <c r="AU1284" s="1">
        <v>15.7</v>
      </c>
      <c r="AV1284" s="1">
        <v>8.4</v>
      </c>
      <c r="AW1284" s="1">
        <v>0.4</v>
      </c>
      <c r="AX1284" s="1">
        <v>0.6597</v>
      </c>
      <c r="AY1284" s="1">
        <v>19.9</v>
      </c>
      <c r="AZ1284" s="1">
        <v>14.4</v>
      </c>
      <c r="BA1284" s="1">
        <v>17.4</v>
      </c>
      <c r="BB1284" s="1">
        <v>2.69</v>
      </c>
      <c r="BC1284" s="1" t="s">
        <v>2143</v>
      </c>
      <c r="BD1284" s="1">
        <v>9.8</v>
      </c>
      <c r="BE1284" s="1">
        <v>36.0</v>
      </c>
      <c r="BF1284" s="1">
        <v>31.5</v>
      </c>
      <c r="BG1284" s="1">
        <v>22.7</v>
      </c>
      <c r="BH1284" s="1" t="s">
        <v>2235</v>
      </c>
    </row>
    <row r="1285">
      <c r="A1285" s="1">
        <v>26109.0</v>
      </c>
      <c r="B1285" s="2" t="str">
        <f>IFERROR(__xludf.DUMMYFUNCTION("TO_TEXT(A1285)"),"26109")</f>
        <v>26109</v>
      </c>
      <c r="C1285" s="1">
        <v>23568.0</v>
      </c>
      <c r="D1285" s="1">
        <v>1044.03157368625</v>
      </c>
      <c r="E1285" s="1" t="s">
        <v>2236</v>
      </c>
      <c r="F1285" s="1" t="s">
        <v>2237</v>
      </c>
      <c r="G1285" s="1">
        <v>22.5740299374151</v>
      </c>
      <c r="H1285" s="1">
        <v>14.3625755909999</v>
      </c>
      <c r="I1285" s="1">
        <v>4.2828366181</v>
      </c>
      <c r="J1285" s="1">
        <v>4.9250535332</v>
      </c>
      <c r="K1285" s="1">
        <v>17.390270405</v>
      </c>
      <c r="L1285" s="1">
        <v>30.9</v>
      </c>
      <c r="M1285" s="1">
        <v>7.3</v>
      </c>
      <c r="N1285" s="1">
        <v>26.0</v>
      </c>
      <c r="O1285" s="1">
        <v>72.291814058</v>
      </c>
      <c r="P1285" s="1">
        <v>6.9572698595</v>
      </c>
      <c r="Q1285" s="1">
        <v>34.71318</v>
      </c>
      <c r="R1285" s="1">
        <v>85.833333333</v>
      </c>
      <c r="S1285" s="1">
        <v>17.3</v>
      </c>
      <c r="T1285" s="1">
        <v>4332.0</v>
      </c>
      <c r="U1285" s="1">
        <v>35.041551247</v>
      </c>
      <c r="V1285" s="1">
        <v>222.36811453</v>
      </c>
      <c r="W1285" s="1">
        <v>11.242324043</v>
      </c>
      <c r="X1285" s="1">
        <v>9.3803622498</v>
      </c>
      <c r="Y1285" s="1">
        <v>79.757400066</v>
      </c>
      <c r="Z1285" s="1">
        <v>14.4</v>
      </c>
      <c r="AA1285" s="1">
        <v>14.194074207</v>
      </c>
      <c r="AB1285" s="1">
        <v>46486.0</v>
      </c>
      <c r="AC1285" s="1">
        <v>55.469908094</v>
      </c>
      <c r="AD1285" s="1">
        <v>78.424753868</v>
      </c>
      <c r="AE1285" s="1">
        <v>8.1662167374</v>
      </c>
      <c r="AF1285" s="1">
        <v>0.6221990167</v>
      </c>
      <c r="AG1285" s="1">
        <v>3.0805377888</v>
      </c>
      <c r="AH1285" s="1">
        <v>0.4394552495</v>
      </c>
      <c r="AI1285" s="1">
        <v>0.0348083366</v>
      </c>
      <c r="AJ1285" s="1">
        <v>1.8927033024</v>
      </c>
      <c r="AK1285" s="1">
        <v>92.590175347</v>
      </c>
      <c r="AL1285" s="1">
        <v>0.1621110461</v>
      </c>
      <c r="AM1285" s="1">
        <v>49.110211896</v>
      </c>
      <c r="AN1285" s="1">
        <v>64.334762162</v>
      </c>
      <c r="AO1285" s="1">
        <v>24789.0</v>
      </c>
      <c r="AP1285" s="1">
        <v>15.1</v>
      </c>
      <c r="AQ1285" s="1">
        <v>7.1</v>
      </c>
      <c r="AR1285" s="1">
        <v>8.5</v>
      </c>
      <c r="AS1285" s="1">
        <v>21.6</v>
      </c>
      <c r="AT1285" s="1">
        <v>19.4</v>
      </c>
      <c r="AU1285" s="1">
        <v>18.4</v>
      </c>
      <c r="AV1285" s="1">
        <v>6.4</v>
      </c>
      <c r="AW1285" s="1">
        <v>0.3</v>
      </c>
      <c r="AX1285" s="1">
        <v>0.3849</v>
      </c>
      <c r="AY1285" s="1">
        <v>13.5</v>
      </c>
      <c r="AZ1285" s="1">
        <v>13.1</v>
      </c>
      <c r="BA1285" s="1">
        <v>15.3</v>
      </c>
      <c r="BB1285" s="1">
        <v>3.1</v>
      </c>
      <c r="BC1285" s="1" t="s">
        <v>2143</v>
      </c>
      <c r="BD1285" s="1">
        <v>7.5</v>
      </c>
      <c r="BE1285" s="1">
        <v>42.5</v>
      </c>
      <c r="BF1285" s="1">
        <v>33.7</v>
      </c>
      <c r="BG1285" s="1">
        <v>16.3</v>
      </c>
      <c r="BH1285" s="1" t="s">
        <v>2237</v>
      </c>
    </row>
    <row r="1286">
      <c r="A1286" s="1">
        <v>26111.0</v>
      </c>
      <c r="B1286" s="2" t="str">
        <f>IFERROR(__xludf.DUMMYFUNCTION("TO_TEXT(A1286)"),"26111")</f>
        <v>26111</v>
      </c>
      <c r="C1286" s="1">
        <v>83559.0</v>
      </c>
      <c r="D1286" s="1">
        <v>516.256915087742</v>
      </c>
      <c r="E1286" s="1" t="s">
        <v>2238</v>
      </c>
      <c r="F1286" s="1" t="s">
        <v>2239</v>
      </c>
      <c r="G1286" s="1">
        <v>161.855459090167</v>
      </c>
      <c r="H1286" s="1">
        <v>13.188346477</v>
      </c>
      <c r="I1286" s="1">
        <v>3.8168984517</v>
      </c>
      <c r="J1286" s="1">
        <v>7.1056610113</v>
      </c>
      <c r="K1286" s="1">
        <v>15.454597357</v>
      </c>
      <c r="L1286" s="1">
        <v>38.0</v>
      </c>
      <c r="M1286" s="1">
        <v>8.1</v>
      </c>
      <c r="N1286" s="1">
        <v>21.0</v>
      </c>
      <c r="O1286" s="1">
        <v>82.903059943</v>
      </c>
      <c r="P1286" s="1">
        <v>5.0056027365</v>
      </c>
      <c r="Q1286" s="1">
        <v>92.31396</v>
      </c>
      <c r="R1286" s="1">
        <v>93.8110749189999</v>
      </c>
      <c r="S1286" s="1">
        <v>13.5</v>
      </c>
      <c r="T1286" s="1">
        <v>17774.0</v>
      </c>
      <c r="U1286" s="1">
        <v>25.36851581</v>
      </c>
      <c r="V1286" s="1">
        <v>126.45618472</v>
      </c>
      <c r="W1286" s="1">
        <v>10.93171382</v>
      </c>
      <c r="X1286" s="1">
        <v>9.2915040528</v>
      </c>
      <c r="Y1286" s="1">
        <v>80.4284153689999</v>
      </c>
      <c r="Z1286" s="1">
        <v>12.3</v>
      </c>
      <c r="AA1286" s="1">
        <v>6.0633103289</v>
      </c>
      <c r="AB1286" s="1">
        <v>58057.0</v>
      </c>
      <c r="AC1286" s="1">
        <v>38.7792488969999</v>
      </c>
      <c r="AD1286" s="1">
        <v>75.61513361</v>
      </c>
      <c r="AE1286" s="1">
        <v>9.3740622937</v>
      </c>
      <c r="AF1286" s="1">
        <v>1.3135598313</v>
      </c>
      <c r="AG1286" s="1">
        <v>0.5335961254</v>
      </c>
      <c r="AH1286" s="1">
        <v>2.4119987021</v>
      </c>
      <c r="AI1286" s="1">
        <v>0.0805201359999999</v>
      </c>
      <c r="AJ1286" s="1">
        <v>2.7881599346</v>
      </c>
      <c r="AK1286" s="1">
        <v>91.456453028</v>
      </c>
      <c r="AL1286" s="1">
        <v>0.214325572</v>
      </c>
      <c r="AM1286" s="1">
        <v>50.684421156</v>
      </c>
      <c r="AN1286" s="1">
        <v>42.78061438</v>
      </c>
      <c r="AO1286" s="1">
        <v>31135.0</v>
      </c>
      <c r="AP1286" s="1">
        <v>12.3</v>
      </c>
      <c r="AQ1286" s="1">
        <v>7.6</v>
      </c>
      <c r="AR1286" s="1">
        <v>5.9</v>
      </c>
      <c r="AS1286" s="1">
        <v>16.3</v>
      </c>
      <c r="AT1286" s="1">
        <v>22.0</v>
      </c>
      <c r="AU1286" s="1">
        <v>13.3</v>
      </c>
      <c r="AV1286" s="1">
        <v>8.2</v>
      </c>
      <c r="AW1286" s="1">
        <v>0.5</v>
      </c>
      <c r="AX1286" s="1">
        <v>0.1678</v>
      </c>
      <c r="AY1286" s="1">
        <v>9.7</v>
      </c>
      <c r="AZ1286" s="1">
        <v>11.3</v>
      </c>
      <c r="BA1286" s="1">
        <v>11.3</v>
      </c>
      <c r="BB1286" s="1">
        <v>2.96</v>
      </c>
      <c r="BC1286" s="1" t="s">
        <v>2143</v>
      </c>
      <c r="BD1286" s="1">
        <v>5.8</v>
      </c>
      <c r="BE1286" s="1">
        <v>28.9</v>
      </c>
      <c r="BF1286" s="1">
        <v>30.1</v>
      </c>
      <c r="BG1286" s="1">
        <v>35.2</v>
      </c>
      <c r="BH1286" s="1" t="s">
        <v>2239</v>
      </c>
    </row>
    <row r="1287">
      <c r="A1287" s="1">
        <v>26113.0</v>
      </c>
      <c r="B1287" s="2" t="str">
        <f>IFERROR(__xludf.DUMMYFUNCTION("TO_TEXT(A1287)"),"26113")</f>
        <v>26113</v>
      </c>
      <c r="C1287" s="1">
        <v>15032.0</v>
      </c>
      <c r="D1287" s="1">
        <v>564.727533524196</v>
      </c>
      <c r="E1287" s="1" t="s">
        <v>2240</v>
      </c>
      <c r="F1287" s="1" t="s">
        <v>2241</v>
      </c>
      <c r="G1287" s="1">
        <v>26.6181461105543</v>
      </c>
      <c r="H1287" s="1">
        <v>16.635478977</v>
      </c>
      <c r="I1287" s="1">
        <v>4.531108634</v>
      </c>
      <c r="J1287" s="1">
        <v>5.9514487079</v>
      </c>
      <c r="K1287" s="1">
        <v>17.988870751</v>
      </c>
      <c r="L1287" s="1">
        <v>37.3</v>
      </c>
      <c r="M1287" s="1">
        <v>8.2</v>
      </c>
      <c r="N1287" s="1">
        <v>22.8</v>
      </c>
      <c r="O1287" s="1">
        <v>66.583608324</v>
      </c>
      <c r="P1287" s="1">
        <v>7.5581887431</v>
      </c>
      <c r="Q1287" s="1">
        <v>13.33511</v>
      </c>
      <c r="R1287" s="1">
        <v>91.1764705879999</v>
      </c>
      <c r="S1287" s="1">
        <v>21.1</v>
      </c>
      <c r="T1287" s="1">
        <v>3430.0</v>
      </c>
      <c r="U1287" s="1">
        <v>30.612244898</v>
      </c>
      <c r="V1287" s="1">
        <v>209.74131904</v>
      </c>
      <c r="W1287" s="1">
        <v>14.97005988</v>
      </c>
      <c r="X1287" s="1">
        <v>11.4187446259999</v>
      </c>
      <c r="Y1287" s="1">
        <v>79.07042009</v>
      </c>
      <c r="Z1287" s="1">
        <v>14.1</v>
      </c>
      <c r="AA1287" s="1">
        <v>2.48101008</v>
      </c>
      <c r="AB1287" s="1">
        <v>48413.0</v>
      </c>
      <c r="AC1287" s="1">
        <v>58.760107817</v>
      </c>
      <c r="AD1287" s="1">
        <v>81.383773021</v>
      </c>
      <c r="AE1287" s="1">
        <v>11.7566643879999</v>
      </c>
      <c r="AF1287" s="1">
        <v>0.4962614967</v>
      </c>
      <c r="AG1287" s="1">
        <v>0.893270694099999</v>
      </c>
      <c r="AH1287" s="1">
        <v>0.734467015199999</v>
      </c>
      <c r="AI1287" s="1">
        <v>0.0132336399</v>
      </c>
      <c r="AJ1287" s="1">
        <v>3.2422417786</v>
      </c>
      <c r="AK1287" s="1">
        <v>93.4294977829999</v>
      </c>
      <c r="AL1287" s="1">
        <v>0.4275940707</v>
      </c>
      <c r="AM1287" s="1">
        <v>49.169589095</v>
      </c>
      <c r="AN1287" s="1">
        <v>100.0</v>
      </c>
      <c r="AO1287" s="1">
        <v>21124.0</v>
      </c>
      <c r="AP1287" s="1">
        <v>15.0</v>
      </c>
      <c r="AQ1287" s="1">
        <v>8.8</v>
      </c>
      <c r="AR1287" s="1">
        <v>12.3</v>
      </c>
      <c r="AS1287" s="1">
        <v>19.2</v>
      </c>
      <c r="AT1287" s="1">
        <v>23.2</v>
      </c>
      <c r="AU1287" s="1">
        <v>18.7</v>
      </c>
      <c r="AV1287" s="1">
        <v>5.3</v>
      </c>
      <c r="AW1287" s="1">
        <v>0.4</v>
      </c>
      <c r="AX1287" s="1">
        <v>0.5002</v>
      </c>
      <c r="AY1287" s="1">
        <v>10.9</v>
      </c>
      <c r="AZ1287" s="1">
        <v>14.2</v>
      </c>
      <c r="BA1287" s="1">
        <v>17.4</v>
      </c>
      <c r="BB1287" s="1">
        <v>2.99</v>
      </c>
      <c r="BC1287" s="1" t="s">
        <v>2143</v>
      </c>
      <c r="BD1287" s="1">
        <v>10.5</v>
      </c>
      <c r="BE1287" s="1">
        <v>41.9</v>
      </c>
      <c r="BF1287" s="1">
        <v>33.6</v>
      </c>
      <c r="BG1287" s="1">
        <v>14.0</v>
      </c>
      <c r="BH1287" s="1" t="s">
        <v>2241</v>
      </c>
    </row>
    <row r="1288">
      <c r="A1288" s="1">
        <v>26115.0</v>
      </c>
      <c r="B1288" s="2" t="str">
        <f>IFERROR(__xludf.DUMMYFUNCTION("TO_TEXT(A1288)"),"26115")</f>
        <v>26115</v>
      </c>
      <c r="C1288" s="1">
        <v>149945.0</v>
      </c>
      <c r="D1288" s="1">
        <v>549.424217046948</v>
      </c>
      <c r="E1288" s="1" t="s">
        <v>158</v>
      </c>
      <c r="F1288" s="1" t="s">
        <v>2242</v>
      </c>
      <c r="G1288" s="1">
        <v>272.912979347591</v>
      </c>
      <c r="H1288" s="1">
        <v>13.675097344</v>
      </c>
      <c r="I1288" s="1">
        <v>3.9797510996</v>
      </c>
      <c r="J1288" s="1">
        <v>7.1767609645</v>
      </c>
      <c r="K1288" s="1">
        <v>16.606996455</v>
      </c>
      <c r="L1288" s="1">
        <v>37.5</v>
      </c>
      <c r="M1288" s="1">
        <v>8.2</v>
      </c>
      <c r="N1288" s="1">
        <v>28.2</v>
      </c>
      <c r="O1288" s="1">
        <v>78.729254511</v>
      </c>
      <c r="P1288" s="1">
        <v>4.9930550479</v>
      </c>
      <c r="Q1288" s="1">
        <v>29.40213</v>
      </c>
      <c r="R1288" s="1">
        <v>91.558073654</v>
      </c>
      <c r="S1288" s="1">
        <v>13.5</v>
      </c>
      <c r="T1288" s="1">
        <v>32425.0</v>
      </c>
      <c r="U1288" s="1">
        <v>28.3885890519999</v>
      </c>
      <c r="V1288" s="1">
        <v>240.35077479</v>
      </c>
      <c r="W1288" s="1">
        <v>11.774758609</v>
      </c>
      <c r="X1288" s="1">
        <v>10.314172277</v>
      </c>
      <c r="Y1288" s="1">
        <v>77.7398074239999</v>
      </c>
      <c r="Z1288" s="1">
        <v>10.7</v>
      </c>
      <c r="AA1288" s="1">
        <v>5.5166798442</v>
      </c>
      <c r="AB1288" s="1">
        <v>62522.0</v>
      </c>
      <c r="AC1288" s="1">
        <v>42.407926884</v>
      </c>
      <c r="AD1288" s="1">
        <v>80.084009514</v>
      </c>
      <c r="AE1288" s="1">
        <v>10.5155349</v>
      </c>
      <c r="AF1288" s="1">
        <v>2.4880516355</v>
      </c>
      <c r="AG1288" s="1">
        <v>0.3755675058</v>
      </c>
      <c r="AH1288" s="1">
        <v>0.7278697678</v>
      </c>
      <c r="AI1288" s="1">
        <v>0.0279182925</v>
      </c>
      <c r="AJ1288" s="1">
        <v>3.657961034</v>
      </c>
      <c r="AK1288" s="1">
        <v>91.15056601</v>
      </c>
      <c r="AL1288" s="1">
        <v>0.3323009193</v>
      </c>
      <c r="AM1288" s="1">
        <v>50.64378253</v>
      </c>
      <c r="AN1288" s="1">
        <v>37.555995553</v>
      </c>
      <c r="AO1288" s="1">
        <v>27809.0</v>
      </c>
      <c r="AP1288" s="1">
        <v>10.8</v>
      </c>
      <c r="AQ1288" s="1">
        <v>7.0</v>
      </c>
      <c r="AR1288" s="1">
        <v>9.6</v>
      </c>
      <c r="AS1288" s="1">
        <v>15.7</v>
      </c>
      <c r="AT1288" s="1">
        <v>22.6</v>
      </c>
      <c r="AU1288" s="1">
        <v>12.8</v>
      </c>
      <c r="AV1288" s="1">
        <v>8.1</v>
      </c>
      <c r="AW1288" s="1">
        <v>0.3</v>
      </c>
      <c r="AX1288" s="1">
        <v>0.1455</v>
      </c>
      <c r="AY1288" s="1">
        <v>10.2</v>
      </c>
      <c r="AZ1288" s="1">
        <v>11.2</v>
      </c>
      <c r="BA1288" s="1">
        <v>11.9</v>
      </c>
      <c r="BB1288" s="1">
        <v>3.0</v>
      </c>
      <c r="BC1288" s="1" t="s">
        <v>2143</v>
      </c>
      <c r="BD1288" s="1">
        <v>8.6</v>
      </c>
      <c r="BE1288" s="1">
        <v>35.2</v>
      </c>
      <c r="BF1288" s="1">
        <v>35.7</v>
      </c>
      <c r="BG1288" s="1">
        <v>20.5</v>
      </c>
      <c r="BH1288" s="1" t="s">
        <v>2242</v>
      </c>
    </row>
    <row r="1289">
      <c r="A1289" s="1">
        <v>26117.0</v>
      </c>
      <c r="B1289" s="2" t="str">
        <f>IFERROR(__xludf.DUMMYFUNCTION("TO_TEXT(A1289)"),"26117")</f>
        <v>26117</v>
      </c>
      <c r="C1289" s="1">
        <v>62922.0</v>
      </c>
      <c r="D1289" s="1">
        <v>705.395697190338</v>
      </c>
      <c r="E1289" s="1" t="s">
        <v>2243</v>
      </c>
      <c r="F1289" s="1" t="s">
        <v>2244</v>
      </c>
      <c r="G1289" s="1">
        <v>89.2009977529273</v>
      </c>
      <c r="H1289" s="1">
        <v>15.868118443</v>
      </c>
      <c r="I1289" s="1">
        <v>4.3672441852</v>
      </c>
      <c r="J1289" s="1">
        <v>6.9546265108</v>
      </c>
      <c r="K1289" s="1">
        <v>19.662117706</v>
      </c>
      <c r="L1289" s="1">
        <v>35.9</v>
      </c>
      <c r="M1289" s="1">
        <v>8.0</v>
      </c>
      <c r="N1289" s="1">
        <v>24.6</v>
      </c>
      <c r="O1289" s="1">
        <v>66.188311073</v>
      </c>
      <c r="P1289" s="1">
        <v>6.996734056</v>
      </c>
      <c r="Q1289" s="1">
        <v>40.91267</v>
      </c>
      <c r="R1289" s="1">
        <v>87.234042553</v>
      </c>
      <c r="S1289" s="1">
        <v>19.9</v>
      </c>
      <c r="T1289" s="1">
        <v>14145.0</v>
      </c>
      <c r="U1289" s="1">
        <v>34.605867798</v>
      </c>
      <c r="V1289" s="1">
        <v>377.05910258</v>
      </c>
      <c r="W1289" s="1">
        <v>14.053350683</v>
      </c>
      <c r="X1289" s="1">
        <v>11.7582417579999</v>
      </c>
      <c r="Y1289" s="1">
        <v>77.835614928</v>
      </c>
      <c r="Z1289" s="1">
        <v>12.7</v>
      </c>
      <c r="AA1289" s="1">
        <v>3.766998914</v>
      </c>
      <c r="AB1289" s="1">
        <v>50396.0</v>
      </c>
      <c r="AC1289" s="1">
        <v>58.844263055</v>
      </c>
      <c r="AD1289" s="1">
        <v>78.191153571</v>
      </c>
      <c r="AE1289" s="1">
        <v>11.140606641</v>
      </c>
      <c r="AF1289" s="1">
        <v>2.437156078</v>
      </c>
      <c r="AG1289" s="1">
        <v>0.6190595298</v>
      </c>
      <c r="AH1289" s="1">
        <v>0.4095797899</v>
      </c>
      <c r="AI1289" s="1">
        <v>0.0422086043</v>
      </c>
      <c r="AJ1289" s="1">
        <v>3.5720985493</v>
      </c>
      <c r="AK1289" s="1">
        <v>91.627063532</v>
      </c>
      <c r="AL1289" s="1">
        <v>0.3623127631</v>
      </c>
      <c r="AM1289" s="1">
        <v>48.26632066</v>
      </c>
      <c r="AN1289" s="1">
        <v>84.618420637</v>
      </c>
      <c r="AO1289" s="1">
        <v>20504.0</v>
      </c>
      <c r="AP1289" s="1">
        <v>17.4</v>
      </c>
      <c r="AQ1289" s="1">
        <v>8.6</v>
      </c>
      <c r="AR1289" s="1">
        <v>12.4</v>
      </c>
      <c r="AS1289" s="1">
        <v>16.0</v>
      </c>
      <c r="AT1289" s="1">
        <v>23.0</v>
      </c>
      <c r="AU1289" s="1">
        <v>18.5</v>
      </c>
      <c r="AV1289" s="1">
        <v>8.0</v>
      </c>
      <c r="AW1289" s="1">
        <v>0.4</v>
      </c>
      <c r="AX1289" s="1">
        <v>0.66</v>
      </c>
      <c r="AY1289" s="1">
        <v>12.4</v>
      </c>
      <c r="AZ1289" s="1">
        <v>13.9</v>
      </c>
      <c r="BA1289" s="1">
        <v>16.6</v>
      </c>
      <c r="BB1289" s="1">
        <v>2.91</v>
      </c>
      <c r="BC1289" s="1" t="s">
        <v>2143</v>
      </c>
      <c r="BD1289" s="1">
        <v>11.3</v>
      </c>
      <c r="BE1289" s="1">
        <v>40.4</v>
      </c>
      <c r="BF1289" s="1">
        <v>34.9</v>
      </c>
      <c r="BG1289" s="1">
        <v>13.3</v>
      </c>
      <c r="BH1289" s="1" t="s">
        <v>2244</v>
      </c>
    </row>
    <row r="1290">
      <c r="A1290" s="1">
        <v>26119.0</v>
      </c>
      <c r="B1290" s="2" t="str">
        <f>IFERROR(__xludf.DUMMYFUNCTION("TO_TEXT(A1290)"),"26119")</f>
        <v>26119</v>
      </c>
      <c r="C1290" s="1">
        <v>9317.0</v>
      </c>
      <c r="D1290" s="1">
        <v>546.663130216078</v>
      </c>
      <c r="E1290" s="1" t="s">
        <v>2245</v>
      </c>
      <c r="F1290" s="1" t="s">
        <v>2246</v>
      </c>
      <c r="G1290" s="1">
        <v>17.0434029386933</v>
      </c>
      <c r="H1290" s="1">
        <v>14.508808313</v>
      </c>
      <c r="I1290" s="1">
        <v>4.34064355079999</v>
      </c>
      <c r="J1290" s="1">
        <v>7.58196721309999</v>
      </c>
      <c r="K1290" s="1">
        <v>16.6224843629999</v>
      </c>
      <c r="L1290" s="1">
        <v>35.7</v>
      </c>
      <c r="M1290" s="1">
        <v>7.9</v>
      </c>
      <c r="N1290" s="1">
        <v>21.3</v>
      </c>
      <c r="O1290" s="1">
        <v>71.643625192</v>
      </c>
      <c r="P1290" s="1">
        <v>7.399103139</v>
      </c>
      <c r="Q1290" s="1">
        <v>86.48649</v>
      </c>
      <c r="R1290" s="1">
        <v>92.5925925929999</v>
      </c>
      <c r="S1290" s="1">
        <v>32.2</v>
      </c>
      <c r="T1290" s="1">
        <v>1371.0</v>
      </c>
      <c r="U1290" s="1">
        <v>35.4485776809999</v>
      </c>
      <c r="V1290" s="1">
        <v>81.477457903</v>
      </c>
      <c r="W1290" s="1">
        <v>12.5</v>
      </c>
      <c r="X1290" s="1">
        <v>10.676506765</v>
      </c>
      <c r="Y1290" s="1">
        <v>75.592013059</v>
      </c>
      <c r="Z1290" s="1">
        <v>19.9</v>
      </c>
      <c r="AA1290" s="1">
        <v>1.0785859105</v>
      </c>
      <c r="AB1290" s="1">
        <v>40650.0</v>
      </c>
      <c r="AC1290" s="1">
        <v>63.13253012</v>
      </c>
      <c r="AD1290" s="1">
        <v>85.935637664</v>
      </c>
      <c r="AE1290" s="1">
        <v>11.582060128</v>
      </c>
      <c r="AF1290" s="1">
        <v>0.4533189423</v>
      </c>
      <c r="AG1290" s="1">
        <v>0.7447382623</v>
      </c>
      <c r="AH1290" s="1">
        <v>0.2482460874</v>
      </c>
      <c r="AI1290" s="1">
        <v>0.0107933081</v>
      </c>
      <c r="AJ1290" s="1">
        <v>1.2844036697</v>
      </c>
      <c r="AK1290" s="1">
        <v>95.693470049</v>
      </c>
      <c r="AL1290" s="1">
        <v>0.1344086022</v>
      </c>
      <c r="AM1290" s="1">
        <v>49.033998921</v>
      </c>
      <c r="AN1290" s="1">
        <v>100.0</v>
      </c>
      <c r="AO1290" s="1">
        <v>21621.0</v>
      </c>
      <c r="AP1290" s="1">
        <v>16.3</v>
      </c>
      <c r="AQ1290" s="1">
        <v>13.8</v>
      </c>
      <c r="AR1290" s="1">
        <v>12.9</v>
      </c>
      <c r="AS1290" s="1">
        <v>29.4</v>
      </c>
      <c r="AT1290" s="1">
        <v>15.1</v>
      </c>
      <c r="AU1290" s="1">
        <v>25.1</v>
      </c>
      <c r="AV1290" s="1">
        <v>3.7</v>
      </c>
      <c r="AW1290" s="1">
        <v>0.0</v>
      </c>
      <c r="AX1290" s="1">
        <v>0.376</v>
      </c>
      <c r="AY1290" s="1">
        <v>14.4</v>
      </c>
      <c r="AZ1290" s="1">
        <v>17.1</v>
      </c>
      <c r="BA1290" s="1">
        <v>26.8</v>
      </c>
      <c r="BB1290" s="1">
        <v>2.92</v>
      </c>
      <c r="BC1290" s="1" t="s">
        <v>2143</v>
      </c>
      <c r="BD1290" s="1">
        <v>13.1</v>
      </c>
      <c r="BE1290" s="1">
        <v>42.9</v>
      </c>
      <c r="BF1290" s="1">
        <v>30.3</v>
      </c>
      <c r="BG1290" s="1">
        <v>13.7</v>
      </c>
      <c r="BH1290" s="1" t="s">
        <v>2246</v>
      </c>
    </row>
    <row r="1291">
      <c r="A1291" s="1">
        <v>26121.0</v>
      </c>
      <c r="B1291" s="2" t="str">
        <f>IFERROR(__xludf.DUMMYFUNCTION("TO_TEXT(A1291)"),"26121")</f>
        <v>26121</v>
      </c>
      <c r="C1291" s="1">
        <v>172148.0</v>
      </c>
      <c r="D1291" s="1">
        <v>500.023258042149</v>
      </c>
      <c r="E1291" s="1" t="s">
        <v>2247</v>
      </c>
      <c r="F1291" s="1" t="s">
        <v>2248</v>
      </c>
      <c r="G1291" s="1">
        <v>344.279985443174</v>
      </c>
      <c r="H1291" s="1">
        <v>16.121531799</v>
      </c>
      <c r="I1291" s="1">
        <v>4.4270248367</v>
      </c>
      <c r="J1291" s="1">
        <v>9.7520999795</v>
      </c>
      <c r="K1291" s="1">
        <v>19.7675499</v>
      </c>
      <c r="L1291" s="1">
        <v>35.5</v>
      </c>
      <c r="M1291" s="1">
        <v>6.5</v>
      </c>
      <c r="N1291" s="1">
        <v>24.0</v>
      </c>
      <c r="O1291" s="1">
        <v>76.821845889</v>
      </c>
      <c r="P1291" s="1">
        <v>5.5072380638</v>
      </c>
      <c r="Q1291" s="1">
        <v>61.02721</v>
      </c>
      <c r="R1291" s="1">
        <v>89.942857143</v>
      </c>
      <c r="S1291" s="1">
        <v>21.9</v>
      </c>
      <c r="T1291" s="1">
        <v>39964.0</v>
      </c>
      <c r="U1291" s="1">
        <v>39.570613552</v>
      </c>
      <c r="V1291" s="1">
        <v>440.34285083</v>
      </c>
      <c r="W1291" s="1">
        <v>14.880998228</v>
      </c>
      <c r="X1291" s="1">
        <v>12.795505969</v>
      </c>
      <c r="Y1291" s="1">
        <v>77.012480315</v>
      </c>
      <c r="Z1291" s="1">
        <v>12.3</v>
      </c>
      <c r="AA1291" s="1">
        <v>16.959995549</v>
      </c>
      <c r="AB1291" s="1">
        <v>49960.0</v>
      </c>
      <c r="AC1291" s="1">
        <v>61.559716415</v>
      </c>
      <c r="AD1291" s="1">
        <v>74.5454822539999</v>
      </c>
      <c r="AE1291" s="1">
        <v>11.356798094</v>
      </c>
      <c r="AF1291" s="1">
        <v>13.832753416</v>
      </c>
      <c r="AG1291" s="1">
        <v>0.9908519022</v>
      </c>
      <c r="AH1291" s="1">
        <v>0.6861073346</v>
      </c>
      <c r="AI1291" s="1">
        <v>0.0420535982</v>
      </c>
      <c r="AJ1291" s="1">
        <v>5.807429085</v>
      </c>
      <c r="AK1291" s="1">
        <v>76.305389773</v>
      </c>
      <c r="AL1291" s="1">
        <v>0.3349609315</v>
      </c>
      <c r="AM1291" s="1">
        <v>50.319146485</v>
      </c>
      <c r="AN1291" s="1">
        <v>23.314632843</v>
      </c>
      <c r="AO1291" s="1">
        <v>21614.0</v>
      </c>
      <c r="AP1291" s="1">
        <v>19.6</v>
      </c>
      <c r="AQ1291" s="1">
        <v>10.4</v>
      </c>
      <c r="AR1291" s="1">
        <v>10.8</v>
      </c>
      <c r="AS1291" s="1">
        <v>15.1</v>
      </c>
      <c r="AT1291" s="1">
        <v>23.8</v>
      </c>
      <c r="AU1291" s="1">
        <v>15.8</v>
      </c>
      <c r="AV1291" s="1">
        <v>23.3</v>
      </c>
      <c r="AW1291" s="1">
        <v>0.4</v>
      </c>
      <c r="AX1291" s="1">
        <v>0.7822</v>
      </c>
      <c r="AY1291" s="1">
        <v>13.5</v>
      </c>
      <c r="AZ1291" s="1">
        <v>14.1</v>
      </c>
      <c r="BA1291" s="1">
        <v>16.2</v>
      </c>
      <c r="BB1291" s="1">
        <v>2.78</v>
      </c>
      <c r="BC1291" s="1" t="s">
        <v>2143</v>
      </c>
      <c r="BD1291" s="1">
        <v>8.7</v>
      </c>
      <c r="BE1291" s="1">
        <v>34.0</v>
      </c>
      <c r="BF1291" s="1">
        <v>37.5</v>
      </c>
      <c r="BG1291" s="1">
        <v>19.7</v>
      </c>
      <c r="BH1291" s="1" t="s">
        <v>2248</v>
      </c>
    </row>
    <row r="1292">
      <c r="A1292" s="1">
        <v>26123.0</v>
      </c>
      <c r="B1292" s="2" t="str">
        <f>IFERROR(__xludf.DUMMYFUNCTION("TO_TEXT(A1292)"),"26123")</f>
        <v>26123</v>
      </c>
      <c r="C1292" s="1">
        <v>47957.0</v>
      </c>
      <c r="D1292" s="1">
        <v>815.663427991696</v>
      </c>
      <c r="E1292" s="1" t="s">
        <v>2249</v>
      </c>
      <c r="F1292" s="1" t="s">
        <v>2250</v>
      </c>
      <c r="G1292" s="1">
        <v>58.7950842887224</v>
      </c>
      <c r="H1292" s="1">
        <v>16.822189476</v>
      </c>
      <c r="I1292" s="1">
        <v>4.3280974397</v>
      </c>
      <c r="J1292" s="1">
        <v>7.3428420497</v>
      </c>
      <c r="K1292" s="1">
        <v>19.065390374</v>
      </c>
      <c r="L1292" s="1">
        <v>34.7</v>
      </c>
      <c r="M1292" s="1">
        <v>8.3</v>
      </c>
      <c r="N1292" s="1">
        <v>25.5</v>
      </c>
      <c r="O1292" s="1">
        <v>78.8402806439999</v>
      </c>
      <c r="P1292" s="1">
        <v>7.2443880589</v>
      </c>
      <c r="Q1292" s="1">
        <v>39.38477</v>
      </c>
      <c r="R1292" s="1">
        <v>84.80565371</v>
      </c>
      <c r="S1292" s="1">
        <v>23.0</v>
      </c>
      <c r="T1292" s="1">
        <v>10879.0</v>
      </c>
      <c r="U1292" s="1">
        <v>27.750712382</v>
      </c>
      <c r="V1292" s="1">
        <v>305.95186778</v>
      </c>
      <c r="W1292" s="1">
        <v>14.840989399</v>
      </c>
      <c r="X1292" s="1">
        <v>12.1112028629999</v>
      </c>
      <c r="Y1292" s="1">
        <v>78.190617773</v>
      </c>
      <c r="Z1292" s="1">
        <v>9.9</v>
      </c>
      <c r="AA1292" s="1">
        <v>2.2991910483</v>
      </c>
      <c r="AB1292" s="1">
        <v>48860.0</v>
      </c>
      <c r="AC1292" s="1">
        <v>62.58512485</v>
      </c>
      <c r="AD1292" s="1">
        <v>82.353869627</v>
      </c>
      <c r="AE1292" s="1">
        <v>12.300250027</v>
      </c>
      <c r="AF1292" s="1">
        <v>1.0451607625</v>
      </c>
      <c r="AG1292" s="1">
        <v>0.8283563773</v>
      </c>
      <c r="AH1292" s="1">
        <v>0.494968502</v>
      </c>
      <c r="AI1292" s="1">
        <v>0.026589217</v>
      </c>
      <c r="AJ1292" s="1">
        <v>5.8046306144</v>
      </c>
      <c r="AK1292" s="1">
        <v>90.521966784</v>
      </c>
      <c r="AL1292" s="1">
        <v>0.7780986179</v>
      </c>
      <c r="AM1292" s="1">
        <v>49.803648859</v>
      </c>
      <c r="AN1292" s="1">
        <v>83.8402806439999</v>
      </c>
      <c r="AO1292" s="1">
        <v>21905.0</v>
      </c>
      <c r="AP1292" s="1">
        <v>18.2</v>
      </c>
      <c r="AQ1292" s="1">
        <v>8.9</v>
      </c>
      <c r="AR1292" s="1">
        <v>14.2</v>
      </c>
      <c r="AS1292" s="1">
        <v>17.7</v>
      </c>
      <c r="AT1292" s="1">
        <v>23.2</v>
      </c>
      <c r="AU1292" s="1">
        <v>18.6</v>
      </c>
      <c r="AV1292" s="1">
        <v>9.3</v>
      </c>
      <c r="AW1292" s="1">
        <v>0.7</v>
      </c>
      <c r="AX1292" s="1">
        <v>0.6266</v>
      </c>
      <c r="AY1292" s="1">
        <v>15.7</v>
      </c>
      <c r="AZ1292" s="1">
        <v>14.3</v>
      </c>
      <c r="BA1292" s="1">
        <v>17.0</v>
      </c>
      <c r="BB1292" s="1">
        <v>2.68</v>
      </c>
      <c r="BC1292" s="1" t="s">
        <v>2143</v>
      </c>
      <c r="BD1292" s="1">
        <v>11.9</v>
      </c>
      <c r="BE1292" s="1">
        <v>40.4</v>
      </c>
      <c r="BF1292" s="1">
        <v>31.1</v>
      </c>
      <c r="BG1292" s="1">
        <v>16.6</v>
      </c>
      <c r="BH1292" s="1" t="s">
        <v>2250</v>
      </c>
    </row>
    <row r="1293">
      <c r="A1293" s="1">
        <v>26125.0</v>
      </c>
      <c r="B1293" s="2" t="str">
        <f>IFERROR(__xludf.DUMMYFUNCTION("TO_TEXT(A1293)"),"26125")</f>
        <v>26125</v>
      </c>
      <c r="C1293" s="1">
        <v>1235215.0</v>
      </c>
      <c r="D1293" s="1">
        <v>867.456174986404</v>
      </c>
      <c r="E1293" s="1" t="s">
        <v>2251</v>
      </c>
      <c r="F1293" s="1" t="s">
        <v>2252</v>
      </c>
      <c r="G1293" s="1">
        <v>1423.95089875216</v>
      </c>
      <c r="H1293" s="1">
        <v>12.033865285</v>
      </c>
      <c r="I1293" s="1">
        <v>3.5151005476</v>
      </c>
      <c r="J1293" s="1">
        <v>8.2432849645</v>
      </c>
      <c r="K1293" s="1">
        <v>12.308266081</v>
      </c>
      <c r="L1293" s="1">
        <v>24.7</v>
      </c>
      <c r="M1293" s="1">
        <v>8.2</v>
      </c>
      <c r="N1293" s="1">
        <v>19.0</v>
      </c>
      <c r="O1293" s="1">
        <v>94.452336318</v>
      </c>
      <c r="P1293" s="1">
        <v>4.9217469643</v>
      </c>
      <c r="Q1293" s="1">
        <v>139.5067</v>
      </c>
      <c r="R1293" s="1">
        <v>90.485464907</v>
      </c>
      <c r="S1293" s="1">
        <v>9.6</v>
      </c>
      <c r="T1293" s="1">
        <v>267539.0</v>
      </c>
      <c r="U1293" s="1">
        <v>23.534512725</v>
      </c>
      <c r="V1293" s="1">
        <v>177.72419053</v>
      </c>
      <c r="W1293" s="1">
        <v>13.916150788</v>
      </c>
      <c r="X1293" s="1">
        <v>12.587732682</v>
      </c>
      <c r="Y1293" s="1">
        <v>80.235235009</v>
      </c>
      <c r="Z1293" s="1">
        <v>8.8</v>
      </c>
      <c r="AA1293" s="1">
        <v>5.2095562231</v>
      </c>
      <c r="AB1293" s="1">
        <v>80319.0</v>
      </c>
      <c r="AC1293" s="1">
        <v>32.938713715</v>
      </c>
      <c r="AD1293" s="1">
        <v>70.790607669</v>
      </c>
      <c r="AE1293" s="1">
        <v>12.0178875429999</v>
      </c>
      <c r="AF1293" s="1">
        <v>13.773416635</v>
      </c>
      <c r="AG1293" s="1">
        <v>0.3163116929</v>
      </c>
      <c r="AH1293" s="1">
        <v>8.0485958953</v>
      </c>
      <c r="AI1293" s="1">
        <v>0.0341486387</v>
      </c>
      <c r="AJ1293" s="1">
        <v>4.2041739166</v>
      </c>
      <c r="AK1293" s="1">
        <v>71.706343944</v>
      </c>
      <c r="AL1293" s="1">
        <v>1.8688348533</v>
      </c>
      <c r="AM1293" s="1">
        <v>50.993209186</v>
      </c>
      <c r="AN1293" s="1">
        <v>4.78666158779999</v>
      </c>
      <c r="AO1293" s="1">
        <v>38992.0</v>
      </c>
      <c r="AP1293" s="1">
        <v>9.6</v>
      </c>
      <c r="AQ1293" s="1">
        <v>6.3</v>
      </c>
      <c r="AR1293" s="1">
        <v>6.5</v>
      </c>
      <c r="AS1293" s="1">
        <v>15.1</v>
      </c>
      <c r="AT1293" s="1">
        <v>22.1</v>
      </c>
      <c r="AU1293" s="1">
        <v>11.7</v>
      </c>
      <c r="AV1293" s="1">
        <v>26.8</v>
      </c>
      <c r="AW1293" s="1">
        <v>1.8</v>
      </c>
      <c r="AX1293" s="1">
        <v>0.1331</v>
      </c>
      <c r="AY1293" s="1">
        <v>7.8</v>
      </c>
      <c r="AZ1293" s="1">
        <v>10.1</v>
      </c>
      <c r="BA1293" s="1">
        <v>8.2</v>
      </c>
      <c r="BB1293" s="1">
        <v>3.2</v>
      </c>
      <c r="BC1293" s="1" t="s">
        <v>2143</v>
      </c>
      <c r="BD1293" s="1">
        <v>5.9</v>
      </c>
      <c r="BE1293" s="1">
        <v>18.6</v>
      </c>
      <c r="BF1293" s="1">
        <v>28.3</v>
      </c>
      <c r="BG1293" s="1">
        <v>47.2</v>
      </c>
      <c r="BH1293" s="1" t="s">
        <v>2252</v>
      </c>
    </row>
    <row r="1294">
      <c r="A1294" s="1">
        <v>26127.0</v>
      </c>
      <c r="B1294" s="2" t="str">
        <f>IFERROR(__xludf.DUMMYFUNCTION("TO_TEXT(A1294)"),"26127")</f>
        <v>26127</v>
      </c>
      <c r="C1294" s="1">
        <v>26152.0</v>
      </c>
      <c r="D1294" s="1">
        <v>512.137890534384</v>
      </c>
      <c r="E1294" s="1" t="s">
        <v>2253</v>
      </c>
      <c r="F1294" s="1" t="s">
        <v>2254</v>
      </c>
      <c r="G1294" s="1">
        <v>51.0643724734212</v>
      </c>
      <c r="H1294" s="1">
        <v>17.275022756</v>
      </c>
      <c r="I1294" s="1">
        <v>4.6081873079</v>
      </c>
      <c r="J1294" s="1">
        <v>8.2717872969</v>
      </c>
      <c r="K1294" s="1">
        <v>18.417234235</v>
      </c>
      <c r="L1294" s="1">
        <v>30.7</v>
      </c>
      <c r="M1294" s="1">
        <v>8.3</v>
      </c>
      <c r="N1294" s="1">
        <v>25.7</v>
      </c>
      <c r="O1294" s="1">
        <v>89.017689123</v>
      </c>
      <c r="P1294" s="1">
        <v>9.1861869114</v>
      </c>
      <c r="Q1294" s="1">
        <v>56.72793</v>
      </c>
      <c r="R1294" s="1">
        <v>83.408071749</v>
      </c>
      <c r="S1294" s="1">
        <v>23.3</v>
      </c>
      <c r="T1294" s="1">
        <v>6045.0</v>
      </c>
      <c r="U1294" s="1">
        <v>34.160463193</v>
      </c>
      <c r="V1294" s="1">
        <v>468.55366004</v>
      </c>
      <c r="W1294" s="1">
        <v>15.6296665009999</v>
      </c>
      <c r="X1294" s="1">
        <v>11.112229492</v>
      </c>
      <c r="Y1294" s="1">
        <v>78.628662142</v>
      </c>
      <c r="Z1294" s="1">
        <v>14.1</v>
      </c>
      <c r="AA1294" s="1">
        <v>2.004120643</v>
      </c>
      <c r="AB1294" s="1">
        <v>50374.0</v>
      </c>
      <c r="AC1294" s="1">
        <v>74.67675812</v>
      </c>
      <c r="AD1294" s="1">
        <v>81.45121591</v>
      </c>
      <c r="AE1294" s="1">
        <v>10.970853859</v>
      </c>
      <c r="AF1294" s="1">
        <v>1.0253521127</v>
      </c>
      <c r="AG1294" s="1">
        <v>1.6075117371</v>
      </c>
      <c r="AH1294" s="1">
        <v>0.3342723005</v>
      </c>
      <c r="AI1294" s="1">
        <v>0.041314554</v>
      </c>
      <c r="AJ1294" s="1">
        <v>15.121126761</v>
      </c>
      <c r="AK1294" s="1">
        <v>81.273239437</v>
      </c>
      <c r="AL1294" s="1">
        <v>2.8965129359</v>
      </c>
      <c r="AM1294" s="1">
        <v>49.329577465</v>
      </c>
      <c r="AN1294" s="1">
        <v>89.890854347</v>
      </c>
      <c r="AO1294" s="1">
        <v>20760.0</v>
      </c>
      <c r="AP1294" s="1">
        <v>19.9</v>
      </c>
      <c r="AQ1294" s="1">
        <v>8.3</v>
      </c>
      <c r="AR1294" s="1">
        <v>14.3</v>
      </c>
      <c r="AS1294" s="1">
        <v>19.1</v>
      </c>
      <c r="AT1294" s="1">
        <v>23.5</v>
      </c>
      <c r="AU1294" s="1">
        <v>17.7</v>
      </c>
      <c r="AV1294" s="1">
        <v>17.5</v>
      </c>
      <c r="AW1294" s="1">
        <v>2.6</v>
      </c>
      <c r="AX1294" s="1">
        <v>0.8281</v>
      </c>
      <c r="AY1294" s="1">
        <v>14.8</v>
      </c>
      <c r="AZ1294" s="1">
        <v>14.3</v>
      </c>
      <c r="BA1294" s="1">
        <v>16.8</v>
      </c>
      <c r="BB1294" s="1">
        <v>3.25</v>
      </c>
      <c r="BC1294" s="1" t="s">
        <v>2143</v>
      </c>
      <c r="BD1294" s="1">
        <v>12.8</v>
      </c>
      <c r="BE1294" s="1">
        <v>36.3</v>
      </c>
      <c r="BF1294" s="1">
        <v>31.4</v>
      </c>
      <c r="BG1294" s="1">
        <v>19.5</v>
      </c>
      <c r="BH1294" s="1" t="s">
        <v>2254</v>
      </c>
    </row>
    <row r="1295">
      <c r="A1295" s="1">
        <v>26129.0</v>
      </c>
      <c r="B1295" s="2" t="str">
        <f>IFERROR(__xludf.DUMMYFUNCTION("TO_TEXT(A1295)"),"26129")</f>
        <v>26129</v>
      </c>
      <c r="C1295" s="1">
        <v>21103.0</v>
      </c>
      <c r="D1295" s="1">
        <v>563.492240329804</v>
      </c>
      <c r="E1295" s="1" t="s">
        <v>2255</v>
      </c>
      <c r="F1295" s="1" t="s">
        <v>2256</v>
      </c>
      <c r="G1295" s="1">
        <v>37.4503826133413</v>
      </c>
      <c r="H1295" s="1">
        <v>15.472084569</v>
      </c>
      <c r="I1295" s="1">
        <v>4.5272481437</v>
      </c>
      <c r="J1295" s="1">
        <v>6.8094873757</v>
      </c>
      <c r="K1295" s="1">
        <v>19.055921989</v>
      </c>
      <c r="L1295" s="1">
        <v>38.7</v>
      </c>
      <c r="M1295" s="1">
        <v>8.0</v>
      </c>
      <c r="N1295" s="1">
        <v>31.0</v>
      </c>
      <c r="O1295" s="1">
        <v>68.072261395</v>
      </c>
      <c r="P1295" s="1">
        <v>7.3358823148</v>
      </c>
      <c r="Q1295" s="1">
        <v>38.12974</v>
      </c>
      <c r="R1295" s="1">
        <v>90.714285714</v>
      </c>
      <c r="S1295" s="1">
        <v>26.6</v>
      </c>
      <c r="T1295" s="1">
        <v>3835.0</v>
      </c>
      <c r="U1295" s="1">
        <v>37.861799218</v>
      </c>
      <c r="V1295" s="1">
        <v>399.44803544</v>
      </c>
      <c r="W1295" s="1">
        <v>14.806866953</v>
      </c>
      <c r="X1295" s="1">
        <v>12.999455634</v>
      </c>
      <c r="Y1295" s="1">
        <v>74.987814357</v>
      </c>
      <c r="Z1295" s="1">
        <v>16.6</v>
      </c>
      <c r="AA1295" s="1">
        <v>0.0212892829</v>
      </c>
      <c r="AB1295" s="1">
        <v>41201.0</v>
      </c>
      <c r="AC1295" s="1">
        <v>56.958525346</v>
      </c>
      <c r="AD1295" s="1">
        <v>81.798623064</v>
      </c>
      <c r="AE1295" s="1">
        <v>12.453843572</v>
      </c>
      <c r="AF1295" s="1">
        <v>0.3197785414</v>
      </c>
      <c r="AG1295" s="1">
        <v>0.9736540664</v>
      </c>
      <c r="AH1295" s="1">
        <v>0.7350133639</v>
      </c>
      <c r="AI1295" s="1">
        <v>0.0381825124</v>
      </c>
      <c r="AJ1295" s="1">
        <v>2.3529973272</v>
      </c>
      <c r="AK1295" s="1">
        <v>94.4253531879999</v>
      </c>
      <c r="AL1295" s="1">
        <v>0.185</v>
      </c>
      <c r="AM1295" s="1">
        <v>50.17659412</v>
      </c>
      <c r="AN1295" s="1">
        <v>100.0</v>
      </c>
      <c r="AO1295" s="1">
        <v>21515.0</v>
      </c>
      <c r="AP1295" s="1">
        <v>20.0</v>
      </c>
      <c r="AQ1295" s="1">
        <v>10.8</v>
      </c>
      <c r="AR1295" s="1">
        <v>14.8</v>
      </c>
      <c r="AS1295" s="1">
        <v>24.2</v>
      </c>
      <c r="AT1295" s="1">
        <v>18.9</v>
      </c>
      <c r="AU1295" s="1">
        <v>23.1</v>
      </c>
      <c r="AV1295" s="1">
        <v>4.6</v>
      </c>
      <c r="AW1295" s="1">
        <v>0.2</v>
      </c>
      <c r="AX1295" s="1">
        <v>0.6307</v>
      </c>
      <c r="AY1295" s="1">
        <v>18.2</v>
      </c>
      <c r="AZ1295" s="1">
        <v>16.6</v>
      </c>
      <c r="BA1295" s="1">
        <v>21.6</v>
      </c>
      <c r="BB1295" s="1">
        <v>2.74</v>
      </c>
      <c r="BC1295" s="1" t="s">
        <v>2143</v>
      </c>
      <c r="BD1295" s="1">
        <v>14.1</v>
      </c>
      <c r="BE1295" s="1">
        <v>38.2</v>
      </c>
      <c r="BF1295" s="1">
        <v>35.5</v>
      </c>
      <c r="BG1295" s="1">
        <v>12.2</v>
      </c>
      <c r="BH1295" s="1" t="s">
        <v>2256</v>
      </c>
    </row>
    <row r="1296">
      <c r="A1296" s="1">
        <v>26131.0</v>
      </c>
      <c r="B1296" s="2" t="str">
        <f>IFERROR(__xludf.DUMMYFUNCTION("TO_TEXT(A1296)"),"26131")</f>
        <v>26131</v>
      </c>
      <c r="C1296" s="1">
        <v>6165.0</v>
      </c>
      <c r="D1296" s="1">
        <v>1311.32046662482</v>
      </c>
      <c r="E1296" s="1" t="s">
        <v>2257</v>
      </c>
      <c r="F1296" s="1" t="s">
        <v>2258</v>
      </c>
      <c r="G1296" s="1">
        <v>4.7013679393474</v>
      </c>
      <c r="H1296" s="1">
        <v>16.110037518</v>
      </c>
      <c r="I1296" s="1">
        <v>4.4453825398</v>
      </c>
      <c r="J1296" s="1">
        <v>6.862745098</v>
      </c>
      <c r="K1296" s="1">
        <v>16.6372644209999</v>
      </c>
      <c r="L1296" s="1">
        <v>30.3</v>
      </c>
      <c r="M1296" s="1">
        <v>7.1</v>
      </c>
      <c r="N1296" s="1">
        <v>31.4</v>
      </c>
      <c r="O1296" s="1">
        <v>71.622418879</v>
      </c>
      <c r="P1296" s="1">
        <v>8.4174190122</v>
      </c>
      <c r="Q1296" s="1">
        <v>17.00391</v>
      </c>
      <c r="R1296" s="1">
        <v>93.75</v>
      </c>
      <c r="S1296" s="1">
        <v>25.0</v>
      </c>
      <c r="T1296" s="1">
        <v>739.0</v>
      </c>
      <c r="U1296" s="1">
        <v>25.304465494</v>
      </c>
      <c r="V1296" s="1">
        <v>323.90044323</v>
      </c>
      <c r="W1296" s="1">
        <v>11.616161616</v>
      </c>
      <c r="X1296" s="1">
        <v>10.482758621</v>
      </c>
      <c r="Y1296" s="1">
        <v>76.958899168</v>
      </c>
      <c r="Z1296" s="1">
        <v>9.5</v>
      </c>
      <c r="AA1296" s="1">
        <v>12.065537574</v>
      </c>
      <c r="AB1296" s="1">
        <v>40798.0</v>
      </c>
      <c r="AC1296" s="1">
        <v>59.926470588</v>
      </c>
      <c r="AD1296" s="1">
        <v>88.14325452</v>
      </c>
      <c r="AE1296" s="1">
        <v>10.495837857</v>
      </c>
      <c r="AF1296" s="1">
        <v>0.3278688525</v>
      </c>
      <c r="AG1296" s="1">
        <v>1.50129421919999</v>
      </c>
      <c r="AH1296" s="1">
        <v>0.6729939603</v>
      </c>
      <c r="AI1296" s="1">
        <v>0.0172562554</v>
      </c>
      <c r="AJ1296" s="1">
        <v>1.5875754961</v>
      </c>
      <c r="AK1296" s="1">
        <v>94.6333045729999</v>
      </c>
      <c r="AL1296" s="1">
        <v>0.3090128755</v>
      </c>
      <c r="AM1296" s="1">
        <v>49.21484038</v>
      </c>
      <c r="AN1296" s="1">
        <v>100.0</v>
      </c>
      <c r="AO1296" s="1">
        <v>22428.0</v>
      </c>
      <c r="AP1296" s="1">
        <v>15.2</v>
      </c>
      <c r="AQ1296" s="1">
        <v>12.0</v>
      </c>
      <c r="AR1296" s="1">
        <v>8.3</v>
      </c>
      <c r="AS1296" s="1">
        <v>31.7</v>
      </c>
      <c r="AT1296" s="1">
        <v>13.2</v>
      </c>
      <c r="AU1296" s="1">
        <v>19.0</v>
      </c>
      <c r="AV1296" s="1">
        <v>4.5</v>
      </c>
      <c r="AW1296" s="1">
        <v>0.3</v>
      </c>
      <c r="AX1296" s="1">
        <v>0.3002</v>
      </c>
      <c r="AY1296" s="1">
        <v>13.3</v>
      </c>
      <c r="AZ1296" s="1">
        <v>15.2</v>
      </c>
      <c r="BA1296" s="1">
        <v>20.6</v>
      </c>
      <c r="BB1296" s="1">
        <v>3.07</v>
      </c>
      <c r="BC1296" s="1" t="s">
        <v>2143</v>
      </c>
      <c r="BD1296" s="1">
        <v>7.5</v>
      </c>
      <c r="BE1296" s="1">
        <v>43.4</v>
      </c>
      <c r="BF1296" s="1">
        <v>32.6</v>
      </c>
      <c r="BG1296" s="1">
        <v>16.5</v>
      </c>
      <c r="BH1296" s="1" t="s">
        <v>2258</v>
      </c>
    </row>
    <row r="1297">
      <c r="A1297" s="1">
        <v>26133.0</v>
      </c>
      <c r="B1297" s="2" t="str">
        <f>IFERROR(__xludf.DUMMYFUNCTION("TO_TEXT(A1297)"),"26133")</f>
        <v>26133</v>
      </c>
      <c r="C1297" s="1">
        <v>23172.0</v>
      </c>
      <c r="D1297" s="1">
        <v>566.428849515976</v>
      </c>
      <c r="E1297" s="1" t="s">
        <v>762</v>
      </c>
      <c r="F1297" s="1" t="s">
        <v>2259</v>
      </c>
      <c r="G1297" s="1">
        <v>40.9089332575502</v>
      </c>
      <c r="H1297" s="1">
        <v>16.697930662</v>
      </c>
      <c r="I1297" s="1">
        <v>4.595297903</v>
      </c>
      <c r="J1297" s="1">
        <v>7.220412595</v>
      </c>
      <c r="K1297" s="1">
        <v>19.221273784</v>
      </c>
      <c r="L1297" s="1">
        <v>40.3</v>
      </c>
      <c r="M1297" s="1">
        <v>7.5</v>
      </c>
      <c r="N1297" s="1">
        <v>20.1</v>
      </c>
      <c r="O1297" s="1">
        <v>49.511220673</v>
      </c>
      <c r="P1297" s="1">
        <v>8.0334867217</v>
      </c>
      <c r="Q1297" s="1">
        <v>30.09458</v>
      </c>
      <c r="R1297" s="1">
        <v>86.363636364</v>
      </c>
      <c r="S1297" s="1">
        <v>25.2</v>
      </c>
      <c r="T1297" s="1">
        <v>5089.0</v>
      </c>
      <c r="U1297" s="1">
        <v>34.034191393</v>
      </c>
      <c r="V1297" s="1">
        <v>285.86897672</v>
      </c>
      <c r="W1297" s="1">
        <v>13.6800452229999</v>
      </c>
      <c r="X1297" s="1">
        <v>11.489361702</v>
      </c>
      <c r="Y1297" s="1">
        <v>77.982231636</v>
      </c>
      <c r="Z1297" s="1">
        <v>11.1</v>
      </c>
      <c r="AA1297" s="1">
        <v>5.983236727</v>
      </c>
      <c r="AB1297" s="1">
        <v>45607.0</v>
      </c>
      <c r="AC1297" s="1">
        <v>62.007778318</v>
      </c>
      <c r="AD1297" s="1">
        <v>81.659340659</v>
      </c>
      <c r="AE1297" s="1">
        <v>10.825688073</v>
      </c>
      <c r="AF1297" s="1">
        <v>0.7883124116</v>
      </c>
      <c r="AG1297" s="1">
        <v>0.6983419734</v>
      </c>
      <c r="AH1297" s="1">
        <v>0.3470288334</v>
      </c>
      <c r="AI1297" s="1">
        <v>0.051411679</v>
      </c>
      <c r="AJ1297" s="1">
        <v>2.0050554818</v>
      </c>
      <c r="AK1297" s="1">
        <v>94.276166402</v>
      </c>
      <c r="AL1297" s="1">
        <v>0.3415611622</v>
      </c>
      <c r="AM1297" s="1">
        <v>49.5651428819999</v>
      </c>
      <c r="AN1297" s="1">
        <v>100.0</v>
      </c>
      <c r="AO1297" s="1">
        <v>19853.0</v>
      </c>
      <c r="AP1297" s="1">
        <v>22.7</v>
      </c>
      <c r="AQ1297" s="1">
        <v>8.8</v>
      </c>
      <c r="AR1297" s="1">
        <v>12.5</v>
      </c>
      <c r="AS1297" s="1">
        <v>18.8</v>
      </c>
      <c r="AT1297" s="1">
        <v>23.5</v>
      </c>
      <c r="AU1297" s="1">
        <v>17.7</v>
      </c>
      <c r="AV1297" s="1">
        <v>5.0</v>
      </c>
      <c r="AW1297" s="1">
        <v>0.4</v>
      </c>
      <c r="AX1297" s="1">
        <v>0.7708</v>
      </c>
      <c r="AY1297" s="1">
        <v>14.6</v>
      </c>
      <c r="AZ1297" s="1">
        <v>15.0</v>
      </c>
      <c r="BA1297" s="1">
        <v>19.5</v>
      </c>
      <c r="BB1297" s="1">
        <v>2.56</v>
      </c>
      <c r="BC1297" s="1" t="s">
        <v>2143</v>
      </c>
      <c r="BD1297" s="1">
        <v>11.3</v>
      </c>
      <c r="BE1297" s="1">
        <v>43.8</v>
      </c>
      <c r="BF1297" s="1">
        <v>30.7</v>
      </c>
      <c r="BG1297" s="1">
        <v>14.2</v>
      </c>
      <c r="BH1297" s="1" t="s">
        <v>2259</v>
      </c>
    </row>
    <row r="1298">
      <c r="A1298" s="1">
        <v>26135.0</v>
      </c>
      <c r="B1298" s="2" t="str">
        <f>IFERROR(__xludf.DUMMYFUNCTION("TO_TEXT(A1298)"),"26135")</f>
        <v>26135</v>
      </c>
      <c r="C1298" s="1">
        <v>8374.0</v>
      </c>
      <c r="D1298" s="1">
        <v>565.738383309376</v>
      </c>
      <c r="E1298" s="1" t="s">
        <v>2260</v>
      </c>
      <c r="F1298" s="1" t="s">
        <v>2261</v>
      </c>
      <c r="G1298" s="1">
        <v>14.8018947397823</v>
      </c>
      <c r="H1298" s="1">
        <v>15.43762861</v>
      </c>
      <c r="I1298" s="1">
        <v>4.4388282701</v>
      </c>
      <c r="J1298" s="1">
        <v>9.2682926829</v>
      </c>
      <c r="K1298" s="1">
        <v>17.33866018</v>
      </c>
      <c r="L1298" s="1">
        <v>38.7</v>
      </c>
      <c r="M1298" s="1">
        <v>8.1</v>
      </c>
      <c r="N1298" s="1">
        <v>28.2</v>
      </c>
      <c r="O1298" s="1">
        <v>90.56712963</v>
      </c>
      <c r="P1298" s="1">
        <v>8.9953271028</v>
      </c>
      <c r="Q1298" s="1">
        <v>24.13419</v>
      </c>
      <c r="R1298" s="1">
        <v>89.830508475</v>
      </c>
      <c r="S1298" s="1">
        <v>28.2</v>
      </c>
      <c r="T1298" s="1">
        <v>1569.0</v>
      </c>
      <c r="U1298" s="1">
        <v>32.504780115</v>
      </c>
      <c r="V1298" s="1">
        <v>266.53743639</v>
      </c>
      <c r="W1298" s="1">
        <v>15.983606557</v>
      </c>
      <c r="X1298" s="1">
        <v>13.231197772</v>
      </c>
      <c r="Y1298" s="1">
        <v>74.521242084</v>
      </c>
      <c r="Z1298" s="1">
        <v>19.3</v>
      </c>
      <c r="AA1298" s="1">
        <v>0.7319010894</v>
      </c>
      <c r="AB1298" s="1">
        <v>38927.0</v>
      </c>
      <c r="AC1298" s="1">
        <v>72.530120482</v>
      </c>
      <c r="AD1298" s="1">
        <v>84.257322176</v>
      </c>
      <c r="AE1298" s="1">
        <v>13.434452871</v>
      </c>
      <c r="AF1298" s="1">
        <v>0.459159014</v>
      </c>
      <c r="AG1298" s="1">
        <v>0.9908168197</v>
      </c>
      <c r="AH1298" s="1">
        <v>0.1933301112</v>
      </c>
      <c r="AI1298" s="1">
        <v>0.0604156597</v>
      </c>
      <c r="AJ1298" s="1">
        <v>1.7158047366</v>
      </c>
      <c r="AK1298" s="1">
        <v>95.202996617</v>
      </c>
      <c r="AL1298" s="1">
        <v>0.419740524</v>
      </c>
      <c r="AM1298" s="1">
        <v>48.7433542769999</v>
      </c>
      <c r="AN1298" s="1">
        <v>100.0</v>
      </c>
      <c r="AO1298" s="1">
        <v>20047.0</v>
      </c>
      <c r="AP1298" s="1">
        <v>19.5</v>
      </c>
      <c r="AQ1298" s="1">
        <v>10.3</v>
      </c>
      <c r="AR1298" s="1">
        <v>16.9</v>
      </c>
      <c r="AS1298" s="1">
        <v>26.2</v>
      </c>
      <c r="AT1298" s="1">
        <v>19.1</v>
      </c>
      <c r="AU1298" s="1">
        <v>22.7</v>
      </c>
      <c r="AV1298" s="1">
        <v>4.1</v>
      </c>
      <c r="AW1298" s="1">
        <v>0.8</v>
      </c>
      <c r="AX1298" s="1">
        <v>0.6925</v>
      </c>
      <c r="AY1298" s="1">
        <v>15.4</v>
      </c>
      <c r="AZ1298" s="1">
        <v>16.5</v>
      </c>
      <c r="BA1298" s="1">
        <v>20.8</v>
      </c>
      <c r="BB1298" s="1">
        <v>2.89</v>
      </c>
      <c r="BC1298" s="1" t="s">
        <v>2143</v>
      </c>
      <c r="BD1298" s="1">
        <v>16.6</v>
      </c>
      <c r="BE1298" s="1">
        <v>37.4</v>
      </c>
      <c r="BF1298" s="1">
        <v>35.4</v>
      </c>
      <c r="BG1298" s="1">
        <v>10.6</v>
      </c>
      <c r="BH1298" s="1" t="s">
        <v>2261</v>
      </c>
    </row>
    <row r="1299">
      <c r="A1299" s="1">
        <v>26137.0</v>
      </c>
      <c r="B1299" s="2" t="str">
        <f>IFERROR(__xludf.DUMMYFUNCTION("TO_TEXT(A1299)"),"26137")</f>
        <v>26137</v>
      </c>
      <c r="C1299" s="1">
        <v>24198.0</v>
      </c>
      <c r="D1299" s="1">
        <v>514.992813664824</v>
      </c>
      <c r="E1299" s="1" t="s">
        <v>2262</v>
      </c>
      <c r="F1299" s="1" t="s">
        <v>2263</v>
      </c>
      <c r="G1299" s="1">
        <v>46.9870634267703</v>
      </c>
      <c r="H1299" s="1">
        <v>14.582007047</v>
      </c>
      <c r="I1299" s="1">
        <v>4.4453025606</v>
      </c>
      <c r="J1299" s="1">
        <v>6.7055393586</v>
      </c>
      <c r="K1299" s="1">
        <v>17.575400309</v>
      </c>
      <c r="L1299" s="1">
        <v>27.4</v>
      </c>
      <c r="M1299" s="1">
        <v>8.0</v>
      </c>
      <c r="N1299" s="1">
        <v>25.5</v>
      </c>
      <c r="O1299" s="1">
        <v>88.7187551729999</v>
      </c>
      <c r="P1299" s="1">
        <v>6.035153212</v>
      </c>
      <c r="Q1299" s="1">
        <v>77.43092</v>
      </c>
      <c r="R1299" s="1">
        <v>86.080586081</v>
      </c>
      <c r="S1299" s="1">
        <v>16.3</v>
      </c>
      <c r="T1299" s="1">
        <v>5137.0</v>
      </c>
      <c r="U1299" s="1">
        <v>33.502043995</v>
      </c>
      <c r="V1299" s="1">
        <v>256.16129899</v>
      </c>
      <c r="W1299" s="1">
        <v>10.652395515</v>
      </c>
      <c r="X1299" s="1">
        <v>9.1841970241</v>
      </c>
      <c r="Y1299" s="1">
        <v>77.925299745</v>
      </c>
      <c r="Z1299" s="1">
        <v>12.0</v>
      </c>
      <c r="AA1299" s="1">
        <v>3.8179950463</v>
      </c>
      <c r="AB1299" s="1">
        <v>51292.0</v>
      </c>
      <c r="AC1299" s="1">
        <v>51.589439655</v>
      </c>
      <c r="AD1299" s="1">
        <v>79.020837548</v>
      </c>
      <c r="AE1299" s="1">
        <v>8.3873623546</v>
      </c>
      <c r="AF1299" s="1">
        <v>0.506790999399999</v>
      </c>
      <c r="AG1299" s="1">
        <v>0.9203324549</v>
      </c>
      <c r="AH1299" s="1">
        <v>0.8797891749</v>
      </c>
      <c r="AI1299" s="1">
        <v>0.0445976079</v>
      </c>
      <c r="AJ1299" s="1">
        <v>1.7433610379</v>
      </c>
      <c r="AK1299" s="1">
        <v>94.2712345429999</v>
      </c>
      <c r="AL1299" s="1">
        <v>0.0822867042</v>
      </c>
      <c r="AM1299" s="1">
        <v>50.423677275</v>
      </c>
      <c r="AN1299" s="1">
        <v>65.659658997</v>
      </c>
      <c r="AO1299" s="1">
        <v>25655.0</v>
      </c>
      <c r="AP1299" s="1">
        <v>14.2</v>
      </c>
      <c r="AQ1299" s="1">
        <v>6.8</v>
      </c>
      <c r="AR1299" s="1">
        <v>8.5</v>
      </c>
      <c r="AS1299" s="1">
        <v>19.3</v>
      </c>
      <c r="AT1299" s="1">
        <v>21.7</v>
      </c>
      <c r="AU1299" s="1">
        <v>16.7</v>
      </c>
      <c r="AV1299" s="1">
        <v>5.1</v>
      </c>
      <c r="AW1299" s="1">
        <v>0.4</v>
      </c>
      <c r="AX1299" s="1">
        <v>0.3098</v>
      </c>
      <c r="AY1299" s="1">
        <v>10.0</v>
      </c>
      <c r="AZ1299" s="1">
        <v>13.9</v>
      </c>
      <c r="BA1299" s="1">
        <v>17.3</v>
      </c>
      <c r="BB1299" s="1">
        <v>2.73</v>
      </c>
      <c r="BC1299" s="1" t="s">
        <v>2143</v>
      </c>
      <c r="BD1299" s="1">
        <v>8.0</v>
      </c>
      <c r="BE1299" s="1">
        <v>33.1</v>
      </c>
      <c r="BF1299" s="1">
        <v>35.4</v>
      </c>
      <c r="BG1299" s="1">
        <v>23.6</v>
      </c>
      <c r="BH1299" s="1" t="s">
        <v>2263</v>
      </c>
    </row>
    <row r="1300">
      <c r="A1300" s="1">
        <v>26139.0</v>
      </c>
      <c r="B1300" s="2" t="str">
        <f>IFERROR(__xludf.DUMMYFUNCTION("TO_TEXT(A1300)"),"26139")</f>
        <v>26139</v>
      </c>
      <c r="C1300" s="1">
        <v>276583.0</v>
      </c>
      <c r="D1300" s="1">
        <v>563.578519454928</v>
      </c>
      <c r="E1300" s="1" t="s">
        <v>1700</v>
      </c>
      <c r="F1300" s="1" t="s">
        <v>2264</v>
      </c>
      <c r="G1300" s="1">
        <v>490.762139528491</v>
      </c>
      <c r="H1300" s="1">
        <v>12.047679114</v>
      </c>
      <c r="I1300" s="1">
        <v>3.9121055316</v>
      </c>
      <c r="J1300" s="1">
        <v>6.0236288375</v>
      </c>
      <c r="K1300" s="1">
        <v>13.635632155</v>
      </c>
      <c r="L1300" s="1">
        <v>27.2</v>
      </c>
      <c r="M1300" s="1">
        <v>8.3</v>
      </c>
      <c r="N1300" s="1">
        <v>20.8</v>
      </c>
      <c r="O1300" s="1">
        <v>88.566002403</v>
      </c>
      <c r="P1300" s="1">
        <v>5.1551425156</v>
      </c>
      <c r="Q1300" s="1">
        <v>66.6939</v>
      </c>
      <c r="R1300" s="1">
        <v>92.522179975</v>
      </c>
      <c r="S1300" s="1">
        <v>5.7</v>
      </c>
      <c r="T1300" s="1">
        <v>68836.0</v>
      </c>
      <c r="U1300" s="1">
        <v>21.15608112</v>
      </c>
      <c r="V1300" s="1">
        <v>242.54279429</v>
      </c>
      <c r="W1300" s="1">
        <v>11.905614987</v>
      </c>
      <c r="X1300" s="1">
        <v>9.5700915355</v>
      </c>
      <c r="Y1300" s="1">
        <v>81.799846716</v>
      </c>
      <c r="Z1300" s="1">
        <v>8.0</v>
      </c>
      <c r="AA1300" s="1">
        <v>9.3084066456</v>
      </c>
      <c r="AB1300" s="1">
        <v>70420.0</v>
      </c>
      <c r="AC1300" s="1">
        <v>36.204552432</v>
      </c>
      <c r="AD1300" s="1">
        <v>78.355709671</v>
      </c>
      <c r="AE1300" s="1">
        <v>9.0035219394</v>
      </c>
      <c r="AF1300" s="1">
        <v>1.559756828</v>
      </c>
      <c r="AG1300" s="1">
        <v>0.5879639511</v>
      </c>
      <c r="AH1300" s="1">
        <v>3.0076352696</v>
      </c>
      <c r="AI1300" s="1">
        <v>0.0475052841</v>
      </c>
      <c r="AJ1300" s="1">
        <v>9.9826502441</v>
      </c>
      <c r="AK1300" s="1">
        <v>83.583481931</v>
      </c>
      <c r="AL1300" s="1">
        <v>1.8280511689</v>
      </c>
      <c r="AM1300" s="1">
        <v>50.579357921</v>
      </c>
      <c r="AN1300" s="1">
        <v>20.3156925109999</v>
      </c>
      <c r="AO1300" s="1">
        <v>27696.0</v>
      </c>
      <c r="AP1300" s="1">
        <v>9.9</v>
      </c>
      <c r="AQ1300" s="1">
        <v>5.3</v>
      </c>
      <c r="AR1300" s="1">
        <v>8.3</v>
      </c>
      <c r="AS1300" s="1">
        <v>13.2</v>
      </c>
      <c r="AT1300" s="1">
        <v>24.9</v>
      </c>
      <c r="AU1300" s="1">
        <v>10.1</v>
      </c>
      <c r="AV1300" s="1">
        <v>15.4</v>
      </c>
      <c r="AW1300" s="1">
        <v>1.9</v>
      </c>
      <c r="AX1300" s="1">
        <v>0.269</v>
      </c>
      <c r="AY1300" s="1">
        <v>7.8</v>
      </c>
      <c r="AZ1300" s="1">
        <v>8.4</v>
      </c>
      <c r="BA1300" s="1">
        <v>6.7</v>
      </c>
      <c r="BB1300" s="1">
        <v>3.05</v>
      </c>
      <c r="BC1300" s="1" t="s">
        <v>2143</v>
      </c>
      <c r="BD1300" s="1">
        <v>7.0</v>
      </c>
      <c r="BE1300" s="1">
        <v>28.2</v>
      </c>
      <c r="BF1300" s="1">
        <v>30.7</v>
      </c>
      <c r="BG1300" s="1">
        <v>34.1</v>
      </c>
      <c r="BH1300" s="1" t="s">
        <v>2264</v>
      </c>
    </row>
    <row r="1301">
      <c r="A1301" s="1">
        <v>26141.0</v>
      </c>
      <c r="B1301" s="2" t="str">
        <f>IFERROR(__xludf.DUMMYFUNCTION("TO_TEXT(A1301)"),"26141")</f>
        <v>26141</v>
      </c>
      <c r="C1301" s="1">
        <v>12955.0</v>
      </c>
      <c r="D1301" s="1">
        <v>658.716176588132</v>
      </c>
      <c r="E1301" s="1" t="s">
        <v>2265</v>
      </c>
      <c r="F1301" s="1" t="s">
        <v>2266</v>
      </c>
      <c r="G1301" s="1">
        <v>19.6670439567787</v>
      </c>
      <c r="H1301" s="1">
        <v>14.55833662</v>
      </c>
      <c r="I1301" s="1">
        <v>4.2412423931</v>
      </c>
      <c r="J1301" s="1">
        <v>6.5502183406</v>
      </c>
      <c r="K1301" s="1">
        <v>16.008510326</v>
      </c>
      <c r="L1301" s="1">
        <v>33.3</v>
      </c>
      <c r="M1301" s="1">
        <v>7.4</v>
      </c>
      <c r="N1301" s="1">
        <v>25.7</v>
      </c>
      <c r="O1301" s="1">
        <v>72.488038278</v>
      </c>
      <c r="P1301" s="1">
        <v>7.5721290911</v>
      </c>
      <c r="Q1301" s="1">
        <v>15.63599</v>
      </c>
      <c r="R1301" s="1">
        <v>93.859649123</v>
      </c>
      <c r="S1301" s="1">
        <v>23.2</v>
      </c>
      <c r="T1301" s="1">
        <v>2041.0</v>
      </c>
      <c r="U1301" s="1">
        <v>26.359627634</v>
      </c>
      <c r="V1301" s="1">
        <v>93.171318762</v>
      </c>
      <c r="W1301" s="1">
        <v>9.1370558376</v>
      </c>
      <c r="X1301" s="1">
        <v>7.98623063679999</v>
      </c>
      <c r="Y1301" s="1">
        <v>77.394636367</v>
      </c>
      <c r="Z1301" s="1">
        <v>15.2</v>
      </c>
      <c r="AA1301" s="1">
        <v>8.0529892198</v>
      </c>
      <c r="AB1301" s="1">
        <v>45502.0</v>
      </c>
      <c r="AC1301" s="1">
        <v>61.4295824489999</v>
      </c>
      <c r="AD1301" s="1">
        <v>88.722451791</v>
      </c>
      <c r="AE1301" s="1">
        <v>8.9158345221</v>
      </c>
      <c r="AF1301" s="1">
        <v>0.6044905009</v>
      </c>
      <c r="AG1301" s="1">
        <v>0.9656146962</v>
      </c>
      <c r="AH1301" s="1">
        <v>0.5809389229</v>
      </c>
      <c r="AI1301" s="1">
        <v>0.0471031559</v>
      </c>
      <c r="AJ1301" s="1">
        <v>1.46804835919999</v>
      </c>
      <c r="AK1301" s="1">
        <v>95.525200188</v>
      </c>
      <c r="AL1301" s="1">
        <v>0.6906077348</v>
      </c>
      <c r="AM1301" s="1">
        <v>50.2747684089999</v>
      </c>
      <c r="AN1301" s="1">
        <v>80.861244019</v>
      </c>
      <c r="AO1301" s="1">
        <v>23862.0</v>
      </c>
      <c r="AP1301" s="1">
        <v>13.5</v>
      </c>
      <c r="AQ1301" s="1">
        <v>12.4</v>
      </c>
      <c r="AR1301" s="1">
        <v>11.5</v>
      </c>
      <c r="AS1301" s="1">
        <v>29.0</v>
      </c>
      <c r="AT1301" s="1">
        <v>16.5</v>
      </c>
      <c r="AU1301" s="1">
        <v>19.4</v>
      </c>
      <c r="AV1301" s="1">
        <v>3.8</v>
      </c>
      <c r="AW1301" s="1">
        <v>0.5</v>
      </c>
      <c r="AX1301" s="1">
        <v>0.2595</v>
      </c>
      <c r="AY1301" s="1">
        <v>10.8</v>
      </c>
      <c r="AZ1301" s="1">
        <v>15.3</v>
      </c>
      <c r="BA1301" s="1">
        <v>20.8</v>
      </c>
      <c r="BB1301" s="1">
        <v>2.92</v>
      </c>
      <c r="BC1301" s="1" t="s">
        <v>2143</v>
      </c>
      <c r="BD1301" s="1">
        <v>10.4</v>
      </c>
      <c r="BE1301" s="1">
        <v>38.2</v>
      </c>
      <c r="BF1301" s="1">
        <v>33.5</v>
      </c>
      <c r="BG1301" s="1">
        <v>17.9</v>
      </c>
      <c r="BH1301" s="1" t="s">
        <v>2266</v>
      </c>
    </row>
    <row r="1302">
      <c r="A1302" s="1">
        <v>26143.0</v>
      </c>
      <c r="B1302" s="2" t="str">
        <f>IFERROR(__xludf.DUMMYFUNCTION("TO_TEXT(A1302)"),"26143")</f>
        <v>26143</v>
      </c>
      <c r="C1302" s="1">
        <v>23900.0</v>
      </c>
      <c r="D1302" s="1">
        <v>519.63648481274</v>
      </c>
      <c r="E1302" s="1" t="s">
        <v>2267</v>
      </c>
      <c r="F1302" s="1" t="s">
        <v>2268</v>
      </c>
      <c r="G1302" s="1">
        <v>45.9936911639542</v>
      </c>
      <c r="H1302" s="1">
        <v>15.75084245</v>
      </c>
      <c r="I1302" s="1">
        <v>4.5123769454</v>
      </c>
      <c r="J1302" s="1">
        <v>7.3819742489</v>
      </c>
      <c r="K1302" s="1">
        <v>17.271285617</v>
      </c>
      <c r="L1302" s="1">
        <v>34.2</v>
      </c>
      <c r="M1302" s="1">
        <v>6.8</v>
      </c>
      <c r="N1302" s="1">
        <v>32.7</v>
      </c>
      <c r="O1302" s="1">
        <v>99.357846947</v>
      </c>
      <c r="P1302" s="1">
        <v>7.4754057272</v>
      </c>
      <c r="Q1302" s="1">
        <v>41.84976</v>
      </c>
      <c r="R1302" s="1">
        <v>81.182795699</v>
      </c>
      <c r="S1302" s="1">
        <v>33.3</v>
      </c>
      <c r="T1302" s="1">
        <v>3576.0</v>
      </c>
      <c r="U1302" s="1">
        <v>39.457494407</v>
      </c>
      <c r="V1302" s="1">
        <v>312.35587606</v>
      </c>
      <c r="W1302" s="1">
        <v>15.689731159</v>
      </c>
      <c r="X1302" s="1">
        <v>14.410714286</v>
      </c>
      <c r="Y1302" s="1">
        <v>75.31948372</v>
      </c>
      <c r="Z1302" s="1">
        <v>13.9</v>
      </c>
      <c r="AA1302" s="1">
        <v>11.4195629809999</v>
      </c>
      <c r="AB1302" s="1">
        <v>38613.0</v>
      </c>
      <c r="AC1302" s="1">
        <v>72.298692361</v>
      </c>
      <c r="AD1302" s="1">
        <v>82.502981925</v>
      </c>
      <c r="AE1302" s="1">
        <v>13.256863483</v>
      </c>
      <c r="AF1302" s="1">
        <v>0.544297437599999</v>
      </c>
      <c r="AG1302" s="1">
        <v>0.9671746776</v>
      </c>
      <c r="AH1302" s="1">
        <v>0.6908390554</v>
      </c>
      <c r="AI1302" s="1">
        <v>0.0251214202</v>
      </c>
      <c r="AJ1302" s="1">
        <v>2.1018254899</v>
      </c>
      <c r="AK1302" s="1">
        <v>94.5277173</v>
      </c>
      <c r="AL1302" s="1">
        <v>0.2909754191</v>
      </c>
      <c r="AM1302" s="1">
        <v>49.93719645</v>
      </c>
      <c r="AN1302" s="1">
        <v>66.051781259</v>
      </c>
      <c r="AO1302" s="1">
        <v>21807.0</v>
      </c>
      <c r="AP1302" s="1">
        <v>19.7</v>
      </c>
      <c r="AQ1302" s="1">
        <v>14.0</v>
      </c>
      <c r="AR1302" s="1">
        <v>11.6</v>
      </c>
      <c r="AS1302" s="1">
        <v>29.7</v>
      </c>
      <c r="AT1302" s="1">
        <v>15.3</v>
      </c>
      <c r="AU1302" s="1">
        <v>26.5</v>
      </c>
      <c r="AV1302" s="1">
        <v>4.6</v>
      </c>
      <c r="AW1302" s="1">
        <v>0.2</v>
      </c>
      <c r="AX1302" s="1">
        <v>0.4658</v>
      </c>
      <c r="AY1302" s="1">
        <v>15.3</v>
      </c>
      <c r="AZ1302" s="1">
        <v>18.0</v>
      </c>
      <c r="BA1302" s="1">
        <v>25.3</v>
      </c>
      <c r="BB1302" s="1">
        <v>2.94</v>
      </c>
      <c r="BC1302" s="1" t="s">
        <v>2143</v>
      </c>
      <c r="BD1302" s="1">
        <v>10.1</v>
      </c>
      <c r="BE1302" s="1">
        <v>38.4</v>
      </c>
      <c r="BF1302" s="1">
        <v>36.1</v>
      </c>
      <c r="BG1302" s="1">
        <v>15.5</v>
      </c>
      <c r="BH1302" s="1" t="s">
        <v>2268</v>
      </c>
    </row>
    <row r="1303">
      <c r="A1303" s="1">
        <v>26145.0</v>
      </c>
      <c r="B1303" s="2" t="str">
        <f>IFERROR(__xludf.DUMMYFUNCTION("TO_TEXT(A1303)"),"26145")</f>
        <v>26145</v>
      </c>
      <c r="C1303" s="1">
        <v>195201.0</v>
      </c>
      <c r="D1303" s="1">
        <v>800.459557876078</v>
      </c>
      <c r="E1303" s="1" t="s">
        <v>2269</v>
      </c>
      <c r="F1303" s="1" t="s">
        <v>2270</v>
      </c>
      <c r="G1303" s="1">
        <v>243.861164601422</v>
      </c>
      <c r="H1303" s="1">
        <v>17.690090949</v>
      </c>
      <c r="I1303" s="1">
        <v>4.6684598615</v>
      </c>
      <c r="J1303" s="1">
        <v>9.5295690369</v>
      </c>
      <c r="K1303" s="1">
        <v>18.209733829</v>
      </c>
      <c r="L1303" s="1">
        <v>37.3</v>
      </c>
      <c r="M1303" s="1">
        <v>7.0</v>
      </c>
      <c r="N1303" s="1">
        <v>25.5</v>
      </c>
      <c r="O1303" s="1">
        <v>70.5568794369999</v>
      </c>
      <c r="P1303" s="1">
        <v>6.0801258969</v>
      </c>
      <c r="Q1303" s="1">
        <v>82.31996</v>
      </c>
      <c r="R1303" s="1">
        <v>84.8680935789999</v>
      </c>
      <c r="S1303" s="1">
        <v>23.9</v>
      </c>
      <c r="T1303" s="1">
        <v>40859.0</v>
      </c>
      <c r="U1303" s="1">
        <v>41.219804694</v>
      </c>
      <c r="V1303" s="1">
        <v>633.54786806</v>
      </c>
      <c r="W1303" s="1">
        <v>14.769665084</v>
      </c>
      <c r="X1303" s="1">
        <v>13.173535367</v>
      </c>
      <c r="Y1303" s="1">
        <v>76.931687265</v>
      </c>
      <c r="Z1303" s="1">
        <v>10.6</v>
      </c>
      <c r="AA1303" s="1">
        <v>10.39097632</v>
      </c>
      <c r="AB1303" s="1">
        <v>48805.0</v>
      </c>
      <c r="AC1303" s="1">
        <v>57.8943485319999</v>
      </c>
      <c r="AD1303" s="1">
        <v>71.569524972</v>
      </c>
      <c r="AE1303" s="1">
        <v>13.192118484</v>
      </c>
      <c r="AF1303" s="1">
        <v>18.502620545</v>
      </c>
      <c r="AG1303" s="1">
        <v>0.5843815514</v>
      </c>
      <c r="AH1303" s="1">
        <v>1.4842767296</v>
      </c>
      <c r="AI1303" s="1">
        <v>0.0545073375</v>
      </c>
      <c r="AJ1303" s="1">
        <v>8.5445492662</v>
      </c>
      <c r="AK1303" s="1">
        <v>69.199161426</v>
      </c>
      <c r="AL1303" s="1">
        <v>0.726710603</v>
      </c>
      <c r="AM1303" s="1">
        <v>51.4287211739999</v>
      </c>
      <c r="AN1303" s="1">
        <v>31.118205117</v>
      </c>
      <c r="AO1303" s="1">
        <v>24020.0</v>
      </c>
      <c r="AP1303" s="1">
        <v>17.9</v>
      </c>
      <c r="AQ1303" s="1">
        <v>9.5</v>
      </c>
      <c r="AR1303" s="1">
        <v>11.5</v>
      </c>
      <c r="AS1303" s="1">
        <v>17.2</v>
      </c>
      <c r="AT1303" s="1">
        <v>22.1</v>
      </c>
      <c r="AU1303" s="1">
        <v>16.2</v>
      </c>
      <c r="AV1303" s="1">
        <v>30.2</v>
      </c>
      <c r="AW1303" s="1">
        <v>0.7</v>
      </c>
      <c r="AX1303" s="1">
        <v>0.6969</v>
      </c>
      <c r="AY1303" s="1">
        <v>18.6</v>
      </c>
      <c r="AZ1303" s="1">
        <v>14.5</v>
      </c>
      <c r="BA1303" s="1">
        <v>16.1</v>
      </c>
      <c r="BB1303" s="1">
        <v>2.81</v>
      </c>
      <c r="BC1303" s="1" t="s">
        <v>2143</v>
      </c>
      <c r="BD1303" s="1">
        <v>10.6</v>
      </c>
      <c r="BE1303" s="1">
        <v>33.3</v>
      </c>
      <c r="BF1303" s="1">
        <v>35.3</v>
      </c>
      <c r="BG1303" s="1">
        <v>20.8</v>
      </c>
      <c r="BH1303" s="1" t="s">
        <v>2270</v>
      </c>
    </row>
    <row r="1304">
      <c r="A1304" s="1">
        <v>26147.0</v>
      </c>
      <c r="B1304" s="2" t="str">
        <f>IFERROR(__xludf.DUMMYFUNCTION("TO_TEXT(A1304)"),"26147")</f>
        <v>26147</v>
      </c>
      <c r="C1304" s="1">
        <v>160069.0</v>
      </c>
      <c r="D1304" s="1">
        <v>721.184929212218</v>
      </c>
      <c r="E1304" s="1" t="s">
        <v>174</v>
      </c>
      <c r="F1304" s="1" t="s">
        <v>2271</v>
      </c>
      <c r="G1304" s="1">
        <v>221.952780093241</v>
      </c>
      <c r="H1304" s="1">
        <v>15.028564692</v>
      </c>
      <c r="I1304" s="1">
        <v>4.2571044085</v>
      </c>
      <c r="J1304" s="1">
        <v>7.61975217309999</v>
      </c>
      <c r="K1304" s="1">
        <v>18.148696185</v>
      </c>
      <c r="L1304" s="1">
        <v>33.5</v>
      </c>
      <c r="M1304" s="1">
        <v>7.3</v>
      </c>
      <c r="N1304" s="1">
        <v>26.2</v>
      </c>
      <c r="O1304" s="1">
        <v>72.896221786</v>
      </c>
      <c r="P1304" s="1">
        <v>5.9241578024</v>
      </c>
      <c r="Q1304" s="1">
        <v>47.69376</v>
      </c>
      <c r="R1304" s="1">
        <v>91.68886521</v>
      </c>
      <c r="S1304" s="1">
        <v>19.6</v>
      </c>
      <c r="T1304" s="1">
        <v>33744.0</v>
      </c>
      <c r="U1304" s="1">
        <v>32.2961119009999</v>
      </c>
      <c r="V1304" s="1">
        <v>318.53723688</v>
      </c>
      <c r="W1304" s="1">
        <v>14.303424764</v>
      </c>
      <c r="X1304" s="1">
        <v>12.865304845</v>
      </c>
      <c r="Y1304" s="1">
        <v>77.065921037</v>
      </c>
      <c r="Z1304" s="1">
        <v>9.9</v>
      </c>
      <c r="AA1304" s="1">
        <v>13.199850753</v>
      </c>
      <c r="AB1304" s="1">
        <v>56557.0</v>
      </c>
      <c r="AC1304" s="1">
        <v>44.973942047</v>
      </c>
      <c r="AD1304" s="1">
        <v>76.781112568</v>
      </c>
      <c r="AE1304" s="1">
        <v>11.654617076</v>
      </c>
      <c r="AF1304" s="1">
        <v>2.4087311798</v>
      </c>
      <c r="AG1304" s="1">
        <v>0.5547989481</v>
      </c>
      <c r="AH1304" s="1">
        <v>0.6815742734</v>
      </c>
      <c r="AI1304" s="1">
        <v>0.0282420279</v>
      </c>
      <c r="AJ1304" s="1">
        <v>3.4229337819</v>
      </c>
      <c r="AK1304" s="1">
        <v>91.0403735479999</v>
      </c>
      <c r="AL1304" s="1">
        <v>0.3221802625</v>
      </c>
      <c r="AM1304" s="1">
        <v>50.290892887</v>
      </c>
      <c r="AN1304" s="1">
        <v>38.645731109</v>
      </c>
      <c r="AO1304" s="1">
        <v>26377.0</v>
      </c>
      <c r="AP1304" s="1">
        <v>14.1</v>
      </c>
      <c r="AQ1304" s="1">
        <v>9.1</v>
      </c>
      <c r="AR1304" s="1">
        <v>10.5</v>
      </c>
      <c r="AS1304" s="1">
        <v>16.7</v>
      </c>
      <c r="AT1304" s="1">
        <v>22.0</v>
      </c>
      <c r="AU1304" s="1">
        <v>16.8</v>
      </c>
      <c r="AV1304" s="1">
        <v>8.5</v>
      </c>
      <c r="AW1304" s="1">
        <v>0.3</v>
      </c>
      <c r="AX1304" s="1">
        <v>0.3394</v>
      </c>
      <c r="AY1304" s="1">
        <v>10.4</v>
      </c>
      <c r="AZ1304" s="1">
        <v>13.1</v>
      </c>
      <c r="BA1304" s="1">
        <v>15.4</v>
      </c>
      <c r="BB1304" s="1">
        <v>2.89</v>
      </c>
      <c r="BC1304" s="1" t="s">
        <v>2143</v>
      </c>
      <c r="BD1304" s="1">
        <v>9.2</v>
      </c>
      <c r="BE1304" s="1">
        <v>34.0</v>
      </c>
      <c r="BF1304" s="1">
        <v>38.1</v>
      </c>
      <c r="BG1304" s="1">
        <v>18.6</v>
      </c>
      <c r="BH1304" s="1" t="s">
        <v>2271</v>
      </c>
    </row>
    <row r="1305">
      <c r="A1305" s="1">
        <v>26149.0</v>
      </c>
      <c r="B1305" s="2" t="str">
        <f>IFERROR(__xludf.DUMMYFUNCTION("TO_TEXT(A1305)"),"26149")</f>
        <v>26149</v>
      </c>
      <c r="C1305" s="1">
        <v>60923.0</v>
      </c>
      <c r="D1305" s="1">
        <v>500.601908337345</v>
      </c>
      <c r="E1305" s="1" t="s">
        <v>1406</v>
      </c>
      <c r="F1305" s="1" t="s">
        <v>2272</v>
      </c>
      <c r="G1305" s="1">
        <v>121.699496117271</v>
      </c>
      <c r="H1305" s="1">
        <v>16.839134622</v>
      </c>
      <c r="I1305" s="1">
        <v>4.3903929475</v>
      </c>
      <c r="J1305" s="1">
        <v>7.5795947902</v>
      </c>
      <c r="K1305" s="1">
        <v>18.468938039</v>
      </c>
      <c r="L1305" s="1">
        <v>33.5</v>
      </c>
      <c r="M1305" s="1">
        <v>8.1</v>
      </c>
      <c r="N1305" s="1">
        <v>31.7</v>
      </c>
      <c r="O1305" s="1">
        <v>58.587160454</v>
      </c>
      <c r="P1305" s="1">
        <v>8.1505523748</v>
      </c>
      <c r="Q1305" s="1">
        <v>29.53386</v>
      </c>
      <c r="R1305" s="1">
        <v>92.351274788</v>
      </c>
      <c r="S1305" s="1">
        <v>17.9</v>
      </c>
      <c r="T1305" s="1">
        <v>14892.0</v>
      </c>
      <c r="U1305" s="1">
        <v>30.882352941</v>
      </c>
      <c r="V1305" s="1">
        <v>301.22011067</v>
      </c>
      <c r="W1305" s="1">
        <v>14.5474137929999</v>
      </c>
      <c r="X1305" s="1">
        <v>11.488990626</v>
      </c>
      <c r="Y1305" s="1">
        <v>76.7990423139999</v>
      </c>
      <c r="Z1305" s="1">
        <v>14.2</v>
      </c>
      <c r="AA1305" s="1">
        <v>4.8364583776</v>
      </c>
      <c r="AB1305" s="1">
        <v>52689.0</v>
      </c>
      <c r="AC1305" s="1">
        <v>58.103689865</v>
      </c>
      <c r="AD1305" s="1">
        <v>74.165348431</v>
      </c>
      <c r="AE1305" s="1">
        <v>10.3486583489999</v>
      </c>
      <c r="AF1305" s="1">
        <v>2.4179676621</v>
      </c>
      <c r="AG1305" s="1">
        <v>0.575004505</v>
      </c>
      <c r="AH1305" s="1">
        <v>0.6847631997</v>
      </c>
      <c r="AI1305" s="1">
        <v>0.0196582737</v>
      </c>
      <c r="AJ1305" s="1">
        <v>8.1205052176</v>
      </c>
      <c r="AK1305" s="1">
        <v>86.240846616</v>
      </c>
      <c r="AL1305" s="1">
        <v>1.4929835051</v>
      </c>
      <c r="AM1305" s="1">
        <v>50.123683305</v>
      </c>
      <c r="AN1305" s="1">
        <v>54.426951627</v>
      </c>
      <c r="AO1305" s="1">
        <v>22182.0</v>
      </c>
      <c r="AP1305" s="1">
        <v>16.2</v>
      </c>
      <c r="AQ1305" s="1">
        <v>6.6</v>
      </c>
      <c r="AR1305" s="1">
        <v>14.0</v>
      </c>
      <c r="AS1305" s="1">
        <v>16.4</v>
      </c>
      <c r="AT1305" s="1">
        <v>25.1</v>
      </c>
      <c r="AU1305" s="1">
        <v>14.8</v>
      </c>
      <c r="AV1305" s="1">
        <v>13.0</v>
      </c>
      <c r="AW1305" s="1">
        <v>1.2</v>
      </c>
      <c r="AX1305" s="1">
        <v>0.6654</v>
      </c>
      <c r="AY1305" s="1">
        <v>12.9</v>
      </c>
      <c r="AZ1305" s="1">
        <v>12.9</v>
      </c>
      <c r="BA1305" s="1">
        <v>15.1</v>
      </c>
      <c r="BB1305" s="1">
        <v>2.69</v>
      </c>
      <c r="BC1305" s="1" t="s">
        <v>2143</v>
      </c>
      <c r="BD1305" s="1">
        <v>13.0</v>
      </c>
      <c r="BE1305" s="1">
        <v>36.6</v>
      </c>
      <c r="BF1305" s="1">
        <v>34.3</v>
      </c>
      <c r="BG1305" s="1">
        <v>16.2</v>
      </c>
      <c r="BH1305" s="1" t="s">
        <v>2272</v>
      </c>
    </row>
    <row r="1306">
      <c r="A1306" s="1">
        <v>26151.0</v>
      </c>
      <c r="B1306" s="2" t="str">
        <f>IFERROR(__xludf.DUMMYFUNCTION("TO_TEXT(A1306)"),"26151")</f>
        <v>26151</v>
      </c>
      <c r="C1306" s="1">
        <v>41761.0</v>
      </c>
      <c r="D1306" s="1">
        <v>962.569993796026</v>
      </c>
      <c r="E1306" s="1" t="s">
        <v>2273</v>
      </c>
      <c r="F1306" s="1" t="s">
        <v>2274</v>
      </c>
      <c r="G1306" s="1">
        <v>43.3848969624638</v>
      </c>
      <c r="H1306" s="1">
        <v>14.3470916009999</v>
      </c>
      <c r="I1306" s="1">
        <v>4.250898202</v>
      </c>
      <c r="J1306" s="1">
        <v>6.8289384719</v>
      </c>
      <c r="K1306" s="1">
        <v>17.897339222</v>
      </c>
      <c r="L1306" s="1">
        <v>32.6</v>
      </c>
      <c r="M1306" s="1">
        <v>8.2</v>
      </c>
      <c r="N1306" s="1">
        <v>26.6</v>
      </c>
      <c r="O1306" s="1">
        <v>38.7785870019999</v>
      </c>
      <c r="P1306" s="1">
        <v>7.48860429779999</v>
      </c>
      <c r="Q1306" s="1">
        <v>29.07752</v>
      </c>
      <c r="R1306" s="1">
        <v>87.116564417</v>
      </c>
      <c r="S1306" s="1">
        <v>22.0</v>
      </c>
      <c r="T1306" s="1">
        <v>8860.0</v>
      </c>
      <c r="U1306" s="1">
        <v>29.458239278</v>
      </c>
      <c r="V1306" s="1">
        <v>263.90606474</v>
      </c>
      <c r="W1306" s="1">
        <v>12.559241706</v>
      </c>
      <c r="X1306" s="1">
        <v>11.0212638509999</v>
      </c>
      <c r="Y1306" s="1">
        <v>77.199832498</v>
      </c>
      <c r="Z1306" s="1">
        <v>12.8</v>
      </c>
      <c r="AA1306" s="1">
        <v>2.3754677605</v>
      </c>
      <c r="AB1306" s="1">
        <v>46184.0</v>
      </c>
      <c r="AC1306" s="1">
        <v>57.43318931</v>
      </c>
      <c r="AD1306" s="1">
        <v>79.795098667</v>
      </c>
      <c r="AE1306" s="1">
        <v>10.6186575379999</v>
      </c>
      <c r="AF1306" s="1">
        <v>0.5463552037</v>
      </c>
      <c r="AG1306" s="1">
        <v>0.5973483561</v>
      </c>
      <c r="AH1306" s="1">
        <v>0.3836627653</v>
      </c>
      <c r="AI1306" s="1">
        <v>0.0291389442</v>
      </c>
      <c r="AJ1306" s="1">
        <v>3.7200718761</v>
      </c>
      <c r="AK1306" s="1">
        <v>93.953669079</v>
      </c>
      <c r="AL1306" s="1">
        <v>0.5710061434</v>
      </c>
      <c r="AM1306" s="1">
        <v>50.109271041</v>
      </c>
      <c r="AN1306" s="1">
        <v>90.19807951</v>
      </c>
      <c r="AO1306" s="1">
        <v>22510.0</v>
      </c>
      <c r="AP1306" s="1">
        <v>15.7</v>
      </c>
      <c r="AQ1306" s="1">
        <v>9.2</v>
      </c>
      <c r="AR1306" s="1">
        <v>12.1</v>
      </c>
      <c r="AS1306" s="1">
        <v>19.5</v>
      </c>
      <c r="AT1306" s="1">
        <v>22.3</v>
      </c>
      <c r="AU1306" s="1">
        <v>16.6</v>
      </c>
      <c r="AV1306" s="1">
        <v>5.8</v>
      </c>
      <c r="AW1306" s="1">
        <v>0.5</v>
      </c>
      <c r="AX1306" s="1">
        <v>0.4046</v>
      </c>
      <c r="AY1306" s="1">
        <v>13.6</v>
      </c>
      <c r="AZ1306" s="1">
        <v>14.2</v>
      </c>
      <c r="BA1306" s="1">
        <v>17.0</v>
      </c>
      <c r="BB1306" s="1">
        <v>2.77</v>
      </c>
      <c r="BC1306" s="1" t="s">
        <v>2143</v>
      </c>
      <c r="BD1306" s="1">
        <v>11.6</v>
      </c>
      <c r="BE1306" s="1">
        <v>41.2</v>
      </c>
      <c r="BF1306" s="1">
        <v>33.0</v>
      </c>
      <c r="BG1306" s="1">
        <v>14.2</v>
      </c>
      <c r="BH1306" s="1" t="s">
        <v>2274</v>
      </c>
    </row>
    <row r="1307">
      <c r="A1307" s="1">
        <v>26153.0</v>
      </c>
      <c r="B1307" s="2" t="str">
        <f>IFERROR(__xludf.DUMMYFUNCTION("TO_TEXT(A1307)"),"26153")</f>
        <v>26153</v>
      </c>
      <c r="C1307" s="1">
        <v>8186.0</v>
      </c>
      <c r="D1307" s="1">
        <v>1171.36418547102</v>
      </c>
      <c r="E1307" s="1" t="s">
        <v>2275</v>
      </c>
      <c r="F1307" s="1" t="s">
        <v>2276</v>
      </c>
      <c r="G1307" s="1">
        <v>6.98843289007363</v>
      </c>
      <c r="H1307" s="1">
        <v>17.155950795</v>
      </c>
      <c r="I1307" s="1">
        <v>4.76205393</v>
      </c>
      <c r="J1307" s="1">
        <v>8.9361702128</v>
      </c>
      <c r="K1307" s="1">
        <v>18.770696982</v>
      </c>
      <c r="L1307" s="1">
        <v>28.9</v>
      </c>
      <c r="M1307" s="1">
        <v>6.9</v>
      </c>
      <c r="N1307" s="1">
        <v>26.3</v>
      </c>
      <c r="O1307" s="1">
        <v>75.474366529</v>
      </c>
      <c r="P1307" s="1">
        <v>8.4059456689</v>
      </c>
      <c r="Q1307" s="1">
        <v>86.96733</v>
      </c>
      <c r="R1307" s="1">
        <v>96.7741935479999</v>
      </c>
      <c r="S1307" s="1">
        <v>22.0</v>
      </c>
      <c r="T1307" s="1">
        <v>1436.0</v>
      </c>
      <c r="U1307" s="1">
        <v>41.364902507</v>
      </c>
      <c r="V1307" s="1">
        <v>204.509002055</v>
      </c>
      <c r="W1307" s="1">
        <v>13.704819277</v>
      </c>
      <c r="X1307" s="1">
        <v>12.584615385</v>
      </c>
      <c r="Y1307" s="1">
        <v>78.819467378</v>
      </c>
      <c r="Z1307" s="1">
        <v>16.8</v>
      </c>
      <c r="AA1307" s="1">
        <v>10.264685612</v>
      </c>
      <c r="AB1307" s="1">
        <v>44887.0</v>
      </c>
      <c r="AC1307" s="1">
        <v>64.794007491</v>
      </c>
      <c r="AD1307" s="1">
        <v>82.36347359</v>
      </c>
      <c r="AE1307" s="1">
        <v>10.735339746</v>
      </c>
      <c r="AF1307" s="1">
        <v>0.4462072385</v>
      </c>
      <c r="AG1307" s="1">
        <v>9.3083787804</v>
      </c>
      <c r="AH1307" s="1">
        <v>0.2478929103</v>
      </c>
      <c r="AI1307" s="1">
        <v>0.0</v>
      </c>
      <c r="AJ1307" s="1">
        <v>1.0783341596</v>
      </c>
      <c r="AK1307" s="1">
        <v>85.510659395</v>
      </c>
      <c r="AL1307" s="1">
        <v>0.0258297817</v>
      </c>
      <c r="AM1307" s="1">
        <v>50.669310858</v>
      </c>
      <c r="AN1307" s="1">
        <v>58.962875663</v>
      </c>
      <c r="AO1307" s="1">
        <v>20975.0</v>
      </c>
      <c r="AP1307" s="1">
        <v>21.5</v>
      </c>
      <c r="AQ1307" s="1">
        <v>12.1</v>
      </c>
      <c r="AR1307" s="1">
        <v>10.8</v>
      </c>
      <c r="AS1307" s="1">
        <v>24.0</v>
      </c>
      <c r="AT1307" s="1">
        <v>18.7</v>
      </c>
      <c r="AU1307" s="1">
        <v>20.5</v>
      </c>
      <c r="AV1307" s="1">
        <v>13.8</v>
      </c>
      <c r="AW1307" s="1">
        <v>0.4</v>
      </c>
      <c r="AX1307" s="1">
        <v>0.5326</v>
      </c>
      <c r="AY1307" s="1">
        <v>14.3</v>
      </c>
      <c r="AZ1307" s="1">
        <v>17.5</v>
      </c>
      <c r="BA1307" s="1">
        <v>22.6</v>
      </c>
      <c r="BB1307" s="1">
        <v>2.88</v>
      </c>
      <c r="BC1307" s="1" t="s">
        <v>2143</v>
      </c>
      <c r="BD1307" s="1">
        <v>9.4</v>
      </c>
      <c r="BE1307" s="1">
        <v>44.1</v>
      </c>
      <c r="BF1307" s="1">
        <v>30.9</v>
      </c>
      <c r="BG1307" s="1">
        <v>15.6</v>
      </c>
      <c r="BH1307" s="1" t="s">
        <v>2276</v>
      </c>
    </row>
    <row r="1308">
      <c r="A1308" s="1">
        <v>26155.0</v>
      </c>
      <c r="B1308" s="2" t="str">
        <f>IFERROR(__xludf.DUMMYFUNCTION("TO_TEXT(A1308)"),"26155")</f>
        <v>26155</v>
      </c>
      <c r="C1308" s="1">
        <v>68800.0</v>
      </c>
      <c r="D1308" s="1">
        <v>530.778622892474</v>
      </c>
      <c r="E1308" s="1" t="s">
        <v>2277</v>
      </c>
      <c r="F1308" s="1" t="s">
        <v>2278</v>
      </c>
      <c r="G1308" s="1">
        <v>129.620894724574</v>
      </c>
      <c r="H1308" s="1">
        <v>15.167962747</v>
      </c>
      <c r="I1308" s="1">
        <v>4.4496702392</v>
      </c>
      <c r="J1308" s="1">
        <v>7.476448186</v>
      </c>
      <c r="K1308" s="1">
        <v>17.880387598</v>
      </c>
      <c r="L1308" s="1">
        <v>38.1</v>
      </c>
      <c r="M1308" s="1">
        <v>7.8</v>
      </c>
      <c r="N1308" s="1">
        <v>28.6</v>
      </c>
      <c r="O1308" s="1">
        <v>68.51290907</v>
      </c>
      <c r="P1308" s="1">
        <v>5.703374106</v>
      </c>
      <c r="Q1308" s="1">
        <v>46.75218</v>
      </c>
      <c r="R1308" s="1">
        <v>89.005235602</v>
      </c>
      <c r="S1308" s="1">
        <v>15.3</v>
      </c>
      <c r="T1308" s="1">
        <v>14627.0</v>
      </c>
      <c r="U1308" s="1">
        <v>30.587270117</v>
      </c>
      <c r="V1308" s="1">
        <v>263.5241169</v>
      </c>
      <c r="W1308" s="1">
        <v>11.681222707</v>
      </c>
      <c r="X1308" s="1">
        <v>10.48951049</v>
      </c>
      <c r="Y1308" s="1">
        <v>77.560350505</v>
      </c>
      <c r="Z1308" s="1">
        <v>12.1</v>
      </c>
      <c r="AA1308" s="1">
        <v>7.93992147419999</v>
      </c>
      <c r="AB1308" s="1">
        <v>54149.0</v>
      </c>
      <c r="AC1308" s="1">
        <v>48.500526131</v>
      </c>
      <c r="AD1308" s="1">
        <v>75.336145056</v>
      </c>
      <c r="AE1308" s="1">
        <v>8.79559481129999</v>
      </c>
      <c r="AF1308" s="1">
        <v>0.6349718442</v>
      </c>
      <c r="AG1308" s="1">
        <v>0.568981698699999</v>
      </c>
      <c r="AH1308" s="1">
        <v>0.563115908</v>
      </c>
      <c r="AI1308" s="1">
        <v>0.0777217269</v>
      </c>
      <c r="AJ1308" s="1">
        <v>2.9519591741</v>
      </c>
      <c r="AK1308" s="1">
        <v>93.972900047</v>
      </c>
      <c r="AL1308" s="1">
        <v>0.0924556213</v>
      </c>
      <c r="AM1308" s="1">
        <v>50.571914594</v>
      </c>
      <c r="AN1308" s="1">
        <v>54.975370853</v>
      </c>
      <c r="AO1308" s="1">
        <v>23927.0</v>
      </c>
      <c r="AP1308" s="1">
        <v>14.2</v>
      </c>
      <c r="AQ1308" s="1">
        <v>8.8</v>
      </c>
      <c r="AR1308" s="1">
        <v>8.5</v>
      </c>
      <c r="AS1308" s="1">
        <v>16.4</v>
      </c>
      <c r="AT1308" s="1">
        <v>22.3</v>
      </c>
      <c r="AU1308" s="1">
        <v>15.6</v>
      </c>
      <c r="AV1308" s="1">
        <v>5.5</v>
      </c>
      <c r="AW1308" s="1">
        <v>0.1</v>
      </c>
      <c r="AX1308" s="1">
        <v>0.2442</v>
      </c>
      <c r="AY1308" s="1">
        <v>10.9</v>
      </c>
      <c r="AZ1308" s="1">
        <v>12.1</v>
      </c>
      <c r="BA1308" s="1">
        <v>13.5</v>
      </c>
      <c r="BB1308" s="1">
        <v>2.71</v>
      </c>
      <c r="BC1308" s="1" t="s">
        <v>2143</v>
      </c>
      <c r="BD1308" s="1">
        <v>7.8</v>
      </c>
      <c r="BE1308" s="1">
        <v>37.3</v>
      </c>
      <c r="BF1308" s="1">
        <v>37.9</v>
      </c>
      <c r="BG1308" s="1">
        <v>17.0</v>
      </c>
      <c r="BH1308" s="1" t="s">
        <v>2278</v>
      </c>
    </row>
    <row r="1309">
      <c r="A1309" s="1">
        <v>26157.0</v>
      </c>
      <c r="B1309" s="2" t="str">
        <f>IFERROR(__xludf.DUMMYFUNCTION("TO_TEXT(A1309)"),"26157")</f>
        <v>26157</v>
      </c>
      <c r="C1309" s="1">
        <v>54014.0</v>
      </c>
      <c r="D1309" s="1">
        <v>803.369259227768</v>
      </c>
      <c r="E1309" s="1" t="s">
        <v>2279</v>
      </c>
      <c r="F1309" s="1" t="s">
        <v>2280</v>
      </c>
      <c r="G1309" s="1">
        <v>67.234337609483</v>
      </c>
      <c r="H1309" s="1">
        <v>15.403566669</v>
      </c>
      <c r="I1309" s="1">
        <v>4.3282929744</v>
      </c>
      <c r="J1309" s="1">
        <v>6.4466219701</v>
      </c>
      <c r="K1309" s="1">
        <v>18.1913165709999</v>
      </c>
      <c r="L1309" s="1">
        <v>30.6</v>
      </c>
      <c r="M1309" s="1">
        <v>8.2</v>
      </c>
      <c r="N1309" s="1">
        <v>29.6</v>
      </c>
      <c r="O1309" s="1">
        <v>60.39943297</v>
      </c>
      <c r="P1309" s="1">
        <v>5.9546925566</v>
      </c>
      <c r="Q1309" s="1">
        <v>32.21894</v>
      </c>
      <c r="R1309" s="1">
        <v>85.666666667</v>
      </c>
      <c r="S1309" s="1">
        <v>17.8</v>
      </c>
      <c r="T1309" s="1">
        <v>10633.0</v>
      </c>
      <c r="U1309" s="1">
        <v>25.627762626</v>
      </c>
      <c r="V1309" s="1">
        <v>273.02910091</v>
      </c>
      <c r="W1309" s="1">
        <v>13.583410997</v>
      </c>
      <c r="X1309" s="1">
        <v>11.945424606</v>
      </c>
      <c r="Y1309" s="1">
        <v>77.542795757</v>
      </c>
      <c r="Z1309" s="1">
        <v>7.6</v>
      </c>
      <c r="AA1309" s="1">
        <v>1.3405158701</v>
      </c>
      <c r="AB1309" s="1">
        <v>51113.0</v>
      </c>
      <c r="AC1309" s="1">
        <v>58.675675676</v>
      </c>
      <c r="AD1309" s="1">
        <v>82.117744382</v>
      </c>
      <c r="AE1309" s="1">
        <v>11.816275967</v>
      </c>
      <c r="AF1309" s="1">
        <v>1.2167720314</v>
      </c>
      <c r="AG1309" s="1">
        <v>0.6340924671</v>
      </c>
      <c r="AH1309" s="1">
        <v>0.3218066875</v>
      </c>
      <c r="AI1309" s="1">
        <v>0.0418919948</v>
      </c>
      <c r="AJ1309" s="1">
        <v>3.4884606596</v>
      </c>
      <c r="AK1309" s="1">
        <v>93.257293015</v>
      </c>
      <c r="AL1309" s="1">
        <v>0.2868220121</v>
      </c>
      <c r="AM1309" s="1">
        <v>49.7581689389999</v>
      </c>
      <c r="AN1309" s="1">
        <v>84.1608498269999</v>
      </c>
      <c r="AO1309" s="1">
        <v>22511.0</v>
      </c>
      <c r="AP1309" s="1">
        <v>15.8</v>
      </c>
      <c r="AQ1309" s="1">
        <v>8.4</v>
      </c>
      <c r="AR1309" s="1">
        <v>10.8</v>
      </c>
      <c r="AS1309" s="1">
        <v>18.3</v>
      </c>
      <c r="AT1309" s="1">
        <v>21.5</v>
      </c>
      <c r="AU1309" s="1">
        <v>19.0</v>
      </c>
      <c r="AV1309" s="1">
        <v>6.2</v>
      </c>
      <c r="AW1309" s="1">
        <v>0.3</v>
      </c>
      <c r="AX1309" s="1">
        <v>0.3865</v>
      </c>
      <c r="AY1309" s="1">
        <v>11.6</v>
      </c>
      <c r="AZ1309" s="1">
        <v>14.4</v>
      </c>
      <c r="BA1309" s="1">
        <v>18.0</v>
      </c>
      <c r="BB1309" s="1">
        <v>2.77</v>
      </c>
      <c r="BC1309" s="1" t="s">
        <v>2143</v>
      </c>
      <c r="BD1309" s="1">
        <v>10.7</v>
      </c>
      <c r="BE1309" s="1">
        <v>42.4</v>
      </c>
      <c r="BF1309" s="1">
        <v>33.5</v>
      </c>
      <c r="BG1309" s="1">
        <v>13.5</v>
      </c>
      <c r="BH1309" s="1" t="s">
        <v>2280</v>
      </c>
    </row>
    <row r="1310">
      <c r="A1310" s="1">
        <v>26159.0</v>
      </c>
      <c r="B1310" s="2" t="str">
        <f>IFERROR(__xludf.DUMMYFUNCTION("TO_TEXT(A1310)"),"26159")</f>
        <v>26159</v>
      </c>
      <c r="C1310" s="1">
        <v>75216.0</v>
      </c>
      <c r="D1310" s="1">
        <v>607.7825212153</v>
      </c>
      <c r="E1310" s="1" t="s">
        <v>408</v>
      </c>
      <c r="F1310" s="1" t="s">
        <v>2281</v>
      </c>
      <c r="G1310" s="1">
        <v>123.754792832148</v>
      </c>
      <c r="H1310" s="1">
        <v>16.21358561</v>
      </c>
      <c r="I1310" s="1">
        <v>4.300398187</v>
      </c>
      <c r="J1310" s="1">
        <v>7.0976124736</v>
      </c>
      <c r="K1310" s="1">
        <v>18.457219684</v>
      </c>
      <c r="L1310" s="1">
        <v>33.6</v>
      </c>
      <c r="M1310" s="1">
        <v>8.4</v>
      </c>
      <c r="N1310" s="1">
        <v>28.0</v>
      </c>
      <c r="O1310" s="1">
        <v>64.785333998</v>
      </c>
      <c r="P1310" s="1">
        <v>8.22602438669999</v>
      </c>
      <c r="Q1310" s="1">
        <v>50.42931</v>
      </c>
      <c r="R1310" s="1">
        <v>83.660714286</v>
      </c>
      <c r="S1310" s="1">
        <v>23.2</v>
      </c>
      <c r="T1310" s="1">
        <v>17500.0</v>
      </c>
      <c r="U1310" s="1">
        <v>31.4457142859999</v>
      </c>
      <c r="V1310" s="1">
        <v>348.25572491</v>
      </c>
      <c r="W1310" s="1">
        <v>14.183406114</v>
      </c>
      <c r="X1310" s="1">
        <v>11.459402087</v>
      </c>
      <c r="Y1310" s="1">
        <v>77.285228949</v>
      </c>
      <c r="Z1310" s="1">
        <v>15.2</v>
      </c>
      <c r="AA1310" s="1">
        <v>1.4843053865</v>
      </c>
      <c r="AB1310" s="1">
        <v>57363.0</v>
      </c>
      <c r="AC1310" s="1">
        <v>53.488372093</v>
      </c>
      <c r="AD1310" s="1">
        <v>77.258470341</v>
      </c>
      <c r="AE1310" s="1">
        <v>10.277649401</v>
      </c>
      <c r="AF1310" s="1">
        <v>3.6912840632</v>
      </c>
      <c r="AG1310" s="1">
        <v>1.1915491464</v>
      </c>
      <c r="AH1310" s="1">
        <v>0.7183755699</v>
      </c>
      <c r="AI1310" s="1">
        <v>0.051691231</v>
      </c>
      <c r="AJ1310" s="1">
        <v>11.723306118</v>
      </c>
      <c r="AK1310" s="1">
        <v>80.956420316</v>
      </c>
      <c r="AL1310" s="1">
        <v>1.8342007014</v>
      </c>
      <c r="AM1310" s="1">
        <v>50.361838617</v>
      </c>
      <c r="AN1310" s="1">
        <v>70.8594508119999</v>
      </c>
      <c r="AO1310" s="1">
        <v>23943.0</v>
      </c>
      <c r="AP1310" s="1">
        <v>17.5</v>
      </c>
      <c r="AQ1310" s="1">
        <v>7.6</v>
      </c>
      <c r="AR1310" s="1">
        <v>13.5</v>
      </c>
      <c r="AS1310" s="1">
        <v>16.0</v>
      </c>
      <c r="AT1310" s="1">
        <v>24.2</v>
      </c>
      <c r="AU1310" s="1">
        <v>15.2</v>
      </c>
      <c r="AV1310" s="1">
        <v>18.2</v>
      </c>
      <c r="AW1310" s="1">
        <v>1.7</v>
      </c>
      <c r="AX1310" s="1">
        <v>0.6721</v>
      </c>
      <c r="AY1310" s="1">
        <v>13.0</v>
      </c>
      <c r="AZ1310" s="1">
        <v>13.1</v>
      </c>
      <c r="BA1310" s="1">
        <v>14.9</v>
      </c>
      <c r="BB1310" s="1">
        <v>2.77</v>
      </c>
      <c r="BC1310" s="1" t="s">
        <v>2143</v>
      </c>
      <c r="BD1310" s="1">
        <v>12.9</v>
      </c>
      <c r="BE1310" s="1">
        <v>31.3</v>
      </c>
      <c r="BF1310" s="1">
        <v>34.1</v>
      </c>
      <c r="BG1310" s="1">
        <v>21.7</v>
      </c>
      <c r="BH1310" s="1" t="s">
        <v>2281</v>
      </c>
    </row>
    <row r="1311">
      <c r="A1311" s="1">
        <v>26161.0</v>
      </c>
      <c r="B1311" s="2" t="str">
        <f>IFERROR(__xludf.DUMMYFUNCTION("TO_TEXT(A1311)"),"26161")</f>
        <v>26161</v>
      </c>
      <c r="C1311" s="1">
        <v>358082.0</v>
      </c>
      <c r="D1311" s="1">
        <v>705.959855533065</v>
      </c>
      <c r="E1311" s="1" t="s">
        <v>2282</v>
      </c>
      <c r="F1311" s="1" t="s">
        <v>2283</v>
      </c>
      <c r="G1311" s="1">
        <v>507.227142157559</v>
      </c>
      <c r="H1311" s="1">
        <v>11.915465757</v>
      </c>
      <c r="I1311" s="1">
        <v>3.9604191483</v>
      </c>
      <c r="J1311" s="1">
        <v>7.5908627051</v>
      </c>
      <c r="K1311" s="1">
        <v>12.131392772</v>
      </c>
      <c r="L1311" s="1">
        <v>24.5</v>
      </c>
      <c r="M1311" s="1">
        <v>7.7</v>
      </c>
      <c r="N1311" s="1">
        <v>15.3</v>
      </c>
      <c r="O1311" s="1">
        <v>90.162736266</v>
      </c>
      <c r="P1311" s="1">
        <v>4.5874506838</v>
      </c>
      <c r="Q1311" s="1">
        <v>173.00144</v>
      </c>
      <c r="R1311" s="1">
        <v>91.235632184</v>
      </c>
      <c r="S1311" s="1">
        <v>12.6</v>
      </c>
      <c r="T1311" s="1">
        <v>68728.0</v>
      </c>
      <c r="U1311" s="1">
        <v>25.059655453</v>
      </c>
      <c r="V1311" s="1">
        <v>303.08472589</v>
      </c>
      <c r="W1311" s="1">
        <v>17.238768299</v>
      </c>
      <c r="X1311" s="1">
        <v>15.812982829</v>
      </c>
      <c r="Y1311" s="1">
        <v>81.410382071</v>
      </c>
      <c r="Z1311" s="1">
        <v>6.9</v>
      </c>
      <c r="AA1311" s="1">
        <v>6.03489568289999</v>
      </c>
      <c r="AB1311" s="1">
        <v>72267.0</v>
      </c>
      <c r="AC1311" s="1">
        <v>32.600430182</v>
      </c>
      <c r="AD1311" s="1">
        <v>60.710363027</v>
      </c>
      <c r="AE1311" s="1">
        <v>15.721594932</v>
      </c>
      <c r="AF1311" s="1">
        <v>12.003892571</v>
      </c>
      <c r="AG1311" s="1">
        <v>0.3924919736</v>
      </c>
      <c r="AH1311" s="1">
        <v>9.6564886525</v>
      </c>
      <c r="AI1311" s="1">
        <v>0.0598442432</v>
      </c>
      <c r="AJ1311" s="1">
        <v>4.846035858</v>
      </c>
      <c r="AK1311" s="1">
        <v>70.049304108</v>
      </c>
      <c r="AL1311" s="1">
        <v>1.5356162886</v>
      </c>
      <c r="AM1311" s="1">
        <v>50.376991775</v>
      </c>
      <c r="AN1311" s="1">
        <v>16.446484972</v>
      </c>
      <c r="AO1311" s="1">
        <v>35888.0</v>
      </c>
      <c r="AP1311" s="1">
        <v>15.2</v>
      </c>
      <c r="AQ1311" s="1">
        <v>6.3</v>
      </c>
      <c r="AR1311" s="1">
        <v>5.3</v>
      </c>
      <c r="AS1311" s="1">
        <v>12.0</v>
      </c>
      <c r="AT1311" s="1">
        <v>19.6</v>
      </c>
      <c r="AU1311" s="1">
        <v>8.6</v>
      </c>
      <c r="AV1311" s="1">
        <v>29.1</v>
      </c>
      <c r="AW1311" s="1">
        <v>1.6</v>
      </c>
      <c r="AX1311" s="1">
        <v>0.2557</v>
      </c>
      <c r="AY1311" s="1">
        <v>13.0</v>
      </c>
      <c r="AZ1311" s="1">
        <v>10.7</v>
      </c>
      <c r="BA1311" s="1">
        <v>7.6</v>
      </c>
      <c r="BB1311" s="1">
        <v>3.39</v>
      </c>
      <c r="BC1311" s="1" t="s">
        <v>2143</v>
      </c>
      <c r="BD1311" s="1">
        <v>4.7</v>
      </c>
      <c r="BE1311" s="1">
        <v>14.6</v>
      </c>
      <c r="BF1311" s="1">
        <v>24.7</v>
      </c>
      <c r="BG1311" s="1">
        <v>55.9</v>
      </c>
      <c r="BH1311" s="1" t="s">
        <v>2283</v>
      </c>
    </row>
    <row r="1312">
      <c r="A1312" s="1">
        <v>26163.0</v>
      </c>
      <c r="B1312" s="2" t="str">
        <f>IFERROR(__xludf.DUMMYFUNCTION("TO_TEXT(A1312)"),"26163")</f>
        <v>26163</v>
      </c>
      <c r="C1312" s="1">
        <v>1767593.0</v>
      </c>
      <c r="D1312" s="1">
        <v>612.014919987734</v>
      </c>
      <c r="E1312" s="1" t="s">
        <v>1048</v>
      </c>
      <c r="F1312" s="1" t="s">
        <v>2284</v>
      </c>
      <c r="G1312" s="1">
        <v>2888.15344572878</v>
      </c>
      <c r="H1312" s="1">
        <v>19.136284965</v>
      </c>
      <c r="I1312" s="1">
        <v>4.4971453741</v>
      </c>
      <c r="J1312" s="1">
        <v>10.698688615</v>
      </c>
      <c r="K1312" s="1">
        <v>21.055529729</v>
      </c>
      <c r="L1312" s="1">
        <v>34.7</v>
      </c>
      <c r="M1312" s="1">
        <v>6.7</v>
      </c>
      <c r="N1312" s="1">
        <v>26.5</v>
      </c>
      <c r="O1312" s="1">
        <v>95.4780444079999</v>
      </c>
      <c r="P1312" s="1">
        <v>6.806399381</v>
      </c>
      <c r="Q1312" s="1">
        <v>70.14078</v>
      </c>
      <c r="R1312" s="1">
        <v>86.481125643</v>
      </c>
      <c r="S1312" s="1">
        <v>32.4</v>
      </c>
      <c r="T1312" s="1">
        <v>416127.0</v>
      </c>
      <c r="U1312" s="1">
        <v>47.808481545</v>
      </c>
      <c r="V1312" s="1">
        <v>1015.5238552</v>
      </c>
      <c r="W1312" s="1">
        <v>20.506117327</v>
      </c>
      <c r="X1312" s="1">
        <v>18.471968429</v>
      </c>
      <c r="Y1312" s="1">
        <v>75.314507165</v>
      </c>
      <c r="Z1312" s="1">
        <v>11.7</v>
      </c>
      <c r="AA1312" s="1">
        <v>4.3309352073</v>
      </c>
      <c r="AB1312" s="1">
        <v>46440.0</v>
      </c>
      <c r="AC1312" s="1">
        <v>65.168359302</v>
      </c>
      <c r="AD1312" s="1">
        <v>62.012276322</v>
      </c>
      <c r="AE1312" s="1">
        <v>17.759178103</v>
      </c>
      <c r="AF1312" s="1">
        <v>38.30239359</v>
      </c>
      <c r="AG1312" s="1">
        <v>0.4797328001</v>
      </c>
      <c r="AH1312" s="1">
        <v>3.5156078506</v>
      </c>
      <c r="AI1312" s="1">
        <v>0.0200696394</v>
      </c>
      <c r="AJ1312" s="1">
        <v>6.0665046271</v>
      </c>
      <c r="AK1312" s="1">
        <v>49.4737136189999</v>
      </c>
      <c r="AL1312" s="1">
        <v>2.5973489446</v>
      </c>
      <c r="AM1312" s="1">
        <v>51.8437555769999</v>
      </c>
      <c r="AN1312" s="1">
        <v>0.695600972</v>
      </c>
      <c r="AO1312" s="1">
        <v>23666.0</v>
      </c>
      <c r="AP1312" s="1">
        <v>24.5</v>
      </c>
      <c r="AQ1312" s="1">
        <v>13.0</v>
      </c>
      <c r="AR1312" s="1">
        <v>14.9</v>
      </c>
      <c r="AS1312" s="1">
        <v>13.8</v>
      </c>
      <c r="AT1312" s="1">
        <v>24.2</v>
      </c>
      <c r="AU1312" s="1">
        <v>16.1</v>
      </c>
      <c r="AV1312" s="1">
        <v>50.3</v>
      </c>
      <c r="AW1312" s="1">
        <v>2.4</v>
      </c>
      <c r="AX1312" s="1">
        <v>0.8682</v>
      </c>
      <c r="AY1312" s="1">
        <v>19.8</v>
      </c>
      <c r="AZ1312" s="1">
        <v>17.3</v>
      </c>
      <c r="BA1312" s="1">
        <v>20.0</v>
      </c>
      <c r="BB1312" s="1">
        <v>3.0</v>
      </c>
      <c r="BC1312" s="1" t="s">
        <v>2143</v>
      </c>
      <c r="BD1312" s="1">
        <v>13.5</v>
      </c>
      <c r="BE1312" s="1">
        <v>30.1</v>
      </c>
      <c r="BF1312" s="1">
        <v>32.5</v>
      </c>
      <c r="BG1312" s="1">
        <v>23.9</v>
      </c>
      <c r="BH1312" s="1" t="s">
        <v>2284</v>
      </c>
    </row>
    <row r="1313">
      <c r="A1313" s="1">
        <v>26165.0</v>
      </c>
      <c r="B1313" s="2" t="str">
        <f>IFERROR(__xludf.DUMMYFUNCTION("TO_TEXT(A1313)"),"26165")</f>
        <v>26165</v>
      </c>
      <c r="C1313" s="1">
        <v>32829.0</v>
      </c>
      <c r="D1313" s="1">
        <v>565.00192154372</v>
      </c>
      <c r="E1313" s="1" t="s">
        <v>2285</v>
      </c>
      <c r="F1313" s="1" t="s">
        <v>2286</v>
      </c>
      <c r="G1313" s="1">
        <v>58.1042271684729</v>
      </c>
      <c r="H1313" s="1">
        <v>16.79754517</v>
      </c>
      <c r="I1313" s="1">
        <v>4.49366925</v>
      </c>
      <c r="J1313" s="1">
        <v>6.9216757741</v>
      </c>
      <c r="K1313" s="1">
        <v>19.451624054</v>
      </c>
      <c r="L1313" s="1">
        <v>36.3</v>
      </c>
      <c r="M1313" s="1">
        <v>7.9</v>
      </c>
      <c r="N1313" s="1">
        <v>29.5</v>
      </c>
      <c r="O1313" s="1">
        <v>88.733771193</v>
      </c>
      <c r="P1313" s="1">
        <v>6.8468535919</v>
      </c>
      <c r="Q1313" s="1">
        <v>87.1499</v>
      </c>
      <c r="R1313" s="1">
        <v>81.927710843</v>
      </c>
      <c r="S1313" s="1">
        <v>19.7</v>
      </c>
      <c r="T1313" s="1">
        <v>7638.0</v>
      </c>
      <c r="U1313" s="1">
        <v>37.7716679759999</v>
      </c>
      <c r="V1313" s="1">
        <v>419.19400426</v>
      </c>
      <c r="W1313" s="1">
        <v>14.643545279</v>
      </c>
      <c r="X1313" s="1">
        <v>12.543962485</v>
      </c>
      <c r="Y1313" s="1">
        <v>77.8617290689999</v>
      </c>
      <c r="Z1313" s="1">
        <v>13.3</v>
      </c>
      <c r="AA1313" s="1">
        <v>4.0243871116</v>
      </c>
      <c r="AB1313" s="1">
        <v>46396.0</v>
      </c>
      <c r="AC1313" s="1">
        <v>62.291955617</v>
      </c>
      <c r="AD1313" s="1">
        <v>76.365586455</v>
      </c>
      <c r="AE1313" s="1">
        <v>11.337117629</v>
      </c>
      <c r="AF1313" s="1">
        <v>0.5886571446</v>
      </c>
      <c r="AG1313" s="1">
        <v>0.702205223199999</v>
      </c>
      <c r="AH1313" s="1">
        <v>0.6125620032</v>
      </c>
      <c r="AI1313" s="1">
        <v>0.0478097173</v>
      </c>
      <c r="AJ1313" s="1">
        <v>2.0856989183</v>
      </c>
      <c r="AK1313" s="1">
        <v>94.477977649</v>
      </c>
      <c r="AL1313" s="1">
        <v>0.2120890774</v>
      </c>
      <c r="AM1313" s="1">
        <v>49.901392458</v>
      </c>
      <c r="AN1313" s="1">
        <v>64.288987322</v>
      </c>
      <c r="AO1313" s="1">
        <v>21200.0</v>
      </c>
      <c r="AP1313" s="1">
        <v>18.8</v>
      </c>
      <c r="AQ1313" s="1">
        <v>8.2</v>
      </c>
      <c r="AR1313" s="1">
        <v>11.4</v>
      </c>
      <c r="AS1313" s="1">
        <v>17.6</v>
      </c>
      <c r="AT1313" s="1">
        <v>23.5</v>
      </c>
      <c r="AU1313" s="1">
        <v>16.3</v>
      </c>
      <c r="AV1313" s="1">
        <v>5.1</v>
      </c>
      <c r="AW1313" s="1">
        <v>0.3</v>
      </c>
      <c r="AX1313" s="1">
        <v>0.5667</v>
      </c>
      <c r="AY1313" s="1">
        <v>12.4</v>
      </c>
      <c r="AZ1313" s="1">
        <v>13.9</v>
      </c>
      <c r="BA1313" s="1">
        <v>17.0</v>
      </c>
      <c r="BB1313" s="1">
        <v>2.71</v>
      </c>
      <c r="BC1313" s="1" t="s">
        <v>2143</v>
      </c>
      <c r="BD1313" s="1">
        <v>10.4</v>
      </c>
      <c r="BE1313" s="1">
        <v>36.4</v>
      </c>
      <c r="BF1313" s="1">
        <v>34.9</v>
      </c>
      <c r="BG1313" s="1">
        <v>18.2</v>
      </c>
      <c r="BH1313" s="1" t="s">
        <v>2286</v>
      </c>
    </row>
    <row r="1314">
      <c r="A1314" s="1">
        <v>27001.0</v>
      </c>
      <c r="B1314" s="2" t="str">
        <f>IFERROR(__xludf.DUMMYFUNCTION("TO_TEXT(A1314)"),"27001")</f>
        <v>27001</v>
      </c>
      <c r="C1314" s="1">
        <v>15722.0</v>
      </c>
      <c r="D1314" s="1">
        <v>1821.73389164981</v>
      </c>
      <c r="E1314" s="1" t="s">
        <v>2287</v>
      </c>
      <c r="F1314" s="1" t="s">
        <v>2288</v>
      </c>
      <c r="G1314" s="1">
        <v>8.63023961516231</v>
      </c>
      <c r="H1314" s="1">
        <v>14.234821762</v>
      </c>
      <c r="I1314" s="1">
        <v>3.4684180129</v>
      </c>
      <c r="J1314" s="1">
        <v>6.2653562654</v>
      </c>
      <c r="K1314" s="1">
        <v>15.171758613</v>
      </c>
      <c r="L1314" s="1">
        <v>29.5</v>
      </c>
      <c r="M1314" s="1">
        <v>7.7</v>
      </c>
      <c r="N1314" s="1">
        <v>29.0</v>
      </c>
      <c r="O1314" s="1">
        <v>50.345636341</v>
      </c>
      <c r="P1314" s="1">
        <v>6.6227693482</v>
      </c>
      <c r="Q1314" s="1">
        <v>82.12774</v>
      </c>
      <c r="R1314" s="1">
        <v>89.05</v>
      </c>
      <c r="S1314" s="1">
        <v>20.1</v>
      </c>
      <c r="T1314" s="1">
        <v>2626.0</v>
      </c>
      <c r="U1314" s="1">
        <v>38.233054075</v>
      </c>
      <c r="V1314" s="1">
        <v>112.06813743</v>
      </c>
      <c r="W1314" s="1">
        <v>15.248691099</v>
      </c>
      <c r="X1314" s="1">
        <v>11.858593853</v>
      </c>
      <c r="Y1314" s="1">
        <v>77.349242833</v>
      </c>
      <c r="Z1314" s="1">
        <v>14.5</v>
      </c>
      <c r="AA1314" s="1">
        <v>11.775561002</v>
      </c>
      <c r="AB1314" s="1">
        <v>44016.0</v>
      </c>
      <c r="AC1314" s="1">
        <v>48.208802456</v>
      </c>
      <c r="AD1314" s="1">
        <v>82.276675742</v>
      </c>
      <c r="AE1314" s="1">
        <v>13.640652379</v>
      </c>
      <c r="AF1314" s="1">
        <v>0.4087536159</v>
      </c>
      <c r="AG1314" s="1">
        <v>2.6474657276</v>
      </c>
      <c r="AH1314" s="1">
        <v>0.3207143756</v>
      </c>
      <c r="AI1314" s="1">
        <v>0.037731103</v>
      </c>
      <c r="AJ1314" s="1">
        <v>1.4589359829</v>
      </c>
      <c r="AK1314" s="1">
        <v>93.837253176</v>
      </c>
      <c r="AL1314" s="1">
        <v>0.1769911504</v>
      </c>
      <c r="AM1314" s="1">
        <v>49.478053075</v>
      </c>
      <c r="AN1314" s="1">
        <v>100.0</v>
      </c>
      <c r="AO1314" s="1">
        <v>25780.0</v>
      </c>
      <c r="AP1314" s="1">
        <v>12.8</v>
      </c>
      <c r="AQ1314" s="1">
        <v>7.0</v>
      </c>
      <c r="AR1314" s="1">
        <v>8.7</v>
      </c>
      <c r="AS1314" s="1">
        <v>30.0</v>
      </c>
      <c r="AT1314" s="1">
        <v>17.2</v>
      </c>
      <c r="AU1314" s="1">
        <v>18.0</v>
      </c>
      <c r="AV1314" s="1">
        <v>5.9</v>
      </c>
      <c r="AW1314" s="1">
        <v>0.2</v>
      </c>
      <c r="AX1314" s="1">
        <v>0.3139</v>
      </c>
      <c r="AY1314" s="1">
        <v>12.5</v>
      </c>
      <c r="AZ1314" s="1">
        <v>11.5</v>
      </c>
      <c r="BA1314" s="1">
        <v>20.5</v>
      </c>
      <c r="BB1314" s="1">
        <v>3.05</v>
      </c>
      <c r="BC1314" s="1" t="s">
        <v>2289</v>
      </c>
      <c r="BD1314" s="1">
        <v>8.8</v>
      </c>
      <c r="BE1314" s="1">
        <v>36.9</v>
      </c>
      <c r="BF1314" s="1">
        <v>36.3</v>
      </c>
      <c r="BG1314" s="1">
        <v>18.1</v>
      </c>
      <c r="BH1314" s="1" t="s">
        <v>2288</v>
      </c>
    </row>
    <row r="1315">
      <c r="A1315" s="1">
        <v>27003.0</v>
      </c>
      <c r="B1315" s="2" t="str">
        <f>IFERROR(__xludf.DUMMYFUNCTION("TO_TEXT(A1315)"),"27003")</f>
        <v>27003</v>
      </c>
      <c r="C1315" s="1">
        <v>341249.0</v>
      </c>
      <c r="D1315" s="1">
        <v>422.974203159914</v>
      </c>
      <c r="E1315" s="1" t="s">
        <v>2290</v>
      </c>
      <c r="F1315" s="1" t="s">
        <v>2291</v>
      </c>
      <c r="G1315" s="1">
        <v>806.784426687563</v>
      </c>
      <c r="H1315" s="1">
        <v>11.88727407</v>
      </c>
      <c r="I1315" s="1">
        <v>3.1445755206</v>
      </c>
      <c r="J1315" s="1">
        <v>6.2693788545</v>
      </c>
      <c r="K1315" s="1">
        <v>14.520691847</v>
      </c>
      <c r="L1315" s="1">
        <v>30.4</v>
      </c>
      <c r="M1315" s="1">
        <v>8.7</v>
      </c>
      <c r="N1315" s="1">
        <v>19.8</v>
      </c>
      <c r="O1315" s="1">
        <v>95.265744581</v>
      </c>
      <c r="P1315" s="1">
        <v>4.5945471817</v>
      </c>
      <c r="Q1315" s="1">
        <v>51.22761</v>
      </c>
      <c r="R1315" s="1">
        <v>82.69</v>
      </c>
      <c r="S1315" s="1">
        <v>7.4</v>
      </c>
      <c r="T1315" s="1">
        <v>83032.0</v>
      </c>
      <c r="U1315" s="1">
        <v>27.282252625</v>
      </c>
      <c r="V1315" s="1">
        <v>127.23293806</v>
      </c>
      <c r="W1315" s="1">
        <v>11.7755069459999</v>
      </c>
      <c r="X1315" s="1">
        <v>9.855479727</v>
      </c>
      <c r="Y1315" s="1">
        <v>81.402045624</v>
      </c>
      <c r="Z1315" s="1">
        <v>8.9</v>
      </c>
      <c r="AA1315" s="1">
        <v>6.4891365158</v>
      </c>
      <c r="AB1315" s="1">
        <v>82284.0</v>
      </c>
      <c r="AC1315" s="1">
        <v>35.190524159</v>
      </c>
      <c r="AD1315" s="1">
        <v>80.20623108</v>
      </c>
      <c r="AE1315" s="1">
        <v>8.81499896419999</v>
      </c>
      <c r="AF1315" s="1">
        <v>6.6755602536</v>
      </c>
      <c r="AG1315" s="1">
        <v>0.8722121573</v>
      </c>
      <c r="AH1315" s="1">
        <v>4.8042327444</v>
      </c>
      <c r="AI1315" s="1">
        <v>0.0613318335</v>
      </c>
      <c r="AJ1315" s="1">
        <v>4.7400745592</v>
      </c>
      <c r="AK1315" s="1">
        <v>80.581267506</v>
      </c>
      <c r="AL1315" s="1">
        <v>1.7919485137</v>
      </c>
      <c r="AM1315" s="1">
        <v>49.980356855</v>
      </c>
      <c r="AN1315" s="1">
        <v>13.50062265</v>
      </c>
      <c r="AO1315" s="1">
        <v>33051.0</v>
      </c>
      <c r="AP1315" s="1">
        <v>7.4</v>
      </c>
      <c r="AQ1315" s="1">
        <v>4.9</v>
      </c>
      <c r="AR1315" s="1">
        <v>6.5</v>
      </c>
      <c r="AS1315" s="1">
        <v>11.8</v>
      </c>
      <c r="AT1315" s="1">
        <v>24.5</v>
      </c>
      <c r="AU1315" s="1">
        <v>9.8</v>
      </c>
      <c r="AV1315" s="1">
        <v>16.7</v>
      </c>
      <c r="AW1315" s="1">
        <v>1.8</v>
      </c>
      <c r="AX1315" s="1">
        <v>0.1436</v>
      </c>
      <c r="AY1315" s="1">
        <v>6.2</v>
      </c>
      <c r="AZ1315" s="1">
        <v>6.1</v>
      </c>
      <c r="BA1315" s="1">
        <v>10.8</v>
      </c>
      <c r="BB1315" s="1">
        <v>3.09</v>
      </c>
      <c r="BC1315" s="1" t="s">
        <v>2289</v>
      </c>
      <c r="BD1315" s="1">
        <v>6.0</v>
      </c>
      <c r="BE1315" s="1">
        <v>27.9</v>
      </c>
      <c r="BF1315" s="1">
        <v>35.6</v>
      </c>
      <c r="BG1315" s="1">
        <v>30.5</v>
      </c>
      <c r="BH1315" s="1" t="s">
        <v>2291</v>
      </c>
    </row>
    <row r="1316">
      <c r="A1316" s="1">
        <v>27005.0</v>
      </c>
      <c r="B1316" s="2" t="str">
        <f>IFERROR(__xludf.DUMMYFUNCTION("TO_TEXT(A1316)"),"27005")</f>
        <v>27005</v>
      </c>
      <c r="C1316" s="1">
        <v>33375.0</v>
      </c>
      <c r="D1316" s="1">
        <v>1315.12455356831</v>
      </c>
      <c r="E1316" s="1" t="s">
        <v>2292</v>
      </c>
      <c r="F1316" s="1" t="s">
        <v>2293</v>
      </c>
      <c r="G1316" s="1">
        <v>25.3778244117213</v>
      </c>
      <c r="H1316" s="1">
        <v>12.588044639</v>
      </c>
      <c r="I1316" s="1">
        <v>3.1987656869</v>
      </c>
      <c r="J1316" s="1">
        <v>6.5187239945</v>
      </c>
      <c r="K1316" s="1">
        <v>16.623317342</v>
      </c>
      <c r="L1316" s="1">
        <v>30.0</v>
      </c>
      <c r="M1316" s="1">
        <v>7.8</v>
      </c>
      <c r="N1316" s="1">
        <v>27.0</v>
      </c>
      <c r="O1316" s="1">
        <v>64.53667241</v>
      </c>
      <c r="P1316" s="1">
        <v>6.8556336718</v>
      </c>
      <c r="Q1316" s="1">
        <v>82.11625</v>
      </c>
      <c r="R1316" s="1">
        <v>88.1</v>
      </c>
      <c r="S1316" s="1">
        <v>15.8</v>
      </c>
      <c r="T1316" s="1">
        <v>8236.0</v>
      </c>
      <c r="U1316" s="1">
        <v>26.833414279</v>
      </c>
      <c r="V1316" s="1">
        <v>74.649149</v>
      </c>
      <c r="W1316" s="1">
        <v>13.375324194</v>
      </c>
      <c r="X1316" s="1">
        <v>11.182394629</v>
      </c>
      <c r="Y1316" s="1">
        <v>79.363184193</v>
      </c>
      <c r="Z1316" s="1">
        <v>9.1</v>
      </c>
      <c r="AA1316" s="1">
        <v>12.524783079</v>
      </c>
      <c r="AB1316" s="1">
        <v>59440.0</v>
      </c>
      <c r="AC1316" s="1">
        <v>41.598119859</v>
      </c>
      <c r="AD1316" s="1">
        <v>78.846296434</v>
      </c>
      <c r="AE1316" s="1">
        <v>10.646387833</v>
      </c>
      <c r="AF1316" s="1">
        <v>0.6226179046</v>
      </c>
      <c r="AG1316" s="1">
        <v>8.105670478</v>
      </c>
      <c r="AH1316" s="1">
        <v>0.5207878735</v>
      </c>
      <c r="AI1316" s="1">
        <v>0.0349131535</v>
      </c>
      <c r="AJ1316" s="1">
        <v>2.1442495127</v>
      </c>
      <c r="AK1316" s="1">
        <v>86.107474324</v>
      </c>
      <c r="AL1316" s="1">
        <v>0.2880020255</v>
      </c>
      <c r="AM1316" s="1">
        <v>50.13237904</v>
      </c>
      <c r="AN1316" s="1">
        <v>75.470711297</v>
      </c>
      <c r="AO1316" s="1">
        <v>27188.0</v>
      </c>
      <c r="AP1316" s="1">
        <v>12.8</v>
      </c>
      <c r="AQ1316" s="1">
        <v>3.7</v>
      </c>
      <c r="AR1316" s="1">
        <v>7.6</v>
      </c>
      <c r="AS1316" s="1">
        <v>19.1</v>
      </c>
      <c r="AT1316" s="1">
        <v>24.6</v>
      </c>
      <c r="AU1316" s="1">
        <v>12.2</v>
      </c>
      <c r="AV1316" s="1">
        <v>13.2</v>
      </c>
      <c r="AW1316" s="1">
        <v>0.4</v>
      </c>
      <c r="AX1316" s="1">
        <v>0.2709</v>
      </c>
      <c r="AY1316" s="1">
        <v>10.2</v>
      </c>
      <c r="AZ1316" s="1">
        <v>9.2</v>
      </c>
      <c r="BA1316" s="1">
        <v>15.9</v>
      </c>
      <c r="BB1316" s="1">
        <v>3.28</v>
      </c>
      <c r="BC1316" s="1" t="s">
        <v>2289</v>
      </c>
      <c r="BD1316" s="1">
        <v>6.9</v>
      </c>
      <c r="BE1316" s="1">
        <v>31.6</v>
      </c>
      <c r="BF1316" s="1">
        <v>36.6</v>
      </c>
      <c r="BG1316" s="1">
        <v>25.0</v>
      </c>
      <c r="BH1316" s="1" t="s">
        <v>2293</v>
      </c>
    </row>
    <row r="1317">
      <c r="A1317" s="1">
        <v>27007.0</v>
      </c>
      <c r="B1317" s="2" t="str">
        <f>IFERROR(__xludf.DUMMYFUNCTION("TO_TEXT(A1317)"),"27007")</f>
        <v>27007</v>
      </c>
      <c r="C1317" s="1">
        <v>45644.0</v>
      </c>
      <c r="D1317" s="1">
        <v>2504.69288964974</v>
      </c>
      <c r="E1317" s="1" t="s">
        <v>2294</v>
      </c>
      <c r="F1317" s="1" t="s">
        <v>2295</v>
      </c>
      <c r="G1317" s="1">
        <v>18.2233918531956</v>
      </c>
      <c r="H1317" s="1">
        <v>15.219191285</v>
      </c>
      <c r="I1317" s="1">
        <v>3.6353720636</v>
      </c>
      <c r="J1317" s="1">
        <v>6.2885064797</v>
      </c>
      <c r="K1317" s="1">
        <v>19.420664093</v>
      </c>
      <c r="L1317" s="1">
        <v>33.8</v>
      </c>
      <c r="M1317" s="1">
        <v>7.7</v>
      </c>
      <c r="N1317" s="1">
        <v>23.0</v>
      </c>
      <c r="O1317" s="1">
        <v>79.802889159</v>
      </c>
      <c r="P1317" s="1">
        <v>9.0029821875</v>
      </c>
      <c r="Q1317" s="1">
        <v>79.54765</v>
      </c>
      <c r="R1317" s="1">
        <v>64.59</v>
      </c>
      <c r="S1317" s="1">
        <v>23.6</v>
      </c>
      <c r="T1317" s="1">
        <v>11463.0</v>
      </c>
      <c r="U1317" s="1">
        <v>46.6282823</v>
      </c>
      <c r="V1317" s="1">
        <v>256.92108386</v>
      </c>
      <c r="W1317" s="1">
        <v>14.581484768</v>
      </c>
      <c r="X1317" s="1">
        <v>11.869967194</v>
      </c>
      <c r="Y1317" s="1">
        <v>77.963457812</v>
      </c>
      <c r="Z1317" s="1">
        <v>9.8</v>
      </c>
      <c r="AA1317" s="1">
        <v>6.5060581952</v>
      </c>
      <c r="AB1317" s="1">
        <v>47073.0</v>
      </c>
      <c r="AC1317" s="1">
        <v>56.720559846</v>
      </c>
      <c r="AD1317" s="1">
        <v>67.176191303</v>
      </c>
      <c r="AE1317" s="1">
        <v>13.707998811</v>
      </c>
      <c r="AF1317" s="1">
        <v>0.7428437253</v>
      </c>
      <c r="AG1317" s="1">
        <v>21.967255107</v>
      </c>
      <c r="AH1317" s="1">
        <v>0.7513821589</v>
      </c>
      <c r="AI1317" s="1">
        <v>0.0469613849</v>
      </c>
      <c r="AJ1317" s="1">
        <v>2.4334535829</v>
      </c>
      <c r="AK1317" s="1">
        <v>71.9811300619999</v>
      </c>
      <c r="AL1317" s="1">
        <v>0.1545739847</v>
      </c>
      <c r="AM1317" s="1">
        <v>50.037355647</v>
      </c>
      <c r="AN1317" s="1">
        <v>67.089689933</v>
      </c>
      <c r="AO1317" s="1">
        <v>22845.0</v>
      </c>
      <c r="AP1317" s="1">
        <v>19.1</v>
      </c>
      <c r="AQ1317" s="1">
        <v>10.3</v>
      </c>
      <c r="AR1317" s="1">
        <v>9.8</v>
      </c>
      <c r="AS1317" s="1">
        <v>14.4</v>
      </c>
      <c r="AT1317" s="1">
        <v>25.3</v>
      </c>
      <c r="AU1317" s="1">
        <v>12.0</v>
      </c>
      <c r="AV1317" s="1">
        <v>27.1</v>
      </c>
      <c r="AW1317" s="1">
        <v>0.1</v>
      </c>
      <c r="AX1317" s="1">
        <v>0.7472</v>
      </c>
      <c r="AY1317" s="1">
        <v>16.3</v>
      </c>
      <c r="AZ1317" s="1">
        <v>11.7</v>
      </c>
      <c r="BA1317" s="1">
        <v>19.1</v>
      </c>
      <c r="BB1317" s="1">
        <v>3.08</v>
      </c>
      <c r="BC1317" s="1" t="s">
        <v>2289</v>
      </c>
      <c r="BD1317" s="1">
        <v>7.9</v>
      </c>
      <c r="BE1317" s="1">
        <v>27.8</v>
      </c>
      <c r="BF1317" s="1">
        <v>35.2</v>
      </c>
      <c r="BG1317" s="1">
        <v>29.2</v>
      </c>
      <c r="BH1317" s="1" t="s">
        <v>2295</v>
      </c>
    </row>
    <row r="1318">
      <c r="A1318" s="1">
        <v>27009.0</v>
      </c>
      <c r="B1318" s="2" t="str">
        <f>IFERROR(__xludf.DUMMYFUNCTION("TO_TEXT(A1318)"),"27009")</f>
        <v>27009</v>
      </c>
      <c r="C1318" s="1">
        <v>39457.0</v>
      </c>
      <c r="D1318" s="1">
        <v>408.296431382373</v>
      </c>
      <c r="E1318" s="1" t="s">
        <v>291</v>
      </c>
      <c r="F1318" s="1" t="s">
        <v>2296</v>
      </c>
      <c r="G1318" s="1">
        <v>96.6381211474467</v>
      </c>
      <c r="H1318" s="1">
        <v>12.717822895</v>
      </c>
      <c r="I1318" s="1">
        <v>3.2693659174</v>
      </c>
      <c r="J1318" s="1">
        <v>6.2579496311</v>
      </c>
      <c r="K1318" s="1">
        <v>16.836696299</v>
      </c>
      <c r="L1318" s="1">
        <v>30.4</v>
      </c>
      <c r="M1318" s="1">
        <v>8.2</v>
      </c>
      <c r="N1318" s="1">
        <v>21.9</v>
      </c>
      <c r="O1318" s="1">
        <v>73.933057658</v>
      </c>
      <c r="P1318" s="1">
        <v>4.5750674962</v>
      </c>
      <c r="Q1318" s="1">
        <v>20.03155</v>
      </c>
      <c r="R1318" s="1">
        <v>88.63</v>
      </c>
      <c r="S1318" s="1">
        <v>12.0</v>
      </c>
      <c r="T1318" s="1">
        <v>9767.0</v>
      </c>
      <c r="U1318" s="1">
        <v>30.920446401</v>
      </c>
      <c r="V1318" s="1">
        <v>142.34785785</v>
      </c>
      <c r="W1318" s="1">
        <v>14.499205087</v>
      </c>
      <c r="X1318" s="1">
        <v>12.472017909</v>
      </c>
      <c r="Y1318" s="1">
        <v>79.123551702</v>
      </c>
      <c r="Z1318" s="1">
        <v>11.0</v>
      </c>
      <c r="AA1318" s="1">
        <v>4.7628427339</v>
      </c>
      <c r="AB1318" s="1">
        <v>61341.0</v>
      </c>
      <c r="AC1318" s="1">
        <v>33.779549986</v>
      </c>
      <c r="AD1318" s="1">
        <v>66.861935006</v>
      </c>
      <c r="AE1318" s="1">
        <v>13.380988212</v>
      </c>
      <c r="AF1318" s="1">
        <v>4.5110371193</v>
      </c>
      <c r="AG1318" s="1">
        <v>0.6535947712</v>
      </c>
      <c r="AH1318" s="1">
        <v>1.1789369836</v>
      </c>
      <c r="AI1318" s="1">
        <v>0.0295967444</v>
      </c>
      <c r="AJ1318" s="1">
        <v>2.5181896658</v>
      </c>
      <c r="AK1318" s="1">
        <v>89.446294241</v>
      </c>
      <c r="AL1318" s="1">
        <v>0.5374738728</v>
      </c>
      <c r="AM1318" s="1">
        <v>50.097422617</v>
      </c>
      <c r="AN1318" s="1">
        <v>40.011963278</v>
      </c>
      <c r="AO1318" s="1">
        <v>25984.0</v>
      </c>
      <c r="AP1318" s="1">
        <v>13.5</v>
      </c>
      <c r="AQ1318" s="1">
        <v>5.0</v>
      </c>
      <c r="AR1318" s="1">
        <v>7.7</v>
      </c>
      <c r="AS1318" s="1">
        <v>13.8</v>
      </c>
      <c r="AT1318" s="1">
        <v>24.6</v>
      </c>
      <c r="AU1318" s="1">
        <v>13.1</v>
      </c>
      <c r="AV1318" s="1">
        <v>7.9</v>
      </c>
      <c r="AW1318" s="1">
        <v>0.3</v>
      </c>
      <c r="AX1318" s="1">
        <v>0.4066</v>
      </c>
      <c r="AY1318" s="1">
        <v>8.6</v>
      </c>
      <c r="AZ1318" s="1">
        <v>9.7</v>
      </c>
      <c r="BA1318" s="1">
        <v>15.2</v>
      </c>
      <c r="BB1318" s="1">
        <v>3.67</v>
      </c>
      <c r="BC1318" s="1" t="s">
        <v>2289</v>
      </c>
      <c r="BD1318" s="1">
        <v>8.3</v>
      </c>
      <c r="BE1318" s="1">
        <v>29.9</v>
      </c>
      <c r="BF1318" s="1">
        <v>38.3</v>
      </c>
      <c r="BG1318" s="1">
        <v>23.6</v>
      </c>
      <c r="BH1318" s="1" t="s">
        <v>2296</v>
      </c>
    </row>
    <row r="1319">
      <c r="A1319" s="1">
        <v>27011.0</v>
      </c>
      <c r="B1319" s="2" t="str">
        <f>IFERROR(__xludf.DUMMYFUNCTION("TO_TEXT(A1319)"),"27011")</f>
        <v>27011</v>
      </c>
      <c r="C1319" s="1">
        <v>5098.0</v>
      </c>
      <c r="D1319" s="1">
        <v>499.02825967458</v>
      </c>
      <c r="E1319" s="1" t="s">
        <v>2297</v>
      </c>
      <c r="F1319" s="1" t="s">
        <v>2298</v>
      </c>
      <c r="G1319" s="1">
        <v>10.2158543151934</v>
      </c>
      <c r="H1319" s="1">
        <v>12.780162402</v>
      </c>
      <c r="I1319" s="1">
        <v>3.1380437666</v>
      </c>
      <c r="J1319" s="1">
        <v>6.5533980583</v>
      </c>
      <c r="K1319" s="1">
        <v>14.600114947</v>
      </c>
      <c r="L1319" s="1">
        <v>34.5</v>
      </c>
      <c r="M1319" s="1">
        <v>7.7</v>
      </c>
      <c r="N1319" s="1">
        <v>26.2</v>
      </c>
      <c r="O1319" s="1">
        <v>69.899411653</v>
      </c>
      <c r="P1319" s="1">
        <v>5.9633027523</v>
      </c>
      <c r="Q1319" s="1">
        <v>139.27577</v>
      </c>
      <c r="R1319" s="1">
        <v>87.69</v>
      </c>
      <c r="S1319" s="1">
        <v>15.4</v>
      </c>
      <c r="T1319" s="1">
        <v>1033.0</v>
      </c>
      <c r="U1319" s="1">
        <v>24.007744434</v>
      </c>
      <c r="V1319" s="1">
        <v>29.741251115</v>
      </c>
      <c r="W1319" s="1">
        <v>11.460674157</v>
      </c>
      <c r="X1319" s="1">
        <v>9.4502498864</v>
      </c>
      <c r="Y1319" s="1">
        <v>81.862611459</v>
      </c>
      <c r="Z1319" s="1">
        <v>9.1</v>
      </c>
      <c r="AA1319" s="1">
        <v>12.602769205</v>
      </c>
      <c r="AB1319" s="1">
        <v>51058.0</v>
      </c>
      <c r="AC1319" s="1">
        <v>40.882002384</v>
      </c>
      <c r="AD1319" s="1">
        <v>73.043095866</v>
      </c>
      <c r="AE1319" s="1">
        <v>9.2926490985</v>
      </c>
      <c r="AF1319" s="1">
        <v>0.4409701343</v>
      </c>
      <c r="AG1319" s="1">
        <v>0.6614552014</v>
      </c>
      <c r="AH1319" s="1">
        <v>0.2405291642</v>
      </c>
      <c r="AI1319" s="1">
        <v>0.0</v>
      </c>
      <c r="AJ1319" s="1">
        <v>2.2649829625</v>
      </c>
      <c r="AK1319" s="1">
        <v>95.550210463</v>
      </c>
      <c r="AL1319" s="1">
        <v>0.4860524091</v>
      </c>
      <c r="AM1319" s="1">
        <v>50.3908598919999</v>
      </c>
      <c r="AN1319" s="1">
        <v>100.0</v>
      </c>
      <c r="AO1319" s="1">
        <v>27820.0</v>
      </c>
      <c r="AP1319" s="1">
        <v>11.3</v>
      </c>
      <c r="AQ1319" s="1">
        <v>2.3</v>
      </c>
      <c r="AR1319" s="1">
        <v>10.4</v>
      </c>
      <c r="AS1319" s="1">
        <v>25.6</v>
      </c>
      <c r="AT1319" s="1">
        <v>20.7</v>
      </c>
      <c r="AU1319" s="1">
        <v>16.2</v>
      </c>
      <c r="AV1319" s="1">
        <v>2.2</v>
      </c>
      <c r="AW1319" s="1">
        <v>0.4</v>
      </c>
      <c r="AX1319" s="1">
        <v>0.2009</v>
      </c>
      <c r="AY1319" s="1">
        <v>11.0</v>
      </c>
      <c r="AZ1319" s="1">
        <v>10.2</v>
      </c>
      <c r="BA1319" s="1">
        <v>15.6</v>
      </c>
      <c r="BB1319" s="1">
        <v>3.42</v>
      </c>
      <c r="BC1319" s="1" t="s">
        <v>2289</v>
      </c>
      <c r="BD1319" s="1">
        <v>7.4</v>
      </c>
      <c r="BE1319" s="1">
        <v>45.0</v>
      </c>
      <c r="BF1319" s="1">
        <v>32.3</v>
      </c>
      <c r="BG1319" s="1">
        <v>15.4</v>
      </c>
      <c r="BH1319" s="1" t="s">
        <v>2298</v>
      </c>
    </row>
    <row r="1320">
      <c r="A1320" s="1">
        <v>27013.0</v>
      </c>
      <c r="B1320" s="2" t="str">
        <f>IFERROR(__xludf.DUMMYFUNCTION("TO_TEXT(A1320)"),"27013")</f>
        <v>27013</v>
      </c>
      <c r="C1320" s="1">
        <v>65524.0</v>
      </c>
      <c r="D1320" s="1">
        <v>747.826508527222</v>
      </c>
      <c r="E1320" s="1" t="s">
        <v>2299</v>
      </c>
      <c r="F1320" s="1" t="s">
        <v>2300</v>
      </c>
      <c r="G1320" s="1">
        <v>87.6192529321322</v>
      </c>
      <c r="H1320" s="1">
        <v>13.670510369</v>
      </c>
      <c r="I1320" s="1">
        <v>3.3941340145</v>
      </c>
      <c r="J1320" s="1">
        <v>6.6259120489</v>
      </c>
      <c r="K1320" s="1">
        <v>15.974106314</v>
      </c>
      <c r="L1320" s="1">
        <v>33.4</v>
      </c>
      <c r="M1320" s="1">
        <v>7.1</v>
      </c>
      <c r="N1320" s="1">
        <v>20.2</v>
      </c>
      <c r="O1320" s="1">
        <v>83.440863575</v>
      </c>
      <c r="P1320" s="1">
        <v>4.5355071671</v>
      </c>
      <c r="Q1320" s="1">
        <v>100.04031</v>
      </c>
      <c r="R1320" s="1">
        <v>88.56</v>
      </c>
      <c r="S1320" s="1">
        <v>10.9</v>
      </c>
      <c r="T1320" s="1">
        <v>12933.0</v>
      </c>
      <c r="U1320" s="1">
        <v>31.268847135</v>
      </c>
      <c r="V1320" s="1">
        <v>199.91821528</v>
      </c>
      <c r="W1320" s="1">
        <v>15.251196172</v>
      </c>
      <c r="X1320" s="1">
        <v>13.862583115</v>
      </c>
      <c r="Y1320" s="1">
        <v>80.4276912219999</v>
      </c>
      <c r="Z1320" s="1">
        <v>7.6</v>
      </c>
      <c r="AA1320" s="1">
        <v>15.828577243</v>
      </c>
      <c r="AB1320" s="1">
        <v>58132.0</v>
      </c>
      <c r="AC1320" s="1">
        <v>34.987335943</v>
      </c>
      <c r="AD1320" s="1">
        <v>61.893495714</v>
      </c>
      <c r="AE1320" s="1">
        <v>14.3266589709999</v>
      </c>
      <c r="AF1320" s="1">
        <v>4.0562385988</v>
      </c>
      <c r="AG1320" s="1">
        <v>0.3945007193</v>
      </c>
      <c r="AH1320" s="1">
        <v>2.4263277322</v>
      </c>
      <c r="AI1320" s="1">
        <v>0.0697050142999999</v>
      </c>
      <c r="AJ1320" s="1">
        <v>3.8352588726</v>
      </c>
      <c r="AK1320" s="1">
        <v>87.491657645</v>
      </c>
      <c r="AL1320" s="1">
        <v>0.7375596673</v>
      </c>
      <c r="AM1320" s="1">
        <v>49.671496581</v>
      </c>
      <c r="AN1320" s="1">
        <v>26.892974864</v>
      </c>
      <c r="AO1320" s="1">
        <v>27324.0</v>
      </c>
      <c r="AP1320" s="1">
        <v>18.3</v>
      </c>
      <c r="AQ1320" s="1">
        <v>4.9</v>
      </c>
      <c r="AR1320" s="1">
        <v>5.8</v>
      </c>
      <c r="AS1320" s="1">
        <v>12.8</v>
      </c>
      <c r="AT1320" s="1">
        <v>19.6</v>
      </c>
      <c r="AU1320" s="1">
        <v>9.6</v>
      </c>
      <c r="AV1320" s="1">
        <v>10.7</v>
      </c>
      <c r="AW1320" s="1">
        <v>0.6</v>
      </c>
      <c r="AX1320" s="1">
        <v>0.1999</v>
      </c>
      <c r="AY1320" s="1">
        <v>15.2</v>
      </c>
      <c r="AZ1320" s="1">
        <v>8.6</v>
      </c>
      <c r="BA1320" s="1">
        <v>12.1</v>
      </c>
      <c r="BB1320" s="1">
        <v>3.05</v>
      </c>
      <c r="BC1320" s="1" t="s">
        <v>2289</v>
      </c>
      <c r="BD1320" s="1">
        <v>5.5</v>
      </c>
      <c r="BE1320" s="1">
        <v>26.5</v>
      </c>
      <c r="BF1320" s="1">
        <v>33.2</v>
      </c>
      <c r="BG1320" s="1">
        <v>34.8</v>
      </c>
      <c r="BH1320" s="1" t="s">
        <v>2300</v>
      </c>
    </row>
    <row r="1321">
      <c r="A1321" s="1">
        <v>27015.0</v>
      </c>
      <c r="B1321" s="2" t="str">
        <f>IFERROR(__xludf.DUMMYFUNCTION("TO_TEXT(A1321)"),"27015")</f>
        <v>27015</v>
      </c>
      <c r="C1321" s="1">
        <v>25327.0</v>
      </c>
      <c r="D1321" s="1">
        <v>611.067970469656</v>
      </c>
      <c r="E1321" s="1" t="s">
        <v>1158</v>
      </c>
      <c r="F1321" s="1" t="s">
        <v>2301</v>
      </c>
      <c r="G1321" s="1">
        <v>41.4471077260588</v>
      </c>
      <c r="H1321" s="1">
        <v>11.330785956</v>
      </c>
      <c r="I1321" s="1">
        <v>2.9205903454</v>
      </c>
      <c r="J1321" s="1">
        <v>5.7259713701</v>
      </c>
      <c r="K1321" s="1">
        <v>12.6288247359999</v>
      </c>
      <c r="L1321" s="1">
        <v>32.7</v>
      </c>
      <c r="M1321" s="1">
        <v>8.7</v>
      </c>
      <c r="N1321" s="1">
        <v>23.9</v>
      </c>
      <c r="O1321" s="1">
        <v>81.585756768</v>
      </c>
      <c r="P1321" s="1">
        <v>4.3178973717</v>
      </c>
      <c r="Q1321" s="1">
        <v>119.07597</v>
      </c>
      <c r="R1321" s="1">
        <v>85.31</v>
      </c>
      <c r="S1321" s="1">
        <v>10.4</v>
      </c>
      <c r="T1321" s="1">
        <v>5459.0</v>
      </c>
      <c r="U1321" s="1">
        <v>27.679062099</v>
      </c>
      <c r="V1321" s="1">
        <v>73.392311659</v>
      </c>
      <c r="W1321" s="1">
        <v>9.7744360902</v>
      </c>
      <c r="X1321" s="1">
        <v>8.3333333333</v>
      </c>
      <c r="Y1321" s="1">
        <v>80.773588369</v>
      </c>
      <c r="Z1321" s="1">
        <v>10.4</v>
      </c>
      <c r="AA1321" s="1">
        <v>6.0716176466</v>
      </c>
      <c r="AB1321" s="1">
        <v>60626.0</v>
      </c>
      <c r="AC1321" s="1">
        <v>35.3203342619999</v>
      </c>
      <c r="AD1321" s="1">
        <v>77.728077532</v>
      </c>
      <c r="AE1321" s="1">
        <v>6.2878214826</v>
      </c>
      <c r="AF1321" s="1">
        <v>0.5017721317</v>
      </c>
      <c r="AG1321" s="1">
        <v>0.2907092509</v>
      </c>
      <c r="AH1321" s="1">
        <v>0.8163752937</v>
      </c>
      <c r="AI1321" s="1">
        <v>0.0278762295</v>
      </c>
      <c r="AJ1321" s="1">
        <v>4.6075425113</v>
      </c>
      <c r="AK1321" s="1">
        <v>93.162359125</v>
      </c>
      <c r="AL1321" s="1">
        <v>0.5289894622</v>
      </c>
      <c r="AM1321" s="1">
        <v>50.185177811</v>
      </c>
      <c r="AN1321" s="1">
        <v>34.939945159</v>
      </c>
      <c r="AO1321" s="1">
        <v>28444.0</v>
      </c>
      <c r="AP1321" s="1">
        <v>8.0</v>
      </c>
      <c r="AQ1321" s="1">
        <v>2.7</v>
      </c>
      <c r="AR1321" s="1">
        <v>8.9</v>
      </c>
      <c r="AS1321" s="1">
        <v>20.0</v>
      </c>
      <c r="AT1321" s="1">
        <v>21.7</v>
      </c>
      <c r="AU1321" s="1">
        <v>10.1</v>
      </c>
      <c r="AV1321" s="1">
        <v>5.7</v>
      </c>
      <c r="AW1321" s="1">
        <v>0.8</v>
      </c>
      <c r="AX1321" s="1">
        <v>0.155</v>
      </c>
      <c r="AY1321" s="1">
        <v>7.4</v>
      </c>
      <c r="AZ1321" s="1">
        <v>7.3</v>
      </c>
      <c r="BA1321" s="1">
        <v>12.7</v>
      </c>
      <c r="BB1321" s="1">
        <v>2.76</v>
      </c>
      <c r="BC1321" s="1" t="s">
        <v>2289</v>
      </c>
      <c r="BD1321" s="1">
        <v>6.5</v>
      </c>
      <c r="BE1321" s="1">
        <v>36.1</v>
      </c>
      <c r="BF1321" s="1">
        <v>35.2</v>
      </c>
      <c r="BG1321" s="1">
        <v>22.2</v>
      </c>
      <c r="BH1321" s="1" t="s">
        <v>2301</v>
      </c>
    </row>
    <row r="1322">
      <c r="A1322" s="1">
        <v>27017.0</v>
      </c>
      <c r="B1322" s="2" t="str">
        <f>IFERROR(__xludf.DUMMYFUNCTION("TO_TEXT(A1322)"),"27017")</f>
        <v>27017</v>
      </c>
      <c r="C1322" s="1">
        <v>35482.0</v>
      </c>
      <c r="D1322" s="1">
        <v>861.324496846443</v>
      </c>
      <c r="E1322" s="1" t="s">
        <v>2302</v>
      </c>
      <c r="F1322" s="1" t="s">
        <v>2303</v>
      </c>
      <c r="G1322" s="1">
        <v>41.19469506546</v>
      </c>
      <c r="H1322" s="1">
        <v>12.048064683</v>
      </c>
      <c r="I1322" s="1">
        <v>3.1969684844</v>
      </c>
      <c r="J1322" s="1">
        <v>5.9556247567</v>
      </c>
      <c r="K1322" s="1">
        <v>19.586957252</v>
      </c>
      <c r="L1322" s="1">
        <v>30.4</v>
      </c>
      <c r="M1322" s="1">
        <v>8.2</v>
      </c>
      <c r="N1322" s="1">
        <v>21.2</v>
      </c>
      <c r="O1322" s="1">
        <v>72.901712542</v>
      </c>
      <c r="P1322" s="1">
        <v>5.2847266766</v>
      </c>
      <c r="Q1322" s="1">
        <v>64.79238</v>
      </c>
      <c r="R1322" s="1">
        <v>88.84</v>
      </c>
      <c r="S1322" s="1">
        <v>11.0</v>
      </c>
      <c r="T1322" s="1">
        <v>8005.0</v>
      </c>
      <c r="U1322" s="1">
        <v>31.39287945</v>
      </c>
      <c r="V1322" s="1">
        <v>171.62551875</v>
      </c>
      <c r="W1322" s="1">
        <v>13.581640331</v>
      </c>
      <c r="X1322" s="1">
        <v>11.323922167</v>
      </c>
      <c r="Y1322" s="1">
        <v>78.451576532</v>
      </c>
      <c r="Z1322" s="1">
        <v>9.8</v>
      </c>
      <c r="AA1322" s="1">
        <v>7.45420454299999</v>
      </c>
      <c r="AB1322" s="1">
        <v>60412.0</v>
      </c>
      <c r="AC1322" s="1">
        <v>33.589664719</v>
      </c>
      <c r="AD1322" s="1">
        <v>80.29512595</v>
      </c>
      <c r="AE1322" s="1">
        <v>9.4669117647</v>
      </c>
      <c r="AF1322" s="1">
        <v>1.6547144013</v>
      </c>
      <c r="AG1322" s="1">
        <v>5.96032033929999</v>
      </c>
      <c r="AH1322" s="1">
        <v>0.5469207802</v>
      </c>
      <c r="AI1322" s="1">
        <v>0.019532885</v>
      </c>
      <c r="AJ1322" s="1">
        <v>1.8305103664</v>
      </c>
      <c r="AK1322" s="1">
        <v>88.0514552</v>
      </c>
      <c r="AL1322" s="1">
        <v>0.0981120856</v>
      </c>
      <c r="AM1322" s="1">
        <v>47.847197031</v>
      </c>
      <c r="AN1322" s="1">
        <v>55.165884813</v>
      </c>
      <c r="AO1322" s="1">
        <v>25714.0</v>
      </c>
      <c r="AP1322" s="1">
        <v>13.1</v>
      </c>
      <c r="AQ1322" s="1">
        <v>4.3</v>
      </c>
      <c r="AR1322" s="1">
        <v>5.8</v>
      </c>
      <c r="AS1322" s="1">
        <v>16.3</v>
      </c>
      <c r="AT1322" s="1">
        <v>22.8</v>
      </c>
      <c r="AU1322" s="1">
        <v>11.6</v>
      </c>
      <c r="AV1322" s="1">
        <v>11.6</v>
      </c>
      <c r="AW1322" s="1">
        <v>0.3</v>
      </c>
      <c r="AX1322" s="1">
        <v>0.2894</v>
      </c>
      <c r="AY1322" s="1">
        <v>9.1</v>
      </c>
      <c r="AZ1322" s="1">
        <v>9.2</v>
      </c>
      <c r="BA1322" s="1">
        <v>15.5</v>
      </c>
      <c r="BB1322" s="1">
        <v>3.25</v>
      </c>
      <c r="BC1322" s="1" t="s">
        <v>2289</v>
      </c>
      <c r="BD1322" s="1">
        <v>6.0</v>
      </c>
      <c r="BE1322" s="1">
        <v>32.1</v>
      </c>
      <c r="BF1322" s="1">
        <v>39.7</v>
      </c>
      <c r="BG1322" s="1">
        <v>22.1</v>
      </c>
      <c r="BH1322" s="1" t="s">
        <v>2303</v>
      </c>
    </row>
    <row r="1323">
      <c r="A1323" s="1">
        <v>27019.0</v>
      </c>
      <c r="B1323" s="2" t="str">
        <f>IFERROR(__xludf.DUMMYFUNCTION("TO_TEXT(A1323)"),"27019")</f>
        <v>27019</v>
      </c>
      <c r="C1323" s="1">
        <v>97143.0</v>
      </c>
      <c r="D1323" s="1">
        <v>354.190058500534</v>
      </c>
      <c r="E1323" s="1" t="s">
        <v>2304</v>
      </c>
      <c r="F1323" s="1" t="s">
        <v>2305</v>
      </c>
      <c r="G1323" s="1">
        <v>274.268002922655</v>
      </c>
      <c r="H1323" s="1">
        <v>9.2750491725</v>
      </c>
      <c r="I1323" s="1">
        <v>2.7800605156</v>
      </c>
      <c r="J1323" s="1">
        <v>5.8369098712</v>
      </c>
      <c r="K1323" s="1">
        <v>11.805749925</v>
      </c>
      <c r="L1323" s="1">
        <v>23.9</v>
      </c>
      <c r="M1323" s="1">
        <v>9.5</v>
      </c>
      <c r="N1323" s="1">
        <v>15.9</v>
      </c>
      <c r="O1323" s="1">
        <v>96.4192350779999</v>
      </c>
      <c r="P1323" s="1">
        <v>3.1729616142</v>
      </c>
      <c r="Q1323" s="1">
        <v>83.2362199999999</v>
      </c>
      <c r="R1323" s="1">
        <v>93.57</v>
      </c>
      <c r="S1323" s="1">
        <v>3.7</v>
      </c>
      <c r="T1323" s="1">
        <v>27230.0</v>
      </c>
      <c r="U1323" s="1">
        <v>15.222181418</v>
      </c>
      <c r="V1323" s="1">
        <v>61.941196481</v>
      </c>
      <c r="W1323" s="1">
        <v>9.9742783652</v>
      </c>
      <c r="X1323" s="1">
        <v>8.5628227194</v>
      </c>
      <c r="Y1323" s="1">
        <v>83.255562331</v>
      </c>
      <c r="Z1323" s="1">
        <v>7.1</v>
      </c>
      <c r="AA1323" s="1">
        <v>2.5123896041</v>
      </c>
      <c r="AB1323" s="1">
        <v>104248.0</v>
      </c>
      <c r="AC1323" s="1">
        <v>15.430808</v>
      </c>
      <c r="AD1323" s="1">
        <v>81.493361598</v>
      </c>
      <c r="AE1323" s="1">
        <v>8.7052186178</v>
      </c>
      <c r="AF1323" s="1">
        <v>1.9710094543</v>
      </c>
      <c r="AG1323" s="1">
        <v>0.3186835472</v>
      </c>
      <c r="AH1323" s="1">
        <v>3.2940290292</v>
      </c>
      <c r="AI1323" s="1">
        <v>0.0405597242</v>
      </c>
      <c r="AJ1323" s="1">
        <v>4.2684281175</v>
      </c>
      <c r="AK1323" s="1">
        <v>88.618168825</v>
      </c>
      <c r="AL1323" s="1">
        <v>0.53481633</v>
      </c>
      <c r="AM1323" s="1">
        <v>50.367451787</v>
      </c>
      <c r="AN1323" s="1">
        <v>18.827574087</v>
      </c>
      <c r="AO1323" s="1">
        <v>41759.0</v>
      </c>
      <c r="AP1323" s="1">
        <v>4.1</v>
      </c>
      <c r="AQ1323" s="1">
        <v>3.0</v>
      </c>
      <c r="AR1323" s="1">
        <v>4.3</v>
      </c>
      <c r="AS1323" s="1">
        <v>10.0</v>
      </c>
      <c r="AT1323" s="1">
        <v>27.9</v>
      </c>
      <c r="AU1323" s="1">
        <v>6.8</v>
      </c>
      <c r="AV1323" s="1">
        <v>10.1</v>
      </c>
      <c r="AW1323" s="1">
        <v>0.8</v>
      </c>
      <c r="AX1323" s="1">
        <v>0.022</v>
      </c>
      <c r="AY1323" s="1">
        <v>4.3</v>
      </c>
      <c r="AZ1323" s="1">
        <v>4.3</v>
      </c>
      <c r="BA1323" s="1">
        <v>7.0</v>
      </c>
      <c r="BB1323" s="1">
        <v>3.83</v>
      </c>
      <c r="BC1323" s="1" t="s">
        <v>2289</v>
      </c>
      <c r="BD1323" s="1">
        <v>3.9</v>
      </c>
      <c r="BE1323" s="1">
        <v>18.2</v>
      </c>
      <c r="BF1323" s="1">
        <v>29.0</v>
      </c>
      <c r="BG1323" s="1">
        <v>48.9</v>
      </c>
      <c r="BH1323" s="1" t="s">
        <v>2305</v>
      </c>
    </row>
    <row r="1324">
      <c r="A1324" s="1">
        <v>27021.0</v>
      </c>
      <c r="B1324" s="2" t="str">
        <f>IFERROR(__xludf.DUMMYFUNCTION("TO_TEXT(A1324)"),"27021")</f>
        <v>27021</v>
      </c>
      <c r="C1324" s="1">
        <v>28633.0</v>
      </c>
      <c r="D1324" s="1">
        <v>2021.46784931418</v>
      </c>
      <c r="E1324" s="1" t="s">
        <v>1164</v>
      </c>
      <c r="F1324" s="1" t="s">
        <v>2306</v>
      </c>
      <c r="G1324" s="1">
        <v>14.1644597561688</v>
      </c>
      <c r="H1324" s="1">
        <v>15.306334798</v>
      </c>
      <c r="I1324" s="1">
        <v>3.6050065223</v>
      </c>
      <c r="J1324" s="1">
        <v>7.0953436807</v>
      </c>
      <c r="K1324" s="1">
        <v>16.47927041</v>
      </c>
      <c r="L1324" s="1">
        <v>30.8</v>
      </c>
      <c r="M1324" s="1">
        <v>8.2</v>
      </c>
      <c r="N1324" s="1">
        <v>27.8</v>
      </c>
      <c r="O1324" s="1">
        <v>72.051668009</v>
      </c>
      <c r="P1324" s="1">
        <v>8.2940142474</v>
      </c>
      <c r="Q1324" s="1">
        <v>40.8789</v>
      </c>
      <c r="R1324" s="1">
        <v>67.75</v>
      </c>
      <c r="S1324" s="1">
        <v>20.3</v>
      </c>
      <c r="T1324" s="1">
        <v>6011.0</v>
      </c>
      <c r="U1324" s="1">
        <v>39.943437032</v>
      </c>
      <c r="V1324" s="1">
        <v>235.76256091</v>
      </c>
      <c r="W1324" s="1">
        <v>14.3303397109999</v>
      </c>
      <c r="X1324" s="1">
        <v>11.63064833</v>
      </c>
      <c r="Y1324" s="1">
        <v>77.1972153489999</v>
      </c>
      <c r="Z1324" s="1">
        <v>11.9</v>
      </c>
      <c r="AA1324" s="1">
        <v>5.0907856878</v>
      </c>
      <c r="AB1324" s="1">
        <v>48651.0</v>
      </c>
      <c r="AC1324" s="1">
        <v>59.24096115</v>
      </c>
      <c r="AD1324" s="1">
        <v>81.740601215</v>
      </c>
      <c r="AE1324" s="1">
        <v>11.340697767</v>
      </c>
      <c r="AF1324" s="1">
        <v>0.4437819709</v>
      </c>
      <c r="AG1324" s="1">
        <v>12.5207493479999</v>
      </c>
      <c r="AH1324" s="1">
        <v>0.4132931332</v>
      </c>
      <c r="AI1324" s="1">
        <v>0.0169382432</v>
      </c>
      <c r="AJ1324" s="1">
        <v>2.3544158</v>
      </c>
      <c r="AK1324" s="1">
        <v>82.82462143</v>
      </c>
      <c r="AL1324" s="1">
        <v>0.0914009944</v>
      </c>
      <c r="AM1324" s="1">
        <v>48.92103391</v>
      </c>
      <c r="AN1324" s="1">
        <v>100.0</v>
      </c>
      <c r="AO1324" s="1">
        <v>26844.0</v>
      </c>
      <c r="AP1324" s="1">
        <v>15.9</v>
      </c>
      <c r="AQ1324" s="1">
        <v>6.3</v>
      </c>
      <c r="AR1324" s="1">
        <v>8.7</v>
      </c>
      <c r="AS1324" s="1">
        <v>23.7</v>
      </c>
      <c r="AT1324" s="1">
        <v>21.3</v>
      </c>
      <c r="AU1324" s="1">
        <v>16.0</v>
      </c>
      <c r="AV1324" s="1">
        <v>16.3</v>
      </c>
      <c r="AW1324" s="1">
        <v>0.1</v>
      </c>
      <c r="AX1324" s="1">
        <v>0.3273</v>
      </c>
      <c r="AY1324" s="1">
        <v>11.4</v>
      </c>
      <c r="AZ1324" s="1">
        <v>11.1</v>
      </c>
      <c r="BA1324" s="1">
        <v>21.0</v>
      </c>
      <c r="BB1324" s="1">
        <v>3.31</v>
      </c>
      <c r="BC1324" s="1" t="s">
        <v>2289</v>
      </c>
      <c r="BD1324" s="1">
        <v>7.8</v>
      </c>
      <c r="BE1324" s="1">
        <v>32.3</v>
      </c>
      <c r="BF1324" s="1">
        <v>36.7</v>
      </c>
      <c r="BG1324" s="1">
        <v>23.2</v>
      </c>
      <c r="BH1324" s="1" t="s">
        <v>2306</v>
      </c>
    </row>
    <row r="1325">
      <c r="A1325" s="1">
        <v>27023.0</v>
      </c>
      <c r="B1325" s="2" t="str">
        <f>IFERROR(__xludf.DUMMYFUNCTION("TO_TEXT(A1325)"),"27023")</f>
        <v>27023</v>
      </c>
      <c r="C1325" s="1">
        <v>12126.0</v>
      </c>
      <c r="D1325" s="1">
        <v>581.108391957288</v>
      </c>
      <c r="E1325" s="1" t="s">
        <v>2170</v>
      </c>
      <c r="F1325" s="1" t="s">
        <v>2307</v>
      </c>
      <c r="G1325" s="1">
        <v>20.8670192477469</v>
      </c>
      <c r="H1325" s="1">
        <v>13.217914998</v>
      </c>
      <c r="I1325" s="1">
        <v>3.2568930787</v>
      </c>
      <c r="J1325" s="1">
        <v>4.6753246753</v>
      </c>
      <c r="K1325" s="1">
        <v>15.417223904</v>
      </c>
      <c r="L1325" s="1">
        <v>33.9</v>
      </c>
      <c r="M1325" s="1">
        <v>8.8</v>
      </c>
      <c r="N1325" s="1">
        <v>26.7</v>
      </c>
      <c r="O1325" s="1">
        <v>65.026927096</v>
      </c>
      <c r="P1325" s="1">
        <v>6.226596769</v>
      </c>
      <c r="Q1325" s="1">
        <v>83.47245</v>
      </c>
      <c r="R1325" s="1">
        <v>76.49</v>
      </c>
      <c r="S1325" s="1">
        <v>13.0</v>
      </c>
      <c r="T1325" s="1">
        <v>2716.0</v>
      </c>
      <c r="U1325" s="1">
        <v>23.564064801</v>
      </c>
      <c r="V1325" s="1">
        <v>91.46468216</v>
      </c>
      <c r="W1325" s="1">
        <v>9.8098098098</v>
      </c>
      <c r="X1325" s="1">
        <v>8.546663979</v>
      </c>
      <c r="Y1325" s="1">
        <v>79.6384823539999</v>
      </c>
      <c r="Z1325" s="1">
        <v>10.6</v>
      </c>
      <c r="AA1325" s="1">
        <v>2.126779523</v>
      </c>
      <c r="AB1325" s="1">
        <v>53540.0</v>
      </c>
      <c r="AC1325" s="1">
        <v>41.060240964</v>
      </c>
      <c r="AD1325" s="1">
        <v>67.32051785</v>
      </c>
      <c r="AE1325" s="1">
        <v>7.3917421954</v>
      </c>
      <c r="AF1325" s="1">
        <v>0.7547802751</v>
      </c>
      <c r="AG1325" s="1">
        <v>1.3837638376</v>
      </c>
      <c r="AH1325" s="1">
        <v>0.8721905401</v>
      </c>
      <c r="AI1325" s="1">
        <v>1.43408252259999</v>
      </c>
      <c r="AJ1325" s="1">
        <v>7.6819859108</v>
      </c>
      <c r="AK1325" s="1">
        <v>86.632002684</v>
      </c>
      <c r="AL1325" s="1">
        <v>1.9862217053</v>
      </c>
      <c r="AM1325" s="1">
        <v>49.79872526</v>
      </c>
      <c r="AN1325" s="1">
        <v>50.341612411</v>
      </c>
      <c r="AO1325" s="1">
        <v>27781.0</v>
      </c>
      <c r="AP1325" s="1">
        <v>10.8</v>
      </c>
      <c r="AQ1325" s="1">
        <v>2.2</v>
      </c>
      <c r="AR1325" s="1">
        <v>9.9</v>
      </c>
      <c r="AS1325" s="1">
        <v>19.9</v>
      </c>
      <c r="AT1325" s="1">
        <v>23.0</v>
      </c>
      <c r="AU1325" s="1">
        <v>13.5</v>
      </c>
      <c r="AV1325" s="1">
        <v>10.7</v>
      </c>
      <c r="AW1325" s="1">
        <v>2.2</v>
      </c>
      <c r="AX1325" s="1">
        <v>0.2149</v>
      </c>
      <c r="AY1325" s="1">
        <v>10.4</v>
      </c>
      <c r="AZ1325" s="1">
        <v>8.9</v>
      </c>
      <c r="BA1325" s="1">
        <v>14.5</v>
      </c>
      <c r="BB1325" s="1">
        <v>2.94</v>
      </c>
      <c r="BC1325" s="1" t="s">
        <v>2289</v>
      </c>
      <c r="BD1325" s="1">
        <v>10.6</v>
      </c>
      <c r="BE1325" s="1">
        <v>34.1</v>
      </c>
      <c r="BF1325" s="1">
        <v>36.3</v>
      </c>
      <c r="BG1325" s="1">
        <v>19.0</v>
      </c>
      <c r="BH1325" s="1" t="s">
        <v>2307</v>
      </c>
    </row>
    <row r="1326">
      <c r="A1326" s="1">
        <v>27025.0</v>
      </c>
      <c r="B1326" s="2" t="str">
        <f>IFERROR(__xludf.DUMMYFUNCTION("TO_TEXT(A1326)"),"27025")</f>
        <v>27025</v>
      </c>
      <c r="C1326" s="1">
        <v>54041.0</v>
      </c>
      <c r="D1326" s="1">
        <v>414.909268676428</v>
      </c>
      <c r="E1326" s="1" t="s">
        <v>2308</v>
      </c>
      <c r="F1326" s="1" t="s">
        <v>2309</v>
      </c>
      <c r="G1326" s="1">
        <v>130.247753135021</v>
      </c>
      <c r="H1326" s="1">
        <v>10.904841122</v>
      </c>
      <c r="I1326" s="1">
        <v>2.9508790954</v>
      </c>
      <c r="J1326" s="1">
        <v>6.8956994563</v>
      </c>
      <c r="K1326" s="1">
        <v>14.62280109</v>
      </c>
      <c r="L1326" s="1">
        <v>29.0</v>
      </c>
      <c r="M1326" s="1">
        <v>9.2</v>
      </c>
      <c r="N1326" s="1">
        <v>23.7</v>
      </c>
      <c r="O1326" s="1">
        <v>78.865032383</v>
      </c>
      <c r="P1326" s="1">
        <v>4.1705604938</v>
      </c>
      <c r="Q1326" s="1">
        <v>43.39336</v>
      </c>
      <c r="R1326" s="1">
        <v>83.69</v>
      </c>
      <c r="S1326" s="1">
        <v>7.4</v>
      </c>
      <c r="T1326" s="1">
        <v>12566.0</v>
      </c>
      <c r="U1326" s="1">
        <v>22.417634888</v>
      </c>
      <c r="V1326" s="1">
        <v>68.45006845</v>
      </c>
      <c r="W1326" s="1">
        <v>10.763011622</v>
      </c>
      <c r="X1326" s="1">
        <v>9.4568527919</v>
      </c>
      <c r="Y1326" s="1">
        <v>80.531067047</v>
      </c>
      <c r="Z1326" s="1">
        <v>9.0</v>
      </c>
      <c r="AA1326" s="1">
        <v>2.3093715664</v>
      </c>
      <c r="AB1326" s="1">
        <v>82814.0</v>
      </c>
      <c r="AC1326" s="1">
        <v>24.790073944</v>
      </c>
      <c r="AD1326" s="1">
        <v>85.8969256789999</v>
      </c>
      <c r="AE1326" s="1">
        <v>8.6374389691</v>
      </c>
      <c r="AF1326" s="1">
        <v>1.3018132399</v>
      </c>
      <c r="AG1326" s="1">
        <v>0.7331640499</v>
      </c>
      <c r="AH1326" s="1">
        <v>1.25889631989999</v>
      </c>
      <c r="AI1326" s="1">
        <v>0.04291692</v>
      </c>
      <c r="AJ1326" s="1">
        <v>2.2924788098</v>
      </c>
      <c r="AK1326" s="1">
        <v>93.056399986</v>
      </c>
      <c r="AL1326" s="1">
        <v>0.100644512</v>
      </c>
      <c r="AM1326" s="1">
        <v>48.3906155</v>
      </c>
      <c r="AN1326" s="1">
        <v>55.588546403</v>
      </c>
      <c r="AO1326" s="1">
        <v>30455.0</v>
      </c>
      <c r="AP1326" s="1">
        <v>6.0</v>
      </c>
      <c r="AQ1326" s="1">
        <v>5.4</v>
      </c>
      <c r="AR1326" s="1">
        <v>6.2</v>
      </c>
      <c r="AS1326" s="1">
        <v>13.8</v>
      </c>
      <c r="AT1326" s="1">
        <v>23.6</v>
      </c>
      <c r="AU1326" s="1">
        <v>11.7</v>
      </c>
      <c r="AV1326" s="1">
        <v>5.9</v>
      </c>
      <c r="AW1326" s="1">
        <v>0.3</v>
      </c>
      <c r="AX1326" s="1">
        <v>0.0828</v>
      </c>
      <c r="AY1326" s="1">
        <v>6.2</v>
      </c>
      <c r="AZ1326" s="1">
        <v>6.3</v>
      </c>
      <c r="BA1326" s="1">
        <v>11.4</v>
      </c>
      <c r="BB1326" s="1">
        <v>4.48</v>
      </c>
      <c r="BC1326" s="1" t="s">
        <v>2289</v>
      </c>
      <c r="BD1326" s="1">
        <v>5.4</v>
      </c>
      <c r="BE1326" s="1">
        <v>33.8</v>
      </c>
      <c r="BF1326" s="1">
        <v>39.4</v>
      </c>
      <c r="BG1326" s="1">
        <v>21.5</v>
      </c>
      <c r="BH1326" s="1" t="s">
        <v>2309</v>
      </c>
    </row>
    <row r="1327">
      <c r="A1327" s="1">
        <v>27027.0</v>
      </c>
      <c r="B1327" s="2" t="str">
        <f>IFERROR(__xludf.DUMMYFUNCTION("TO_TEXT(A1327)"),"27027")</f>
        <v>27027</v>
      </c>
      <c r="C1327" s="1">
        <v>61402.0</v>
      </c>
      <c r="D1327" s="1">
        <v>1045.2973044596</v>
      </c>
      <c r="E1327" s="1" t="s">
        <v>86</v>
      </c>
      <c r="F1327" s="1" t="s">
        <v>2310</v>
      </c>
      <c r="G1327" s="1">
        <v>58.7411827601945</v>
      </c>
      <c r="H1327" s="1">
        <v>11.946171046</v>
      </c>
      <c r="I1327" s="1">
        <v>3.1780931518</v>
      </c>
      <c r="J1327" s="1">
        <v>6.8573340023</v>
      </c>
      <c r="K1327" s="1">
        <v>15.475027962</v>
      </c>
      <c r="L1327" s="1">
        <v>28.1</v>
      </c>
      <c r="M1327" s="1">
        <v>8.7</v>
      </c>
      <c r="N1327" s="1">
        <v>19.9</v>
      </c>
      <c r="O1327" s="1">
        <v>87.070967305</v>
      </c>
      <c r="P1327" s="1">
        <v>4.8244443597</v>
      </c>
      <c r="Q1327" s="1">
        <v>22.02331</v>
      </c>
      <c r="R1327" s="1">
        <v>78.24</v>
      </c>
      <c r="S1327" s="1">
        <v>13.2</v>
      </c>
      <c r="T1327" s="1">
        <v>14996.0</v>
      </c>
      <c r="U1327" s="1">
        <v>22.085889571</v>
      </c>
      <c r="V1327" s="1">
        <v>135.42926239</v>
      </c>
      <c r="W1327" s="1">
        <v>13.566312134</v>
      </c>
      <c r="X1327" s="1">
        <v>12.155399473</v>
      </c>
      <c r="Y1327" s="1">
        <v>80.219870551</v>
      </c>
      <c r="Z1327" s="1">
        <v>7.0</v>
      </c>
      <c r="AA1327" s="1">
        <v>2.2545960078</v>
      </c>
      <c r="AB1327" s="1">
        <v>65914.0</v>
      </c>
      <c r="AC1327" s="1">
        <v>33.339569691</v>
      </c>
      <c r="AD1327" s="1">
        <v>68.463543857</v>
      </c>
      <c r="AE1327" s="1">
        <v>13.002761954</v>
      </c>
      <c r="AF1327" s="1">
        <v>3.7854741615</v>
      </c>
      <c r="AG1327" s="1">
        <v>1.8356657024</v>
      </c>
      <c r="AH1327" s="1">
        <v>1.4306934563</v>
      </c>
      <c r="AI1327" s="1">
        <v>0.0781799703</v>
      </c>
      <c r="AJ1327" s="1">
        <v>4.607927449</v>
      </c>
      <c r="AK1327" s="1">
        <v>86.5686811039999</v>
      </c>
      <c r="AL1327" s="1">
        <v>0.5644386495</v>
      </c>
      <c r="AM1327" s="1">
        <v>50.480806817</v>
      </c>
      <c r="AN1327" s="1">
        <v>27.919117273</v>
      </c>
      <c r="AO1327" s="1">
        <v>27165.0</v>
      </c>
      <c r="AP1327" s="1">
        <v>11.9</v>
      </c>
      <c r="AQ1327" s="1">
        <v>3.1</v>
      </c>
      <c r="AR1327" s="1">
        <v>5.6</v>
      </c>
      <c r="AS1327" s="1">
        <v>12.6</v>
      </c>
      <c r="AT1327" s="1">
        <v>23.4</v>
      </c>
      <c r="AU1327" s="1">
        <v>9.8</v>
      </c>
      <c r="AV1327" s="1">
        <v>10.9</v>
      </c>
      <c r="AW1327" s="1">
        <v>0.6</v>
      </c>
      <c r="AX1327" s="1">
        <v>0.2006</v>
      </c>
      <c r="AY1327" s="1">
        <v>11.9</v>
      </c>
      <c r="AZ1327" s="1">
        <v>7.8</v>
      </c>
      <c r="BA1327" s="1">
        <v>12.1</v>
      </c>
      <c r="BB1327" s="1">
        <v>3.08</v>
      </c>
      <c r="BC1327" s="1" t="s">
        <v>2289</v>
      </c>
      <c r="BD1327" s="1">
        <v>5.1</v>
      </c>
      <c r="BE1327" s="1">
        <v>23.7</v>
      </c>
      <c r="BF1327" s="1">
        <v>37.0</v>
      </c>
      <c r="BG1327" s="1">
        <v>34.2</v>
      </c>
      <c r="BH1327" s="1" t="s">
        <v>2310</v>
      </c>
    </row>
    <row r="1328">
      <c r="A1328" s="1">
        <v>27029.0</v>
      </c>
      <c r="B1328" s="2" t="str">
        <f>IFERROR(__xludf.DUMMYFUNCTION("TO_TEXT(A1328)"),"27029")</f>
        <v>27029</v>
      </c>
      <c r="C1328" s="1">
        <v>8764.0</v>
      </c>
      <c r="D1328" s="1">
        <v>999.003798212244</v>
      </c>
      <c r="E1328" s="1" t="s">
        <v>1105</v>
      </c>
      <c r="F1328" s="1" t="s">
        <v>2311</v>
      </c>
      <c r="G1328" s="1">
        <v>8.77273941869241</v>
      </c>
      <c r="H1328" s="1">
        <v>15.244597504</v>
      </c>
      <c r="I1328" s="1">
        <v>3.7711669436</v>
      </c>
      <c r="J1328" s="1">
        <v>4.5572916667</v>
      </c>
      <c r="K1328" s="1">
        <v>18.987253551</v>
      </c>
      <c r="L1328" s="1">
        <v>30.7</v>
      </c>
      <c r="M1328" s="1">
        <v>6.8</v>
      </c>
      <c r="N1328" s="1">
        <v>28.0</v>
      </c>
      <c r="O1328" s="1">
        <v>64.209315699</v>
      </c>
      <c r="P1328" s="1">
        <v>8.5636154289</v>
      </c>
      <c r="Q1328" s="1">
        <v>45.05519</v>
      </c>
      <c r="R1328" s="1">
        <v>90.1</v>
      </c>
      <c r="S1328" s="1">
        <v>17.8</v>
      </c>
      <c r="T1328" s="1">
        <v>2142.0</v>
      </c>
      <c r="U1328" s="1">
        <v>29.785247432</v>
      </c>
      <c r="V1328" s="1">
        <v>220.37633497</v>
      </c>
      <c r="W1328" s="1">
        <v>16.011644833</v>
      </c>
      <c r="X1328" s="1">
        <v>11.7352941179999</v>
      </c>
      <c r="Y1328" s="1">
        <v>77.972269137</v>
      </c>
      <c r="Z1328" s="1">
        <v>8.0</v>
      </c>
      <c r="AA1328" s="1">
        <v>15.293656044</v>
      </c>
      <c r="AB1328" s="1">
        <v>51475.0</v>
      </c>
      <c r="AC1328" s="1">
        <v>50.7651363939999</v>
      </c>
      <c r="AD1328" s="1">
        <v>79.64141122</v>
      </c>
      <c r="AE1328" s="1">
        <v>13.822115385</v>
      </c>
      <c r="AF1328" s="1">
        <v>0.692395005699999</v>
      </c>
      <c r="AG1328" s="1">
        <v>9.3303064699</v>
      </c>
      <c r="AH1328" s="1">
        <v>0.3291713961</v>
      </c>
      <c r="AI1328" s="1">
        <v>0.0113507378</v>
      </c>
      <c r="AJ1328" s="1">
        <v>2.3723041998</v>
      </c>
      <c r="AK1328" s="1">
        <v>84.313280363</v>
      </c>
      <c r="AL1328" s="1">
        <v>0.4836759371</v>
      </c>
      <c r="AM1328" s="1">
        <v>48.876276958</v>
      </c>
      <c r="AN1328" s="1">
        <v>100.0</v>
      </c>
      <c r="AO1328" s="1">
        <v>23777.0</v>
      </c>
      <c r="AP1328" s="1">
        <v>16.7</v>
      </c>
      <c r="AQ1328" s="1">
        <v>7.3</v>
      </c>
      <c r="AR1328" s="1">
        <v>13.5</v>
      </c>
      <c r="AS1328" s="1">
        <v>19.4</v>
      </c>
      <c r="AT1328" s="1">
        <v>24.7</v>
      </c>
      <c r="AU1328" s="1">
        <v>16.3</v>
      </c>
      <c r="AV1328" s="1">
        <v>14.7</v>
      </c>
      <c r="AW1328" s="1">
        <v>0.6</v>
      </c>
      <c r="AX1328" s="1">
        <v>0.723</v>
      </c>
      <c r="AY1328" s="1">
        <v>11.5</v>
      </c>
      <c r="AZ1328" s="1">
        <v>13.9</v>
      </c>
      <c r="BA1328" s="1">
        <v>24.2</v>
      </c>
      <c r="BB1328" s="1">
        <v>3.18</v>
      </c>
      <c r="BC1328" s="1" t="s">
        <v>2289</v>
      </c>
      <c r="BD1328" s="1">
        <v>13.9</v>
      </c>
      <c r="BE1328" s="1">
        <v>34.9</v>
      </c>
      <c r="BF1328" s="1">
        <v>34.2</v>
      </c>
      <c r="BG1328" s="1">
        <v>17.1</v>
      </c>
      <c r="BH1328" s="1" t="s">
        <v>2311</v>
      </c>
    </row>
    <row r="1329">
      <c r="A1329" s="1">
        <v>27031.0</v>
      </c>
      <c r="B1329" s="2" t="str">
        <f>IFERROR(__xludf.DUMMYFUNCTION("TO_TEXT(A1329)"),"27031")</f>
        <v>27031</v>
      </c>
      <c r="C1329" s="1">
        <v>5215.0</v>
      </c>
      <c r="D1329" s="1">
        <v>1452.36954423838</v>
      </c>
      <c r="E1329" s="1" t="s">
        <v>859</v>
      </c>
      <c r="F1329" s="1" t="s">
        <v>2312</v>
      </c>
      <c r="G1329" s="1">
        <v>3.59068394176131</v>
      </c>
      <c r="H1329" s="1">
        <v>12.9950721909999</v>
      </c>
      <c r="I1329" s="1">
        <v>3.3722299781</v>
      </c>
      <c r="J1329" s="1">
        <v>9.5975232198</v>
      </c>
      <c r="K1329" s="1">
        <v>15.457545057</v>
      </c>
      <c r="L1329" s="1">
        <v>21.9</v>
      </c>
      <c r="M1329" s="1">
        <v>8.0</v>
      </c>
      <c r="N1329" s="1">
        <v>18.3</v>
      </c>
      <c r="O1329" s="1">
        <v>98.666924266</v>
      </c>
      <c r="P1329" s="1">
        <v>8.3526682135</v>
      </c>
      <c r="Q1329" s="1">
        <v>185.2538</v>
      </c>
      <c r="R1329" s="1">
        <v>92.73</v>
      </c>
      <c r="S1329" s="1">
        <v>13.6</v>
      </c>
      <c r="T1329" s="1">
        <v>814.0</v>
      </c>
      <c r="U1329" s="1">
        <v>29.115479115</v>
      </c>
      <c r="V1329" s="1">
        <v>67.243035543</v>
      </c>
      <c r="W1329" s="1">
        <v>17.4812030079999</v>
      </c>
      <c r="X1329" s="1">
        <v>11.511895625</v>
      </c>
      <c r="Y1329" s="1">
        <v>82.245050136</v>
      </c>
      <c r="Z1329" s="1">
        <v>8.9</v>
      </c>
      <c r="AA1329" s="1">
        <v>9.8111651057</v>
      </c>
      <c r="AB1329" s="1">
        <v>54465.0</v>
      </c>
      <c r="AC1329" s="1">
        <v>42.3423423419999</v>
      </c>
      <c r="AD1329" s="1">
        <v>74.842534272</v>
      </c>
      <c r="AE1329" s="1">
        <v>12.323390895</v>
      </c>
      <c r="AF1329" s="1">
        <v>0.8158724272</v>
      </c>
      <c r="AG1329" s="1">
        <v>8.5295753755</v>
      </c>
      <c r="AH1329" s="1">
        <v>0.8529575375</v>
      </c>
      <c r="AI1329" s="1">
        <v>0.0370851103</v>
      </c>
      <c r="AJ1329" s="1">
        <v>2.484702392</v>
      </c>
      <c r="AK1329" s="1">
        <v>84.980530317</v>
      </c>
      <c r="AL1329" s="1">
        <v>0.0589159466</v>
      </c>
      <c r="AM1329" s="1">
        <v>49.972186167</v>
      </c>
      <c r="AN1329" s="1">
        <v>100.0</v>
      </c>
      <c r="AO1329" s="1">
        <v>32774.0</v>
      </c>
      <c r="AP1329" s="1">
        <v>11.9</v>
      </c>
      <c r="AQ1329" s="1">
        <v>2.4</v>
      </c>
      <c r="AR1329" s="1">
        <v>4.4</v>
      </c>
      <c r="AS1329" s="1">
        <v>24.6</v>
      </c>
      <c r="AT1329" s="1">
        <v>15.8</v>
      </c>
      <c r="AU1329" s="1">
        <v>11.8</v>
      </c>
      <c r="AV1329" s="1">
        <v>13.8</v>
      </c>
      <c r="AW1329" s="1">
        <v>0.2</v>
      </c>
      <c r="AX1329" s="1">
        <v>0.0901</v>
      </c>
      <c r="AY1329" s="1">
        <v>8.9</v>
      </c>
      <c r="AZ1329" s="1">
        <v>9.9</v>
      </c>
      <c r="BA1329" s="1">
        <v>16.3</v>
      </c>
      <c r="BB1329" s="1">
        <v>3.13</v>
      </c>
      <c r="BC1329" s="1" t="s">
        <v>2289</v>
      </c>
      <c r="BD1329" s="1">
        <v>2.9</v>
      </c>
      <c r="BE1329" s="1">
        <v>24.0</v>
      </c>
      <c r="BF1329" s="1">
        <v>32.7</v>
      </c>
      <c r="BG1329" s="1">
        <v>40.4</v>
      </c>
      <c r="BH1329" s="1" t="s">
        <v>2312</v>
      </c>
    </row>
    <row r="1330">
      <c r="A1330" s="1">
        <v>27033.0</v>
      </c>
      <c r="B1330" s="2" t="str">
        <f>IFERROR(__xludf.DUMMYFUNCTION("TO_TEXT(A1330)"),"27033")</f>
        <v>27033</v>
      </c>
      <c r="C1330" s="1">
        <v>11557.0</v>
      </c>
      <c r="D1330" s="1">
        <v>639.943461052872</v>
      </c>
      <c r="E1330" s="1" t="s">
        <v>2313</v>
      </c>
      <c r="F1330" s="1" t="s">
        <v>2314</v>
      </c>
      <c r="G1330" s="1">
        <v>18.0594079061074</v>
      </c>
      <c r="H1330" s="1">
        <v>13.886477283</v>
      </c>
      <c r="I1330" s="1">
        <v>3.3415237478</v>
      </c>
      <c r="J1330" s="1">
        <v>6.4423076923</v>
      </c>
      <c r="K1330" s="1">
        <v>14.436397535</v>
      </c>
      <c r="L1330" s="1">
        <v>35.2</v>
      </c>
      <c r="M1330" s="1">
        <v>7.5</v>
      </c>
      <c r="N1330" s="1">
        <v>33.4</v>
      </c>
      <c r="O1330" s="1">
        <v>78.394797638</v>
      </c>
      <c r="P1330" s="1">
        <v>6.0803727432</v>
      </c>
      <c r="Q1330" s="1">
        <v>70.8278</v>
      </c>
      <c r="R1330" s="1">
        <v>94.84</v>
      </c>
      <c r="S1330" s="1">
        <v>16.1</v>
      </c>
      <c r="T1330" s="1">
        <v>2738.0</v>
      </c>
      <c r="U1330" s="1">
        <v>24.5069393719999</v>
      </c>
      <c r="V1330" s="1">
        <v>116.78200692</v>
      </c>
      <c r="W1330" s="1">
        <v>12.966804979</v>
      </c>
      <c r="X1330" s="1">
        <v>10.240837696</v>
      </c>
      <c r="Y1330" s="1">
        <v>81.493465032</v>
      </c>
      <c r="Z1330" s="1">
        <v>15.1</v>
      </c>
      <c r="AA1330" s="1">
        <v>14.3266431009999</v>
      </c>
      <c r="AB1330" s="1">
        <v>51788.0</v>
      </c>
      <c r="AC1330" s="1">
        <v>49.39159292</v>
      </c>
      <c r="AD1330" s="1">
        <v>78.18556701</v>
      </c>
      <c r="AE1330" s="1">
        <v>6.5814696486</v>
      </c>
      <c r="AF1330" s="1">
        <v>1.0197747628</v>
      </c>
      <c r="AG1330" s="1">
        <v>0.8335550235</v>
      </c>
      <c r="AH1330" s="1">
        <v>4.0436286246</v>
      </c>
      <c r="AI1330" s="1">
        <v>0.3369690521</v>
      </c>
      <c r="AJ1330" s="1">
        <v>8.2468741687</v>
      </c>
      <c r="AK1330" s="1">
        <v>85.288640596</v>
      </c>
      <c r="AL1330" s="1">
        <v>1.9539361903</v>
      </c>
      <c r="AM1330" s="1">
        <v>50.0221690169999</v>
      </c>
      <c r="AN1330" s="1">
        <v>62.274321896</v>
      </c>
      <c r="AO1330" s="1">
        <v>25967.0</v>
      </c>
      <c r="AP1330" s="1">
        <v>16.0</v>
      </c>
      <c r="AQ1330" s="1">
        <v>4.8</v>
      </c>
      <c r="AR1330" s="1">
        <v>10.1</v>
      </c>
      <c r="AS1330" s="1">
        <v>22.4</v>
      </c>
      <c r="AT1330" s="1">
        <v>23.8</v>
      </c>
      <c r="AU1330" s="1">
        <v>14.1</v>
      </c>
      <c r="AV1330" s="1">
        <v>12.3</v>
      </c>
      <c r="AW1330" s="1">
        <v>1.7</v>
      </c>
      <c r="AX1330" s="1">
        <v>0.468</v>
      </c>
      <c r="AY1330" s="1">
        <v>10.8</v>
      </c>
      <c r="AZ1330" s="1">
        <v>9.6</v>
      </c>
      <c r="BA1330" s="1">
        <v>15.2</v>
      </c>
      <c r="BB1330" s="1">
        <v>2.95</v>
      </c>
      <c r="BC1330" s="1" t="s">
        <v>2289</v>
      </c>
      <c r="BD1330" s="1">
        <v>10.6</v>
      </c>
      <c r="BE1330" s="1">
        <v>36.0</v>
      </c>
      <c r="BF1330" s="1">
        <v>33.4</v>
      </c>
      <c r="BG1330" s="1">
        <v>20.0</v>
      </c>
      <c r="BH1330" s="1" t="s">
        <v>2314</v>
      </c>
    </row>
    <row r="1331">
      <c r="A1331" s="1">
        <v>27035.0</v>
      </c>
      <c r="B1331" s="2" t="str">
        <f>IFERROR(__xludf.DUMMYFUNCTION("TO_TEXT(A1331)"),"27035")</f>
        <v>27035</v>
      </c>
      <c r="C1331" s="1">
        <v>63321.0</v>
      </c>
      <c r="D1331" s="1">
        <v>998.376502926067</v>
      </c>
      <c r="E1331" s="1" t="s">
        <v>2315</v>
      </c>
      <c r="F1331" s="1" t="s">
        <v>2316</v>
      </c>
      <c r="G1331" s="1">
        <v>63.4239686274839</v>
      </c>
      <c r="H1331" s="1">
        <v>12.269786509</v>
      </c>
      <c r="I1331" s="1">
        <v>3.1608479491</v>
      </c>
      <c r="J1331" s="1">
        <v>5.68874441279999</v>
      </c>
      <c r="K1331" s="1">
        <v>17.404665163</v>
      </c>
      <c r="L1331" s="1">
        <v>29.5</v>
      </c>
      <c r="M1331" s="1">
        <v>8.7</v>
      </c>
      <c r="N1331" s="1">
        <v>21.5</v>
      </c>
      <c r="O1331" s="1">
        <v>70.1744</v>
      </c>
      <c r="P1331" s="1">
        <v>5.1908058932</v>
      </c>
      <c r="Q1331" s="1">
        <v>105.55073</v>
      </c>
      <c r="R1331" s="1">
        <v>85.14</v>
      </c>
      <c r="S1331" s="1">
        <v>16.6</v>
      </c>
      <c r="T1331" s="1">
        <v>13879.0</v>
      </c>
      <c r="U1331" s="1">
        <v>29.7860076369999</v>
      </c>
      <c r="V1331" s="1">
        <v>200.04252873</v>
      </c>
      <c r="W1331" s="1">
        <v>13.087121212</v>
      </c>
      <c r="X1331" s="1">
        <v>12.147497134</v>
      </c>
      <c r="Y1331" s="1">
        <v>79.9022549939999</v>
      </c>
      <c r="Z1331" s="1">
        <v>9.6</v>
      </c>
      <c r="AA1331" s="1">
        <v>2.1854794495</v>
      </c>
      <c r="AB1331" s="1">
        <v>53481.0</v>
      </c>
      <c r="AC1331" s="1">
        <v>37.450280469</v>
      </c>
      <c r="AD1331" s="1">
        <v>75.809473842</v>
      </c>
      <c r="AE1331" s="1">
        <v>10.949074074</v>
      </c>
      <c r="AF1331" s="1">
        <v>0.7921219313</v>
      </c>
      <c r="AG1331" s="1">
        <v>0.9893818675</v>
      </c>
      <c r="AH1331" s="1">
        <v>0.4869854675</v>
      </c>
      <c r="AI1331" s="1">
        <v>0.0339040515</v>
      </c>
      <c r="AJ1331" s="1">
        <v>1.5071892</v>
      </c>
      <c r="AK1331" s="1">
        <v>94.8496663529999</v>
      </c>
      <c r="AL1331" s="1">
        <v>0.147480405</v>
      </c>
      <c r="AM1331" s="1">
        <v>50.24888656</v>
      </c>
      <c r="AN1331" s="1">
        <v>62.736</v>
      </c>
      <c r="AO1331" s="1">
        <v>29106.0</v>
      </c>
      <c r="AP1331" s="1">
        <v>10.4</v>
      </c>
      <c r="AQ1331" s="1">
        <v>4.3</v>
      </c>
      <c r="AR1331" s="1">
        <v>6.5</v>
      </c>
      <c r="AS1331" s="1">
        <v>20.7</v>
      </c>
      <c r="AT1331" s="1">
        <v>22.2</v>
      </c>
      <c r="AU1331" s="1">
        <v>14.0</v>
      </c>
      <c r="AV1331" s="1">
        <v>4.7</v>
      </c>
      <c r="AW1331" s="1">
        <v>0.1</v>
      </c>
      <c r="AX1331" s="1">
        <v>0.1404</v>
      </c>
      <c r="AY1331" s="1">
        <v>10.5</v>
      </c>
      <c r="AZ1331" s="1">
        <v>9.4</v>
      </c>
      <c r="BA1331" s="1">
        <v>15.8</v>
      </c>
      <c r="BB1331" s="1">
        <v>3.07</v>
      </c>
      <c r="BC1331" s="1" t="s">
        <v>2289</v>
      </c>
      <c r="BD1331" s="1">
        <v>5.9</v>
      </c>
      <c r="BE1331" s="1">
        <v>29.9</v>
      </c>
      <c r="BF1331" s="1">
        <v>39.5</v>
      </c>
      <c r="BG1331" s="1">
        <v>24.7</v>
      </c>
      <c r="BH1331" s="1" t="s">
        <v>2316</v>
      </c>
    </row>
    <row r="1332">
      <c r="A1332" s="1">
        <v>27037.0</v>
      </c>
      <c r="B1332" s="2" t="str">
        <f>IFERROR(__xludf.DUMMYFUNCTION("TO_TEXT(A1332)"),"27037")</f>
        <v>27037</v>
      </c>
      <c r="C1332" s="1">
        <v>411402.0</v>
      </c>
      <c r="D1332" s="1">
        <v>562.43819461117</v>
      </c>
      <c r="E1332" s="1" t="s">
        <v>2317</v>
      </c>
      <c r="F1332" s="1" t="s">
        <v>2318</v>
      </c>
      <c r="G1332" s="1">
        <v>731.461703600009</v>
      </c>
      <c r="H1332" s="1">
        <v>9.9884924133</v>
      </c>
      <c r="I1332" s="1">
        <v>2.9208631072</v>
      </c>
      <c r="J1332" s="1">
        <v>6.5794873198</v>
      </c>
      <c r="K1332" s="1">
        <v>13.781499636</v>
      </c>
      <c r="L1332" s="1">
        <v>28.5</v>
      </c>
      <c r="M1332" s="1">
        <v>8.9</v>
      </c>
      <c r="N1332" s="1">
        <v>18.2</v>
      </c>
      <c r="O1332" s="1">
        <v>97.240008832</v>
      </c>
      <c r="P1332" s="1">
        <v>3.9094864432</v>
      </c>
      <c r="Q1332" s="1">
        <v>66.15278</v>
      </c>
      <c r="R1332" s="1">
        <v>86.08</v>
      </c>
      <c r="S1332" s="1">
        <v>7.9</v>
      </c>
      <c r="T1332" s="1">
        <v>102577.0</v>
      </c>
      <c r="U1332" s="1">
        <v>26.266122035</v>
      </c>
      <c r="V1332" s="1">
        <v>141.03266312</v>
      </c>
      <c r="W1332" s="1">
        <v>10.894448144</v>
      </c>
      <c r="X1332" s="1">
        <v>9.5022480151</v>
      </c>
      <c r="Y1332" s="1">
        <v>82.367580186</v>
      </c>
      <c r="Z1332" s="1">
        <v>7.6</v>
      </c>
      <c r="AA1332" s="1">
        <v>5.1232140756</v>
      </c>
      <c r="AB1332" s="1">
        <v>86403.0</v>
      </c>
      <c r="AC1332" s="1">
        <v>26.851134928</v>
      </c>
      <c r="AD1332" s="1">
        <v>74.327480268</v>
      </c>
      <c r="AE1332" s="1">
        <v>9.5183602246</v>
      </c>
      <c r="AF1332" s="1">
        <v>6.7605653667</v>
      </c>
      <c r="AG1332" s="1">
        <v>0.621969193</v>
      </c>
      <c r="AH1332" s="1">
        <v>5.2021164817</v>
      </c>
      <c r="AI1332" s="1">
        <v>0.0897929825</v>
      </c>
      <c r="AJ1332" s="1">
        <v>7.39428756789999</v>
      </c>
      <c r="AK1332" s="1">
        <v>77.732750698</v>
      </c>
      <c r="AL1332" s="1">
        <v>1.8577087236</v>
      </c>
      <c r="AM1332" s="1">
        <v>50.671449357</v>
      </c>
      <c r="AN1332" s="1">
        <v>4.9308496758</v>
      </c>
      <c r="AO1332" s="1">
        <v>37266.0</v>
      </c>
      <c r="AP1332" s="1">
        <v>7.2</v>
      </c>
      <c r="AQ1332" s="1">
        <v>4.4</v>
      </c>
      <c r="AR1332" s="1">
        <v>5.3</v>
      </c>
      <c r="AS1332" s="1">
        <v>12.1</v>
      </c>
      <c r="AT1332" s="1">
        <v>25.0</v>
      </c>
      <c r="AU1332" s="1">
        <v>8.7</v>
      </c>
      <c r="AV1332" s="1">
        <v>19.7</v>
      </c>
      <c r="AW1332" s="1">
        <v>2.2</v>
      </c>
      <c r="AX1332" s="1">
        <v>0.1121</v>
      </c>
      <c r="AY1332" s="1">
        <v>6.3</v>
      </c>
      <c r="AZ1332" s="1">
        <v>5.9</v>
      </c>
      <c r="BA1332" s="1">
        <v>9.6</v>
      </c>
      <c r="BB1332" s="1">
        <v>3.35</v>
      </c>
      <c r="BC1332" s="1" t="s">
        <v>2289</v>
      </c>
      <c r="BD1332" s="1">
        <v>4.9</v>
      </c>
      <c r="BE1332" s="1">
        <v>20.4</v>
      </c>
      <c r="BF1332" s="1">
        <v>32.4</v>
      </c>
      <c r="BG1332" s="1">
        <v>42.2</v>
      </c>
      <c r="BH1332" s="1" t="s">
        <v>2318</v>
      </c>
    </row>
    <row r="1333">
      <c r="A1333" s="1">
        <v>27039.0</v>
      </c>
      <c r="B1333" s="2" t="str">
        <f>IFERROR(__xludf.DUMMYFUNCTION("TO_TEXT(A1333)"),"27039")</f>
        <v>27039</v>
      </c>
      <c r="C1333" s="1">
        <v>20361.0</v>
      </c>
      <c r="D1333" s="1">
        <v>439.277830768252</v>
      </c>
      <c r="E1333" s="1" t="s">
        <v>873</v>
      </c>
      <c r="F1333" s="1" t="s">
        <v>2319</v>
      </c>
      <c r="G1333" s="1">
        <v>46.351075728977</v>
      </c>
      <c r="H1333" s="1">
        <v>10.656724626</v>
      </c>
      <c r="I1333" s="1">
        <v>2.9636300575</v>
      </c>
      <c r="J1333" s="1">
        <v>5.1955633392</v>
      </c>
      <c r="K1333" s="1">
        <v>13.878934841</v>
      </c>
      <c r="L1333" s="1">
        <v>36.9</v>
      </c>
      <c r="M1333" s="1">
        <v>9.4</v>
      </c>
      <c r="N1333" s="1">
        <v>26.6</v>
      </c>
      <c r="O1333" s="1">
        <v>65.076915418</v>
      </c>
      <c r="P1333" s="1">
        <v>4.3848278194</v>
      </c>
      <c r="Q1333" s="1">
        <v>57.7979</v>
      </c>
      <c r="R1333" s="1">
        <v>96.56</v>
      </c>
      <c r="S1333" s="1">
        <v>7.3</v>
      </c>
      <c r="T1333" s="1">
        <v>5465.0</v>
      </c>
      <c r="U1333" s="1">
        <v>29.240622141</v>
      </c>
      <c r="V1333" s="1">
        <v>100.45326473</v>
      </c>
      <c r="W1333" s="1">
        <v>8.76730388929999</v>
      </c>
      <c r="X1333" s="1">
        <v>7.553670819</v>
      </c>
      <c r="Y1333" s="1">
        <v>80.744494676</v>
      </c>
      <c r="Z1333" s="1">
        <v>10.6</v>
      </c>
      <c r="AA1333" s="1">
        <v>1.1979676559</v>
      </c>
      <c r="AB1333" s="1">
        <v>75955.0</v>
      </c>
      <c r="AC1333" s="1">
        <v>25.031414928</v>
      </c>
      <c r="AD1333" s="1">
        <v>82.414732201</v>
      </c>
      <c r="AE1333" s="1">
        <v>6.1952772619</v>
      </c>
      <c r="AF1333" s="1">
        <v>0.5763135146</v>
      </c>
      <c r="AG1333" s="1">
        <v>0.4322351359</v>
      </c>
      <c r="AH1333" s="1">
        <v>0.7588127942</v>
      </c>
      <c r="AI1333" s="1">
        <v>0.0192104505</v>
      </c>
      <c r="AJ1333" s="1">
        <v>5.0763615407</v>
      </c>
      <c r="AK1333" s="1">
        <v>91.902795121</v>
      </c>
      <c r="AL1333" s="1">
        <v>0.6077290671</v>
      </c>
      <c r="AM1333" s="1">
        <v>50.076841802</v>
      </c>
      <c r="AN1333" s="1">
        <v>51.76482302</v>
      </c>
      <c r="AO1333" s="1">
        <v>30495.0</v>
      </c>
      <c r="AP1333" s="1">
        <v>6.6</v>
      </c>
      <c r="AQ1333" s="1">
        <v>3.3</v>
      </c>
      <c r="AR1333" s="1">
        <v>5.7</v>
      </c>
      <c r="AS1333" s="1">
        <v>13.2</v>
      </c>
      <c r="AT1333" s="1">
        <v>27.6</v>
      </c>
      <c r="AU1333" s="1">
        <v>8.1</v>
      </c>
      <c r="AV1333" s="1">
        <v>7.3</v>
      </c>
      <c r="AW1333" s="1">
        <v>0.7</v>
      </c>
      <c r="AX1333" s="1">
        <v>0.0532</v>
      </c>
      <c r="AY1333" s="1">
        <v>5.6</v>
      </c>
      <c r="AZ1333" s="1">
        <v>5.5</v>
      </c>
      <c r="BA1333" s="1">
        <v>10.2</v>
      </c>
      <c r="BB1333" s="1">
        <v>3.57</v>
      </c>
      <c r="BC1333" s="1" t="s">
        <v>2289</v>
      </c>
      <c r="BD1333" s="1">
        <v>5.1</v>
      </c>
      <c r="BE1333" s="1">
        <v>33.3</v>
      </c>
      <c r="BF1333" s="1">
        <v>35.9</v>
      </c>
      <c r="BG1333" s="1">
        <v>25.7</v>
      </c>
      <c r="BH1333" s="1" t="s">
        <v>2319</v>
      </c>
    </row>
    <row r="1334">
      <c r="A1334" s="1">
        <v>27041.0</v>
      </c>
      <c r="B1334" s="2" t="str">
        <f>IFERROR(__xludf.DUMMYFUNCTION("TO_TEXT(A1334)"),"27041")</f>
        <v>27041</v>
      </c>
      <c r="C1334" s="1">
        <v>36862.0</v>
      </c>
      <c r="D1334" s="1">
        <v>637.046493345142</v>
      </c>
      <c r="E1334" s="1" t="s">
        <v>569</v>
      </c>
      <c r="F1334" s="1" t="s">
        <v>2320</v>
      </c>
      <c r="G1334" s="1">
        <v>57.8639084981647</v>
      </c>
      <c r="H1334" s="1">
        <v>12.751944701</v>
      </c>
      <c r="I1334" s="1">
        <v>3.0255074695</v>
      </c>
      <c r="J1334" s="1">
        <v>6.3670411985</v>
      </c>
      <c r="K1334" s="1">
        <v>13.393303171</v>
      </c>
      <c r="L1334" s="1">
        <v>32.8</v>
      </c>
      <c r="M1334" s="1">
        <v>8.5</v>
      </c>
      <c r="N1334" s="1">
        <v>24.9</v>
      </c>
      <c r="O1334" s="1">
        <v>79.738398734</v>
      </c>
      <c r="P1334" s="1">
        <v>3.9396652662</v>
      </c>
      <c r="Q1334" s="1">
        <v>117.09914</v>
      </c>
      <c r="R1334" s="1">
        <v>84.44</v>
      </c>
      <c r="S1334" s="1">
        <v>9.5</v>
      </c>
      <c r="T1334" s="1">
        <v>7962.0</v>
      </c>
      <c r="U1334" s="1">
        <v>21.841245918</v>
      </c>
      <c r="V1334" s="1">
        <v>121.64134725</v>
      </c>
      <c r="W1334" s="1">
        <v>12.205226259</v>
      </c>
      <c r="X1334" s="1">
        <v>11.542160949</v>
      </c>
      <c r="Y1334" s="1">
        <v>80.390636507</v>
      </c>
      <c r="Z1334" s="1">
        <v>8.9</v>
      </c>
      <c r="AA1334" s="1">
        <v>6.6386100213</v>
      </c>
      <c r="AB1334" s="1">
        <v>60979.0</v>
      </c>
      <c r="AC1334" s="1">
        <v>30.460572226</v>
      </c>
      <c r="AD1334" s="1">
        <v>74.217749314</v>
      </c>
      <c r="AE1334" s="1">
        <v>11.64260487</v>
      </c>
      <c r="AF1334" s="1">
        <v>0.561057844299999</v>
      </c>
      <c r="AG1334" s="1">
        <v>0.3872089348</v>
      </c>
      <c r="AH1334" s="1">
        <v>0.5136445053</v>
      </c>
      <c r="AI1334" s="1">
        <v>0.034242967</v>
      </c>
      <c r="AJ1334" s="1">
        <v>1.7516594669</v>
      </c>
      <c r="AK1334" s="1">
        <v>95.893478032</v>
      </c>
      <c r="AL1334" s="1">
        <v>0.1993223042</v>
      </c>
      <c r="AM1334" s="1">
        <v>49.971025182</v>
      </c>
      <c r="AN1334" s="1">
        <v>52.8367908019999</v>
      </c>
      <c r="AO1334" s="1">
        <v>31640.0</v>
      </c>
      <c r="AP1334" s="1">
        <v>8.7</v>
      </c>
      <c r="AQ1334" s="1">
        <v>4.0</v>
      </c>
      <c r="AR1334" s="1">
        <v>5.2</v>
      </c>
      <c r="AS1334" s="1">
        <v>21.6</v>
      </c>
      <c r="AT1334" s="1">
        <v>21.2</v>
      </c>
      <c r="AU1334" s="1">
        <v>12.7</v>
      </c>
      <c r="AV1334" s="1">
        <v>3.7</v>
      </c>
      <c r="AW1334" s="1">
        <v>0.2</v>
      </c>
      <c r="AX1334" s="1">
        <v>0.0417</v>
      </c>
      <c r="AY1334" s="1">
        <v>6.3</v>
      </c>
      <c r="AZ1334" s="1">
        <v>7.8</v>
      </c>
      <c r="BA1334" s="1">
        <v>12.8</v>
      </c>
      <c r="BB1334" s="1">
        <v>2.91</v>
      </c>
      <c r="BC1334" s="1" t="s">
        <v>2289</v>
      </c>
      <c r="BD1334" s="1">
        <v>4.9</v>
      </c>
      <c r="BE1334" s="1">
        <v>29.1</v>
      </c>
      <c r="BF1334" s="1">
        <v>40.0</v>
      </c>
      <c r="BG1334" s="1">
        <v>26.0</v>
      </c>
      <c r="BH1334" s="1" t="s">
        <v>2320</v>
      </c>
    </row>
    <row r="1335">
      <c r="A1335" s="1">
        <v>27043.0</v>
      </c>
      <c r="B1335" s="2" t="str">
        <f>IFERROR(__xludf.DUMMYFUNCTION("TO_TEXT(A1335)"),"27043")</f>
        <v>27043</v>
      </c>
      <c r="C1335" s="1">
        <v>14119.0</v>
      </c>
      <c r="D1335" s="1">
        <v>712.474939908862</v>
      </c>
      <c r="E1335" s="1" t="s">
        <v>2321</v>
      </c>
      <c r="F1335" s="1" t="s">
        <v>2322</v>
      </c>
      <c r="G1335" s="1">
        <v>19.8168373498246</v>
      </c>
      <c r="H1335" s="1">
        <v>12.407293091</v>
      </c>
      <c r="I1335" s="1">
        <v>3.0995309964</v>
      </c>
      <c r="J1335" s="1">
        <v>5.5924170616</v>
      </c>
      <c r="K1335" s="1">
        <v>14.491273754</v>
      </c>
      <c r="L1335" s="1">
        <v>32.7</v>
      </c>
      <c r="M1335" s="1">
        <v>8.5</v>
      </c>
      <c r="N1335" s="1">
        <v>27.6</v>
      </c>
      <c r="O1335" s="1">
        <v>70.466570467</v>
      </c>
      <c r="P1335" s="1">
        <v>6.31902429659999</v>
      </c>
      <c r="Q1335" s="1">
        <v>58.03831</v>
      </c>
      <c r="R1335" s="1">
        <v>77.78</v>
      </c>
      <c r="S1335" s="1">
        <v>17.6</v>
      </c>
      <c r="T1335" s="1">
        <v>2969.0</v>
      </c>
      <c r="U1335" s="1">
        <v>27.719770967</v>
      </c>
      <c r="V1335" s="1">
        <v>67.654180316</v>
      </c>
      <c r="W1335" s="1">
        <v>9.8502758077</v>
      </c>
      <c r="X1335" s="1">
        <v>8.76799999999999</v>
      </c>
      <c r="Y1335" s="1">
        <v>78.309349454</v>
      </c>
      <c r="Z1335" s="1">
        <v>8.5</v>
      </c>
      <c r="AA1335" s="1">
        <v>5.0826911095</v>
      </c>
      <c r="AB1335" s="1">
        <v>52560.0</v>
      </c>
      <c r="AC1335" s="1">
        <v>47.634815516</v>
      </c>
      <c r="AD1335" s="1">
        <v>76.663941128</v>
      </c>
      <c r="AE1335" s="1">
        <v>8.8105726872</v>
      </c>
      <c r="AF1335" s="1">
        <v>0.530600377999999</v>
      </c>
      <c r="AG1335" s="1">
        <v>0.7995348161</v>
      </c>
      <c r="AH1335" s="1">
        <v>0.3924989097</v>
      </c>
      <c r="AI1335" s="1">
        <v>0.021805495</v>
      </c>
      <c r="AJ1335" s="1">
        <v>7.2684983282</v>
      </c>
      <c r="AK1335" s="1">
        <v>90.383776712</v>
      </c>
      <c r="AL1335" s="1">
        <v>0.3748183279</v>
      </c>
      <c r="AM1335" s="1">
        <v>50.029073993</v>
      </c>
      <c r="AN1335" s="1">
        <v>77.619734763</v>
      </c>
      <c r="AO1335" s="1">
        <v>28168.0</v>
      </c>
      <c r="AP1335" s="1">
        <v>12.6</v>
      </c>
      <c r="AQ1335" s="1">
        <v>3.1</v>
      </c>
      <c r="AR1335" s="1">
        <v>9.8</v>
      </c>
      <c r="AS1335" s="1">
        <v>22.5</v>
      </c>
      <c r="AT1335" s="1">
        <v>21.7</v>
      </c>
      <c r="AU1335" s="1">
        <v>12.7</v>
      </c>
      <c r="AV1335" s="1">
        <v>8.1</v>
      </c>
      <c r="AW1335" s="1">
        <v>0.9</v>
      </c>
      <c r="AX1335" s="1">
        <v>0.1821</v>
      </c>
      <c r="AY1335" s="1">
        <v>12.2</v>
      </c>
      <c r="AZ1335" s="1">
        <v>8.8</v>
      </c>
      <c r="BA1335" s="1">
        <v>15.7</v>
      </c>
      <c r="BB1335" s="1">
        <v>3.02</v>
      </c>
      <c r="BC1335" s="1" t="s">
        <v>2289</v>
      </c>
      <c r="BD1335" s="1">
        <v>7.4</v>
      </c>
      <c r="BE1335" s="1">
        <v>37.7</v>
      </c>
      <c r="BF1335" s="1">
        <v>36.3</v>
      </c>
      <c r="BG1335" s="1">
        <v>18.6</v>
      </c>
      <c r="BH1335" s="1" t="s">
        <v>2322</v>
      </c>
    </row>
    <row r="1336">
      <c r="A1336" s="1">
        <v>27045.0</v>
      </c>
      <c r="B1336" s="2" t="str">
        <f>IFERROR(__xludf.DUMMYFUNCTION("TO_TEXT(A1336)"),"27045")</f>
        <v>27045</v>
      </c>
      <c r="C1336" s="1">
        <v>20877.0</v>
      </c>
      <c r="D1336" s="1">
        <v>861.290628751208</v>
      </c>
      <c r="E1336" s="1" t="s">
        <v>2323</v>
      </c>
      <c r="F1336" s="1" t="s">
        <v>2324</v>
      </c>
      <c r="G1336" s="1">
        <v>24.2392048666193</v>
      </c>
      <c r="H1336" s="1">
        <v>11.07118534</v>
      </c>
      <c r="I1336" s="1">
        <v>3.2064292581</v>
      </c>
      <c r="J1336" s="1">
        <v>4.6239554318</v>
      </c>
      <c r="K1336" s="1">
        <v>15.354900223</v>
      </c>
      <c r="L1336" s="1">
        <v>28.6</v>
      </c>
      <c r="M1336" s="1">
        <v>9.0</v>
      </c>
      <c r="N1336" s="1">
        <v>27.3</v>
      </c>
      <c r="O1336" s="1">
        <v>79.742164286</v>
      </c>
      <c r="P1336" s="1">
        <v>7.3027233578</v>
      </c>
      <c r="Q1336" s="1">
        <v>33.3651099999999</v>
      </c>
      <c r="R1336" s="1">
        <v>91.67</v>
      </c>
      <c r="S1336" s="1">
        <v>14.5</v>
      </c>
      <c r="T1336" s="1">
        <v>5090.0</v>
      </c>
      <c r="U1336" s="1">
        <v>19.371316306</v>
      </c>
      <c r="V1336" s="1">
        <v>45.589787888</v>
      </c>
      <c r="W1336" s="1">
        <v>11.826697892</v>
      </c>
      <c r="X1336" s="1">
        <v>8.67768595039999</v>
      </c>
      <c r="Y1336" s="1">
        <v>80.83806969</v>
      </c>
      <c r="Z1336" s="1">
        <v>8.6</v>
      </c>
      <c r="AA1336" s="1">
        <v>0.5150635355</v>
      </c>
      <c r="AB1336" s="1">
        <v>58761.0</v>
      </c>
      <c r="AC1336" s="1">
        <v>29.913101604</v>
      </c>
      <c r="AD1336" s="1">
        <v>80.407213496</v>
      </c>
      <c r="AE1336" s="1">
        <v>9.4425756848</v>
      </c>
      <c r="AF1336" s="1">
        <v>0.4796276949</v>
      </c>
      <c r="AG1336" s="1">
        <v>0.1899515624</v>
      </c>
      <c r="AH1336" s="1">
        <v>0.6125937886</v>
      </c>
      <c r="AI1336" s="1">
        <v>0.0142463672</v>
      </c>
      <c r="AJ1336" s="1">
        <v>1.7997910533</v>
      </c>
      <c r="AK1336" s="1">
        <v>96.124988128</v>
      </c>
      <c r="AL1336" s="1">
        <v>1.1164601045</v>
      </c>
      <c r="AM1336" s="1">
        <v>49.838541172</v>
      </c>
      <c r="AN1336" s="1">
        <v>93.2809354929999</v>
      </c>
      <c r="AO1336" s="1">
        <v>27777.0</v>
      </c>
      <c r="AP1336" s="1">
        <v>12.1</v>
      </c>
      <c r="AQ1336" s="1">
        <v>3.5</v>
      </c>
      <c r="AR1336" s="1">
        <v>9.2</v>
      </c>
      <c r="AS1336" s="1">
        <v>20.3</v>
      </c>
      <c r="AT1336" s="1">
        <v>24.0</v>
      </c>
      <c r="AU1336" s="1">
        <v>12.0</v>
      </c>
      <c r="AV1336" s="1">
        <v>2.9</v>
      </c>
      <c r="AW1336" s="1">
        <v>1.3</v>
      </c>
      <c r="AX1336" s="1">
        <v>0.2381</v>
      </c>
      <c r="AY1336" s="1">
        <v>9.4</v>
      </c>
      <c r="AZ1336" s="1">
        <v>8.2</v>
      </c>
      <c r="BA1336" s="1">
        <v>15.0</v>
      </c>
      <c r="BB1336" s="1">
        <v>3.37</v>
      </c>
      <c r="BC1336" s="1" t="s">
        <v>2289</v>
      </c>
      <c r="BD1336" s="1">
        <v>9.0</v>
      </c>
      <c r="BE1336" s="1">
        <v>34.1</v>
      </c>
      <c r="BF1336" s="1">
        <v>34.7</v>
      </c>
      <c r="BG1336" s="1">
        <v>22.2</v>
      </c>
      <c r="BH1336" s="1" t="s">
        <v>2324</v>
      </c>
    </row>
    <row r="1337">
      <c r="A1337" s="1">
        <v>27047.0</v>
      </c>
      <c r="B1337" s="2" t="str">
        <f>IFERROR(__xludf.DUMMYFUNCTION("TO_TEXT(A1337)"),"27047")</f>
        <v>27047</v>
      </c>
      <c r="C1337" s="1">
        <v>30751.0</v>
      </c>
      <c r="D1337" s="1">
        <v>707.086775301486</v>
      </c>
      <c r="E1337" s="1" t="s">
        <v>2325</v>
      </c>
      <c r="F1337" s="1" t="s">
        <v>2326</v>
      </c>
      <c r="G1337" s="1">
        <v>43.4897116932903</v>
      </c>
      <c r="H1337" s="1">
        <v>13.770949316</v>
      </c>
      <c r="I1337" s="1">
        <v>3.1731068016</v>
      </c>
      <c r="J1337" s="1">
        <v>6.1637931034</v>
      </c>
      <c r="K1337" s="1">
        <v>15.162870982</v>
      </c>
      <c r="L1337" s="1">
        <v>35.7</v>
      </c>
      <c r="M1337" s="1">
        <v>8.1</v>
      </c>
      <c r="N1337" s="1">
        <v>25.1</v>
      </c>
      <c r="O1337" s="1">
        <v>69.185730283</v>
      </c>
      <c r="P1337" s="1">
        <v>6.4284493076</v>
      </c>
      <c r="Q1337" s="1">
        <v>55.6738199999999</v>
      </c>
      <c r="R1337" s="1">
        <v>80.0</v>
      </c>
      <c r="S1337" s="1">
        <v>13.2</v>
      </c>
      <c r="T1337" s="1">
        <v>6565.0</v>
      </c>
      <c r="U1337" s="1">
        <v>36.801218583</v>
      </c>
      <c r="V1337" s="1">
        <v>92.848998208</v>
      </c>
      <c r="W1337" s="1">
        <v>9.31391337679999</v>
      </c>
      <c r="X1337" s="1">
        <v>7.6506955178</v>
      </c>
      <c r="Y1337" s="1">
        <v>79.297590736</v>
      </c>
      <c r="Z1337" s="1">
        <v>10.5</v>
      </c>
      <c r="AA1337" s="1">
        <v>11.816748104</v>
      </c>
      <c r="AB1337" s="1">
        <v>52010.0</v>
      </c>
      <c r="AC1337" s="1">
        <v>47.529852494</v>
      </c>
      <c r="AD1337" s="1">
        <v>75.358519661</v>
      </c>
      <c r="AE1337" s="1">
        <v>8.7358684481</v>
      </c>
      <c r="AF1337" s="1">
        <v>1.2252003679</v>
      </c>
      <c r="AG1337" s="1">
        <v>0.555117593</v>
      </c>
      <c r="AH1337" s="1">
        <v>2.627775588</v>
      </c>
      <c r="AI1337" s="1">
        <v>0.1839442912</v>
      </c>
      <c r="AJ1337" s="1">
        <v>9.9198528446</v>
      </c>
      <c r="AK1337" s="1">
        <v>84.611089213</v>
      </c>
      <c r="AL1337" s="1">
        <v>2.112945265</v>
      </c>
      <c r="AM1337" s="1">
        <v>50.2102220469999</v>
      </c>
      <c r="AN1337" s="1">
        <v>42.831546952</v>
      </c>
      <c r="AO1337" s="1">
        <v>27332.0</v>
      </c>
      <c r="AP1337" s="1">
        <v>11.2</v>
      </c>
      <c r="AQ1337" s="1">
        <v>4.6</v>
      </c>
      <c r="AR1337" s="1">
        <v>11.1</v>
      </c>
      <c r="AS1337" s="1">
        <v>21.5</v>
      </c>
      <c r="AT1337" s="1">
        <v>21.9</v>
      </c>
      <c r="AU1337" s="1">
        <v>13.9</v>
      </c>
      <c r="AV1337" s="1">
        <v>13.2</v>
      </c>
      <c r="AW1337" s="1">
        <v>1.2</v>
      </c>
      <c r="AX1337" s="1">
        <v>0.3871</v>
      </c>
      <c r="AY1337" s="1">
        <v>9.6</v>
      </c>
      <c r="AZ1337" s="1">
        <v>9.2</v>
      </c>
      <c r="BA1337" s="1">
        <v>15.8</v>
      </c>
      <c r="BB1337" s="1">
        <v>3.24</v>
      </c>
      <c r="BC1337" s="1" t="s">
        <v>2289</v>
      </c>
      <c r="BD1337" s="1">
        <v>11.2</v>
      </c>
      <c r="BE1337" s="1">
        <v>35.0</v>
      </c>
      <c r="BF1337" s="1">
        <v>36.6</v>
      </c>
      <c r="BG1337" s="1">
        <v>17.1</v>
      </c>
      <c r="BH1337" s="1" t="s">
        <v>2326</v>
      </c>
    </row>
    <row r="1338">
      <c r="A1338" s="1">
        <v>27049.0</v>
      </c>
      <c r="B1338" s="2" t="str">
        <f>IFERROR(__xludf.DUMMYFUNCTION("TO_TEXT(A1338)"),"27049")</f>
        <v>27049</v>
      </c>
      <c r="C1338" s="1">
        <v>46450.0</v>
      </c>
      <c r="D1338" s="1">
        <v>756.849209562418</v>
      </c>
      <c r="E1338" s="1" t="s">
        <v>2327</v>
      </c>
      <c r="F1338" s="1" t="s">
        <v>2328</v>
      </c>
      <c r="G1338" s="1">
        <v>61.3728592342134</v>
      </c>
      <c r="H1338" s="1">
        <v>12.19481933</v>
      </c>
      <c r="I1338" s="1">
        <v>3.0035578661</v>
      </c>
      <c r="J1338" s="1">
        <v>5.9324439398</v>
      </c>
      <c r="K1338" s="1">
        <v>14.769790725</v>
      </c>
      <c r="L1338" s="1">
        <v>32.4</v>
      </c>
      <c r="M1338" s="1">
        <v>8.7</v>
      </c>
      <c r="N1338" s="1">
        <v>23.1</v>
      </c>
      <c r="O1338" s="1">
        <v>90.667561657</v>
      </c>
      <c r="P1338" s="1">
        <v>5.57484723679999</v>
      </c>
      <c r="Q1338" s="1">
        <v>79.9067</v>
      </c>
      <c r="R1338" s="1">
        <v>86.73</v>
      </c>
      <c r="S1338" s="1">
        <v>7.9</v>
      </c>
      <c r="T1338" s="1">
        <v>10274.0</v>
      </c>
      <c r="U1338" s="1">
        <v>26.87366167</v>
      </c>
      <c r="V1338" s="1">
        <v>130.05997807</v>
      </c>
      <c r="W1338" s="1">
        <v>12.020997375</v>
      </c>
      <c r="X1338" s="1">
        <v>10.2572261999999</v>
      </c>
      <c r="Y1338" s="1">
        <v>80.5751825139999</v>
      </c>
      <c r="Z1338" s="1">
        <v>7.8</v>
      </c>
      <c r="AA1338" s="1">
        <v>4.1822374236</v>
      </c>
      <c r="AB1338" s="1">
        <v>67039.0</v>
      </c>
      <c r="AC1338" s="1">
        <v>26.40427473</v>
      </c>
      <c r="AD1338" s="1">
        <v>75.006472324</v>
      </c>
      <c r="AE1338" s="1">
        <v>11.566175691</v>
      </c>
      <c r="AF1338" s="1">
        <v>1.269314484</v>
      </c>
      <c r="AG1338" s="1">
        <v>1.5365385859</v>
      </c>
      <c r="AH1338" s="1">
        <v>0.741331379399999</v>
      </c>
      <c r="AI1338" s="1">
        <v>0.0883563563</v>
      </c>
      <c r="AJ1338" s="1">
        <v>3.4652931923</v>
      </c>
      <c r="AK1338" s="1">
        <v>91.7699286679999</v>
      </c>
      <c r="AL1338" s="1">
        <v>0.7592787998</v>
      </c>
      <c r="AM1338" s="1">
        <v>50.4083787689999</v>
      </c>
      <c r="AN1338" s="1">
        <v>47.043284325</v>
      </c>
      <c r="AO1338" s="1">
        <v>31830.0</v>
      </c>
      <c r="AP1338" s="1">
        <v>10.9</v>
      </c>
      <c r="AQ1338" s="1">
        <v>4.7</v>
      </c>
      <c r="AR1338" s="1">
        <v>6.7</v>
      </c>
      <c r="AS1338" s="1">
        <v>18.4</v>
      </c>
      <c r="AT1338" s="1">
        <v>22.8</v>
      </c>
      <c r="AU1338" s="1">
        <v>11.0</v>
      </c>
      <c r="AV1338" s="1">
        <v>7.4</v>
      </c>
      <c r="AW1338" s="1">
        <v>0.9</v>
      </c>
      <c r="AX1338" s="1">
        <v>0.1955</v>
      </c>
      <c r="AY1338" s="1">
        <v>7.1</v>
      </c>
      <c r="AZ1338" s="1">
        <v>7.8</v>
      </c>
      <c r="BA1338" s="1">
        <v>12.6</v>
      </c>
      <c r="BB1338" s="1">
        <v>2.94</v>
      </c>
      <c r="BC1338" s="1" t="s">
        <v>2289</v>
      </c>
      <c r="BD1338" s="1">
        <v>5.6</v>
      </c>
      <c r="BE1338" s="1">
        <v>32.8</v>
      </c>
      <c r="BF1338" s="1">
        <v>35.5</v>
      </c>
      <c r="BG1338" s="1">
        <v>26.0</v>
      </c>
      <c r="BH1338" s="1" t="s">
        <v>2328</v>
      </c>
    </row>
    <row r="1339">
      <c r="A1339" s="1">
        <v>27051.0</v>
      </c>
      <c r="B1339" s="2" t="str">
        <f>IFERROR(__xludf.DUMMYFUNCTION("TO_TEXT(A1339)"),"27051")</f>
        <v>27051</v>
      </c>
      <c r="C1339" s="1">
        <v>5943.0</v>
      </c>
      <c r="D1339" s="1">
        <v>547.79634576371</v>
      </c>
      <c r="E1339" s="1" t="s">
        <v>332</v>
      </c>
      <c r="F1339" s="1" t="s">
        <v>2329</v>
      </c>
      <c r="G1339" s="1">
        <v>10.8489223156729</v>
      </c>
      <c r="H1339" s="1">
        <v>12.240692378</v>
      </c>
      <c r="I1339" s="1">
        <v>3.1586549871</v>
      </c>
      <c r="J1339" s="1">
        <v>7.5789473684</v>
      </c>
      <c r="K1339" s="1">
        <v>15.0795289779999</v>
      </c>
      <c r="L1339" s="1">
        <v>33.1</v>
      </c>
      <c r="M1339" s="1">
        <v>7.7</v>
      </c>
      <c r="N1339" s="1">
        <v>28.9</v>
      </c>
      <c r="O1339" s="1">
        <v>59.970089731</v>
      </c>
      <c r="P1339" s="1">
        <v>5.76496674059999</v>
      </c>
      <c r="Q1339" s="1">
        <v>33.66437</v>
      </c>
      <c r="R1339" s="1">
        <v>98.53</v>
      </c>
      <c r="S1339" s="1">
        <v>14.4</v>
      </c>
      <c r="T1339" s="1">
        <v>1321.0</v>
      </c>
      <c r="U1339" s="1">
        <v>26.495079485</v>
      </c>
      <c r="V1339" s="1">
        <v>16.846361186</v>
      </c>
      <c r="W1339" s="1">
        <v>11.1984282909999</v>
      </c>
      <c r="X1339" s="1">
        <v>9.8935750887</v>
      </c>
      <c r="Y1339" s="1">
        <v>79.469165986</v>
      </c>
      <c r="Z1339" s="1">
        <v>11.4</v>
      </c>
      <c r="AA1339" s="1">
        <v>14.74478602</v>
      </c>
      <c r="AB1339" s="1">
        <v>54917.0</v>
      </c>
      <c r="AC1339" s="1">
        <v>36.666666667</v>
      </c>
      <c r="AD1339" s="1">
        <v>79.576923077</v>
      </c>
      <c r="AE1339" s="1">
        <v>10.368025326</v>
      </c>
      <c r="AF1339" s="1">
        <v>0.6311243979</v>
      </c>
      <c r="AG1339" s="1">
        <v>0.548081713999999</v>
      </c>
      <c r="AH1339" s="1">
        <v>0.3487792725</v>
      </c>
      <c r="AI1339" s="1">
        <v>0.1328682943</v>
      </c>
      <c r="AJ1339" s="1">
        <v>2.4082378342</v>
      </c>
      <c r="AK1339" s="1">
        <v>94.8679621329999</v>
      </c>
      <c r="AL1339" s="1">
        <v>0.179243591999999</v>
      </c>
      <c r="AM1339" s="1">
        <v>49.79239329</v>
      </c>
      <c r="AN1339" s="1">
        <v>100.0</v>
      </c>
      <c r="AO1339" s="1">
        <v>29446.0</v>
      </c>
      <c r="AP1339" s="1">
        <v>11.5</v>
      </c>
      <c r="AQ1339" s="1">
        <v>4.5</v>
      </c>
      <c r="AR1339" s="1">
        <v>7.2</v>
      </c>
      <c r="AS1339" s="1">
        <v>23.2</v>
      </c>
      <c r="AT1339" s="1">
        <v>21.9</v>
      </c>
      <c r="AU1339" s="1">
        <v>13.7</v>
      </c>
      <c r="AV1339" s="1">
        <v>4.2</v>
      </c>
      <c r="AW1339" s="1">
        <v>0.3</v>
      </c>
      <c r="AX1339" s="1">
        <v>0.0891</v>
      </c>
      <c r="AY1339" s="1">
        <v>8.8</v>
      </c>
      <c r="AZ1339" s="1">
        <v>9.2</v>
      </c>
      <c r="BA1339" s="1">
        <v>16.6</v>
      </c>
      <c r="BB1339" s="1">
        <v>2.87</v>
      </c>
      <c r="BC1339" s="1" t="s">
        <v>2289</v>
      </c>
      <c r="BD1339" s="1">
        <v>7.1</v>
      </c>
      <c r="BE1339" s="1">
        <v>33.3</v>
      </c>
      <c r="BF1339" s="1">
        <v>40.8</v>
      </c>
      <c r="BG1339" s="1">
        <v>18.8</v>
      </c>
      <c r="BH1339" s="1" t="s">
        <v>2329</v>
      </c>
    </row>
    <row r="1340">
      <c r="A1340" s="1">
        <v>27053.0</v>
      </c>
      <c r="B1340" s="2" t="str">
        <f>IFERROR(__xludf.DUMMYFUNCTION("TO_TEXT(A1340)"),"27053")</f>
        <v>27053</v>
      </c>
      <c r="C1340" s="1">
        <v>1209265.0</v>
      </c>
      <c r="D1340" s="1">
        <v>553.64055359008</v>
      </c>
      <c r="E1340" s="1" t="s">
        <v>2330</v>
      </c>
      <c r="F1340" s="1" t="s">
        <v>2331</v>
      </c>
      <c r="G1340" s="1">
        <v>2184.20596569114</v>
      </c>
      <c r="H1340" s="1">
        <v>10.455929844</v>
      </c>
      <c r="I1340" s="1">
        <v>2.9699608323</v>
      </c>
      <c r="J1340" s="1">
        <v>7.35471655509999</v>
      </c>
      <c r="K1340" s="1">
        <v>11.889587779</v>
      </c>
      <c r="L1340" s="1">
        <v>22.6</v>
      </c>
      <c r="M1340" s="1">
        <v>8.3</v>
      </c>
      <c r="N1340" s="1">
        <v>16.4</v>
      </c>
      <c r="O1340" s="1">
        <v>99.559624271</v>
      </c>
      <c r="P1340" s="1">
        <v>5.3690785113</v>
      </c>
      <c r="Q1340" s="1">
        <v>117.80924</v>
      </c>
      <c r="R1340" s="1">
        <v>79.16</v>
      </c>
      <c r="S1340" s="1">
        <v>11.6</v>
      </c>
      <c r="T1340" s="1">
        <v>269116.0</v>
      </c>
      <c r="U1340" s="1">
        <v>29.2862557409999</v>
      </c>
      <c r="V1340" s="1">
        <v>448.72797771</v>
      </c>
      <c r="W1340" s="1">
        <v>16.036895288</v>
      </c>
      <c r="X1340" s="1">
        <v>13.5793018979999</v>
      </c>
      <c r="Y1340" s="1">
        <v>81.2696082619999</v>
      </c>
      <c r="Z1340" s="1">
        <v>6.6</v>
      </c>
      <c r="AA1340" s="1">
        <v>4.8093063559</v>
      </c>
      <c r="AB1340" s="1">
        <v>76067.0</v>
      </c>
      <c r="AC1340" s="1">
        <v>40.941438595</v>
      </c>
      <c r="AD1340" s="1">
        <v>62.413898577</v>
      </c>
      <c r="AE1340" s="1">
        <v>13.625896812</v>
      </c>
      <c r="AF1340" s="1">
        <v>13.315171649</v>
      </c>
      <c r="AG1340" s="1">
        <v>1.1125685629</v>
      </c>
      <c r="AH1340" s="1">
        <v>7.54890315289999</v>
      </c>
      <c r="AI1340" s="1">
        <v>0.0570100077</v>
      </c>
      <c r="AJ1340" s="1">
        <v>6.9722921834</v>
      </c>
      <c r="AK1340" s="1">
        <v>68.646321981</v>
      </c>
      <c r="AL1340" s="1">
        <v>3.4562758716</v>
      </c>
      <c r="AM1340" s="1">
        <v>50.517218928</v>
      </c>
      <c r="AN1340" s="1">
        <v>2.2249604096</v>
      </c>
      <c r="AO1340" s="1">
        <v>39939.0</v>
      </c>
      <c r="AP1340" s="1">
        <v>11.9</v>
      </c>
      <c r="AQ1340" s="1">
        <v>5.1</v>
      </c>
      <c r="AR1340" s="1">
        <v>7.2</v>
      </c>
      <c r="AS1340" s="1">
        <v>12.5</v>
      </c>
      <c r="AT1340" s="1">
        <v>22.3</v>
      </c>
      <c r="AU1340" s="1">
        <v>9.7</v>
      </c>
      <c r="AV1340" s="1">
        <v>29.9</v>
      </c>
      <c r="AW1340" s="1">
        <v>3.6</v>
      </c>
      <c r="AX1340" s="1">
        <v>0.3181</v>
      </c>
      <c r="AY1340" s="1">
        <v>9.7</v>
      </c>
      <c r="AZ1340" s="1">
        <v>8.1</v>
      </c>
      <c r="BA1340" s="1">
        <v>11.4</v>
      </c>
      <c r="BB1340" s="1">
        <v>3.61</v>
      </c>
      <c r="BC1340" s="1" t="s">
        <v>2289</v>
      </c>
      <c r="BD1340" s="1">
        <v>6.7</v>
      </c>
      <c r="BE1340" s="1">
        <v>16.4</v>
      </c>
      <c r="BF1340" s="1">
        <v>26.9</v>
      </c>
      <c r="BG1340" s="1">
        <v>50.1</v>
      </c>
      <c r="BH1340" s="1" t="s">
        <v>2331</v>
      </c>
    </row>
    <row r="1341">
      <c r="A1341" s="1">
        <v>27055.0</v>
      </c>
      <c r="B1341" s="2" t="str">
        <f>IFERROR(__xludf.DUMMYFUNCTION("TO_TEXT(A1341)"),"27055")</f>
        <v>27055</v>
      </c>
      <c r="C1341" s="1">
        <v>18791.0</v>
      </c>
      <c r="D1341" s="1">
        <v>552.042673551896</v>
      </c>
      <c r="E1341" s="1" t="s">
        <v>128</v>
      </c>
      <c r="F1341" s="1" t="s">
        <v>2332</v>
      </c>
      <c r="G1341" s="1">
        <v>34.0390352055519</v>
      </c>
      <c r="H1341" s="1">
        <v>11.428547742</v>
      </c>
      <c r="I1341" s="1">
        <v>3.1049211104</v>
      </c>
      <c r="J1341" s="1">
        <v>4.9533381192</v>
      </c>
      <c r="K1341" s="1">
        <v>13.997962127</v>
      </c>
      <c r="L1341" s="1">
        <v>28.9</v>
      </c>
      <c r="M1341" s="1">
        <v>8.9</v>
      </c>
      <c r="N1341" s="1">
        <v>24.4</v>
      </c>
      <c r="O1341" s="1">
        <v>96.999001419</v>
      </c>
      <c r="P1341" s="1">
        <v>4.8860156516</v>
      </c>
      <c r="Q1341" s="1">
        <v>69.66774</v>
      </c>
      <c r="R1341" s="1">
        <v>73.95</v>
      </c>
      <c r="S1341" s="1">
        <v>9.2</v>
      </c>
      <c r="T1341" s="1">
        <v>3998.0</v>
      </c>
      <c r="U1341" s="1">
        <v>22.2861430719999</v>
      </c>
      <c r="V1341" s="1">
        <v>53.3560986019999</v>
      </c>
      <c r="W1341" s="1">
        <v>10.700876095</v>
      </c>
      <c r="X1341" s="1">
        <v>9.4024604569</v>
      </c>
      <c r="Y1341" s="1">
        <v>82.418106803</v>
      </c>
      <c r="Z1341" s="1">
        <v>7.2</v>
      </c>
      <c r="AA1341" s="1">
        <v>3.0366648683</v>
      </c>
      <c r="AB1341" s="1">
        <v>59613.0</v>
      </c>
      <c r="AC1341" s="1">
        <v>26.903316207</v>
      </c>
      <c r="AD1341" s="1">
        <v>79.990221244</v>
      </c>
      <c r="AE1341" s="1">
        <v>8.5231539424</v>
      </c>
      <c r="AF1341" s="1">
        <v>0.624394445</v>
      </c>
      <c r="AG1341" s="1">
        <v>0.2583701152</v>
      </c>
      <c r="AH1341" s="1">
        <v>0.5867154699</v>
      </c>
      <c r="AI1341" s="1">
        <v>0.0215308429</v>
      </c>
      <c r="AJ1341" s="1">
        <v>1.2434061794</v>
      </c>
      <c r="AK1341" s="1">
        <v>95.9844977929999</v>
      </c>
      <c r="AL1341" s="1">
        <v>0.3060877452</v>
      </c>
      <c r="AM1341" s="1">
        <v>49.790074281</v>
      </c>
      <c r="AN1341" s="1">
        <v>57.392126977</v>
      </c>
      <c r="AO1341" s="1">
        <v>29007.0</v>
      </c>
      <c r="AP1341" s="1">
        <v>10.3</v>
      </c>
      <c r="AQ1341" s="1">
        <v>4.0</v>
      </c>
      <c r="AR1341" s="1">
        <v>6.4</v>
      </c>
      <c r="AS1341" s="1">
        <v>19.8</v>
      </c>
      <c r="AT1341" s="1">
        <v>21.5</v>
      </c>
      <c r="AU1341" s="1">
        <v>10.5</v>
      </c>
      <c r="AV1341" s="1">
        <v>3.5</v>
      </c>
      <c r="AW1341" s="1">
        <v>0.2</v>
      </c>
      <c r="AX1341" s="1">
        <v>0.0458</v>
      </c>
      <c r="AY1341" s="1">
        <v>7.8</v>
      </c>
      <c r="AZ1341" s="1">
        <v>7.2</v>
      </c>
      <c r="BA1341" s="1">
        <v>12.1</v>
      </c>
      <c r="BB1341" s="1">
        <v>3.24</v>
      </c>
      <c r="BC1341" s="1" t="s">
        <v>2289</v>
      </c>
      <c r="BD1341" s="1">
        <v>4.9</v>
      </c>
      <c r="BE1341" s="1">
        <v>34.2</v>
      </c>
      <c r="BF1341" s="1">
        <v>36.1</v>
      </c>
      <c r="BG1341" s="1">
        <v>24.8</v>
      </c>
      <c r="BH1341" s="1" t="s">
        <v>2332</v>
      </c>
    </row>
    <row r="1342">
      <c r="A1342" s="1">
        <v>27057.0</v>
      </c>
      <c r="B1342" s="2" t="str">
        <f>IFERROR(__xludf.DUMMYFUNCTION("TO_TEXT(A1342)"),"27057")</f>
        <v>27057</v>
      </c>
      <c r="C1342" s="1">
        <v>20640.0</v>
      </c>
      <c r="D1342" s="1">
        <v>925.900257119484</v>
      </c>
      <c r="E1342" s="1" t="s">
        <v>2333</v>
      </c>
      <c r="F1342" s="1" t="s">
        <v>2334</v>
      </c>
      <c r="G1342" s="1">
        <v>22.2918179807098</v>
      </c>
      <c r="H1342" s="1">
        <v>11.855106164</v>
      </c>
      <c r="I1342" s="1">
        <v>3.1436472791</v>
      </c>
      <c r="J1342" s="1">
        <v>6.3481228669</v>
      </c>
      <c r="K1342" s="1">
        <v>14.3722894359999</v>
      </c>
      <c r="L1342" s="1">
        <v>34.0</v>
      </c>
      <c r="M1342" s="1">
        <v>8.3</v>
      </c>
      <c r="N1342" s="1">
        <v>25.5</v>
      </c>
      <c r="O1342" s="1">
        <v>57.61699628</v>
      </c>
      <c r="P1342" s="1">
        <v>6.7543296985</v>
      </c>
      <c r="Q1342" s="1">
        <v>66.6095699999999</v>
      </c>
      <c r="R1342" s="1">
        <v>75.14</v>
      </c>
      <c r="S1342" s="1">
        <v>18.9</v>
      </c>
      <c r="T1342" s="1">
        <v>4325.0</v>
      </c>
      <c r="U1342" s="1">
        <v>30.080924855</v>
      </c>
      <c r="V1342" s="1">
        <v>130.34347921</v>
      </c>
      <c r="W1342" s="1">
        <v>13.386727689</v>
      </c>
      <c r="X1342" s="1">
        <v>10.471806674</v>
      </c>
      <c r="Y1342" s="1">
        <v>80.398924584</v>
      </c>
      <c r="Z1342" s="1">
        <v>9.9</v>
      </c>
      <c r="AA1342" s="1">
        <v>6.9133149264</v>
      </c>
      <c r="AB1342" s="1">
        <v>55687.0</v>
      </c>
      <c r="AC1342" s="1">
        <v>49.657794677</v>
      </c>
      <c r="AD1342" s="1">
        <v>81.941412981</v>
      </c>
      <c r="AE1342" s="1">
        <v>10.058049994</v>
      </c>
      <c r="AF1342" s="1">
        <v>0.4265891618</v>
      </c>
      <c r="AG1342" s="1">
        <v>2.7892368273</v>
      </c>
      <c r="AH1342" s="1">
        <v>0.6141008813</v>
      </c>
      <c r="AI1342" s="1">
        <v>0.0750046878</v>
      </c>
      <c r="AJ1342" s="1">
        <v>2.179823739</v>
      </c>
      <c r="AK1342" s="1">
        <v>92.64016501</v>
      </c>
      <c r="AL1342" s="1">
        <v>0.3957984473</v>
      </c>
      <c r="AM1342" s="1">
        <v>49.235889743</v>
      </c>
      <c r="AN1342" s="1">
        <v>83.365968279</v>
      </c>
      <c r="AO1342" s="1">
        <v>26417.0</v>
      </c>
      <c r="AP1342" s="1">
        <v>11.5</v>
      </c>
      <c r="AQ1342" s="1">
        <v>4.4</v>
      </c>
      <c r="AR1342" s="1">
        <v>8.0</v>
      </c>
      <c r="AS1342" s="1">
        <v>23.4</v>
      </c>
      <c r="AT1342" s="1">
        <v>21.7</v>
      </c>
      <c r="AU1342" s="1">
        <v>14.8</v>
      </c>
      <c r="AV1342" s="1">
        <v>6.7</v>
      </c>
      <c r="AW1342" s="1">
        <v>0.1</v>
      </c>
      <c r="AX1342" s="1">
        <v>0.1484</v>
      </c>
      <c r="AY1342" s="1">
        <v>11.2</v>
      </c>
      <c r="AZ1342" s="1">
        <v>9.8</v>
      </c>
      <c r="BA1342" s="1">
        <v>18.2</v>
      </c>
      <c r="BB1342" s="1">
        <v>3.26</v>
      </c>
      <c r="BC1342" s="1" t="s">
        <v>2289</v>
      </c>
      <c r="BD1342" s="1">
        <v>7.0</v>
      </c>
      <c r="BE1342" s="1">
        <v>31.2</v>
      </c>
      <c r="BF1342" s="1">
        <v>34.4</v>
      </c>
      <c r="BG1342" s="1">
        <v>27.4</v>
      </c>
      <c r="BH1342" s="1" t="s">
        <v>2334</v>
      </c>
    </row>
    <row r="1343">
      <c r="A1343" s="1">
        <v>27059.0</v>
      </c>
      <c r="B1343" s="2" t="str">
        <f>IFERROR(__xludf.DUMMYFUNCTION("TO_TEXT(A1343)"),"27059")</f>
        <v>27059</v>
      </c>
      <c r="C1343" s="1">
        <v>38461.0</v>
      </c>
      <c r="D1343" s="1">
        <v>435.743380086974</v>
      </c>
      <c r="E1343" s="1" t="s">
        <v>2335</v>
      </c>
      <c r="F1343" s="1" t="s">
        <v>2336</v>
      </c>
      <c r="G1343" s="1">
        <v>88.2652537195705</v>
      </c>
      <c r="H1343" s="1">
        <v>11.107881741</v>
      </c>
      <c r="I1343" s="1">
        <v>3.0315862831</v>
      </c>
      <c r="J1343" s="1">
        <v>6.1603650587</v>
      </c>
      <c r="K1343" s="1">
        <v>14.765429512</v>
      </c>
      <c r="L1343" s="1">
        <v>34.0</v>
      </c>
      <c r="M1343" s="1">
        <v>9.0</v>
      </c>
      <c r="N1343" s="1">
        <v>26.6</v>
      </c>
      <c r="O1343" s="1">
        <v>40.070340597</v>
      </c>
      <c r="P1343" s="1">
        <v>4.7746555148</v>
      </c>
      <c r="Q1343" s="1">
        <v>75.79203</v>
      </c>
      <c r="R1343" s="1">
        <v>86.98</v>
      </c>
      <c r="S1343" s="1">
        <v>9.4</v>
      </c>
      <c r="T1343" s="1">
        <v>9235.0</v>
      </c>
      <c r="U1343" s="1">
        <v>30.135354629</v>
      </c>
      <c r="V1343" s="1">
        <v>108.01665799</v>
      </c>
      <c r="W1343" s="1">
        <v>13.15515446</v>
      </c>
      <c r="X1343" s="1">
        <v>10.987094524</v>
      </c>
      <c r="Y1343" s="1">
        <v>79.403463844</v>
      </c>
      <c r="Z1343" s="1">
        <v>11.0</v>
      </c>
      <c r="AA1343" s="1">
        <v>2.6211498168</v>
      </c>
      <c r="AB1343" s="1">
        <v>73468.0</v>
      </c>
      <c r="AC1343" s="1">
        <v>33.410100345</v>
      </c>
      <c r="AD1343" s="1">
        <v>81.948034281</v>
      </c>
      <c r="AE1343" s="1">
        <v>10.414070073</v>
      </c>
      <c r="AF1343" s="1">
        <v>0.7906720713</v>
      </c>
      <c r="AG1343" s="1">
        <v>0.615523194699999</v>
      </c>
      <c r="AH1343" s="1">
        <v>1.1309613171</v>
      </c>
      <c r="AI1343" s="1">
        <v>0.0500425362</v>
      </c>
      <c r="AJ1343" s="1">
        <v>2.1368162938</v>
      </c>
      <c r="AK1343" s="1">
        <v>93.6996446979999</v>
      </c>
      <c r="AL1343" s="1">
        <v>0.1228065388</v>
      </c>
      <c r="AM1343" s="1">
        <v>49.432017215</v>
      </c>
      <c r="AN1343" s="1">
        <v>62.2646498839999</v>
      </c>
      <c r="AO1343" s="1">
        <v>28676.0</v>
      </c>
      <c r="AP1343" s="1">
        <v>7.2</v>
      </c>
      <c r="AQ1343" s="1">
        <v>6.1</v>
      </c>
      <c r="AR1343" s="1">
        <v>8.8</v>
      </c>
      <c r="AS1343" s="1">
        <v>14.4</v>
      </c>
      <c r="AT1343" s="1">
        <v>24.6</v>
      </c>
      <c r="AU1343" s="1">
        <v>13.0</v>
      </c>
      <c r="AV1343" s="1">
        <v>5.6</v>
      </c>
      <c r="AW1343" s="1">
        <v>0.2</v>
      </c>
      <c r="AX1343" s="1">
        <v>0.1102</v>
      </c>
      <c r="AY1343" s="1">
        <v>6.9</v>
      </c>
      <c r="AZ1343" s="1">
        <v>7.6</v>
      </c>
      <c r="BA1343" s="1">
        <v>13.0</v>
      </c>
      <c r="BB1343" s="1">
        <v>2.97</v>
      </c>
      <c r="BC1343" s="1" t="s">
        <v>2289</v>
      </c>
      <c r="BD1343" s="1">
        <v>7.5</v>
      </c>
      <c r="BE1343" s="1">
        <v>34.6</v>
      </c>
      <c r="BF1343" s="1">
        <v>39.4</v>
      </c>
      <c r="BG1343" s="1">
        <v>18.5</v>
      </c>
      <c r="BH1343" s="1" t="s">
        <v>2336</v>
      </c>
    </row>
    <row r="1344">
      <c r="A1344" s="1">
        <v>27061.0</v>
      </c>
      <c r="B1344" s="2" t="str">
        <f>IFERROR(__xludf.DUMMYFUNCTION("TO_TEXT(A1344)"),"27061")</f>
        <v>27061</v>
      </c>
      <c r="C1344" s="1">
        <v>45356.0</v>
      </c>
      <c r="D1344" s="1">
        <v>2667.25334366697</v>
      </c>
      <c r="E1344" s="1" t="s">
        <v>2337</v>
      </c>
      <c r="F1344" s="1" t="s">
        <v>2338</v>
      </c>
      <c r="G1344" s="1">
        <v>17.0047588871495</v>
      </c>
      <c r="H1344" s="1">
        <v>13.787213055</v>
      </c>
      <c r="I1344" s="1">
        <v>3.3847532731</v>
      </c>
      <c r="J1344" s="1">
        <v>6.718027735</v>
      </c>
      <c r="K1344" s="1">
        <v>15.92749731</v>
      </c>
      <c r="L1344" s="1">
        <v>33.2</v>
      </c>
      <c r="M1344" s="1">
        <v>8.1</v>
      </c>
      <c r="N1344" s="1">
        <v>25.3</v>
      </c>
      <c r="O1344" s="1">
        <v>64.106263039</v>
      </c>
      <c r="P1344" s="1">
        <v>6.00573367659999</v>
      </c>
      <c r="Q1344" s="1">
        <v>93.05005</v>
      </c>
      <c r="R1344" s="1">
        <v>88.63</v>
      </c>
      <c r="S1344" s="1">
        <v>16.2</v>
      </c>
      <c r="T1344" s="1">
        <v>9298.0</v>
      </c>
      <c r="U1344" s="1">
        <v>28.683587868</v>
      </c>
      <c r="V1344" s="1">
        <v>164.40878601</v>
      </c>
      <c r="W1344" s="1">
        <v>13.019607843</v>
      </c>
      <c r="X1344" s="1">
        <v>10.361191669</v>
      </c>
      <c r="Y1344" s="1">
        <v>79.683322229</v>
      </c>
      <c r="Z1344" s="1">
        <v>12.1</v>
      </c>
      <c r="AA1344" s="1">
        <v>5.51207842419999</v>
      </c>
      <c r="AB1344" s="1">
        <v>53143.0</v>
      </c>
      <c r="AC1344" s="1">
        <v>46.9062454719999</v>
      </c>
      <c r="AD1344" s="1">
        <v>79.923498398</v>
      </c>
      <c r="AE1344" s="1">
        <v>11.370015358</v>
      </c>
      <c r="AF1344" s="1">
        <v>0.4611155449</v>
      </c>
      <c r="AG1344" s="1">
        <v>3.8618426887</v>
      </c>
      <c r="AH1344" s="1">
        <v>0.3391859537</v>
      </c>
      <c r="AI1344" s="1">
        <v>0.133014099499999</v>
      </c>
      <c r="AJ1344" s="1">
        <v>1.5784339807</v>
      </c>
      <c r="AK1344" s="1">
        <v>91.56468919</v>
      </c>
      <c r="AL1344" s="1">
        <v>0.1727518909</v>
      </c>
      <c r="AM1344" s="1">
        <v>49.461292897</v>
      </c>
      <c r="AN1344" s="1">
        <v>79.393226508</v>
      </c>
      <c r="AO1344" s="1">
        <v>25862.0</v>
      </c>
      <c r="AP1344" s="1">
        <v>13.3</v>
      </c>
      <c r="AQ1344" s="1">
        <v>6.0</v>
      </c>
      <c r="AR1344" s="1">
        <v>6.7</v>
      </c>
      <c r="AS1344" s="1">
        <v>21.0</v>
      </c>
      <c r="AT1344" s="1">
        <v>21.3</v>
      </c>
      <c r="AU1344" s="1">
        <v>16.0</v>
      </c>
      <c r="AV1344" s="1">
        <v>7.8</v>
      </c>
      <c r="AW1344" s="1">
        <v>0.2</v>
      </c>
      <c r="AX1344" s="1">
        <v>0.3152</v>
      </c>
      <c r="AY1344" s="1">
        <v>11.2</v>
      </c>
      <c r="AZ1344" s="1">
        <v>11.0</v>
      </c>
      <c r="BA1344" s="1">
        <v>19.4</v>
      </c>
      <c r="BB1344" s="1">
        <v>2.7</v>
      </c>
      <c r="BC1344" s="1" t="s">
        <v>2289</v>
      </c>
      <c r="BD1344" s="1">
        <v>6.0</v>
      </c>
      <c r="BE1344" s="1">
        <v>30.0</v>
      </c>
      <c r="BF1344" s="1">
        <v>41.0</v>
      </c>
      <c r="BG1344" s="1">
        <v>23.1</v>
      </c>
      <c r="BH1344" s="1" t="s">
        <v>2338</v>
      </c>
    </row>
    <row r="1345">
      <c r="A1345" s="1">
        <v>27063.0</v>
      </c>
      <c r="B1345" s="2" t="str">
        <f>IFERROR(__xludf.DUMMYFUNCTION("TO_TEXT(A1345)"),"27063")</f>
        <v>27063</v>
      </c>
      <c r="C1345" s="1">
        <v>10163.0</v>
      </c>
      <c r="D1345" s="1">
        <v>702.971973931804</v>
      </c>
      <c r="E1345" s="1" t="s">
        <v>130</v>
      </c>
      <c r="F1345" s="1" t="s">
        <v>2339</v>
      </c>
      <c r="G1345" s="1">
        <v>14.4571908651737</v>
      </c>
      <c r="H1345" s="1">
        <v>11.878611856</v>
      </c>
      <c r="I1345" s="1">
        <v>3.0833791015</v>
      </c>
      <c r="J1345" s="1">
        <v>7.5641025641</v>
      </c>
      <c r="K1345" s="1">
        <v>14.2401683</v>
      </c>
      <c r="L1345" s="1">
        <v>28.8</v>
      </c>
      <c r="M1345" s="1">
        <v>8.9</v>
      </c>
      <c r="N1345" s="1">
        <v>27.1</v>
      </c>
      <c r="O1345" s="1">
        <v>46.6199103839999</v>
      </c>
      <c r="P1345" s="1">
        <v>4.89130434779999</v>
      </c>
      <c r="Q1345" s="1">
        <v>48.31939</v>
      </c>
      <c r="R1345" s="1">
        <v>91.94</v>
      </c>
      <c r="S1345" s="1">
        <v>12.1</v>
      </c>
      <c r="T1345" s="1">
        <v>2168.0</v>
      </c>
      <c r="U1345" s="1">
        <v>22.463099631</v>
      </c>
      <c r="V1345" s="1">
        <v>24.62447673</v>
      </c>
      <c r="W1345" s="1">
        <v>7.7277970012</v>
      </c>
      <c r="X1345" s="1">
        <v>5.7625549641</v>
      </c>
      <c r="Y1345" s="1">
        <v>82.433123318</v>
      </c>
      <c r="Z1345" s="1">
        <v>10.5</v>
      </c>
      <c r="AA1345" s="1">
        <v>3.5324574203</v>
      </c>
      <c r="AB1345" s="1">
        <v>57786.0</v>
      </c>
      <c r="AC1345" s="1">
        <v>39.191073919</v>
      </c>
      <c r="AD1345" s="1">
        <v>78.099361896</v>
      </c>
      <c r="AE1345" s="1">
        <v>7.8552725542</v>
      </c>
      <c r="AF1345" s="1">
        <v>0.9686207244</v>
      </c>
      <c r="AG1345" s="1">
        <v>0.4439511654</v>
      </c>
      <c r="AH1345" s="1">
        <v>1.6849964686</v>
      </c>
      <c r="AI1345" s="1">
        <v>0.0807183937</v>
      </c>
      <c r="AJ1345" s="1">
        <v>3.9148420946</v>
      </c>
      <c r="AK1345" s="1">
        <v>91.7465442439999</v>
      </c>
      <c r="AL1345" s="1">
        <v>0.7098209556</v>
      </c>
      <c r="AM1345" s="1">
        <v>48.814448592</v>
      </c>
      <c r="AN1345" s="1">
        <v>69.13111241</v>
      </c>
      <c r="AO1345" s="1">
        <v>28958.0</v>
      </c>
      <c r="AP1345" s="1">
        <v>9.0</v>
      </c>
      <c r="AQ1345" s="1">
        <v>3.3</v>
      </c>
      <c r="AR1345" s="1">
        <v>7.8</v>
      </c>
      <c r="AS1345" s="1">
        <v>20.1</v>
      </c>
      <c r="AT1345" s="1">
        <v>22.3</v>
      </c>
      <c r="AU1345" s="1">
        <v>9.7</v>
      </c>
      <c r="AV1345" s="1">
        <v>6.7</v>
      </c>
      <c r="AW1345" s="1">
        <v>0.5</v>
      </c>
      <c r="AX1345" s="1">
        <v>0.0735</v>
      </c>
      <c r="AY1345" s="1">
        <v>9.8</v>
      </c>
      <c r="AZ1345" s="1">
        <v>6.9</v>
      </c>
      <c r="BA1345" s="1">
        <v>12.2</v>
      </c>
      <c r="BB1345" s="1">
        <v>3.05</v>
      </c>
      <c r="BC1345" s="1" t="s">
        <v>2289</v>
      </c>
      <c r="BD1345" s="1">
        <v>7.3</v>
      </c>
      <c r="BE1345" s="1">
        <v>32.7</v>
      </c>
      <c r="BF1345" s="1">
        <v>37.4</v>
      </c>
      <c r="BG1345" s="1">
        <v>22.6</v>
      </c>
      <c r="BH1345" s="1" t="s">
        <v>2339</v>
      </c>
    </row>
    <row r="1346">
      <c r="A1346" s="1">
        <v>27065.0</v>
      </c>
      <c r="B1346" s="2" t="str">
        <f>IFERROR(__xludf.DUMMYFUNCTION("TO_TEXT(A1346)"),"27065")</f>
        <v>27065</v>
      </c>
      <c r="C1346" s="1">
        <v>15918.0</v>
      </c>
      <c r="D1346" s="1">
        <v>521.589364790416</v>
      </c>
      <c r="E1346" s="1" t="s">
        <v>2340</v>
      </c>
      <c r="F1346" s="1" t="s">
        <v>2341</v>
      </c>
      <c r="G1346" s="1">
        <v>30.5182602915918</v>
      </c>
      <c r="H1346" s="1">
        <v>13.017760907</v>
      </c>
      <c r="I1346" s="1">
        <v>3.2744247674</v>
      </c>
      <c r="J1346" s="1">
        <v>5.6603773585</v>
      </c>
      <c r="K1346" s="1">
        <v>17.718065012</v>
      </c>
      <c r="L1346" s="1">
        <v>33.2</v>
      </c>
      <c r="M1346" s="1">
        <v>8.5</v>
      </c>
      <c r="N1346" s="1">
        <v>29.9</v>
      </c>
      <c r="O1346" s="1">
        <v>39.103393066</v>
      </c>
      <c r="P1346" s="1">
        <v>6.434699714</v>
      </c>
      <c r="Q1346" s="1">
        <v>87.36895</v>
      </c>
      <c r="R1346" s="1">
        <v>89.05</v>
      </c>
      <c r="S1346" s="1">
        <v>17.4</v>
      </c>
      <c r="T1346" s="1">
        <v>3412.0</v>
      </c>
      <c r="U1346" s="1">
        <v>31.2133645959999</v>
      </c>
      <c r="V1346" s="1">
        <v>141.93792581</v>
      </c>
      <c r="W1346" s="1">
        <v>14.785373609</v>
      </c>
      <c r="X1346" s="1">
        <v>12.2843450479999</v>
      </c>
      <c r="Y1346" s="1">
        <v>79.473134729</v>
      </c>
      <c r="Z1346" s="1">
        <v>9.0</v>
      </c>
      <c r="AA1346" s="1">
        <v>2.5195977359</v>
      </c>
      <c r="AB1346" s="1">
        <v>56950.0</v>
      </c>
      <c r="AC1346" s="1">
        <v>42.102825382</v>
      </c>
      <c r="AD1346" s="1">
        <v>83.082648473</v>
      </c>
      <c r="AE1346" s="1">
        <v>10.930528999</v>
      </c>
      <c r="AF1346" s="1">
        <v>0.5429752576</v>
      </c>
      <c r="AG1346" s="1">
        <v>0.8453137533</v>
      </c>
      <c r="AH1346" s="1">
        <v>0.598506817999999</v>
      </c>
      <c r="AI1346" s="1">
        <v>0.0246806935</v>
      </c>
      <c r="AJ1346" s="1">
        <v>1.6659468131</v>
      </c>
      <c r="AK1346" s="1">
        <v>94.712161412</v>
      </c>
      <c r="AL1346" s="1">
        <v>0.1120854487</v>
      </c>
      <c r="AM1346" s="1">
        <v>49.657555377</v>
      </c>
      <c r="AN1346" s="1">
        <v>77.400086212</v>
      </c>
      <c r="AO1346" s="1">
        <v>24582.0</v>
      </c>
      <c r="AP1346" s="1">
        <v>13.5</v>
      </c>
      <c r="AQ1346" s="1">
        <v>7.5</v>
      </c>
      <c r="AR1346" s="1">
        <v>11.5</v>
      </c>
      <c r="AS1346" s="1">
        <v>18.7</v>
      </c>
      <c r="AT1346" s="1">
        <v>22.0</v>
      </c>
      <c r="AU1346" s="1">
        <v>17.3</v>
      </c>
      <c r="AV1346" s="1">
        <v>4.6</v>
      </c>
      <c r="AW1346" s="1">
        <v>0.2</v>
      </c>
      <c r="AX1346" s="1">
        <v>0.3572</v>
      </c>
      <c r="AY1346" s="1">
        <v>10.1</v>
      </c>
      <c r="AZ1346" s="1">
        <v>10.5</v>
      </c>
      <c r="BA1346" s="1">
        <v>18.9</v>
      </c>
      <c r="BB1346" s="1">
        <v>3.17</v>
      </c>
      <c r="BC1346" s="1" t="s">
        <v>2289</v>
      </c>
      <c r="BD1346" s="1">
        <v>9.8</v>
      </c>
      <c r="BE1346" s="1">
        <v>39.4</v>
      </c>
      <c r="BF1346" s="1">
        <v>36.1</v>
      </c>
      <c r="BG1346" s="1">
        <v>14.7</v>
      </c>
      <c r="BH1346" s="1" t="s">
        <v>2341</v>
      </c>
    </row>
    <row r="1347">
      <c r="A1347" s="1">
        <v>27067.0</v>
      </c>
      <c r="B1347" s="2" t="str">
        <f>IFERROR(__xludf.DUMMYFUNCTION("TO_TEXT(A1347)"),"27067")</f>
        <v>27067</v>
      </c>
      <c r="C1347" s="1">
        <v>42510.0</v>
      </c>
      <c r="D1347" s="1">
        <v>797.292228034378</v>
      </c>
      <c r="E1347" s="1" t="s">
        <v>2342</v>
      </c>
      <c r="F1347" s="1" t="s">
        <v>2343</v>
      </c>
      <c r="G1347" s="1">
        <v>53.3179661173958</v>
      </c>
      <c r="H1347" s="1">
        <v>14.127624955</v>
      </c>
      <c r="I1347" s="1">
        <v>3.1713236732</v>
      </c>
      <c r="J1347" s="1">
        <v>5.3868756121</v>
      </c>
      <c r="K1347" s="1">
        <v>15.47580479</v>
      </c>
      <c r="L1347" s="1">
        <v>27.9</v>
      </c>
      <c r="M1347" s="1">
        <v>8.4</v>
      </c>
      <c r="N1347" s="1">
        <v>21.7</v>
      </c>
      <c r="O1347" s="1">
        <v>66.7653116789999</v>
      </c>
      <c r="P1347" s="1">
        <v>6.76788321169999</v>
      </c>
      <c r="Q1347" s="1">
        <v>98.2617</v>
      </c>
      <c r="R1347" s="1">
        <v>73.13</v>
      </c>
      <c r="S1347" s="1">
        <v>17.9</v>
      </c>
      <c r="T1347" s="1">
        <v>10170.0</v>
      </c>
      <c r="U1347" s="1">
        <v>29.7148475909999</v>
      </c>
      <c r="V1347" s="1">
        <v>175.15193549</v>
      </c>
      <c r="W1347" s="1">
        <v>12.847325964</v>
      </c>
      <c r="X1347" s="1">
        <v>10.651456019</v>
      </c>
      <c r="Y1347" s="1">
        <v>81.150897919</v>
      </c>
      <c r="Z1347" s="1">
        <v>9.2</v>
      </c>
      <c r="AA1347" s="1">
        <v>8.3050269309</v>
      </c>
      <c r="AB1347" s="1">
        <v>60579.0</v>
      </c>
      <c r="AC1347" s="1">
        <v>52.291890235</v>
      </c>
      <c r="AD1347" s="1">
        <v>73.956524343</v>
      </c>
      <c r="AE1347" s="1">
        <v>11.041336422</v>
      </c>
      <c r="AF1347" s="1">
        <v>5.7892894645</v>
      </c>
      <c r="AG1347" s="1">
        <v>0.5436938514</v>
      </c>
      <c r="AH1347" s="1">
        <v>1.0850542527</v>
      </c>
      <c r="AI1347" s="1">
        <v>0.1073387003</v>
      </c>
      <c r="AJ1347" s="1">
        <v>12.292614631</v>
      </c>
      <c r="AK1347" s="1">
        <v>79.614980749</v>
      </c>
      <c r="AL1347" s="1">
        <v>2.8340080972</v>
      </c>
      <c r="AM1347" s="1">
        <v>49.6534826739999</v>
      </c>
      <c r="AN1347" s="1">
        <v>44.525201828</v>
      </c>
      <c r="AO1347" s="1">
        <v>28165.0</v>
      </c>
      <c r="AP1347" s="1">
        <v>11.3</v>
      </c>
      <c r="AQ1347" s="1">
        <v>3.8</v>
      </c>
      <c r="AR1347" s="1">
        <v>11.8</v>
      </c>
      <c r="AS1347" s="1">
        <v>17.2</v>
      </c>
      <c r="AT1347" s="1">
        <v>23.9</v>
      </c>
      <c r="AU1347" s="1">
        <v>11.5</v>
      </c>
      <c r="AV1347" s="1">
        <v>17.3</v>
      </c>
      <c r="AW1347" s="1">
        <v>3.3</v>
      </c>
      <c r="AX1347" s="1">
        <v>0.4314</v>
      </c>
      <c r="AY1347" s="1">
        <v>9.8</v>
      </c>
      <c r="AZ1347" s="1">
        <v>7.9</v>
      </c>
      <c r="BA1347" s="1">
        <v>13.2</v>
      </c>
      <c r="BB1347" s="1">
        <v>2.86</v>
      </c>
      <c r="BC1347" s="1" t="s">
        <v>2289</v>
      </c>
      <c r="BD1347" s="1">
        <v>11.0</v>
      </c>
      <c r="BE1347" s="1">
        <v>25.9</v>
      </c>
      <c r="BF1347" s="1">
        <v>39.9</v>
      </c>
      <c r="BG1347" s="1">
        <v>23.3</v>
      </c>
      <c r="BH1347" s="1" t="s">
        <v>2343</v>
      </c>
    </row>
    <row r="1348">
      <c r="A1348" s="1">
        <v>27069.0</v>
      </c>
      <c r="B1348" s="2" t="str">
        <f>IFERROR(__xludf.DUMMYFUNCTION("TO_TEXT(A1348)"),"27069")</f>
        <v>27069</v>
      </c>
      <c r="C1348" s="1">
        <v>4436.0</v>
      </c>
      <c r="D1348" s="1">
        <v>1098.80569221639</v>
      </c>
      <c r="E1348" s="1" t="s">
        <v>2344</v>
      </c>
      <c r="F1348" s="1" t="s">
        <v>2345</v>
      </c>
      <c r="G1348" s="1">
        <v>4.03711050226923</v>
      </c>
      <c r="H1348" s="1">
        <v>12.516172042</v>
      </c>
      <c r="I1348" s="1">
        <v>3.2051036568</v>
      </c>
      <c r="J1348" s="1">
        <v>4.3352601156</v>
      </c>
      <c r="K1348" s="1">
        <v>14.97997256</v>
      </c>
      <c r="L1348" s="1">
        <v>30.0</v>
      </c>
      <c r="M1348" s="1">
        <v>7.3</v>
      </c>
      <c r="N1348" s="1">
        <v>22.6</v>
      </c>
      <c r="O1348" s="1">
        <v>40.004393673</v>
      </c>
      <c r="P1348" s="1">
        <v>5.63733166299999</v>
      </c>
      <c r="Q1348" s="1">
        <v>48.31939</v>
      </c>
      <c r="R1348" s="1">
        <v>96.61</v>
      </c>
      <c r="S1348" s="1">
        <v>13.8</v>
      </c>
      <c r="T1348" s="1">
        <v>937.0</v>
      </c>
      <c r="U1348" s="1">
        <v>29.562433298</v>
      </c>
      <c r="V1348" s="1">
        <v>22.482014388</v>
      </c>
      <c r="W1348" s="1">
        <v>8.3550913838</v>
      </c>
      <c r="X1348" s="1">
        <v>6.24016780279999</v>
      </c>
      <c r="Y1348" s="1">
        <v>78.308933302</v>
      </c>
      <c r="Z1348" s="1">
        <v>12.0</v>
      </c>
      <c r="AA1348" s="1">
        <v>19.681935767</v>
      </c>
      <c r="AB1348" s="1">
        <v>54438.0</v>
      </c>
      <c r="AC1348" s="1">
        <v>39.5161290319999</v>
      </c>
      <c r="AD1348" s="1">
        <v>80.169222634</v>
      </c>
      <c r="AE1348" s="1">
        <v>5.0</v>
      </c>
      <c r="AF1348" s="1">
        <v>0.3766478343</v>
      </c>
      <c r="AG1348" s="1">
        <v>0.4237288136</v>
      </c>
      <c r="AH1348" s="1">
        <v>0.8003766478</v>
      </c>
      <c r="AI1348" s="1">
        <v>0.0</v>
      </c>
      <c r="AJ1348" s="1">
        <v>2.1892655367</v>
      </c>
      <c r="AK1348" s="1">
        <v>95.433145009</v>
      </c>
      <c r="AL1348" s="1">
        <v>0.0</v>
      </c>
      <c r="AM1348" s="1">
        <v>49.670433145</v>
      </c>
      <c r="AN1348" s="1">
        <v>100.0</v>
      </c>
      <c r="AO1348" s="1">
        <v>29939.0</v>
      </c>
      <c r="AP1348" s="1">
        <v>11.2</v>
      </c>
      <c r="AQ1348" s="1">
        <v>2.7</v>
      </c>
      <c r="AR1348" s="1">
        <v>8.2</v>
      </c>
      <c r="AS1348" s="1">
        <v>23.4</v>
      </c>
      <c r="AT1348" s="1">
        <v>21.6</v>
      </c>
      <c r="AU1348" s="1">
        <v>14.5</v>
      </c>
      <c r="AV1348" s="1">
        <v>3.7</v>
      </c>
      <c r="AW1348" s="1">
        <v>0.2</v>
      </c>
      <c r="AX1348" s="1">
        <v>0.1382</v>
      </c>
      <c r="AY1348" s="1">
        <v>9.2</v>
      </c>
      <c r="AZ1348" s="1">
        <v>8.0</v>
      </c>
      <c r="BA1348" s="1">
        <v>13.8</v>
      </c>
      <c r="BB1348" s="1">
        <v>3.16</v>
      </c>
      <c r="BC1348" s="1" t="s">
        <v>2289</v>
      </c>
      <c r="BD1348" s="1">
        <v>5.5</v>
      </c>
      <c r="BE1348" s="1">
        <v>36.2</v>
      </c>
      <c r="BF1348" s="1">
        <v>32.5</v>
      </c>
      <c r="BG1348" s="1">
        <v>25.9</v>
      </c>
      <c r="BH1348" s="1" t="s">
        <v>2345</v>
      </c>
    </row>
    <row r="1349">
      <c r="A1349" s="1">
        <v>27071.0</v>
      </c>
      <c r="B1349" s="2" t="str">
        <f>IFERROR(__xludf.DUMMYFUNCTION("TO_TEXT(A1349)"),"27071")</f>
        <v>27071</v>
      </c>
      <c r="C1349" s="1">
        <v>12930.0</v>
      </c>
      <c r="D1349" s="1">
        <v>3104.19030557707</v>
      </c>
      <c r="E1349" s="1" t="s">
        <v>2346</v>
      </c>
      <c r="F1349" s="1" t="s">
        <v>2347</v>
      </c>
      <c r="G1349" s="1">
        <v>4.1653374075583</v>
      </c>
      <c r="H1349" s="1">
        <v>14.787731208</v>
      </c>
      <c r="I1349" s="1">
        <v>3.4485876637</v>
      </c>
      <c r="J1349" s="1">
        <v>7.6163610719</v>
      </c>
      <c r="K1349" s="1">
        <v>16.381705296</v>
      </c>
      <c r="L1349" s="1">
        <v>28.8</v>
      </c>
      <c r="M1349" s="1">
        <v>6.8</v>
      </c>
      <c r="N1349" s="1">
        <v>27.5</v>
      </c>
      <c r="O1349" s="1">
        <v>71.872887086</v>
      </c>
      <c r="P1349" s="1">
        <v>7.15742032409999</v>
      </c>
      <c r="Q1349" s="1">
        <v>31.92848</v>
      </c>
      <c r="R1349" s="1">
        <v>89.86</v>
      </c>
      <c r="S1349" s="1">
        <v>21.6</v>
      </c>
      <c r="T1349" s="1">
        <v>2373.0</v>
      </c>
      <c r="U1349" s="1">
        <v>45.301306363</v>
      </c>
      <c r="V1349" s="1">
        <v>127.2264631</v>
      </c>
      <c r="W1349" s="1">
        <v>10.645724258</v>
      </c>
      <c r="X1349" s="1">
        <v>9.25795053</v>
      </c>
      <c r="Y1349" s="1">
        <v>79.484033193</v>
      </c>
      <c r="Z1349" s="1">
        <v>10.6</v>
      </c>
      <c r="AA1349" s="1">
        <v>17.3463566959999</v>
      </c>
      <c r="AB1349" s="1">
        <v>46281.0</v>
      </c>
      <c r="AC1349" s="1">
        <v>40.372309482</v>
      </c>
      <c r="AD1349" s="1">
        <v>77.200862379</v>
      </c>
      <c r="AE1349" s="1">
        <v>8.7729143285</v>
      </c>
      <c r="AF1349" s="1">
        <v>0.6511254019</v>
      </c>
      <c r="AG1349" s="1">
        <v>2.6688102894</v>
      </c>
      <c r="AH1349" s="1">
        <v>0.578778135</v>
      </c>
      <c r="AI1349" s="1">
        <v>0.0241157556</v>
      </c>
      <c r="AJ1349" s="1">
        <v>1.3344051447</v>
      </c>
      <c r="AK1349" s="1">
        <v>93.118971061</v>
      </c>
      <c r="AL1349" s="1">
        <v>0.4042237255</v>
      </c>
      <c r="AM1349" s="1">
        <v>49.959807074</v>
      </c>
      <c r="AN1349" s="1">
        <v>46.998722861</v>
      </c>
      <c r="AO1349" s="1">
        <v>26814.0</v>
      </c>
      <c r="AP1349" s="1">
        <v>16.9</v>
      </c>
      <c r="AQ1349" s="1">
        <v>7.5</v>
      </c>
      <c r="AR1349" s="1">
        <v>9.0</v>
      </c>
      <c r="AS1349" s="1">
        <v>21.7</v>
      </c>
      <c r="AT1349" s="1">
        <v>19.4</v>
      </c>
      <c r="AU1349" s="1">
        <v>16.3</v>
      </c>
      <c r="AV1349" s="1">
        <v>6.5</v>
      </c>
      <c r="AW1349" s="1">
        <v>0.3</v>
      </c>
      <c r="AX1349" s="1">
        <v>0.3999</v>
      </c>
      <c r="AY1349" s="1">
        <v>13.0</v>
      </c>
      <c r="AZ1349" s="1">
        <v>13.0</v>
      </c>
      <c r="BA1349" s="1">
        <v>22.8</v>
      </c>
      <c r="BB1349" s="1">
        <v>3.06</v>
      </c>
      <c r="BC1349" s="1" t="s">
        <v>2289</v>
      </c>
      <c r="BD1349" s="1">
        <v>8.1</v>
      </c>
      <c r="BE1349" s="1">
        <v>35.7</v>
      </c>
      <c r="BF1349" s="1">
        <v>40.7</v>
      </c>
      <c r="BG1349" s="1">
        <v>15.5</v>
      </c>
      <c r="BH1349" s="1" t="s">
        <v>2347</v>
      </c>
    </row>
    <row r="1350">
      <c r="A1350" s="1">
        <v>27073.0</v>
      </c>
      <c r="B1350" s="2" t="str">
        <f>IFERROR(__xludf.DUMMYFUNCTION("TO_TEXT(A1350)"),"27073")</f>
        <v>27073</v>
      </c>
      <c r="C1350" s="1">
        <v>6916.0</v>
      </c>
      <c r="D1350" s="1">
        <v>765.020386574938</v>
      </c>
      <c r="E1350" s="1" t="s">
        <v>2348</v>
      </c>
      <c r="F1350" s="1" t="s">
        <v>2349</v>
      </c>
      <c r="G1350" s="1">
        <v>9.04028196028019</v>
      </c>
      <c r="H1350" s="1">
        <v>11.725560275</v>
      </c>
      <c r="I1350" s="1">
        <v>3.1498782464</v>
      </c>
      <c r="J1350" s="1">
        <v>4.8275862069</v>
      </c>
      <c r="K1350" s="1">
        <v>13.393219173</v>
      </c>
      <c r="L1350" s="1">
        <v>35.1</v>
      </c>
      <c r="M1350" s="1">
        <v>8.8</v>
      </c>
      <c r="N1350" s="1">
        <v>28.0</v>
      </c>
      <c r="O1350" s="1">
        <v>47.237911558</v>
      </c>
      <c r="P1350" s="1">
        <v>5.7390586292</v>
      </c>
      <c r="Q1350" s="1">
        <v>104.71204</v>
      </c>
      <c r="R1350" s="1">
        <v>95.4</v>
      </c>
      <c r="S1350" s="1">
        <v>11.8</v>
      </c>
      <c r="T1350" s="1">
        <v>1311.0</v>
      </c>
      <c r="U1350" s="1">
        <v>25.019069413</v>
      </c>
      <c r="V1350" s="1">
        <v>36.331928499</v>
      </c>
      <c r="W1350" s="1">
        <v>7.5562700965</v>
      </c>
      <c r="X1350" s="1">
        <v>6.6343042071</v>
      </c>
      <c r="Y1350" s="1">
        <v>82.418975228</v>
      </c>
      <c r="Z1350" s="1">
        <v>11.5</v>
      </c>
      <c r="AA1350" s="1">
        <v>3.5764326914</v>
      </c>
      <c r="AB1350" s="1">
        <v>52445.0</v>
      </c>
      <c r="AC1350" s="1">
        <v>39.898132428</v>
      </c>
      <c r="AD1350" s="1">
        <v>80.470512407</v>
      </c>
      <c r="AE1350" s="1">
        <v>6.2478892266</v>
      </c>
      <c r="AF1350" s="1">
        <v>0.6908981676</v>
      </c>
      <c r="AG1350" s="1">
        <v>0.2853709823</v>
      </c>
      <c r="AH1350" s="1">
        <v>0.8110543707</v>
      </c>
      <c r="AI1350" s="1">
        <v>0.2102733554</v>
      </c>
      <c r="AJ1350" s="1">
        <v>2.6434364674</v>
      </c>
      <c r="AK1350" s="1">
        <v>94.367677981</v>
      </c>
      <c r="AL1350" s="1">
        <v>0.5573618207</v>
      </c>
      <c r="AM1350" s="1">
        <v>49.729648543</v>
      </c>
      <c r="AN1350" s="1">
        <v>100.0</v>
      </c>
      <c r="AO1350" s="1">
        <v>30816.0</v>
      </c>
      <c r="AP1350" s="1">
        <v>8.5</v>
      </c>
      <c r="AQ1350" s="1">
        <v>3.4</v>
      </c>
      <c r="AR1350" s="1">
        <v>7.1</v>
      </c>
      <c r="AS1350" s="1">
        <v>24.8</v>
      </c>
      <c r="AT1350" s="1">
        <v>20.1</v>
      </c>
      <c r="AU1350" s="1">
        <v>14.7</v>
      </c>
      <c r="AV1350" s="1">
        <v>4.3</v>
      </c>
      <c r="AW1350" s="1">
        <v>0.1</v>
      </c>
      <c r="AX1350" s="1">
        <v>0.0388</v>
      </c>
      <c r="AY1350" s="1">
        <v>9.5</v>
      </c>
      <c r="AZ1350" s="1">
        <v>8.5</v>
      </c>
      <c r="BA1350" s="1">
        <v>13.5</v>
      </c>
      <c r="BB1350" s="1">
        <v>3.18</v>
      </c>
      <c r="BC1350" s="1" t="s">
        <v>2289</v>
      </c>
      <c r="BD1350" s="1">
        <v>6.7</v>
      </c>
      <c r="BE1350" s="1">
        <v>37.0</v>
      </c>
      <c r="BF1350" s="1">
        <v>37.5</v>
      </c>
      <c r="BG1350" s="1">
        <v>18.8</v>
      </c>
      <c r="BH1350" s="1" t="s">
        <v>2349</v>
      </c>
    </row>
    <row r="1351">
      <c r="A1351" s="1">
        <v>27075.0</v>
      </c>
      <c r="B1351" s="2" t="str">
        <f>IFERROR(__xludf.DUMMYFUNCTION("TO_TEXT(A1351)"),"27075")</f>
        <v>27075</v>
      </c>
      <c r="C1351" s="1">
        <v>10721.0</v>
      </c>
      <c r="D1351" s="1">
        <v>2109.27850555038</v>
      </c>
      <c r="E1351" s="1" t="s">
        <v>450</v>
      </c>
      <c r="F1351" s="1" t="s">
        <v>2350</v>
      </c>
      <c r="G1351" s="1">
        <v>5.08278066257659</v>
      </c>
      <c r="H1351" s="1">
        <v>11.122718674</v>
      </c>
      <c r="I1351" s="1">
        <v>3.0893066768</v>
      </c>
      <c r="J1351" s="1">
        <v>6.3273727648</v>
      </c>
      <c r="K1351" s="1">
        <v>13.804636288</v>
      </c>
      <c r="L1351" s="1">
        <v>27.5</v>
      </c>
      <c r="M1351" s="1">
        <v>8.9</v>
      </c>
      <c r="N1351" s="1">
        <v>27.8</v>
      </c>
      <c r="O1351" s="1">
        <v>77.056874655</v>
      </c>
      <c r="P1351" s="1">
        <v>4.6571465329</v>
      </c>
      <c r="Q1351" s="1">
        <v>85.51881</v>
      </c>
      <c r="R1351" s="1">
        <v>94.39</v>
      </c>
      <c r="S1351" s="1">
        <v>11.6</v>
      </c>
      <c r="T1351" s="1">
        <v>1785.0</v>
      </c>
      <c r="U1351" s="1">
        <v>31.596638655</v>
      </c>
      <c r="V1351" s="1">
        <v>79.651407956</v>
      </c>
      <c r="W1351" s="1">
        <v>13.928914505</v>
      </c>
      <c r="X1351" s="1">
        <v>10.0</v>
      </c>
      <c r="Y1351" s="1">
        <v>78.790573063</v>
      </c>
      <c r="Z1351" s="1">
        <v>10.0</v>
      </c>
      <c r="AA1351" s="1">
        <v>2.8168398898</v>
      </c>
      <c r="AB1351" s="1">
        <v>61015.0</v>
      </c>
      <c r="AC1351" s="1">
        <v>25.942028986</v>
      </c>
      <c r="AD1351" s="1">
        <v>80.899093189</v>
      </c>
      <c r="AE1351" s="1">
        <v>8.5628742515</v>
      </c>
      <c r="AF1351" s="1">
        <v>0.7412272471</v>
      </c>
      <c r="AG1351" s="1">
        <v>0.6755488835</v>
      </c>
      <c r="AH1351" s="1">
        <v>0.5254269094</v>
      </c>
      <c r="AI1351" s="1">
        <v>0.0093826234</v>
      </c>
      <c r="AJ1351" s="1">
        <v>1.6888722087</v>
      </c>
      <c r="AK1351" s="1">
        <v>94.980296491</v>
      </c>
      <c r="AL1351" s="1">
        <v>0.7841969426</v>
      </c>
      <c r="AM1351" s="1">
        <v>48.508162882</v>
      </c>
      <c r="AN1351" s="1">
        <v>66.9795692989999</v>
      </c>
      <c r="AO1351" s="1">
        <v>31215.0</v>
      </c>
      <c r="AP1351" s="1">
        <v>12.0</v>
      </c>
      <c r="AQ1351" s="1">
        <v>4.1</v>
      </c>
      <c r="AR1351" s="1">
        <v>4.6</v>
      </c>
      <c r="AS1351" s="1">
        <v>24.7</v>
      </c>
      <c r="AT1351" s="1">
        <v>18.3</v>
      </c>
      <c r="AU1351" s="1">
        <v>13.2</v>
      </c>
      <c r="AV1351" s="1">
        <v>4.0</v>
      </c>
      <c r="AW1351" s="1">
        <v>0.3</v>
      </c>
      <c r="AX1351" s="1">
        <v>0.1114</v>
      </c>
      <c r="AY1351" s="1">
        <v>9.0</v>
      </c>
      <c r="AZ1351" s="1">
        <v>8.3</v>
      </c>
      <c r="BA1351" s="1">
        <v>15.1</v>
      </c>
      <c r="BB1351" s="1">
        <v>3.13</v>
      </c>
      <c r="BC1351" s="1" t="s">
        <v>2289</v>
      </c>
      <c r="BD1351" s="1">
        <v>5.3</v>
      </c>
      <c r="BE1351" s="1">
        <v>30.9</v>
      </c>
      <c r="BF1351" s="1">
        <v>34.9</v>
      </c>
      <c r="BG1351" s="1">
        <v>28.8</v>
      </c>
      <c r="BH1351" s="1" t="s">
        <v>2350</v>
      </c>
    </row>
    <row r="1352">
      <c r="A1352" s="1">
        <v>27077.0</v>
      </c>
      <c r="B1352" s="2" t="str">
        <f>IFERROR(__xludf.DUMMYFUNCTION("TO_TEXT(A1352)"),"27077")</f>
        <v>27077</v>
      </c>
      <c r="C1352" s="1">
        <v>3901.0</v>
      </c>
      <c r="D1352" s="1">
        <v>1297.8673547926</v>
      </c>
      <c r="E1352" s="1" t="s">
        <v>2351</v>
      </c>
      <c r="F1352" s="1" t="s">
        <v>2352</v>
      </c>
      <c r="G1352" s="1">
        <v>3.00570007065428</v>
      </c>
      <c r="H1352" s="1">
        <v>12.34221792</v>
      </c>
      <c r="I1352" s="1">
        <v>3.2150483166</v>
      </c>
      <c r="J1352" s="1">
        <v>7.80443539465</v>
      </c>
      <c r="K1352" s="1">
        <v>14.703404105</v>
      </c>
      <c r="L1352" s="1">
        <v>29.2</v>
      </c>
      <c r="M1352" s="1">
        <v>8.0</v>
      </c>
      <c r="N1352" s="1">
        <v>28.5</v>
      </c>
      <c r="O1352" s="1">
        <v>56.2669962919999</v>
      </c>
      <c r="P1352" s="1">
        <v>6.38071605809999</v>
      </c>
      <c r="Q1352" s="1">
        <v>53.4188</v>
      </c>
      <c r="R1352" s="1">
        <v>91.43</v>
      </c>
      <c r="S1352" s="1">
        <v>14.0</v>
      </c>
      <c r="T1352" s="1">
        <v>691.0</v>
      </c>
      <c r="U1352" s="1">
        <v>37.626628075</v>
      </c>
      <c r="V1352" s="1">
        <v>51.249199231</v>
      </c>
      <c r="W1352" s="1">
        <v>14.193548387</v>
      </c>
      <c r="X1352" s="1">
        <v>11.642949547</v>
      </c>
      <c r="Y1352" s="1">
        <v>79.75812102</v>
      </c>
      <c r="Z1352" s="1">
        <v>14.8</v>
      </c>
      <c r="AA1352" s="1">
        <v>12.025320351</v>
      </c>
      <c r="AB1352" s="1">
        <v>52058.0</v>
      </c>
      <c r="AC1352" s="1">
        <v>45.898004435</v>
      </c>
      <c r="AD1352" s="1">
        <v>81.324921136</v>
      </c>
      <c r="AE1352" s="1">
        <v>10.038610039</v>
      </c>
      <c r="AF1352" s="1">
        <v>0.5321979776</v>
      </c>
      <c r="AG1352" s="1">
        <v>0.904736562</v>
      </c>
      <c r="AH1352" s="1">
        <v>2.0223523151</v>
      </c>
      <c r="AI1352" s="1">
        <v>0.0</v>
      </c>
      <c r="AJ1352" s="1">
        <v>1.4369345396</v>
      </c>
      <c r="AK1352" s="1">
        <v>92.442788717</v>
      </c>
      <c r="AL1352" s="1">
        <v>0.1101018442</v>
      </c>
      <c r="AM1352" s="1">
        <v>47.684938797</v>
      </c>
      <c r="AN1352" s="1">
        <v>100.0</v>
      </c>
      <c r="AO1352" s="1">
        <v>23234.0</v>
      </c>
      <c r="AP1352" s="1">
        <v>8.1</v>
      </c>
      <c r="AQ1352" s="1">
        <v>3.9</v>
      </c>
      <c r="AR1352" s="1">
        <v>10.3</v>
      </c>
      <c r="AS1352" s="1">
        <v>21.8</v>
      </c>
      <c r="AT1352" s="1">
        <v>18.5</v>
      </c>
      <c r="AU1352" s="1">
        <v>12.3</v>
      </c>
      <c r="AV1352" s="1">
        <v>6.0</v>
      </c>
      <c r="AW1352" s="1">
        <v>0.0</v>
      </c>
      <c r="AX1352" s="1">
        <v>0.1608</v>
      </c>
      <c r="AY1352" s="1">
        <v>9.2</v>
      </c>
      <c r="AZ1352" s="1">
        <v>7.8</v>
      </c>
      <c r="BA1352" s="1">
        <v>15.1</v>
      </c>
      <c r="BB1352" s="1">
        <v>3.11</v>
      </c>
      <c r="BC1352" s="1" t="s">
        <v>2289</v>
      </c>
      <c r="BD1352" s="1">
        <v>7.0</v>
      </c>
      <c r="BE1352" s="1">
        <v>38.6</v>
      </c>
      <c r="BF1352" s="1">
        <v>37.7</v>
      </c>
      <c r="BG1352" s="1">
        <v>16.7</v>
      </c>
      <c r="BH1352" s="1" t="s">
        <v>2352</v>
      </c>
    </row>
    <row r="1353">
      <c r="A1353" s="1">
        <v>27079.0</v>
      </c>
      <c r="B1353" s="2" t="str">
        <f>IFERROR(__xludf.DUMMYFUNCTION("TO_TEXT(A1353)"),"27079")</f>
        <v>27079</v>
      </c>
      <c r="C1353" s="1">
        <v>27650.0</v>
      </c>
      <c r="D1353" s="1">
        <v>448.773488606654</v>
      </c>
      <c r="E1353" s="1" t="s">
        <v>2353</v>
      </c>
      <c r="F1353" s="1" t="s">
        <v>2354</v>
      </c>
      <c r="G1353" s="1">
        <v>61.6123739524974</v>
      </c>
      <c r="H1353" s="1">
        <v>11.192302882</v>
      </c>
      <c r="I1353" s="1">
        <v>2.9055105443</v>
      </c>
      <c r="J1353" s="1">
        <v>5.4875283447</v>
      </c>
      <c r="K1353" s="1">
        <v>13.677895535</v>
      </c>
      <c r="L1353" s="1">
        <v>34.8</v>
      </c>
      <c r="M1353" s="1">
        <v>9.1</v>
      </c>
      <c r="N1353" s="1">
        <v>21.3</v>
      </c>
      <c r="O1353" s="1">
        <v>76.598202361</v>
      </c>
      <c r="P1353" s="1">
        <v>5.0453955901</v>
      </c>
      <c r="Q1353" s="1">
        <v>14.22931</v>
      </c>
      <c r="R1353" s="1">
        <v>86.18</v>
      </c>
      <c r="S1353" s="1">
        <v>8.7</v>
      </c>
      <c r="T1353" s="1">
        <v>6593.0</v>
      </c>
      <c r="U1353" s="1">
        <v>26.785985136</v>
      </c>
      <c r="V1353" s="1">
        <v>50.4468146439999</v>
      </c>
      <c r="W1353" s="1">
        <v>10.735770477</v>
      </c>
      <c r="X1353" s="1">
        <v>8.9219330855</v>
      </c>
      <c r="Y1353" s="1">
        <v>81.380947566</v>
      </c>
      <c r="Z1353" s="1">
        <v>9.2</v>
      </c>
      <c r="AA1353" s="1">
        <v>1.7221542355</v>
      </c>
      <c r="AB1353" s="1">
        <v>67269.0</v>
      </c>
      <c r="AC1353" s="1">
        <v>34.567560099</v>
      </c>
      <c r="AD1353" s="1">
        <v>81.055729262</v>
      </c>
      <c r="AE1353" s="1">
        <v>8.5376162299</v>
      </c>
      <c r="AF1353" s="1">
        <v>0.6878641117</v>
      </c>
      <c r="AG1353" s="1">
        <v>0.5264266161</v>
      </c>
      <c r="AH1353" s="1">
        <v>0.652769003999999</v>
      </c>
      <c r="AI1353" s="1">
        <v>0.0280760862</v>
      </c>
      <c r="AJ1353" s="1">
        <v>6.1627009195</v>
      </c>
      <c r="AK1353" s="1">
        <v>91.1279567629999</v>
      </c>
      <c r="AL1353" s="1">
        <v>1.2369642993</v>
      </c>
      <c r="AM1353" s="1">
        <v>49.571839686</v>
      </c>
      <c r="AN1353" s="1">
        <v>62.159332924</v>
      </c>
      <c r="AO1353" s="1">
        <v>29714.0</v>
      </c>
      <c r="AP1353" s="1">
        <v>8.5</v>
      </c>
      <c r="AQ1353" s="1">
        <v>4.3</v>
      </c>
      <c r="AR1353" s="1">
        <v>9.2</v>
      </c>
      <c r="AS1353" s="1">
        <v>15.9</v>
      </c>
      <c r="AT1353" s="1">
        <v>24.4</v>
      </c>
      <c r="AU1353" s="1">
        <v>10.2</v>
      </c>
      <c r="AV1353" s="1">
        <v>8.2</v>
      </c>
      <c r="AW1353" s="1">
        <v>1.2</v>
      </c>
      <c r="AX1353" s="1">
        <v>0.1194</v>
      </c>
      <c r="AY1353" s="1">
        <v>7.1</v>
      </c>
      <c r="AZ1353" s="1">
        <v>7.6</v>
      </c>
      <c r="BA1353" s="1">
        <v>13.6</v>
      </c>
      <c r="BB1353" s="1">
        <v>4.05</v>
      </c>
      <c r="BC1353" s="1" t="s">
        <v>2289</v>
      </c>
      <c r="BD1353" s="1">
        <v>6.1</v>
      </c>
      <c r="BE1353" s="1">
        <v>35.8</v>
      </c>
      <c r="BF1353" s="1">
        <v>35.1</v>
      </c>
      <c r="BG1353" s="1">
        <v>23.0</v>
      </c>
      <c r="BH1353" s="1" t="s">
        <v>2354</v>
      </c>
    </row>
    <row r="1354">
      <c r="A1354" s="1">
        <v>27081.0</v>
      </c>
      <c r="B1354" s="2" t="str">
        <f>IFERROR(__xludf.DUMMYFUNCTION("TO_TEXT(A1354)"),"27081")</f>
        <v>27081</v>
      </c>
      <c r="C1354" s="1">
        <v>5793.0</v>
      </c>
      <c r="D1354" s="1">
        <v>536.750373723014</v>
      </c>
      <c r="E1354" s="1" t="s">
        <v>353</v>
      </c>
      <c r="F1354" s="1" t="s">
        <v>2355</v>
      </c>
      <c r="G1354" s="1">
        <v>10.7927265328546</v>
      </c>
      <c r="H1354" s="1">
        <v>12.205996353</v>
      </c>
      <c r="I1354" s="1">
        <v>3.1622672417</v>
      </c>
      <c r="J1354" s="1">
        <v>4.462474645</v>
      </c>
      <c r="K1354" s="1">
        <v>13.818728437</v>
      </c>
      <c r="L1354" s="1">
        <v>28.2</v>
      </c>
      <c r="M1354" s="1">
        <v>8.7</v>
      </c>
      <c r="N1354" s="1">
        <v>19.8</v>
      </c>
      <c r="O1354" s="1">
        <v>48.710990502</v>
      </c>
      <c r="P1354" s="1">
        <v>6.119086844</v>
      </c>
      <c r="Q1354" s="1">
        <v>35.22367</v>
      </c>
      <c r="R1354" s="1">
        <v>87.5</v>
      </c>
      <c r="S1354" s="1">
        <v>11.8</v>
      </c>
      <c r="T1354" s="1">
        <v>1304.0</v>
      </c>
      <c r="U1354" s="1">
        <v>17.17791411</v>
      </c>
      <c r="V1354" s="1">
        <v>164.2461964</v>
      </c>
      <c r="W1354" s="1">
        <v>7.8787878788</v>
      </c>
      <c r="X1354" s="1">
        <v>7.4511400651</v>
      </c>
      <c r="Y1354" s="1">
        <v>81.316106857</v>
      </c>
      <c r="Z1354" s="1">
        <v>11.6</v>
      </c>
      <c r="AA1354" s="1">
        <v>3.5287076722</v>
      </c>
      <c r="AB1354" s="1">
        <v>51305.0</v>
      </c>
      <c r="AC1354" s="1">
        <v>37.717601547</v>
      </c>
      <c r="AD1354" s="1">
        <v>78.461538462</v>
      </c>
      <c r="AE1354" s="1">
        <v>9.5838587642</v>
      </c>
      <c r="AF1354" s="1">
        <v>0.1939009342</v>
      </c>
      <c r="AG1354" s="1">
        <v>0.4054292262</v>
      </c>
      <c r="AH1354" s="1">
        <v>0.4759386568</v>
      </c>
      <c r="AI1354" s="1">
        <v>0.052882073</v>
      </c>
      <c r="AJ1354" s="1">
        <v>2.3444385687</v>
      </c>
      <c r="AK1354" s="1">
        <v>95.822316235</v>
      </c>
      <c r="AL1354" s="1">
        <v>0.0</v>
      </c>
      <c r="AM1354" s="1">
        <v>49.568129737</v>
      </c>
      <c r="AN1354" s="1">
        <v>100.0</v>
      </c>
      <c r="AO1354" s="1">
        <v>27946.0</v>
      </c>
      <c r="AP1354" s="1">
        <v>11.6</v>
      </c>
      <c r="AQ1354" s="1">
        <v>3.2</v>
      </c>
      <c r="AR1354" s="1">
        <v>8.3</v>
      </c>
      <c r="AS1354" s="1">
        <v>25.0</v>
      </c>
      <c r="AT1354" s="1">
        <v>22.5</v>
      </c>
      <c r="AU1354" s="1">
        <v>13.6</v>
      </c>
      <c r="AV1354" s="1">
        <v>3.0</v>
      </c>
      <c r="AW1354" s="1">
        <v>0.0</v>
      </c>
      <c r="AX1354" s="1">
        <v>0.0621</v>
      </c>
      <c r="AY1354" s="1">
        <v>10.1</v>
      </c>
      <c r="AZ1354" s="1">
        <v>8.5</v>
      </c>
      <c r="BA1354" s="1">
        <v>13.8</v>
      </c>
      <c r="BB1354" s="1">
        <v>3.23</v>
      </c>
      <c r="BC1354" s="1" t="s">
        <v>2289</v>
      </c>
      <c r="BD1354" s="1">
        <v>8.1</v>
      </c>
      <c r="BE1354" s="1">
        <v>38.3</v>
      </c>
      <c r="BF1354" s="1">
        <v>34.3</v>
      </c>
      <c r="BG1354" s="1">
        <v>19.3</v>
      </c>
      <c r="BH1354" s="1" t="s">
        <v>2355</v>
      </c>
    </row>
    <row r="1355">
      <c r="A1355" s="1">
        <v>27083.0</v>
      </c>
      <c r="B1355" s="2" t="str">
        <f>IFERROR(__xludf.DUMMYFUNCTION("TO_TEXT(A1355)"),"27083")</f>
        <v>27083</v>
      </c>
      <c r="C1355" s="1">
        <v>25670.0</v>
      </c>
      <c r="D1355" s="1">
        <v>714.563831265874</v>
      </c>
      <c r="E1355" s="1" t="s">
        <v>1526</v>
      </c>
      <c r="F1355" s="1" t="s">
        <v>2356</v>
      </c>
      <c r="G1355" s="1">
        <v>35.9240124909831</v>
      </c>
      <c r="H1355" s="1">
        <v>13.486902482</v>
      </c>
      <c r="I1355" s="1">
        <v>3.1551443577</v>
      </c>
      <c r="J1355" s="1">
        <v>5.4966627405</v>
      </c>
      <c r="K1355" s="1">
        <v>14.5065235859999</v>
      </c>
      <c r="L1355" s="1">
        <v>31.3</v>
      </c>
      <c r="M1355" s="1">
        <v>8.2</v>
      </c>
      <c r="N1355" s="1">
        <v>23.0</v>
      </c>
      <c r="O1355" s="1">
        <v>76.41644429</v>
      </c>
      <c r="P1355" s="1">
        <v>5.2844560819</v>
      </c>
      <c r="Q1355" s="1">
        <v>81.29767</v>
      </c>
      <c r="R1355" s="1">
        <v>83.33</v>
      </c>
      <c r="S1355" s="1">
        <v>14.1</v>
      </c>
      <c r="T1355" s="1">
        <v>6417.0</v>
      </c>
      <c r="U1355" s="1">
        <v>30.403615397</v>
      </c>
      <c r="V1355" s="1">
        <v>107.75439834</v>
      </c>
      <c r="W1355" s="1">
        <v>11.9662363459999</v>
      </c>
      <c r="X1355" s="1">
        <v>9.55</v>
      </c>
      <c r="Y1355" s="1">
        <v>81.664153085</v>
      </c>
      <c r="Z1355" s="1">
        <v>9.7</v>
      </c>
      <c r="AA1355" s="1">
        <v>6.58128308929999</v>
      </c>
      <c r="AB1355" s="1">
        <v>57690.0</v>
      </c>
      <c r="AC1355" s="1">
        <v>42.798774259</v>
      </c>
      <c r="AD1355" s="1">
        <v>68.169154229</v>
      </c>
      <c r="AE1355" s="1">
        <v>10.517799353</v>
      </c>
      <c r="AF1355" s="1">
        <v>3.2658316751</v>
      </c>
      <c r="AG1355" s="1">
        <v>0.7803659917</v>
      </c>
      <c r="AH1355" s="1">
        <v>4.580748371</v>
      </c>
      <c r="AI1355" s="1">
        <v>0.0663311093</v>
      </c>
      <c r="AJ1355" s="1">
        <v>7.1208396738</v>
      </c>
      <c r="AK1355" s="1">
        <v>83.292364119</v>
      </c>
      <c r="AL1355" s="1">
        <v>1.9367225979</v>
      </c>
      <c r="AM1355" s="1">
        <v>50.0994966639999</v>
      </c>
      <c r="AN1355" s="1">
        <v>47.928994083</v>
      </c>
      <c r="AO1355" s="1">
        <v>28860.0</v>
      </c>
      <c r="AP1355" s="1">
        <v>13.9</v>
      </c>
      <c r="AQ1355" s="1">
        <v>4.3</v>
      </c>
      <c r="AR1355" s="1">
        <v>7.6</v>
      </c>
      <c r="AS1355" s="1">
        <v>14.2</v>
      </c>
      <c r="AT1355" s="1">
        <v>24.7</v>
      </c>
      <c r="AU1355" s="1">
        <v>10.2</v>
      </c>
      <c r="AV1355" s="1">
        <v>13.9</v>
      </c>
      <c r="AW1355" s="1">
        <v>1.4</v>
      </c>
      <c r="AX1355" s="1">
        <v>0.3257</v>
      </c>
      <c r="AY1355" s="1">
        <v>10.6</v>
      </c>
      <c r="AZ1355" s="1">
        <v>8.8</v>
      </c>
      <c r="BA1355" s="1">
        <v>13.8</v>
      </c>
      <c r="BB1355" s="1">
        <v>3.14</v>
      </c>
      <c r="BC1355" s="1" t="s">
        <v>2289</v>
      </c>
      <c r="BD1355" s="1">
        <v>8.0</v>
      </c>
      <c r="BE1355" s="1">
        <v>31.7</v>
      </c>
      <c r="BF1355" s="1">
        <v>34.2</v>
      </c>
      <c r="BG1355" s="1">
        <v>26.1</v>
      </c>
      <c r="BH1355" s="1" t="s">
        <v>2356</v>
      </c>
    </row>
    <row r="1356">
      <c r="A1356" s="1">
        <v>27085.0</v>
      </c>
      <c r="B1356" s="2" t="str">
        <f>IFERROR(__xludf.DUMMYFUNCTION("TO_TEXT(A1356)"),"27085")</f>
        <v>27085</v>
      </c>
      <c r="C1356" s="1">
        <v>35926.0</v>
      </c>
      <c r="D1356" s="1">
        <v>491.481276004768</v>
      </c>
      <c r="E1356" s="1" t="s">
        <v>2357</v>
      </c>
      <c r="F1356" s="1" t="s">
        <v>2358</v>
      </c>
      <c r="G1356" s="1">
        <v>73.0973930320215</v>
      </c>
      <c r="H1356" s="1">
        <v>12.353359729</v>
      </c>
      <c r="I1356" s="1">
        <v>3.0699187897</v>
      </c>
      <c r="J1356" s="1">
        <v>5.8066759388</v>
      </c>
      <c r="K1356" s="1">
        <v>13.74417035</v>
      </c>
      <c r="L1356" s="1">
        <v>34.9</v>
      </c>
      <c r="M1356" s="1">
        <v>8.7</v>
      </c>
      <c r="N1356" s="1">
        <v>23.4</v>
      </c>
      <c r="O1356" s="1">
        <v>77.951488363</v>
      </c>
      <c r="P1356" s="1">
        <v>4.7582977551</v>
      </c>
      <c r="Q1356" s="1">
        <v>91.96299</v>
      </c>
      <c r="R1356" s="1">
        <v>83.78</v>
      </c>
      <c r="S1356" s="1">
        <v>9.1</v>
      </c>
      <c r="T1356" s="1">
        <v>8245.0</v>
      </c>
      <c r="U1356" s="1">
        <v>30.163735597</v>
      </c>
      <c r="V1356" s="1">
        <v>92.230296255</v>
      </c>
      <c r="W1356" s="1">
        <v>10.0135318</v>
      </c>
      <c r="X1356" s="1">
        <v>8.5995921142</v>
      </c>
      <c r="Y1356" s="1">
        <v>81.499642388</v>
      </c>
      <c r="Z1356" s="1">
        <v>10.1</v>
      </c>
      <c r="AA1356" s="1">
        <v>6.4078750874</v>
      </c>
      <c r="AB1356" s="1">
        <v>61959.0</v>
      </c>
      <c r="AC1356" s="1">
        <v>31.884835479</v>
      </c>
      <c r="AD1356" s="1">
        <v>76.531846278</v>
      </c>
      <c r="AE1356" s="1">
        <v>8.2391617013</v>
      </c>
      <c r="AF1356" s="1">
        <v>0.6160622195</v>
      </c>
      <c r="AG1356" s="1">
        <v>0.5435843113</v>
      </c>
      <c r="AH1356" s="1">
        <v>0.783318930699999</v>
      </c>
      <c r="AI1356" s="1">
        <v>0.0892035793</v>
      </c>
      <c r="AJ1356" s="1">
        <v>6.5062860647</v>
      </c>
      <c r="AK1356" s="1">
        <v>90.770217155</v>
      </c>
      <c r="AL1356" s="1">
        <v>0.8859784284</v>
      </c>
      <c r="AM1356" s="1">
        <v>50.032057536</v>
      </c>
      <c r="AN1356" s="1">
        <v>46.555346375</v>
      </c>
      <c r="AO1356" s="1">
        <v>28241.0</v>
      </c>
      <c r="AP1356" s="1">
        <v>8.1</v>
      </c>
      <c r="AQ1356" s="1">
        <v>3.8</v>
      </c>
      <c r="AR1356" s="1">
        <v>8.9</v>
      </c>
      <c r="AS1356" s="1">
        <v>17.6</v>
      </c>
      <c r="AT1356" s="1">
        <v>23.8</v>
      </c>
      <c r="AU1356" s="1">
        <v>11.3</v>
      </c>
      <c r="AV1356" s="1">
        <v>7.9</v>
      </c>
      <c r="AW1356" s="1">
        <v>1.3</v>
      </c>
      <c r="AX1356" s="1">
        <v>0.1429</v>
      </c>
      <c r="AY1356" s="1">
        <v>6.3</v>
      </c>
      <c r="AZ1356" s="1">
        <v>7.6</v>
      </c>
      <c r="BA1356" s="1">
        <v>13.0</v>
      </c>
      <c r="BB1356" s="1">
        <v>2.95</v>
      </c>
      <c r="BC1356" s="1" t="s">
        <v>2289</v>
      </c>
      <c r="BD1356" s="1">
        <v>6.9</v>
      </c>
      <c r="BE1356" s="1">
        <v>36.0</v>
      </c>
      <c r="BF1356" s="1">
        <v>39.5</v>
      </c>
      <c r="BG1356" s="1">
        <v>17.6</v>
      </c>
      <c r="BH1356" s="1" t="s">
        <v>2358</v>
      </c>
    </row>
    <row r="1357">
      <c r="A1357" s="1">
        <v>27087.0</v>
      </c>
      <c r="B1357" s="2" t="str">
        <f>IFERROR(__xludf.DUMMYFUNCTION("TO_TEXT(A1357)"),"27087")</f>
        <v>27087</v>
      </c>
      <c r="C1357" s="1">
        <v>5480.0</v>
      </c>
      <c r="D1357" s="1">
        <v>557.873597925058</v>
      </c>
      <c r="E1357" s="1" t="s">
        <v>2359</v>
      </c>
      <c r="F1357" s="1" t="s">
        <v>2360</v>
      </c>
      <c r="G1357" s="1">
        <v>9.82301370844969</v>
      </c>
      <c r="H1357" s="1">
        <v>20.019595431</v>
      </c>
      <c r="I1357" s="1">
        <v>4.1728267199</v>
      </c>
      <c r="J1357" s="1">
        <v>8.1081081081</v>
      </c>
      <c r="K1357" s="1">
        <v>25.176803673</v>
      </c>
      <c r="L1357" s="1">
        <v>38.7</v>
      </c>
      <c r="M1357" s="1">
        <v>6.6</v>
      </c>
      <c r="N1357" s="1">
        <v>27.9</v>
      </c>
      <c r="O1357" s="1">
        <v>54.018104563</v>
      </c>
      <c r="P1357" s="1">
        <v>9.48389942659999</v>
      </c>
      <c r="Q1357" s="1">
        <v>17.86991</v>
      </c>
      <c r="R1357" s="1">
        <v>59.34</v>
      </c>
      <c r="S1357" s="1">
        <v>29.7</v>
      </c>
      <c r="T1357" s="1">
        <v>1668.0</v>
      </c>
      <c r="U1357" s="1">
        <v>51.558752998</v>
      </c>
      <c r="V1357" s="1">
        <v>208.61678005</v>
      </c>
      <c r="W1357" s="1">
        <v>15.949367089</v>
      </c>
      <c r="X1357" s="1">
        <v>11.9181585679999</v>
      </c>
      <c r="Y1357" s="1">
        <v>70.634480582</v>
      </c>
      <c r="Z1357" s="1">
        <v>11.2</v>
      </c>
      <c r="AA1357" s="1">
        <v>18.006529429</v>
      </c>
      <c r="AB1357" s="1">
        <v>43162.0</v>
      </c>
      <c r="AC1357" s="1">
        <v>75.905797101</v>
      </c>
      <c r="AD1357" s="1">
        <v>69.814241486</v>
      </c>
      <c r="AE1357" s="1">
        <v>11.478910838</v>
      </c>
      <c r="AF1357" s="1">
        <v>0.4529806124</v>
      </c>
      <c r="AG1357" s="1">
        <v>43.449900344</v>
      </c>
      <c r="AH1357" s="1">
        <v>0.144953796</v>
      </c>
      <c r="AI1357" s="1">
        <v>0.0181192245</v>
      </c>
      <c r="AJ1357" s="1">
        <v>3.9681101649</v>
      </c>
      <c r="AK1357" s="1">
        <v>45.0443921</v>
      </c>
      <c r="AL1357" s="1">
        <v>0.1387237416</v>
      </c>
      <c r="AM1357" s="1">
        <v>49.610436673</v>
      </c>
      <c r="AN1357" s="1">
        <v>100.0</v>
      </c>
      <c r="AO1357" s="1">
        <v>20233.0</v>
      </c>
      <c r="AP1357" s="1">
        <v>22.4</v>
      </c>
      <c r="AQ1357" s="1">
        <v>10.1</v>
      </c>
      <c r="AR1357" s="1">
        <v>12.9</v>
      </c>
      <c r="AS1357" s="1">
        <v>16.8</v>
      </c>
      <c r="AT1357" s="1">
        <v>30.8</v>
      </c>
      <c r="AU1357" s="1">
        <v>13.3</v>
      </c>
      <c r="AV1357" s="1">
        <v>53.4</v>
      </c>
      <c r="AW1357" s="1">
        <v>0.2</v>
      </c>
      <c r="AX1357" s="1">
        <v>0.8771</v>
      </c>
      <c r="AY1357" s="1">
        <v>21.3</v>
      </c>
      <c r="AZ1357" s="1">
        <v>13.3</v>
      </c>
      <c r="BA1357" s="1">
        <v>21.9</v>
      </c>
      <c r="BB1357" s="1">
        <v>3.16</v>
      </c>
      <c r="BC1357" s="1" t="s">
        <v>2289</v>
      </c>
      <c r="BD1357" s="1">
        <v>13.1</v>
      </c>
      <c r="BE1357" s="1">
        <v>36.7</v>
      </c>
      <c r="BF1357" s="1">
        <v>37.0</v>
      </c>
      <c r="BG1357" s="1">
        <v>13.2</v>
      </c>
      <c r="BH1357" s="1" t="s">
        <v>2360</v>
      </c>
    </row>
    <row r="1358">
      <c r="A1358" s="1">
        <v>27089.0</v>
      </c>
      <c r="B1358" s="2" t="str">
        <f>IFERROR(__xludf.DUMMYFUNCTION("TO_TEXT(A1358)"),"27089")</f>
        <v>27089</v>
      </c>
      <c r="C1358" s="1">
        <v>9406.0</v>
      </c>
      <c r="D1358" s="1">
        <v>1775.05932666678</v>
      </c>
      <c r="E1358" s="1" t="s">
        <v>154</v>
      </c>
      <c r="F1358" s="1" t="s">
        <v>2361</v>
      </c>
      <c r="G1358" s="1">
        <v>5.2989778193288</v>
      </c>
      <c r="H1358" s="1">
        <v>13.304836667</v>
      </c>
      <c r="I1358" s="1">
        <v>2.9742799952</v>
      </c>
      <c r="J1358" s="1">
        <v>5.9973924381</v>
      </c>
      <c r="K1358" s="1">
        <v>13.913209791</v>
      </c>
      <c r="L1358" s="1">
        <v>38.1</v>
      </c>
      <c r="M1358" s="1">
        <v>7.5</v>
      </c>
      <c r="N1358" s="1">
        <v>22.9</v>
      </c>
      <c r="O1358" s="1">
        <v>50.068863227</v>
      </c>
      <c r="P1358" s="1">
        <v>5.8286803759</v>
      </c>
      <c r="Q1358" s="1">
        <v>10.68833</v>
      </c>
      <c r="R1358" s="1">
        <v>94.23</v>
      </c>
      <c r="S1358" s="1">
        <v>9.7</v>
      </c>
      <c r="T1358" s="1">
        <v>2116.0</v>
      </c>
      <c r="U1358" s="1">
        <v>21.550094518</v>
      </c>
      <c r="V1358" s="1">
        <v>26.528013582</v>
      </c>
      <c r="W1358" s="1">
        <v>7.6441102757</v>
      </c>
      <c r="X1358" s="1">
        <v>6.42155628309999</v>
      </c>
      <c r="Y1358" s="1">
        <v>83.569530345</v>
      </c>
      <c r="Z1358" s="1">
        <v>12.1</v>
      </c>
      <c r="AA1358" s="1">
        <v>15.822531277</v>
      </c>
      <c r="AB1358" s="1">
        <v>58105.0</v>
      </c>
      <c r="AC1358" s="1">
        <v>39.528234453</v>
      </c>
      <c r="AD1358" s="1">
        <v>81.760847629</v>
      </c>
      <c r="AE1358" s="1">
        <v>7.3686961066</v>
      </c>
      <c r="AF1358" s="1">
        <v>0.404685836</v>
      </c>
      <c r="AG1358" s="1">
        <v>0.9584664537</v>
      </c>
      <c r="AH1358" s="1">
        <v>0.3833865815</v>
      </c>
      <c r="AI1358" s="1">
        <v>0.0425985091</v>
      </c>
      <c r="AJ1358" s="1">
        <v>4.7816826411</v>
      </c>
      <c r="AK1358" s="1">
        <v>92.971246006</v>
      </c>
      <c r="AL1358" s="1">
        <v>0.657223796</v>
      </c>
      <c r="AM1358" s="1">
        <v>49.542066028</v>
      </c>
      <c r="AN1358" s="1">
        <v>100.0</v>
      </c>
      <c r="AO1358" s="1">
        <v>28194.0</v>
      </c>
      <c r="AP1358" s="1">
        <v>7.5</v>
      </c>
      <c r="AQ1358" s="1">
        <v>4.0</v>
      </c>
      <c r="AR1358" s="1">
        <v>11.0</v>
      </c>
      <c r="AS1358" s="1">
        <v>19.8</v>
      </c>
      <c r="AT1358" s="1">
        <v>23.1</v>
      </c>
      <c r="AU1358" s="1">
        <v>12.2</v>
      </c>
      <c r="AV1358" s="1">
        <v>6.1</v>
      </c>
      <c r="AW1358" s="1">
        <v>0.8</v>
      </c>
      <c r="AX1358" s="1">
        <v>0.1366</v>
      </c>
      <c r="AY1358" s="1">
        <v>7.5</v>
      </c>
      <c r="AZ1358" s="1">
        <v>8.6</v>
      </c>
      <c r="BA1358" s="1">
        <v>15.0</v>
      </c>
      <c r="BB1358" s="1">
        <v>3.13</v>
      </c>
      <c r="BC1358" s="1" t="s">
        <v>2289</v>
      </c>
      <c r="BD1358" s="1">
        <v>10.0</v>
      </c>
      <c r="BE1358" s="1">
        <v>36.9</v>
      </c>
      <c r="BF1358" s="1">
        <v>34.0</v>
      </c>
      <c r="BG1358" s="1">
        <v>19.1</v>
      </c>
      <c r="BH1358" s="1" t="s">
        <v>2361</v>
      </c>
    </row>
    <row r="1359">
      <c r="A1359" s="1">
        <v>27091.0</v>
      </c>
      <c r="B1359" s="2" t="str">
        <f>IFERROR(__xludf.DUMMYFUNCTION("TO_TEXT(A1359)"),"27091")</f>
        <v>27091</v>
      </c>
      <c r="C1359" s="1">
        <v>20193.0</v>
      </c>
      <c r="D1359" s="1">
        <v>712.337921961612</v>
      </c>
      <c r="E1359" s="1" t="s">
        <v>750</v>
      </c>
      <c r="F1359" s="1" t="s">
        <v>2362</v>
      </c>
      <c r="G1359" s="1">
        <v>28.3475010629691</v>
      </c>
      <c r="H1359" s="1">
        <v>11.7307550279999</v>
      </c>
      <c r="I1359" s="1">
        <v>2.9894818538</v>
      </c>
      <c r="J1359" s="1">
        <v>5.8088694566</v>
      </c>
      <c r="K1359" s="1">
        <v>13.744820857</v>
      </c>
      <c r="L1359" s="1">
        <v>32.4</v>
      </c>
      <c r="M1359" s="1">
        <v>7.8</v>
      </c>
      <c r="N1359" s="1">
        <v>22.4</v>
      </c>
      <c r="O1359" s="1">
        <v>74.309021113</v>
      </c>
      <c r="P1359" s="1">
        <v>6.5034733708</v>
      </c>
      <c r="Q1359" s="1">
        <v>80.60453</v>
      </c>
      <c r="R1359" s="1">
        <v>91.87</v>
      </c>
      <c r="S1359" s="1">
        <v>19.4</v>
      </c>
      <c r="T1359" s="1">
        <v>4250.0</v>
      </c>
      <c r="U1359" s="1">
        <v>34.0</v>
      </c>
      <c r="V1359" s="1">
        <v>111.94586795</v>
      </c>
      <c r="W1359" s="1">
        <v>12.307692308</v>
      </c>
      <c r="X1359" s="1">
        <v>9.3087557604</v>
      </c>
      <c r="Y1359" s="1">
        <v>80.345379626</v>
      </c>
      <c r="Z1359" s="1">
        <v>12.0</v>
      </c>
      <c r="AA1359" s="1">
        <v>13.1863630929999</v>
      </c>
      <c r="AB1359" s="1">
        <v>50821.0</v>
      </c>
      <c r="AC1359" s="1">
        <v>44.407677035</v>
      </c>
      <c r="AD1359" s="1">
        <v>73.223159598</v>
      </c>
      <c r="AE1359" s="1">
        <v>8.9894311839</v>
      </c>
      <c r="AF1359" s="1">
        <v>0.6317917614</v>
      </c>
      <c r="AG1359" s="1">
        <v>0.5408137478</v>
      </c>
      <c r="AH1359" s="1">
        <v>0.6722264342</v>
      </c>
      <c r="AI1359" s="1">
        <v>0.1162496841</v>
      </c>
      <c r="AJ1359" s="1">
        <v>4.5489006823</v>
      </c>
      <c r="AK1359" s="1">
        <v>92.802628254</v>
      </c>
      <c r="AL1359" s="1">
        <v>0.2861381942</v>
      </c>
      <c r="AM1359" s="1">
        <v>50.447308567</v>
      </c>
      <c r="AN1359" s="1">
        <v>54.040307102</v>
      </c>
      <c r="AO1359" s="1">
        <v>29034.0</v>
      </c>
      <c r="AP1359" s="1">
        <v>11.6</v>
      </c>
      <c r="AQ1359" s="1">
        <v>3.2</v>
      </c>
      <c r="AR1359" s="1">
        <v>9.9</v>
      </c>
      <c r="AS1359" s="1">
        <v>21.8</v>
      </c>
      <c r="AT1359" s="1">
        <v>21.8</v>
      </c>
      <c r="AU1359" s="1">
        <v>14.0</v>
      </c>
      <c r="AV1359" s="1">
        <v>6.1</v>
      </c>
      <c r="AW1359" s="1">
        <v>0.4</v>
      </c>
      <c r="AX1359" s="1">
        <v>0.304</v>
      </c>
      <c r="AY1359" s="1">
        <v>10.5</v>
      </c>
      <c r="AZ1359" s="1">
        <v>9.8</v>
      </c>
      <c r="BA1359" s="1">
        <v>16.1</v>
      </c>
      <c r="BB1359" s="1">
        <v>3.04</v>
      </c>
      <c r="BC1359" s="1" t="s">
        <v>2289</v>
      </c>
      <c r="BD1359" s="1">
        <v>6.8</v>
      </c>
      <c r="BE1359" s="1">
        <v>37.9</v>
      </c>
      <c r="BF1359" s="1">
        <v>34.8</v>
      </c>
      <c r="BG1359" s="1">
        <v>20.5</v>
      </c>
      <c r="BH1359" s="1" t="s">
        <v>2362</v>
      </c>
    </row>
    <row r="1360">
      <c r="A1360" s="1">
        <v>27093.0</v>
      </c>
      <c r="B1360" s="2" t="str">
        <f>IFERROR(__xludf.DUMMYFUNCTION("TO_TEXT(A1360)"),"27093")</f>
        <v>27093</v>
      </c>
      <c r="C1360" s="1">
        <v>23094.0</v>
      </c>
      <c r="D1360" s="1">
        <v>608.152689171862</v>
      </c>
      <c r="E1360" s="1" t="s">
        <v>2363</v>
      </c>
      <c r="F1360" s="1" t="s">
        <v>2364</v>
      </c>
      <c r="G1360" s="1">
        <v>37.9740160837696</v>
      </c>
      <c r="H1360" s="1">
        <v>11.209977318</v>
      </c>
      <c r="I1360" s="1">
        <v>2.9411717332</v>
      </c>
      <c r="J1360" s="1">
        <v>5.98739495799999</v>
      </c>
      <c r="K1360" s="1">
        <v>14.138113339</v>
      </c>
      <c r="L1360" s="1">
        <v>32.9</v>
      </c>
      <c r="M1360" s="1">
        <v>8.6</v>
      </c>
      <c r="N1360" s="1">
        <v>21.0</v>
      </c>
      <c r="O1360" s="1">
        <v>57.592274678</v>
      </c>
      <c r="P1360" s="1">
        <v>4.9989132797</v>
      </c>
      <c r="Q1360" s="1">
        <v>56.20163</v>
      </c>
      <c r="R1360" s="1">
        <v>91.67</v>
      </c>
      <c r="S1360" s="1">
        <v>9.5</v>
      </c>
      <c r="T1360" s="1">
        <v>5491.0</v>
      </c>
      <c r="U1360" s="1">
        <v>25.514478237</v>
      </c>
      <c r="V1360" s="1">
        <v>106.20082793</v>
      </c>
      <c r="W1360" s="1">
        <v>11.622807018</v>
      </c>
      <c r="X1360" s="1">
        <v>9.5791805094</v>
      </c>
      <c r="Y1360" s="1">
        <v>80.748381363</v>
      </c>
      <c r="Z1360" s="1">
        <v>11.2</v>
      </c>
      <c r="AA1360" s="1">
        <v>6.46408463929999</v>
      </c>
      <c r="AB1360" s="1">
        <v>66557.0</v>
      </c>
      <c r="AC1360" s="1">
        <v>35.871010638</v>
      </c>
      <c r="AD1360" s="1">
        <v>79.153519748</v>
      </c>
      <c r="AE1360" s="1">
        <v>9.47767011919999</v>
      </c>
      <c r="AF1360" s="1">
        <v>0.5660948101</v>
      </c>
      <c r="AG1360" s="1">
        <v>0.3370640854</v>
      </c>
      <c r="AH1360" s="1">
        <v>0.3845987641</v>
      </c>
      <c r="AI1360" s="1">
        <v>0.090748023</v>
      </c>
      <c r="AJ1360" s="1">
        <v>4.0231623525</v>
      </c>
      <c r="AK1360" s="1">
        <v>93.885311784</v>
      </c>
      <c r="AL1360" s="1">
        <v>0.964645066</v>
      </c>
      <c r="AM1360" s="1">
        <v>49.0817164339999</v>
      </c>
      <c r="AN1360" s="1">
        <v>65.519313305</v>
      </c>
      <c r="AO1360" s="1">
        <v>27974.0</v>
      </c>
      <c r="AP1360" s="1">
        <v>9.4</v>
      </c>
      <c r="AQ1360" s="1">
        <v>3.9</v>
      </c>
      <c r="AR1360" s="1">
        <v>8.0</v>
      </c>
      <c r="AS1360" s="1">
        <v>18.1</v>
      </c>
      <c r="AT1360" s="1">
        <v>24.6</v>
      </c>
      <c r="AU1360" s="1">
        <v>11.1</v>
      </c>
      <c r="AV1360" s="1">
        <v>5.3</v>
      </c>
      <c r="AW1360" s="1">
        <v>1.1</v>
      </c>
      <c r="AX1360" s="1">
        <v>0.1761</v>
      </c>
      <c r="AY1360" s="1">
        <v>7.9</v>
      </c>
      <c r="AZ1360" s="1">
        <v>7.4</v>
      </c>
      <c r="BA1360" s="1">
        <v>12.5</v>
      </c>
      <c r="BB1360" s="1">
        <v>3.21</v>
      </c>
      <c r="BC1360" s="1" t="s">
        <v>2289</v>
      </c>
      <c r="BD1360" s="1">
        <v>7.4</v>
      </c>
      <c r="BE1360" s="1">
        <v>35.3</v>
      </c>
      <c r="BF1360" s="1">
        <v>37.8</v>
      </c>
      <c r="BG1360" s="1">
        <v>19.5</v>
      </c>
      <c r="BH1360" s="1" t="s">
        <v>2364</v>
      </c>
    </row>
    <row r="1361">
      <c r="A1361" s="1">
        <v>27095.0</v>
      </c>
      <c r="B1361" s="2" t="str">
        <f>IFERROR(__xludf.DUMMYFUNCTION("TO_TEXT(A1361)"),"27095")</f>
        <v>27095</v>
      </c>
      <c r="C1361" s="1">
        <v>25788.0</v>
      </c>
      <c r="D1361" s="1">
        <v>572.33727459919</v>
      </c>
      <c r="E1361" s="1" t="s">
        <v>2365</v>
      </c>
      <c r="F1361" s="1" t="s">
        <v>2366</v>
      </c>
      <c r="G1361" s="1">
        <v>45.0573484280914</v>
      </c>
      <c r="H1361" s="1">
        <v>13.985335417</v>
      </c>
      <c r="I1361" s="1">
        <v>3.4689226419</v>
      </c>
      <c r="J1361" s="1">
        <v>7.1023965142</v>
      </c>
      <c r="K1361" s="1">
        <v>18.019559112</v>
      </c>
      <c r="L1361" s="1">
        <v>30.7</v>
      </c>
      <c r="M1361" s="1">
        <v>8.7</v>
      </c>
      <c r="N1361" s="1">
        <v>25.1</v>
      </c>
      <c r="O1361" s="1">
        <v>60.719622945</v>
      </c>
      <c r="P1361" s="1">
        <v>7.1668909825</v>
      </c>
      <c r="Q1361" s="1">
        <v>77.30365</v>
      </c>
      <c r="R1361" s="1">
        <v>80.04</v>
      </c>
      <c r="S1361" s="1">
        <v>16.5</v>
      </c>
      <c r="T1361" s="1">
        <v>6081.0</v>
      </c>
      <c r="U1361" s="1">
        <v>38.069396481</v>
      </c>
      <c r="V1361" s="1">
        <v>135.89594254</v>
      </c>
      <c r="W1361" s="1">
        <v>14.585414585</v>
      </c>
      <c r="X1361" s="1">
        <v>12.054244098</v>
      </c>
      <c r="Y1361" s="1">
        <v>76.569654133</v>
      </c>
      <c r="Z1361" s="1">
        <v>12.4</v>
      </c>
      <c r="AA1361" s="1">
        <v>0.6363424261</v>
      </c>
      <c r="AB1361" s="1">
        <v>53289.0</v>
      </c>
      <c r="AC1361" s="1">
        <v>40.413943355</v>
      </c>
      <c r="AD1361" s="1">
        <v>75.01973165</v>
      </c>
      <c r="AE1361" s="1">
        <v>11.455798865</v>
      </c>
      <c r="AF1361" s="1">
        <v>0.6044607674</v>
      </c>
      <c r="AG1361" s="1">
        <v>6.3659665634</v>
      </c>
      <c r="AH1361" s="1">
        <v>0.5891579632</v>
      </c>
      <c r="AI1361" s="1">
        <v>0.0420827117</v>
      </c>
      <c r="AJ1361" s="1">
        <v>2.4561000803</v>
      </c>
      <c r="AK1361" s="1">
        <v>88.813650101</v>
      </c>
      <c r="AL1361" s="1">
        <v>0.2409238182</v>
      </c>
      <c r="AM1361" s="1">
        <v>49.734113776</v>
      </c>
      <c r="AN1361" s="1">
        <v>70.82423267</v>
      </c>
      <c r="AO1361" s="1">
        <v>24489.0</v>
      </c>
      <c r="AP1361" s="1">
        <v>11.8</v>
      </c>
      <c r="AQ1361" s="1">
        <v>6.4</v>
      </c>
      <c r="AR1361" s="1">
        <v>10.1</v>
      </c>
      <c r="AS1361" s="1">
        <v>18.0</v>
      </c>
      <c r="AT1361" s="1">
        <v>24.2</v>
      </c>
      <c r="AU1361" s="1">
        <v>15.5</v>
      </c>
      <c r="AV1361" s="1">
        <v>10.3</v>
      </c>
      <c r="AW1361" s="1">
        <v>0.2</v>
      </c>
      <c r="AX1361" s="1">
        <v>0.524</v>
      </c>
      <c r="AY1361" s="1">
        <v>11.4</v>
      </c>
      <c r="AZ1361" s="1">
        <v>10.6</v>
      </c>
      <c r="BA1361" s="1">
        <v>18.0</v>
      </c>
      <c r="BB1361" s="1">
        <v>3.14</v>
      </c>
      <c r="BC1361" s="1" t="s">
        <v>2289</v>
      </c>
      <c r="BD1361" s="1">
        <v>10.2</v>
      </c>
      <c r="BE1361" s="1">
        <v>38.6</v>
      </c>
      <c r="BF1361" s="1">
        <v>36.5</v>
      </c>
      <c r="BG1361" s="1">
        <v>14.7</v>
      </c>
      <c r="BH1361" s="1" t="s">
        <v>2366</v>
      </c>
    </row>
    <row r="1362">
      <c r="A1362" s="1">
        <v>27097.0</v>
      </c>
      <c r="B1362" s="2" t="str">
        <f>IFERROR(__xludf.DUMMYFUNCTION("TO_TEXT(A1362)"),"27097")</f>
        <v>27097</v>
      </c>
      <c r="C1362" s="1">
        <v>32850.0</v>
      </c>
      <c r="D1362" s="1">
        <v>1125.08080667912</v>
      </c>
      <c r="E1362" s="1" t="s">
        <v>2367</v>
      </c>
      <c r="F1362" s="1" t="s">
        <v>2368</v>
      </c>
      <c r="G1362" s="1">
        <v>29.1979027683911</v>
      </c>
      <c r="H1362" s="1">
        <v>13.232568399</v>
      </c>
      <c r="I1362" s="1">
        <v>3.05641303</v>
      </c>
      <c r="J1362" s="1">
        <v>5.67882662659999</v>
      </c>
      <c r="K1362" s="1">
        <v>15.353481854</v>
      </c>
      <c r="L1362" s="1">
        <v>32.4</v>
      </c>
      <c r="M1362" s="1">
        <v>7.9</v>
      </c>
      <c r="N1362" s="1">
        <v>25.0</v>
      </c>
      <c r="O1362" s="1">
        <v>48.689680101</v>
      </c>
      <c r="P1362" s="1">
        <v>5.6430594901</v>
      </c>
      <c r="Q1362" s="1">
        <v>54.4398699999999</v>
      </c>
      <c r="R1362" s="1">
        <v>89.25</v>
      </c>
      <c r="S1362" s="1">
        <v>11.9</v>
      </c>
      <c r="T1362" s="1">
        <v>7662.0</v>
      </c>
      <c r="U1362" s="1">
        <v>27.30357609</v>
      </c>
      <c r="V1362" s="1">
        <v>32.070371558</v>
      </c>
      <c r="W1362" s="1">
        <v>13.032015066</v>
      </c>
      <c r="X1362" s="1">
        <v>11.317183952</v>
      </c>
      <c r="Y1362" s="1">
        <v>80.633449913</v>
      </c>
      <c r="Z1362" s="1">
        <v>10.5</v>
      </c>
      <c r="AA1362" s="1">
        <v>10.407806301</v>
      </c>
      <c r="AB1362" s="1">
        <v>57471.0</v>
      </c>
      <c r="AC1362" s="1">
        <v>40.244115083</v>
      </c>
      <c r="AD1362" s="1">
        <v>78.03232503</v>
      </c>
      <c r="AE1362" s="1">
        <v>10.616907845</v>
      </c>
      <c r="AF1362" s="1">
        <v>0.693418553499999</v>
      </c>
      <c r="AG1362" s="1">
        <v>0.3647984564</v>
      </c>
      <c r="AH1362" s="1">
        <v>0.4733335343</v>
      </c>
      <c r="AI1362" s="1">
        <v>0.0482378124</v>
      </c>
      <c r="AJ1362" s="1">
        <v>1.7576652899</v>
      </c>
      <c r="AK1362" s="1">
        <v>95.724923875</v>
      </c>
      <c r="AL1362" s="1">
        <v>0.5005489892</v>
      </c>
      <c r="AM1362" s="1">
        <v>49.5161144439999</v>
      </c>
      <c r="AN1362" s="1">
        <v>72.817639617</v>
      </c>
      <c r="AO1362" s="1">
        <v>26442.0</v>
      </c>
      <c r="AP1362" s="1">
        <v>11.7</v>
      </c>
      <c r="AQ1362" s="1">
        <v>4.5</v>
      </c>
      <c r="AR1362" s="1">
        <v>10.6</v>
      </c>
      <c r="AS1362" s="1">
        <v>17.5</v>
      </c>
      <c r="AT1362" s="1">
        <v>23.6</v>
      </c>
      <c r="AU1362" s="1">
        <v>12.4</v>
      </c>
      <c r="AV1362" s="1">
        <v>3.8</v>
      </c>
      <c r="AW1362" s="1">
        <v>0.4</v>
      </c>
      <c r="AX1362" s="1">
        <v>0.2639</v>
      </c>
      <c r="AY1362" s="1">
        <v>8.9</v>
      </c>
      <c r="AZ1362" s="1">
        <v>9.5</v>
      </c>
      <c r="BA1362" s="1">
        <v>15.7</v>
      </c>
      <c r="BB1362" s="1">
        <v>2.77</v>
      </c>
      <c r="BC1362" s="1" t="s">
        <v>2289</v>
      </c>
      <c r="BD1362" s="1">
        <v>9.3</v>
      </c>
      <c r="BE1362" s="1">
        <v>38.3</v>
      </c>
      <c r="BF1362" s="1">
        <v>35.1</v>
      </c>
      <c r="BG1362" s="1">
        <v>17.3</v>
      </c>
      <c r="BH1362" s="1" t="s">
        <v>2368</v>
      </c>
    </row>
    <row r="1363">
      <c r="A1363" s="1">
        <v>27099.0</v>
      </c>
      <c r="B1363" s="2" t="str">
        <f>IFERROR(__xludf.DUMMYFUNCTION("TO_TEXT(A1363)"),"27099")</f>
        <v>27099</v>
      </c>
      <c r="C1363" s="1">
        <v>39248.0</v>
      </c>
      <c r="D1363" s="1">
        <v>711.328168706112</v>
      </c>
      <c r="E1363" s="1" t="s">
        <v>2369</v>
      </c>
      <c r="F1363" s="1" t="s">
        <v>2370</v>
      </c>
      <c r="G1363" s="1">
        <v>55.175658334171</v>
      </c>
      <c r="H1363" s="1">
        <v>14.38207356</v>
      </c>
      <c r="I1363" s="1">
        <v>3.2428732437</v>
      </c>
      <c r="J1363" s="1">
        <v>6.6929133858</v>
      </c>
      <c r="K1363" s="1">
        <v>15.149741344</v>
      </c>
      <c r="L1363" s="1">
        <v>31.6</v>
      </c>
      <c r="M1363" s="1">
        <v>8.7</v>
      </c>
      <c r="N1363" s="1">
        <v>24.8</v>
      </c>
      <c r="O1363" s="1">
        <v>73.36261267</v>
      </c>
      <c r="P1363" s="1">
        <v>6.870806162</v>
      </c>
      <c r="Q1363" s="1">
        <v>37.91134</v>
      </c>
      <c r="R1363" s="1">
        <v>78.93</v>
      </c>
      <c r="S1363" s="1">
        <v>13.4</v>
      </c>
      <c r="T1363" s="1">
        <v>9730.0</v>
      </c>
      <c r="U1363" s="1">
        <v>33.802672148</v>
      </c>
      <c r="V1363" s="1">
        <v>207.72269657</v>
      </c>
      <c r="W1363" s="1">
        <v>11.774245864</v>
      </c>
      <c r="X1363" s="1">
        <v>9.9674054759</v>
      </c>
      <c r="Y1363" s="1">
        <v>80.287168401</v>
      </c>
      <c r="Z1363" s="1">
        <v>11.2</v>
      </c>
      <c r="AA1363" s="1">
        <v>4.4594559665</v>
      </c>
      <c r="AB1363" s="1">
        <v>53387.0</v>
      </c>
      <c r="AC1363" s="1">
        <v>50.6160313089999</v>
      </c>
      <c r="AD1363" s="1">
        <v>73.558250548</v>
      </c>
      <c r="AE1363" s="1">
        <v>8.2164724472</v>
      </c>
      <c r="AF1363" s="1">
        <v>3.4915398265</v>
      </c>
      <c r="AG1363" s="1">
        <v>0.707305491</v>
      </c>
      <c r="AH1363" s="1">
        <v>4.7761865487</v>
      </c>
      <c r="AI1363" s="1">
        <v>0.4323810952</v>
      </c>
      <c r="AJ1363" s="1">
        <v>11.909224963</v>
      </c>
      <c r="AK1363" s="1">
        <v>77.603658994</v>
      </c>
      <c r="AL1363" s="1">
        <v>5.1502145923</v>
      </c>
      <c r="AM1363" s="1">
        <v>49.703831446</v>
      </c>
      <c r="AN1363" s="1">
        <v>35.901233307</v>
      </c>
      <c r="AO1363" s="1">
        <v>27459.0</v>
      </c>
      <c r="AP1363" s="1">
        <v>14.0</v>
      </c>
      <c r="AQ1363" s="1">
        <v>5.8</v>
      </c>
      <c r="AR1363" s="1">
        <v>13.0</v>
      </c>
      <c r="AS1363" s="1">
        <v>17.8</v>
      </c>
      <c r="AT1363" s="1">
        <v>24.9</v>
      </c>
      <c r="AU1363" s="1">
        <v>12.6</v>
      </c>
      <c r="AV1363" s="1">
        <v>18.5</v>
      </c>
      <c r="AW1363" s="1">
        <v>4.2</v>
      </c>
      <c r="AX1363" s="1">
        <v>0.5651</v>
      </c>
      <c r="AY1363" s="1">
        <v>11.5</v>
      </c>
      <c r="AZ1363" s="1">
        <v>8.9</v>
      </c>
      <c r="BA1363" s="1">
        <v>13.2</v>
      </c>
      <c r="BB1363" s="1">
        <v>2.75</v>
      </c>
      <c r="BC1363" s="1" t="s">
        <v>2289</v>
      </c>
      <c r="BD1363" s="1">
        <v>12.4</v>
      </c>
      <c r="BE1363" s="1">
        <v>32.0</v>
      </c>
      <c r="BF1363" s="1">
        <v>33.5</v>
      </c>
      <c r="BG1363" s="1">
        <v>22.2</v>
      </c>
      <c r="BH1363" s="1" t="s">
        <v>2370</v>
      </c>
    </row>
    <row r="1364">
      <c r="A1364" s="1">
        <v>27101.0</v>
      </c>
      <c r="B1364" s="2" t="str">
        <f>IFERROR(__xludf.DUMMYFUNCTION("TO_TEXT(A1364)"),"27101")</f>
        <v>27101</v>
      </c>
      <c r="C1364" s="1">
        <v>8463.0</v>
      </c>
      <c r="D1364" s="1">
        <v>704.69938771607</v>
      </c>
      <c r="E1364" s="1" t="s">
        <v>970</v>
      </c>
      <c r="F1364" s="1" t="s">
        <v>2371</v>
      </c>
      <c r="G1364" s="1">
        <v>12.009376121964</v>
      </c>
      <c r="H1364" s="1">
        <v>10.966452177</v>
      </c>
      <c r="I1364" s="1">
        <v>2.9736711384</v>
      </c>
      <c r="J1364" s="1">
        <v>5.9900166389</v>
      </c>
      <c r="K1364" s="1">
        <v>13.8012391909999</v>
      </c>
      <c r="L1364" s="1">
        <v>32.4</v>
      </c>
      <c r="M1364" s="1">
        <v>8.8</v>
      </c>
      <c r="N1364" s="1">
        <v>25.2</v>
      </c>
      <c r="O1364" s="1">
        <v>41.478510029</v>
      </c>
      <c r="P1364" s="1">
        <v>5.9353385877</v>
      </c>
      <c r="Q1364" s="1">
        <v>11.98179</v>
      </c>
      <c r="R1364" s="1">
        <v>89.29</v>
      </c>
      <c r="S1364" s="1">
        <v>11.5</v>
      </c>
      <c r="T1364" s="1">
        <v>1738.0</v>
      </c>
      <c r="U1364" s="1">
        <v>21.921749137</v>
      </c>
      <c r="V1364" s="1">
        <v>59.3260560039999</v>
      </c>
      <c r="W1364" s="1">
        <v>9.1520861373</v>
      </c>
      <c r="X1364" s="1">
        <v>8.3490948392</v>
      </c>
      <c r="Y1364" s="1">
        <v>82.2478036569999</v>
      </c>
      <c r="Z1364" s="1">
        <v>9.8</v>
      </c>
      <c r="AA1364" s="1">
        <v>4.0293527805</v>
      </c>
      <c r="AB1364" s="1">
        <v>59938.0</v>
      </c>
      <c r="AC1364" s="1">
        <v>33.146067416</v>
      </c>
      <c r="AD1364" s="1">
        <v>81.577525662</v>
      </c>
      <c r="AE1364" s="1">
        <v>7.77027027029999</v>
      </c>
      <c r="AF1364" s="1">
        <v>0.3866602223</v>
      </c>
      <c r="AG1364" s="1">
        <v>0.3987433543</v>
      </c>
      <c r="AH1364" s="1">
        <v>1.389560174</v>
      </c>
      <c r="AI1364" s="1">
        <v>0.241662639</v>
      </c>
      <c r="AJ1364" s="1">
        <v>4.2895118415</v>
      </c>
      <c r="AK1364" s="1">
        <v>92.67762204</v>
      </c>
      <c r="AL1364" s="1">
        <v>1.5921152388</v>
      </c>
      <c r="AM1364" s="1">
        <v>49.975833736</v>
      </c>
      <c r="AN1364" s="1">
        <v>100.0</v>
      </c>
      <c r="AO1364" s="1">
        <v>29084.0</v>
      </c>
      <c r="AP1364" s="1">
        <v>9.2</v>
      </c>
      <c r="AQ1364" s="1">
        <v>4.2</v>
      </c>
      <c r="AR1364" s="1">
        <v>10.0</v>
      </c>
      <c r="AS1364" s="1">
        <v>24.2</v>
      </c>
      <c r="AT1364" s="1">
        <v>21.1</v>
      </c>
      <c r="AU1364" s="1">
        <v>13.4</v>
      </c>
      <c r="AV1364" s="1">
        <v>6.0</v>
      </c>
      <c r="AW1364" s="1">
        <v>0.7</v>
      </c>
      <c r="AX1364" s="1">
        <v>0.0996</v>
      </c>
      <c r="AY1364" s="1">
        <v>8.5</v>
      </c>
      <c r="AZ1364" s="1">
        <v>7.7</v>
      </c>
      <c r="BA1364" s="1">
        <v>13.2</v>
      </c>
      <c r="BB1364" s="1">
        <v>3.02</v>
      </c>
      <c r="BC1364" s="1" t="s">
        <v>2289</v>
      </c>
      <c r="BD1364" s="1">
        <v>9.8</v>
      </c>
      <c r="BE1364" s="1">
        <v>36.3</v>
      </c>
      <c r="BF1364" s="1">
        <v>33.2</v>
      </c>
      <c r="BG1364" s="1">
        <v>20.7</v>
      </c>
      <c r="BH1364" s="1" t="s">
        <v>2371</v>
      </c>
    </row>
    <row r="1365">
      <c r="A1365" s="1">
        <v>27103.0</v>
      </c>
      <c r="B1365" s="2" t="str">
        <f>IFERROR(__xludf.DUMMYFUNCTION("TO_TEXT(A1365)"),"27103")</f>
        <v>27103</v>
      </c>
      <c r="C1365" s="1">
        <v>33226.0</v>
      </c>
      <c r="D1365" s="1">
        <v>448.61999491486</v>
      </c>
      <c r="E1365" s="1" t="s">
        <v>2372</v>
      </c>
      <c r="F1365" s="1" t="s">
        <v>2373</v>
      </c>
      <c r="G1365" s="1">
        <v>74.0626819504682</v>
      </c>
      <c r="H1365" s="1">
        <v>11.0850560709999</v>
      </c>
      <c r="I1365" s="1">
        <v>3.0711013046</v>
      </c>
      <c r="J1365" s="1">
        <v>5.614973262</v>
      </c>
      <c r="K1365" s="1">
        <v>13.856250964</v>
      </c>
      <c r="L1365" s="1">
        <v>27.8</v>
      </c>
      <c r="M1365" s="1">
        <v>8.3</v>
      </c>
      <c r="N1365" s="1">
        <v>17.9</v>
      </c>
      <c r="O1365" s="1">
        <v>82.06373942</v>
      </c>
      <c r="P1365" s="1">
        <v>4.2276546402</v>
      </c>
      <c r="Q1365" s="1">
        <v>91.26774</v>
      </c>
      <c r="R1365" s="1">
        <v>92.59</v>
      </c>
      <c r="S1365" s="1">
        <v>9.0</v>
      </c>
      <c r="T1365" s="1">
        <v>7347.0</v>
      </c>
      <c r="U1365" s="1">
        <v>26.2828365319999</v>
      </c>
      <c r="V1365" s="1">
        <v>100.62024119</v>
      </c>
      <c r="W1365" s="1">
        <v>11.9824840759999</v>
      </c>
      <c r="X1365" s="1">
        <v>10.9032517059999</v>
      </c>
      <c r="Y1365" s="1">
        <v>82.877019359</v>
      </c>
      <c r="Z1365" s="1">
        <v>8.4</v>
      </c>
      <c r="AA1365" s="1">
        <v>8.3162945788</v>
      </c>
      <c r="AB1365" s="1">
        <v>66209.0</v>
      </c>
      <c r="AC1365" s="1">
        <v>33.440211241</v>
      </c>
      <c r="AD1365" s="1">
        <v>73.5044748</v>
      </c>
      <c r="AE1365" s="1">
        <v>10.076152305</v>
      </c>
      <c r="AF1365" s="1">
        <v>3.6528345996</v>
      </c>
      <c r="AG1365" s="1">
        <v>0.5230859147</v>
      </c>
      <c r="AH1365" s="1">
        <v>1.7182933957</v>
      </c>
      <c r="AI1365" s="1">
        <v>0.0292226768</v>
      </c>
      <c r="AJ1365" s="1">
        <v>4.6522501461</v>
      </c>
      <c r="AK1365" s="1">
        <v>88.1940385739999</v>
      </c>
      <c r="AL1365" s="1">
        <v>1.2124074949</v>
      </c>
      <c r="AM1365" s="1">
        <v>49.459380479</v>
      </c>
      <c r="AN1365" s="1">
        <v>25.572157546</v>
      </c>
      <c r="AO1365" s="1">
        <v>28089.0</v>
      </c>
      <c r="AP1365" s="1">
        <v>11.8</v>
      </c>
      <c r="AQ1365" s="1">
        <v>3.5</v>
      </c>
      <c r="AR1365" s="1">
        <v>6.4</v>
      </c>
      <c r="AS1365" s="1">
        <v>14.0</v>
      </c>
      <c r="AT1365" s="1">
        <v>22.2</v>
      </c>
      <c r="AU1365" s="1">
        <v>11.0</v>
      </c>
      <c r="AV1365" s="1">
        <v>9.9</v>
      </c>
      <c r="AW1365" s="1">
        <v>1.1</v>
      </c>
      <c r="AX1365" s="1">
        <v>0.1964</v>
      </c>
      <c r="AY1365" s="1">
        <v>9.9</v>
      </c>
      <c r="AZ1365" s="1">
        <v>7.5</v>
      </c>
      <c r="BA1365" s="1">
        <v>10.6</v>
      </c>
      <c r="BB1365" s="1">
        <v>3.8</v>
      </c>
      <c r="BC1365" s="1" t="s">
        <v>2289</v>
      </c>
      <c r="BD1365" s="1">
        <v>6.0</v>
      </c>
      <c r="BE1365" s="1">
        <v>25.2</v>
      </c>
      <c r="BF1365" s="1">
        <v>35.0</v>
      </c>
      <c r="BG1365" s="1">
        <v>33.8</v>
      </c>
      <c r="BH1365" s="1" t="s">
        <v>2373</v>
      </c>
    </row>
    <row r="1366">
      <c r="A1366" s="1">
        <v>27105.0</v>
      </c>
      <c r="B1366" s="2" t="str">
        <f>IFERROR(__xludf.DUMMYFUNCTION("TO_TEXT(A1366)"),"27105")</f>
        <v>27105</v>
      </c>
      <c r="C1366" s="1">
        <v>21729.0</v>
      </c>
      <c r="D1366" s="1">
        <v>715.104759781772</v>
      </c>
      <c r="E1366" s="1" t="s">
        <v>2374</v>
      </c>
      <c r="F1366" s="1" t="s">
        <v>2375</v>
      </c>
      <c r="G1366" s="1">
        <v>30.3857577547533</v>
      </c>
      <c r="H1366" s="1">
        <v>16.162570273</v>
      </c>
      <c r="I1366" s="1">
        <v>3.189744166</v>
      </c>
      <c r="J1366" s="1">
        <v>5.1361867704</v>
      </c>
      <c r="K1366" s="1">
        <v>14.436513732</v>
      </c>
      <c r="L1366" s="1">
        <v>33.4</v>
      </c>
      <c r="M1366" s="1">
        <v>8.5</v>
      </c>
      <c r="N1366" s="1">
        <v>27.7</v>
      </c>
      <c r="O1366" s="1">
        <v>65.108990551</v>
      </c>
      <c r="P1366" s="1">
        <v>10.389176549</v>
      </c>
      <c r="Q1366" s="1">
        <v>72.91287</v>
      </c>
      <c r="R1366" s="1">
        <v>77.52</v>
      </c>
      <c r="S1366" s="1">
        <v>14.3</v>
      </c>
      <c r="T1366" s="1">
        <v>5842.0</v>
      </c>
      <c r="U1366" s="1">
        <v>38.086271825</v>
      </c>
      <c r="V1366" s="1">
        <v>117.16327046</v>
      </c>
      <c r="W1366" s="1">
        <v>14.0050697079999</v>
      </c>
      <c r="X1366" s="1">
        <v>9.5535714286</v>
      </c>
      <c r="Y1366" s="1">
        <v>81.812081636</v>
      </c>
      <c r="Z1366" s="1">
        <v>10.9</v>
      </c>
      <c r="AA1366" s="1">
        <v>8.9986856082</v>
      </c>
      <c r="AB1366" s="1">
        <v>55766.0</v>
      </c>
      <c r="AC1366" s="1">
        <v>61.957950066</v>
      </c>
      <c r="AD1366" s="1">
        <v>71.280233</v>
      </c>
      <c r="AE1366" s="1">
        <v>11.0559979109999</v>
      </c>
      <c r="AF1366" s="1">
        <v>5.1404853129</v>
      </c>
      <c r="AG1366" s="1">
        <v>1.2862616311</v>
      </c>
      <c r="AH1366" s="1">
        <v>7.06531654809999</v>
      </c>
      <c r="AI1366" s="1">
        <v>0.1368363437</v>
      </c>
      <c r="AJ1366" s="1">
        <v>28.434592228</v>
      </c>
      <c r="AK1366" s="1">
        <v>58.205619413</v>
      </c>
      <c r="AL1366" s="1">
        <v>11.152545744</v>
      </c>
      <c r="AM1366" s="1">
        <v>48.4583105269999</v>
      </c>
      <c r="AN1366" s="1">
        <v>40.986060436</v>
      </c>
      <c r="AO1366" s="1">
        <v>24188.0</v>
      </c>
      <c r="AP1366" s="1">
        <v>14.1</v>
      </c>
      <c r="AQ1366" s="1">
        <v>7.0</v>
      </c>
      <c r="AR1366" s="1">
        <v>22.7</v>
      </c>
      <c r="AS1366" s="1">
        <v>15.4</v>
      </c>
      <c r="AT1366" s="1">
        <v>26.6</v>
      </c>
      <c r="AU1366" s="1">
        <v>10.5</v>
      </c>
      <c r="AV1366" s="1">
        <v>38.8</v>
      </c>
      <c r="AW1366" s="1">
        <v>10.7</v>
      </c>
      <c r="AX1366" s="1">
        <v>0.7396</v>
      </c>
      <c r="AY1366" s="1">
        <v>11.0</v>
      </c>
      <c r="AZ1366" s="1">
        <v>8.4</v>
      </c>
      <c r="BA1366" s="1">
        <v>13.4</v>
      </c>
      <c r="BB1366" s="1">
        <v>2.83</v>
      </c>
      <c r="BC1366" s="1" t="s">
        <v>2289</v>
      </c>
      <c r="BD1366" s="1">
        <v>23.7</v>
      </c>
      <c r="BE1366" s="1">
        <v>31.3</v>
      </c>
      <c r="BF1366" s="1">
        <v>29.6</v>
      </c>
      <c r="BG1366" s="1">
        <v>15.3</v>
      </c>
      <c r="BH1366" s="1" t="s">
        <v>2375</v>
      </c>
    </row>
    <row r="1367">
      <c r="A1367" s="1">
        <v>27107.0</v>
      </c>
      <c r="B1367" s="2" t="str">
        <f>IFERROR(__xludf.DUMMYFUNCTION("TO_TEXT(A1367)"),"27107")</f>
        <v>27107</v>
      </c>
      <c r="C1367" s="1">
        <v>6638.0</v>
      </c>
      <c r="D1367" s="1">
        <v>872.788354031576</v>
      </c>
      <c r="E1367" s="1" t="s">
        <v>2376</v>
      </c>
      <c r="F1367" s="1" t="s">
        <v>2377</v>
      </c>
      <c r="G1367" s="1">
        <v>7.60550936471346</v>
      </c>
      <c r="H1367" s="1">
        <v>12.7862933859999</v>
      </c>
      <c r="I1367" s="1">
        <v>3.1793001495</v>
      </c>
      <c r="J1367" s="1">
        <v>7.4285714286</v>
      </c>
      <c r="K1367" s="1">
        <v>15.132004963</v>
      </c>
      <c r="L1367" s="1">
        <v>36.0</v>
      </c>
      <c r="M1367" s="1">
        <v>8.0</v>
      </c>
      <c r="N1367" s="1">
        <v>27.4</v>
      </c>
      <c r="O1367" s="1">
        <v>41.593695271</v>
      </c>
      <c r="P1367" s="1">
        <v>6.4391000776</v>
      </c>
      <c r="Q1367" s="1">
        <v>48.31939</v>
      </c>
      <c r="R1367" s="1">
        <v>87.18</v>
      </c>
      <c r="S1367" s="1">
        <v>16.8</v>
      </c>
      <c r="T1367" s="1">
        <v>1515.0</v>
      </c>
      <c r="U1367" s="1">
        <v>21.1221122109999</v>
      </c>
      <c r="V1367" s="1">
        <v>7.56086496299999</v>
      </c>
      <c r="W1367" s="1">
        <v>9.4619666048</v>
      </c>
      <c r="X1367" s="1">
        <v>6.6641707226</v>
      </c>
      <c r="Y1367" s="1">
        <v>75.992881598</v>
      </c>
      <c r="Z1367" s="1">
        <v>8.1</v>
      </c>
      <c r="AA1367" s="1">
        <v>10.394386946</v>
      </c>
      <c r="AB1367" s="1">
        <v>48799.0</v>
      </c>
      <c r="AC1367" s="1">
        <v>43.3212996389999</v>
      </c>
      <c r="AD1367" s="1">
        <v>80.83573487</v>
      </c>
      <c r="AE1367" s="1">
        <v>6.8421052632</v>
      </c>
      <c r="AF1367" s="1">
        <v>0.6795366795</v>
      </c>
      <c r="AG1367" s="1">
        <v>2.1158301158</v>
      </c>
      <c r="AH1367" s="1">
        <v>0.694980695</v>
      </c>
      <c r="AI1367" s="1">
        <v>0.1235521236</v>
      </c>
      <c r="AJ1367" s="1">
        <v>4.9266409266</v>
      </c>
      <c r="AK1367" s="1">
        <v>89.606177606</v>
      </c>
      <c r="AL1367" s="1">
        <v>1.1793214863</v>
      </c>
      <c r="AM1367" s="1">
        <v>49.621621622</v>
      </c>
      <c r="AN1367" s="1">
        <v>100.0</v>
      </c>
      <c r="AO1367" s="1">
        <v>26270.0</v>
      </c>
      <c r="AP1367" s="1">
        <v>11.7</v>
      </c>
      <c r="AQ1367" s="1">
        <v>3.4</v>
      </c>
      <c r="AR1367" s="1">
        <v>9.7</v>
      </c>
      <c r="AS1367" s="1">
        <v>21.8</v>
      </c>
      <c r="AT1367" s="1">
        <v>23.0</v>
      </c>
      <c r="AU1367" s="1">
        <v>11.2</v>
      </c>
      <c r="AV1367" s="1">
        <v>10.1</v>
      </c>
      <c r="AW1367" s="1">
        <v>0.9</v>
      </c>
      <c r="AX1367" s="1">
        <v>0.3177</v>
      </c>
      <c r="AY1367" s="1">
        <v>10.4</v>
      </c>
      <c r="AZ1367" s="1">
        <v>8.7</v>
      </c>
      <c r="BA1367" s="1">
        <v>15.1</v>
      </c>
      <c r="BB1367" s="1">
        <v>3.22</v>
      </c>
      <c r="BC1367" s="1" t="s">
        <v>2289</v>
      </c>
      <c r="BD1367" s="1">
        <v>8.1</v>
      </c>
      <c r="BE1367" s="1">
        <v>36.9</v>
      </c>
      <c r="BF1367" s="1">
        <v>36.0</v>
      </c>
      <c r="BG1367" s="1">
        <v>19.1</v>
      </c>
      <c r="BH1367" s="1" t="s">
        <v>2377</v>
      </c>
    </row>
    <row r="1368">
      <c r="A1368" s="1">
        <v>27109.0</v>
      </c>
      <c r="B1368" s="2" t="str">
        <f>IFERROR(__xludf.DUMMYFUNCTION("TO_TEXT(A1368)"),"27109")</f>
        <v>27109</v>
      </c>
      <c r="C1368" s="1">
        <v>150104.0</v>
      </c>
      <c r="D1368" s="1">
        <v>653.696782248078</v>
      </c>
      <c r="E1368" s="1" t="s">
        <v>2378</v>
      </c>
      <c r="F1368" s="1" t="s">
        <v>2379</v>
      </c>
      <c r="G1368" s="1">
        <v>229.623281123993</v>
      </c>
      <c r="H1368" s="1">
        <v>9.999653681</v>
      </c>
      <c r="I1368" s="1">
        <v>3.2511844014</v>
      </c>
      <c r="J1368" s="1">
        <v>5.85476956059999</v>
      </c>
      <c r="K1368" s="1">
        <v>12.1302382379999</v>
      </c>
      <c r="L1368" s="1">
        <v>27.1</v>
      </c>
      <c r="M1368" s="1">
        <v>8.9</v>
      </c>
      <c r="N1368" s="1">
        <v>19.5</v>
      </c>
      <c r="O1368" s="1">
        <v>90.650130331</v>
      </c>
      <c r="P1368" s="1">
        <v>4.3789930609</v>
      </c>
      <c r="Q1368" s="1">
        <v>227.19938</v>
      </c>
      <c r="R1368" s="1">
        <v>86.06</v>
      </c>
      <c r="S1368" s="1">
        <v>8.3</v>
      </c>
      <c r="T1368" s="1">
        <v>37557.0</v>
      </c>
      <c r="U1368" s="1">
        <v>25.372101073</v>
      </c>
      <c r="V1368" s="1">
        <v>165.48650395</v>
      </c>
      <c r="W1368" s="1">
        <v>11.06662123</v>
      </c>
      <c r="X1368" s="1">
        <v>9.1088768583</v>
      </c>
      <c r="Y1368" s="1">
        <v>82.488468585</v>
      </c>
      <c r="Z1368" s="1">
        <v>7.8</v>
      </c>
      <c r="AA1368" s="1">
        <v>3.0266765469</v>
      </c>
      <c r="AB1368" s="1">
        <v>76001.0</v>
      </c>
      <c r="AC1368" s="1">
        <v>33.795458285</v>
      </c>
      <c r="AD1368" s="1">
        <v>73.149580385</v>
      </c>
      <c r="AE1368" s="1">
        <v>10.190324474</v>
      </c>
      <c r="AF1368" s="1">
        <v>6.2709163856</v>
      </c>
      <c r="AG1368" s="1">
        <v>0.4024904497</v>
      </c>
      <c r="AH1368" s="1">
        <v>6.5185535939</v>
      </c>
      <c r="AI1368" s="1">
        <v>0.074867063</v>
      </c>
      <c r="AJ1368" s="1">
        <v>5.0308106759</v>
      </c>
      <c r="AK1368" s="1">
        <v>79.778214325</v>
      </c>
      <c r="AL1368" s="1">
        <v>2.3414167961</v>
      </c>
      <c r="AM1368" s="1">
        <v>51.210990741</v>
      </c>
      <c r="AN1368" s="1">
        <v>16.592951029</v>
      </c>
      <c r="AO1368" s="1">
        <v>36143.0</v>
      </c>
      <c r="AP1368" s="1">
        <v>9.2</v>
      </c>
      <c r="AQ1368" s="1">
        <v>4.2</v>
      </c>
      <c r="AR1368" s="1">
        <v>5.7</v>
      </c>
      <c r="AS1368" s="1">
        <v>14.0</v>
      </c>
      <c r="AT1368" s="1">
        <v>24.8</v>
      </c>
      <c r="AU1368" s="1">
        <v>9.6</v>
      </c>
      <c r="AV1368" s="1">
        <v>18.3</v>
      </c>
      <c r="AW1368" s="1">
        <v>2.5</v>
      </c>
      <c r="AX1368" s="1">
        <v>0.2697</v>
      </c>
      <c r="AY1368" s="1">
        <v>6.7</v>
      </c>
      <c r="AZ1368" s="1">
        <v>7.0</v>
      </c>
      <c r="BA1368" s="1">
        <v>11.1</v>
      </c>
      <c r="BB1368" s="1">
        <v>3.12</v>
      </c>
      <c r="BC1368" s="1" t="s">
        <v>2289</v>
      </c>
      <c r="BD1368" s="1">
        <v>5.4</v>
      </c>
      <c r="BE1368" s="1">
        <v>19.9</v>
      </c>
      <c r="BF1368" s="1">
        <v>29.8</v>
      </c>
      <c r="BG1368" s="1">
        <v>44.9</v>
      </c>
      <c r="BH1368" s="1" t="s">
        <v>2379</v>
      </c>
    </row>
    <row r="1369">
      <c r="A1369" s="1">
        <v>27111.0</v>
      </c>
      <c r="B1369" s="2" t="str">
        <f>IFERROR(__xludf.DUMMYFUNCTION("TO_TEXT(A1369)"),"27111")</f>
        <v>27111</v>
      </c>
      <c r="C1369" s="1">
        <v>57694.0</v>
      </c>
      <c r="D1369" s="1">
        <v>1972.03800987978</v>
      </c>
      <c r="E1369" s="1" t="s">
        <v>2380</v>
      </c>
      <c r="F1369" s="1" t="s">
        <v>2381</v>
      </c>
      <c r="G1369" s="1">
        <v>29.2560283883761</v>
      </c>
      <c r="H1369" s="1">
        <v>11.5927667209999</v>
      </c>
      <c r="I1369" s="1">
        <v>2.9048359572</v>
      </c>
      <c r="J1369" s="1">
        <v>5.5640410212</v>
      </c>
      <c r="K1369" s="1">
        <v>12.970413712</v>
      </c>
      <c r="L1369" s="1">
        <v>31.2</v>
      </c>
      <c r="M1369" s="1">
        <v>8.5</v>
      </c>
      <c r="N1369" s="1">
        <v>23.0</v>
      </c>
      <c r="O1369" s="1">
        <v>55.253651641</v>
      </c>
      <c r="P1369" s="1">
        <v>6.34493062</v>
      </c>
      <c r="Q1369" s="1">
        <v>51.41829</v>
      </c>
      <c r="R1369" s="1">
        <v>80.46</v>
      </c>
      <c r="S1369" s="1">
        <v>14.0</v>
      </c>
      <c r="T1369" s="1">
        <v>12505.0</v>
      </c>
      <c r="U1369" s="1">
        <v>23.662534986</v>
      </c>
      <c r="V1369" s="1">
        <v>98.714118717</v>
      </c>
      <c r="W1369" s="1">
        <v>11.644407346</v>
      </c>
      <c r="X1369" s="1">
        <v>9.7535285443</v>
      </c>
      <c r="Y1369" s="1">
        <v>80.788786839</v>
      </c>
      <c r="Z1369" s="1">
        <v>9.5</v>
      </c>
      <c r="AA1369" s="1">
        <v>6.2784559785</v>
      </c>
      <c r="AB1369" s="1">
        <v>53778.0</v>
      </c>
      <c r="AC1369" s="1">
        <v>36.9661081009999</v>
      </c>
      <c r="AD1369" s="1">
        <v>78.84091472</v>
      </c>
      <c r="AE1369" s="1">
        <v>10.876685525</v>
      </c>
      <c r="AF1369" s="1">
        <v>1.5660069374</v>
      </c>
      <c r="AG1369" s="1">
        <v>0.7838536353</v>
      </c>
      <c r="AH1369" s="1">
        <v>0.641025641</v>
      </c>
      <c r="AI1369" s="1">
        <v>0.0799156635</v>
      </c>
      <c r="AJ1369" s="1">
        <v>3.5672991906</v>
      </c>
      <c r="AK1369" s="1">
        <v>92.309392641</v>
      </c>
      <c r="AL1369" s="1">
        <v>0.8677822123</v>
      </c>
      <c r="AM1369" s="1">
        <v>49.690539346</v>
      </c>
      <c r="AN1369" s="1">
        <v>73.589515383</v>
      </c>
      <c r="AO1369" s="1">
        <v>28781.0</v>
      </c>
      <c r="AP1369" s="1">
        <v>9.7</v>
      </c>
      <c r="AQ1369" s="1">
        <v>4.0</v>
      </c>
      <c r="AR1369" s="1">
        <v>8.3</v>
      </c>
      <c r="AS1369" s="1">
        <v>22.3</v>
      </c>
      <c r="AT1369" s="1">
        <v>21.5</v>
      </c>
      <c r="AU1369" s="1">
        <v>13.6</v>
      </c>
      <c r="AV1369" s="1">
        <v>6.6</v>
      </c>
      <c r="AW1369" s="1">
        <v>1.0</v>
      </c>
      <c r="AX1369" s="1">
        <v>0.2028</v>
      </c>
      <c r="AY1369" s="1">
        <v>11.0</v>
      </c>
      <c r="AZ1369" s="1">
        <v>8.4</v>
      </c>
      <c r="BA1369" s="1">
        <v>14.2</v>
      </c>
      <c r="BB1369" s="1">
        <v>2.69</v>
      </c>
      <c r="BC1369" s="1" t="s">
        <v>2289</v>
      </c>
      <c r="BD1369" s="1">
        <v>7.9</v>
      </c>
      <c r="BE1369" s="1">
        <v>29.5</v>
      </c>
      <c r="BF1369" s="1">
        <v>37.6</v>
      </c>
      <c r="BG1369" s="1">
        <v>24.9</v>
      </c>
      <c r="BH1369" s="1" t="s">
        <v>2381</v>
      </c>
    </row>
    <row r="1370">
      <c r="A1370" s="1">
        <v>27113.0</v>
      </c>
      <c r="B1370" s="2" t="str">
        <f>IFERROR(__xludf.DUMMYFUNCTION("TO_TEXT(A1370)"),"27113")</f>
        <v>27113</v>
      </c>
      <c r="C1370" s="1">
        <v>14156.0</v>
      </c>
      <c r="D1370" s="1">
        <v>616.577388479622</v>
      </c>
      <c r="E1370" s="1" t="s">
        <v>2382</v>
      </c>
      <c r="F1370" s="1" t="s">
        <v>2383</v>
      </c>
      <c r="G1370" s="1">
        <v>22.9589995749055</v>
      </c>
      <c r="H1370" s="1">
        <v>11.422699683</v>
      </c>
      <c r="I1370" s="1">
        <v>3.1395982426</v>
      </c>
      <c r="J1370" s="1">
        <v>5.6845476381</v>
      </c>
      <c r="K1370" s="1">
        <v>14.438097147</v>
      </c>
      <c r="L1370" s="1">
        <v>26.5</v>
      </c>
      <c r="M1370" s="1">
        <v>8.3</v>
      </c>
      <c r="N1370" s="1">
        <v>22.9</v>
      </c>
      <c r="O1370" s="1">
        <v>67.243359655</v>
      </c>
      <c r="P1370" s="1">
        <v>4.251450342</v>
      </c>
      <c r="Q1370" s="1">
        <v>63.21113</v>
      </c>
      <c r="R1370" s="1">
        <v>92.45</v>
      </c>
      <c r="S1370" s="1">
        <v>11.0</v>
      </c>
      <c r="T1370" s="1">
        <v>3304.0</v>
      </c>
      <c r="U1370" s="1">
        <v>40.920096852</v>
      </c>
      <c r="V1370" s="1">
        <v>105.49265068</v>
      </c>
      <c r="W1370" s="1">
        <v>9.1983122363</v>
      </c>
      <c r="X1370" s="1">
        <v>8.1310473604</v>
      </c>
      <c r="Y1370" s="1">
        <v>80.199360945</v>
      </c>
      <c r="Z1370" s="1">
        <v>8.4</v>
      </c>
      <c r="AA1370" s="1">
        <v>5.4186228414</v>
      </c>
      <c r="AB1370" s="1">
        <v>57494.0</v>
      </c>
      <c r="AC1370" s="1">
        <v>39.532833848</v>
      </c>
      <c r="AD1370" s="1">
        <v>74.1373534339999</v>
      </c>
      <c r="AE1370" s="1">
        <v>9.0175197527</v>
      </c>
      <c r="AF1370" s="1">
        <v>1.2554662153</v>
      </c>
      <c r="AG1370" s="1">
        <v>1.9678374947</v>
      </c>
      <c r="AH1370" s="1">
        <v>0.909860347</v>
      </c>
      <c r="AI1370" s="1">
        <v>0.021159543</v>
      </c>
      <c r="AJ1370" s="1">
        <v>3.8087177317</v>
      </c>
      <c r="AK1370" s="1">
        <v>90.421780223</v>
      </c>
      <c r="AL1370" s="1">
        <v>0.4154392326</v>
      </c>
      <c r="AM1370" s="1">
        <v>50.402031316</v>
      </c>
      <c r="AN1370" s="1">
        <v>36.231155779</v>
      </c>
      <c r="AO1370" s="1">
        <v>26992.0</v>
      </c>
      <c r="AP1370" s="1">
        <v>8.7</v>
      </c>
      <c r="AQ1370" s="1">
        <v>3.3</v>
      </c>
      <c r="AR1370" s="1">
        <v>8.5</v>
      </c>
      <c r="AS1370" s="1">
        <v>16.7</v>
      </c>
      <c r="AT1370" s="1">
        <v>23.1</v>
      </c>
      <c r="AU1370" s="1">
        <v>12.9</v>
      </c>
      <c r="AV1370" s="1">
        <v>8.8</v>
      </c>
      <c r="AW1370" s="1">
        <v>0.3</v>
      </c>
      <c r="AX1370" s="1">
        <v>0.2057</v>
      </c>
      <c r="AY1370" s="1">
        <v>9.8</v>
      </c>
      <c r="AZ1370" s="1">
        <v>8.6</v>
      </c>
      <c r="BA1370" s="1">
        <v>15.3</v>
      </c>
      <c r="BB1370" s="1">
        <v>3.13</v>
      </c>
      <c r="BC1370" s="1" t="s">
        <v>2289</v>
      </c>
      <c r="BD1370" s="1">
        <v>6.8</v>
      </c>
      <c r="BE1370" s="1">
        <v>33.1</v>
      </c>
      <c r="BF1370" s="1">
        <v>40.7</v>
      </c>
      <c r="BG1370" s="1">
        <v>19.3</v>
      </c>
      <c r="BH1370" s="1" t="s">
        <v>2383</v>
      </c>
    </row>
    <row r="1371">
      <c r="A1371" s="1">
        <v>27115.0</v>
      </c>
      <c r="B1371" s="2" t="str">
        <f>IFERROR(__xludf.DUMMYFUNCTION("TO_TEXT(A1371)"),"27115")</f>
        <v>27115</v>
      </c>
      <c r="C1371" s="1">
        <v>29067.0</v>
      </c>
      <c r="D1371" s="1">
        <v>1411.28915630686</v>
      </c>
      <c r="E1371" s="1" t="s">
        <v>2384</v>
      </c>
      <c r="F1371" s="1" t="s">
        <v>2385</v>
      </c>
      <c r="G1371" s="1">
        <v>20.5960627346305</v>
      </c>
      <c r="H1371" s="1">
        <v>15.12896641</v>
      </c>
      <c r="I1371" s="1">
        <v>3.4660475885</v>
      </c>
      <c r="J1371" s="1">
        <v>6.8385060494</v>
      </c>
      <c r="K1371" s="1">
        <v>20.117235593</v>
      </c>
      <c r="L1371" s="1">
        <v>35.0</v>
      </c>
      <c r="M1371" s="1">
        <v>8.4</v>
      </c>
      <c r="N1371" s="1">
        <v>27.9</v>
      </c>
      <c r="O1371" s="1">
        <v>62.571428571</v>
      </c>
      <c r="P1371" s="1">
        <v>6.6697438264</v>
      </c>
      <c r="Q1371" s="1">
        <v>20.54583</v>
      </c>
      <c r="R1371" s="1">
        <v>86.35</v>
      </c>
      <c r="S1371" s="1">
        <v>15.7</v>
      </c>
      <c r="T1371" s="1">
        <v>5772.0</v>
      </c>
      <c r="U1371" s="1">
        <v>30.457380457</v>
      </c>
      <c r="V1371" s="1">
        <v>265.95744681</v>
      </c>
      <c r="W1371" s="1">
        <v>16.871305139</v>
      </c>
      <c r="X1371" s="1">
        <v>14.002763703</v>
      </c>
      <c r="Y1371" s="1">
        <v>79.3462402339999</v>
      </c>
      <c r="Z1371" s="1">
        <v>12.5</v>
      </c>
      <c r="AA1371" s="1">
        <v>3.2226027975</v>
      </c>
      <c r="AB1371" s="1">
        <v>50387.0</v>
      </c>
      <c r="AC1371" s="1">
        <v>43.784349647</v>
      </c>
      <c r="AD1371" s="1">
        <v>79.728718428</v>
      </c>
      <c r="AE1371" s="1">
        <v>13.118111772</v>
      </c>
      <c r="AF1371" s="1">
        <v>2.0859478343</v>
      </c>
      <c r="AG1371" s="1">
        <v>3.4528372282</v>
      </c>
      <c r="AH1371" s="1">
        <v>0.739409150999999</v>
      </c>
      <c r="AI1371" s="1">
        <v>0.0271342808</v>
      </c>
      <c r="AJ1371" s="1">
        <v>2.9678119594</v>
      </c>
      <c r="AK1371" s="1">
        <v>89.102194485</v>
      </c>
      <c r="AL1371" s="1">
        <v>0.3932604539</v>
      </c>
      <c r="AM1371" s="1">
        <v>46.308041922</v>
      </c>
      <c r="AN1371" s="1">
        <v>89.300840336</v>
      </c>
      <c r="AO1371" s="1">
        <v>22817.0</v>
      </c>
      <c r="AP1371" s="1">
        <v>13.7</v>
      </c>
      <c r="AQ1371" s="1">
        <v>6.6</v>
      </c>
      <c r="AR1371" s="1">
        <v>10.9</v>
      </c>
      <c r="AS1371" s="1">
        <v>18.3</v>
      </c>
      <c r="AT1371" s="1">
        <v>20.7</v>
      </c>
      <c r="AU1371" s="1">
        <v>17.6</v>
      </c>
      <c r="AV1371" s="1">
        <v>10.4</v>
      </c>
      <c r="AW1371" s="1">
        <v>0.6</v>
      </c>
      <c r="AX1371" s="1">
        <v>0.5123</v>
      </c>
      <c r="AY1371" s="1">
        <v>11.6</v>
      </c>
      <c r="AZ1371" s="1">
        <v>11.0</v>
      </c>
      <c r="BA1371" s="1">
        <v>18.2</v>
      </c>
      <c r="BB1371" s="1">
        <v>3.11</v>
      </c>
      <c r="BC1371" s="1" t="s">
        <v>2289</v>
      </c>
      <c r="BD1371" s="1">
        <v>9.6</v>
      </c>
      <c r="BE1371" s="1">
        <v>40.7</v>
      </c>
      <c r="BF1371" s="1">
        <v>34.9</v>
      </c>
      <c r="BG1371" s="1">
        <v>14.9</v>
      </c>
      <c r="BH1371" s="1" t="s">
        <v>2385</v>
      </c>
    </row>
    <row r="1372">
      <c r="A1372" s="1">
        <v>27117.0</v>
      </c>
      <c r="B1372" s="2" t="str">
        <f>IFERROR(__xludf.DUMMYFUNCTION("TO_TEXT(A1372)"),"27117")</f>
        <v>27117</v>
      </c>
      <c r="C1372" s="1">
        <v>9285.0</v>
      </c>
      <c r="D1372" s="1">
        <v>465.055269019424</v>
      </c>
      <c r="E1372" s="1" t="s">
        <v>2386</v>
      </c>
      <c r="F1372" s="1" t="s">
        <v>2387</v>
      </c>
      <c r="G1372" s="1">
        <v>19.9653688895463</v>
      </c>
      <c r="H1372" s="1">
        <v>13.000019067</v>
      </c>
      <c r="I1372" s="1">
        <v>3.2320816482</v>
      </c>
      <c r="J1372" s="1">
        <v>4.9425287356</v>
      </c>
      <c r="K1372" s="1">
        <v>15.2140506029999</v>
      </c>
      <c r="L1372" s="1">
        <v>31.7</v>
      </c>
      <c r="M1372" s="1">
        <v>8.2</v>
      </c>
      <c r="N1372" s="1">
        <v>26.1</v>
      </c>
      <c r="O1372" s="1">
        <v>65.370987912</v>
      </c>
      <c r="P1372" s="1">
        <v>8.6404066074</v>
      </c>
      <c r="Q1372" s="1">
        <v>55.02366</v>
      </c>
      <c r="R1372" s="1">
        <v>78.26</v>
      </c>
      <c r="S1372" s="1">
        <v>15.0</v>
      </c>
      <c r="T1372" s="1">
        <v>2265.0</v>
      </c>
      <c r="U1372" s="1">
        <v>22.5607064019999</v>
      </c>
      <c r="V1372" s="1">
        <v>32.599837001</v>
      </c>
      <c r="W1372" s="1">
        <v>13.125</v>
      </c>
      <c r="X1372" s="1">
        <v>9.3282636248</v>
      </c>
      <c r="Y1372" s="1">
        <v>78.75336045</v>
      </c>
      <c r="Z1372" s="1">
        <v>10.8</v>
      </c>
      <c r="AA1372" s="1">
        <v>8.7159276637</v>
      </c>
      <c r="AB1372" s="1">
        <v>55378.0</v>
      </c>
      <c r="AC1372" s="1">
        <v>44.749596123</v>
      </c>
      <c r="AD1372" s="1">
        <v>74.020464188</v>
      </c>
      <c r="AE1372" s="1">
        <v>8.9085699401</v>
      </c>
      <c r="AF1372" s="1">
        <v>1.17165911349999</v>
      </c>
      <c r="AG1372" s="1">
        <v>2.1996241848</v>
      </c>
      <c r="AH1372" s="1">
        <v>1.1274455621</v>
      </c>
      <c r="AI1372" s="1">
        <v>0.0</v>
      </c>
      <c r="AJ1372" s="1">
        <v>7.7484248922</v>
      </c>
      <c r="AK1372" s="1">
        <v>87.0012158729999</v>
      </c>
      <c r="AL1372" s="1">
        <v>4.7374562427</v>
      </c>
      <c r="AM1372" s="1">
        <v>51.2987730739999</v>
      </c>
      <c r="AN1372" s="1">
        <v>57.294706128</v>
      </c>
      <c r="AO1372" s="1">
        <v>27489.0</v>
      </c>
      <c r="AP1372" s="1">
        <v>12.7</v>
      </c>
      <c r="AQ1372" s="1">
        <v>4.2</v>
      </c>
      <c r="AR1372" s="1">
        <v>13.8</v>
      </c>
      <c r="AS1372" s="1">
        <v>20.3</v>
      </c>
      <c r="AT1372" s="1">
        <v>24.6</v>
      </c>
      <c r="AU1372" s="1">
        <v>12.8</v>
      </c>
      <c r="AV1372" s="1">
        <v>9.7</v>
      </c>
      <c r="AW1372" s="1">
        <v>1.9</v>
      </c>
      <c r="AX1372" s="1">
        <v>0.4343</v>
      </c>
      <c r="AY1372" s="1">
        <v>11.1</v>
      </c>
      <c r="AZ1372" s="1">
        <v>9.1</v>
      </c>
      <c r="BA1372" s="1">
        <v>14.1</v>
      </c>
      <c r="BB1372" s="1">
        <v>2.97</v>
      </c>
      <c r="BC1372" s="1" t="s">
        <v>2289</v>
      </c>
      <c r="BD1372" s="1">
        <v>10.4</v>
      </c>
      <c r="BE1372" s="1">
        <v>35.5</v>
      </c>
      <c r="BF1372" s="1">
        <v>32.9</v>
      </c>
      <c r="BG1372" s="1">
        <v>21.3</v>
      </c>
      <c r="BH1372" s="1" t="s">
        <v>2387</v>
      </c>
    </row>
    <row r="1373">
      <c r="A1373" s="1">
        <v>27119.0</v>
      </c>
      <c r="B1373" s="2" t="str">
        <f>IFERROR(__xludf.DUMMYFUNCTION("TO_TEXT(A1373)"),"27119")</f>
        <v>27119</v>
      </c>
      <c r="C1373" s="1">
        <v>31550.0</v>
      </c>
      <c r="D1373" s="1">
        <v>1971.07677458771</v>
      </c>
      <c r="E1373" s="1" t="s">
        <v>381</v>
      </c>
      <c r="F1373" s="1" t="s">
        <v>2388</v>
      </c>
      <c r="G1373" s="1">
        <v>16.0064795074251</v>
      </c>
      <c r="H1373" s="1">
        <v>13.591871429</v>
      </c>
      <c r="I1373" s="1">
        <v>3.2521970966</v>
      </c>
      <c r="J1373" s="1">
        <v>5.9119919382</v>
      </c>
      <c r="K1373" s="1">
        <v>15.1962094009999</v>
      </c>
      <c r="L1373" s="1">
        <v>39.4</v>
      </c>
      <c r="M1373" s="1">
        <v>7.9</v>
      </c>
      <c r="N1373" s="1">
        <v>27.4</v>
      </c>
      <c r="O1373" s="1">
        <v>67.376582278</v>
      </c>
      <c r="P1373" s="1">
        <v>5.70657565779999</v>
      </c>
      <c r="Q1373" s="1">
        <v>44.27718</v>
      </c>
      <c r="R1373" s="1">
        <v>88.22</v>
      </c>
      <c r="S1373" s="1">
        <v>16.1</v>
      </c>
      <c r="T1373" s="1">
        <v>7457.0</v>
      </c>
      <c r="U1373" s="1">
        <v>29.945018104</v>
      </c>
      <c r="V1373" s="1">
        <v>193.42666434</v>
      </c>
      <c r="W1373" s="1">
        <v>13.124504362</v>
      </c>
      <c r="X1373" s="1">
        <v>11.716686675</v>
      </c>
      <c r="Y1373" s="1">
        <v>78.68808098</v>
      </c>
      <c r="Z1373" s="1">
        <v>9.6</v>
      </c>
      <c r="AA1373" s="1">
        <v>11.658614492</v>
      </c>
      <c r="AB1373" s="1">
        <v>60180.0</v>
      </c>
      <c r="AC1373" s="1">
        <v>39.915886064</v>
      </c>
      <c r="AD1373" s="1">
        <v>73.362096516</v>
      </c>
      <c r="AE1373" s="1">
        <v>13.059947299</v>
      </c>
      <c r="AF1373" s="1">
        <v>2.6324970662</v>
      </c>
      <c r="AG1373" s="1">
        <v>1.7856576485</v>
      </c>
      <c r="AH1373" s="1">
        <v>1.1513210061</v>
      </c>
      <c r="AI1373" s="1">
        <v>0.0285451489</v>
      </c>
      <c r="AJ1373" s="1">
        <v>6.5685559326</v>
      </c>
      <c r="AK1373" s="1">
        <v>86.447397634</v>
      </c>
      <c r="AL1373" s="1">
        <v>0.7364170089</v>
      </c>
      <c r="AM1373" s="1">
        <v>49.798598116</v>
      </c>
      <c r="AN1373" s="1">
        <v>48.4746835439999</v>
      </c>
      <c r="AO1373" s="1">
        <v>27231.0</v>
      </c>
      <c r="AP1373" s="1">
        <v>13.0</v>
      </c>
      <c r="AQ1373" s="1">
        <v>4.0</v>
      </c>
      <c r="AR1373" s="1">
        <v>8.9</v>
      </c>
      <c r="AS1373" s="1">
        <v>17.1</v>
      </c>
      <c r="AT1373" s="1">
        <v>23.5</v>
      </c>
      <c r="AU1373" s="1">
        <v>13.0</v>
      </c>
      <c r="AV1373" s="1">
        <v>11.4</v>
      </c>
      <c r="AW1373" s="1">
        <v>1.0</v>
      </c>
      <c r="AX1373" s="1">
        <v>0.3263</v>
      </c>
      <c r="AY1373" s="1">
        <v>10.8</v>
      </c>
      <c r="AZ1373" s="1">
        <v>9.5</v>
      </c>
      <c r="BA1373" s="1">
        <v>15.8</v>
      </c>
      <c r="BB1373" s="1">
        <v>3.25</v>
      </c>
      <c r="BC1373" s="1" t="s">
        <v>2289</v>
      </c>
      <c r="BD1373" s="1">
        <v>8.1</v>
      </c>
      <c r="BE1373" s="1">
        <v>30.6</v>
      </c>
      <c r="BF1373" s="1">
        <v>35.9</v>
      </c>
      <c r="BG1373" s="1">
        <v>25.3</v>
      </c>
      <c r="BH1373" s="1" t="s">
        <v>2388</v>
      </c>
    </row>
    <row r="1374">
      <c r="A1374" s="1">
        <v>27121.0</v>
      </c>
      <c r="B1374" s="2" t="str">
        <f>IFERROR(__xludf.DUMMYFUNCTION("TO_TEXT(A1374)"),"27121")</f>
        <v>27121</v>
      </c>
      <c r="C1374" s="1">
        <v>10975.0</v>
      </c>
      <c r="D1374" s="1">
        <v>669.552842348526</v>
      </c>
      <c r="E1374" s="1" t="s">
        <v>383</v>
      </c>
      <c r="F1374" s="1" t="s">
        <v>2389</v>
      </c>
      <c r="G1374" s="1">
        <v>16.3915367180043</v>
      </c>
      <c r="H1374" s="1">
        <v>10.936493447</v>
      </c>
      <c r="I1374" s="1">
        <v>2.9614023266</v>
      </c>
      <c r="J1374" s="1">
        <v>7.0215175538</v>
      </c>
      <c r="K1374" s="1">
        <v>14.069025428</v>
      </c>
      <c r="L1374" s="1">
        <v>30.6</v>
      </c>
      <c r="M1374" s="1">
        <v>8.9</v>
      </c>
      <c r="N1374" s="1">
        <v>21.8</v>
      </c>
      <c r="O1374" s="1">
        <v>51.623465211</v>
      </c>
      <c r="P1374" s="1">
        <v>5.3605769231</v>
      </c>
      <c r="Q1374" s="1">
        <v>118.50501</v>
      </c>
      <c r="R1374" s="1">
        <v>92.77</v>
      </c>
      <c r="S1374" s="1">
        <v>10.0</v>
      </c>
      <c r="T1374" s="1">
        <v>2225.0</v>
      </c>
      <c r="U1374" s="1">
        <v>20.898876404</v>
      </c>
      <c r="V1374" s="1">
        <v>72.780203785</v>
      </c>
      <c r="W1374" s="1">
        <v>9.968847352</v>
      </c>
      <c r="X1374" s="1">
        <v>8.2860147213</v>
      </c>
      <c r="Y1374" s="1">
        <v>81.45148979</v>
      </c>
      <c r="Z1374" s="1">
        <v>8.9</v>
      </c>
      <c r="AA1374" s="1">
        <v>3.3331305065</v>
      </c>
      <c r="AB1374" s="1">
        <v>60975.0</v>
      </c>
      <c r="AC1374" s="1">
        <v>32.368225687</v>
      </c>
      <c r="AD1374" s="1">
        <v>77.9967819789999</v>
      </c>
      <c r="AE1374" s="1">
        <v>9.304746045</v>
      </c>
      <c r="AF1374" s="1">
        <v>0.4415607822</v>
      </c>
      <c r="AG1374" s="1">
        <v>0.4325493377</v>
      </c>
      <c r="AH1374" s="1">
        <v>0.6308011174</v>
      </c>
      <c r="AI1374" s="1">
        <v>0.0180228891</v>
      </c>
      <c r="AJ1374" s="1">
        <v>1.5049112373</v>
      </c>
      <c r="AK1374" s="1">
        <v>95.944849959</v>
      </c>
      <c r="AL1374" s="1">
        <v>0.1738626485</v>
      </c>
      <c r="AM1374" s="1">
        <v>48.950166712</v>
      </c>
      <c r="AN1374" s="1">
        <v>100.0</v>
      </c>
      <c r="AO1374" s="1">
        <v>30485.0</v>
      </c>
      <c r="AP1374" s="1">
        <v>9.5</v>
      </c>
      <c r="AQ1374" s="1">
        <v>3.7</v>
      </c>
      <c r="AR1374" s="1">
        <v>6.5</v>
      </c>
      <c r="AS1374" s="1">
        <v>23.1</v>
      </c>
      <c r="AT1374" s="1">
        <v>21.2</v>
      </c>
      <c r="AU1374" s="1">
        <v>13.7</v>
      </c>
      <c r="AV1374" s="1">
        <v>3.3</v>
      </c>
      <c r="AW1374" s="1">
        <v>0.1</v>
      </c>
      <c r="AX1374" s="1">
        <v>0.0452</v>
      </c>
      <c r="AY1374" s="1">
        <v>8.9</v>
      </c>
      <c r="AZ1374" s="1">
        <v>7.7</v>
      </c>
      <c r="BA1374" s="1">
        <v>12.6</v>
      </c>
      <c r="BB1374" s="1">
        <v>3.03</v>
      </c>
      <c r="BC1374" s="1" t="s">
        <v>2289</v>
      </c>
      <c r="BD1374" s="1">
        <v>6.0</v>
      </c>
      <c r="BE1374" s="1">
        <v>30.4</v>
      </c>
      <c r="BF1374" s="1">
        <v>40.7</v>
      </c>
      <c r="BG1374" s="1">
        <v>22.9</v>
      </c>
      <c r="BH1374" s="1" t="s">
        <v>2389</v>
      </c>
    </row>
    <row r="1375">
      <c r="A1375" s="1">
        <v>27123.0</v>
      </c>
      <c r="B1375" s="2" t="str">
        <f>IFERROR(__xludf.DUMMYFUNCTION("TO_TEXT(A1375)"),"27123")</f>
        <v>27123</v>
      </c>
      <c r="C1375" s="1">
        <v>531528.0</v>
      </c>
      <c r="D1375" s="1">
        <v>152.15755300433</v>
      </c>
      <c r="E1375" s="1" t="s">
        <v>2390</v>
      </c>
      <c r="F1375" s="1" t="s">
        <v>2391</v>
      </c>
      <c r="G1375" s="1">
        <v>3493.27384349349</v>
      </c>
      <c r="H1375" s="1">
        <v>12.777938964</v>
      </c>
      <c r="I1375" s="1">
        <v>3.5176834337</v>
      </c>
      <c r="J1375" s="1">
        <v>7.50055313809999</v>
      </c>
      <c r="K1375" s="1">
        <v>13.6492985479999</v>
      </c>
      <c r="L1375" s="1">
        <v>26.2</v>
      </c>
      <c r="M1375" s="1">
        <v>8.0</v>
      </c>
      <c r="N1375" s="1">
        <v>19.0</v>
      </c>
      <c r="O1375" s="1">
        <v>99.82777603</v>
      </c>
      <c r="P1375" s="1">
        <v>5.7838970972</v>
      </c>
      <c r="Q1375" s="1">
        <v>109.49425</v>
      </c>
      <c r="R1375" s="1">
        <v>76.18</v>
      </c>
      <c r="S1375" s="1">
        <v>20.9</v>
      </c>
      <c r="T1375" s="1">
        <v>125385.0</v>
      </c>
      <c r="U1375" s="1">
        <v>35.2107508869999</v>
      </c>
      <c r="V1375" s="1">
        <v>423.00657339</v>
      </c>
      <c r="W1375" s="1">
        <v>17.971783432</v>
      </c>
      <c r="X1375" s="1">
        <v>14.24580327</v>
      </c>
      <c r="Y1375" s="1">
        <v>79.925668908</v>
      </c>
      <c r="Z1375" s="1">
        <v>7.8</v>
      </c>
      <c r="AA1375" s="1">
        <v>5.3208998292</v>
      </c>
      <c r="AB1375" s="1">
        <v>62937.0</v>
      </c>
      <c r="AC1375" s="1">
        <v>56.165396683</v>
      </c>
      <c r="AD1375" s="1">
        <v>59.29525659</v>
      </c>
      <c r="AE1375" s="1">
        <v>14.374592295</v>
      </c>
      <c r="AF1375" s="1">
        <v>12.127006052</v>
      </c>
      <c r="AG1375" s="1">
        <v>0.9563621163</v>
      </c>
      <c r="AH1375" s="1">
        <v>15.282710238</v>
      </c>
      <c r="AI1375" s="1">
        <v>0.0943276204</v>
      </c>
      <c r="AJ1375" s="1">
        <v>7.6001890187</v>
      </c>
      <c r="AK1375" s="1">
        <v>61.373112084</v>
      </c>
      <c r="AL1375" s="1">
        <v>5.2322440191</v>
      </c>
      <c r="AM1375" s="1">
        <v>51.187546573</v>
      </c>
      <c r="AN1375" s="1">
        <v>0.1871657754</v>
      </c>
      <c r="AO1375" s="1">
        <v>31256.0</v>
      </c>
      <c r="AP1375" s="1">
        <v>15.9</v>
      </c>
      <c r="AQ1375" s="1">
        <v>6.5</v>
      </c>
      <c r="AR1375" s="1">
        <v>9.7</v>
      </c>
      <c r="AS1375" s="1">
        <v>13.0</v>
      </c>
      <c r="AT1375" s="1">
        <v>23.4</v>
      </c>
      <c r="AU1375" s="1">
        <v>11.5</v>
      </c>
      <c r="AV1375" s="1">
        <v>36.0</v>
      </c>
      <c r="AW1375" s="1">
        <v>5.0</v>
      </c>
      <c r="AX1375" s="1">
        <v>0.6189</v>
      </c>
      <c r="AY1375" s="1">
        <v>12.4</v>
      </c>
      <c r="AZ1375" s="1">
        <v>10.0</v>
      </c>
      <c r="BA1375" s="1">
        <v>15.4</v>
      </c>
      <c r="BB1375" s="1">
        <v>3.38</v>
      </c>
      <c r="BC1375" s="1" t="s">
        <v>2289</v>
      </c>
      <c r="BD1375" s="1">
        <v>9.7</v>
      </c>
      <c r="BE1375" s="1">
        <v>20.9</v>
      </c>
      <c r="BF1375" s="1">
        <v>27.2</v>
      </c>
      <c r="BG1375" s="1">
        <v>42.3</v>
      </c>
      <c r="BH1375" s="1" t="s">
        <v>2391</v>
      </c>
    </row>
    <row r="1376">
      <c r="A1376" s="1">
        <v>27125.0</v>
      </c>
      <c r="B1376" s="2" t="str">
        <f>IFERROR(__xludf.DUMMYFUNCTION("TO_TEXT(A1376)"),"27125")</f>
        <v>27125</v>
      </c>
      <c r="C1376" s="1">
        <v>4042.0</v>
      </c>
      <c r="D1376" s="1">
        <v>432.406953399456</v>
      </c>
      <c r="E1376" s="1" t="s">
        <v>2392</v>
      </c>
      <c r="F1376" s="1" t="s">
        <v>2393</v>
      </c>
      <c r="G1376" s="1">
        <v>9.34767576752175</v>
      </c>
      <c r="H1376" s="1">
        <v>11.45289773</v>
      </c>
      <c r="I1376" s="1">
        <v>3.0711935453</v>
      </c>
      <c r="J1376" s="1">
        <v>3.768115942</v>
      </c>
      <c r="K1376" s="1">
        <v>14.5539092509999</v>
      </c>
      <c r="L1376" s="1">
        <v>36.7</v>
      </c>
      <c r="M1376" s="1">
        <v>6.2</v>
      </c>
      <c r="N1376" s="1">
        <v>26.5</v>
      </c>
      <c r="O1376" s="1">
        <v>62.949376376</v>
      </c>
      <c r="P1376" s="1">
        <v>6.572327044</v>
      </c>
      <c r="Q1376" s="1">
        <v>48.31939</v>
      </c>
      <c r="R1376" s="1">
        <v>91.38</v>
      </c>
      <c r="S1376" s="1">
        <v>12.6</v>
      </c>
      <c r="T1376" s="1">
        <v>973.0</v>
      </c>
      <c r="U1376" s="1">
        <v>26.002055498</v>
      </c>
      <c r="V1376" s="1">
        <v>12.338062924</v>
      </c>
      <c r="W1376" s="1">
        <v>7.1641791045</v>
      </c>
      <c r="X1376" s="1">
        <v>5.4654654655</v>
      </c>
      <c r="Y1376" s="1">
        <v>84.601768534</v>
      </c>
      <c r="Z1376" s="1">
        <v>9.2</v>
      </c>
      <c r="AA1376" s="1">
        <v>30.571289162</v>
      </c>
      <c r="AB1376" s="1">
        <v>54412.0</v>
      </c>
      <c r="AC1376" s="1">
        <v>39.528795812</v>
      </c>
      <c r="AD1376" s="1">
        <v>83.855706682</v>
      </c>
      <c r="AE1376" s="1">
        <v>6.3597819503</v>
      </c>
      <c r="AF1376" s="1">
        <v>0.5001250313</v>
      </c>
      <c r="AG1376" s="1">
        <v>2.1505376344</v>
      </c>
      <c r="AH1376" s="1">
        <v>0.4501125281</v>
      </c>
      <c r="AI1376" s="1">
        <v>0.1000250063</v>
      </c>
      <c r="AJ1376" s="1">
        <v>4.0010002501</v>
      </c>
      <c r="AK1376" s="1">
        <v>91.872968242</v>
      </c>
      <c r="AL1376" s="1">
        <v>0.1606855919</v>
      </c>
      <c r="AM1376" s="1">
        <v>48.937234309</v>
      </c>
      <c r="AN1376" s="1">
        <v>100.0</v>
      </c>
      <c r="AO1376" s="1">
        <v>25732.0</v>
      </c>
      <c r="AP1376" s="1">
        <v>10.4</v>
      </c>
      <c r="AQ1376" s="1">
        <v>4.0</v>
      </c>
      <c r="AR1376" s="1">
        <v>7.9</v>
      </c>
      <c r="AS1376" s="1">
        <v>18.7</v>
      </c>
      <c r="AT1376" s="1">
        <v>24.6</v>
      </c>
      <c r="AU1376" s="1">
        <v>12.5</v>
      </c>
      <c r="AV1376" s="1">
        <v>7.1</v>
      </c>
      <c r="AW1376" s="1">
        <v>0.3</v>
      </c>
      <c r="AX1376" s="1">
        <v>0.2181</v>
      </c>
      <c r="AY1376" s="1">
        <v>9.9</v>
      </c>
      <c r="AZ1376" s="1">
        <v>8.9</v>
      </c>
      <c r="BA1376" s="1">
        <v>16.1</v>
      </c>
      <c r="BB1376" s="1">
        <v>3.18</v>
      </c>
      <c r="BC1376" s="1" t="s">
        <v>2289</v>
      </c>
      <c r="BD1376" s="1">
        <v>7.4</v>
      </c>
      <c r="BE1376" s="1">
        <v>37.5</v>
      </c>
      <c r="BF1376" s="1">
        <v>39.0</v>
      </c>
      <c r="BG1376" s="1">
        <v>16.2</v>
      </c>
      <c r="BH1376" s="1" t="s">
        <v>2393</v>
      </c>
    </row>
    <row r="1377">
      <c r="A1377" s="1">
        <v>27127.0</v>
      </c>
      <c r="B1377" s="2" t="str">
        <f>IFERROR(__xludf.DUMMYFUNCTION("TO_TEXT(A1377)"),"27127")</f>
        <v>27127</v>
      </c>
      <c r="C1377" s="1">
        <v>15578.0</v>
      </c>
      <c r="D1377" s="1">
        <v>878.575308722876</v>
      </c>
      <c r="E1377" s="1" t="s">
        <v>2394</v>
      </c>
      <c r="F1377" s="1" t="s">
        <v>2395</v>
      </c>
      <c r="G1377" s="1">
        <v>17.7309786028982</v>
      </c>
      <c r="H1377" s="1">
        <v>13.778791162</v>
      </c>
      <c r="I1377" s="1">
        <v>3.2402003455</v>
      </c>
      <c r="J1377" s="1">
        <v>7.30972117559999</v>
      </c>
      <c r="K1377" s="1">
        <v>15.041295017</v>
      </c>
      <c r="L1377" s="1">
        <v>34.7</v>
      </c>
      <c r="M1377" s="1">
        <v>7.7</v>
      </c>
      <c r="N1377" s="1">
        <v>27.4</v>
      </c>
      <c r="O1377" s="1">
        <v>63.702596675</v>
      </c>
      <c r="P1377" s="1">
        <v>7.4888383455</v>
      </c>
      <c r="Q1377" s="1">
        <v>39.28759</v>
      </c>
      <c r="R1377" s="1">
        <v>91.62</v>
      </c>
      <c r="S1377" s="1">
        <v>14.4</v>
      </c>
      <c r="T1377" s="1">
        <v>3719.0</v>
      </c>
      <c r="U1377" s="1">
        <v>32.07851573</v>
      </c>
      <c r="V1377" s="1">
        <v>119.20487129</v>
      </c>
      <c r="W1377" s="1">
        <v>8.1469648562</v>
      </c>
      <c r="X1377" s="1">
        <v>7.3327961322</v>
      </c>
      <c r="Y1377" s="1">
        <v>79.197765292</v>
      </c>
      <c r="Z1377" s="1">
        <v>14.1</v>
      </c>
      <c r="AA1377" s="1">
        <v>13.238379421</v>
      </c>
      <c r="AB1377" s="1">
        <v>56760.0</v>
      </c>
      <c r="AC1377" s="1">
        <v>44.284042138</v>
      </c>
      <c r="AD1377" s="1">
        <v>77.96474359</v>
      </c>
      <c r="AE1377" s="1">
        <v>7.8036605657</v>
      </c>
      <c r="AF1377" s="1">
        <v>0.708243163499999</v>
      </c>
      <c r="AG1377" s="1">
        <v>4.9511443373</v>
      </c>
      <c r="AH1377" s="1">
        <v>2.7346055479</v>
      </c>
      <c r="AI1377" s="1">
        <v>0.0590202636</v>
      </c>
      <c r="AJ1377" s="1">
        <v>3.7510656436</v>
      </c>
      <c r="AK1377" s="1">
        <v>86.615515772</v>
      </c>
      <c r="AL1377" s="1">
        <v>0.2080299563</v>
      </c>
      <c r="AM1377" s="1">
        <v>50.088530395</v>
      </c>
      <c r="AN1377" s="1">
        <v>69.126346597</v>
      </c>
      <c r="AO1377" s="1">
        <v>26716.0</v>
      </c>
      <c r="AP1377" s="1">
        <v>11.6</v>
      </c>
      <c r="AQ1377" s="1">
        <v>3.5</v>
      </c>
      <c r="AR1377" s="1">
        <v>11.5</v>
      </c>
      <c r="AS1377" s="1">
        <v>20.8</v>
      </c>
      <c r="AT1377" s="1">
        <v>24.4</v>
      </c>
      <c r="AU1377" s="1">
        <v>13.0</v>
      </c>
      <c r="AV1377" s="1">
        <v>12.3</v>
      </c>
      <c r="AW1377" s="1">
        <v>0.5</v>
      </c>
      <c r="AX1377" s="1">
        <v>0.2655</v>
      </c>
      <c r="AY1377" s="1">
        <v>9.7</v>
      </c>
      <c r="AZ1377" s="1">
        <v>8.6</v>
      </c>
      <c r="BA1377" s="1">
        <v>15.4</v>
      </c>
      <c r="BB1377" s="1">
        <v>2.97</v>
      </c>
      <c r="BC1377" s="1" t="s">
        <v>2289</v>
      </c>
      <c r="BD1377" s="1">
        <v>9.1</v>
      </c>
      <c r="BE1377" s="1">
        <v>37.4</v>
      </c>
      <c r="BF1377" s="1">
        <v>34.4</v>
      </c>
      <c r="BG1377" s="1">
        <v>19.1</v>
      </c>
      <c r="BH1377" s="1" t="s">
        <v>2395</v>
      </c>
    </row>
    <row r="1378">
      <c r="A1378" s="1">
        <v>27129.0</v>
      </c>
      <c r="B1378" s="2" t="str">
        <f>IFERROR(__xludf.DUMMYFUNCTION("TO_TEXT(A1378)"),"27129")</f>
        <v>27129</v>
      </c>
      <c r="C1378" s="1">
        <v>14995.0</v>
      </c>
      <c r="D1378" s="1">
        <v>982.917112051258</v>
      </c>
      <c r="E1378" s="1" t="s">
        <v>2396</v>
      </c>
      <c r="F1378" s="1" t="s">
        <v>2397</v>
      </c>
      <c r="G1378" s="1">
        <v>15.2556098740684</v>
      </c>
      <c r="H1378" s="1">
        <v>13.033030805</v>
      </c>
      <c r="I1378" s="1">
        <v>3.1670557145</v>
      </c>
      <c r="J1378" s="1">
        <v>8.1583198708</v>
      </c>
      <c r="K1378" s="1">
        <v>14.350615334</v>
      </c>
      <c r="L1378" s="1">
        <v>34.0</v>
      </c>
      <c r="M1378" s="1">
        <v>8.3</v>
      </c>
      <c r="N1378" s="1">
        <v>25.0</v>
      </c>
      <c r="O1378" s="1">
        <v>68.436109345</v>
      </c>
      <c r="P1378" s="1">
        <v>7.3521716379</v>
      </c>
      <c r="Q1378" s="1">
        <v>27.31308</v>
      </c>
      <c r="R1378" s="1">
        <v>88.03</v>
      </c>
      <c r="S1378" s="1">
        <v>15.4</v>
      </c>
      <c r="T1378" s="1">
        <v>3311.0</v>
      </c>
      <c r="U1378" s="1">
        <v>25.883418907</v>
      </c>
      <c r="V1378" s="1">
        <v>114.14758611</v>
      </c>
      <c r="W1378" s="1">
        <v>9.6122778675</v>
      </c>
      <c r="X1378" s="1">
        <v>8.4596577017</v>
      </c>
      <c r="Y1378" s="1">
        <v>79.643536831</v>
      </c>
      <c r="Z1378" s="1">
        <v>11.7</v>
      </c>
      <c r="AA1378" s="1">
        <v>9.8853798592</v>
      </c>
      <c r="AB1378" s="1">
        <v>59787.0</v>
      </c>
      <c r="AC1378" s="1">
        <v>45.004582951</v>
      </c>
      <c r="AD1378" s="1">
        <v>78.948220065</v>
      </c>
      <c r="AE1378" s="1">
        <v>8.9628246478</v>
      </c>
      <c r="AF1378" s="1">
        <v>0.4927456885</v>
      </c>
      <c r="AG1378" s="1">
        <v>1.5466739666</v>
      </c>
      <c r="AH1378" s="1">
        <v>0.8965234054</v>
      </c>
      <c r="AI1378" s="1">
        <v>0.0410621407</v>
      </c>
      <c r="AJ1378" s="1">
        <v>9.013139885</v>
      </c>
      <c r="AK1378" s="1">
        <v>87.263892691</v>
      </c>
      <c r="AL1378" s="1">
        <v>0.7444886158</v>
      </c>
      <c r="AM1378" s="1">
        <v>49.171913496</v>
      </c>
      <c r="AN1378" s="1">
        <v>100.0</v>
      </c>
      <c r="AO1378" s="1">
        <v>30089.0</v>
      </c>
      <c r="AP1378" s="1">
        <v>10.5</v>
      </c>
      <c r="AQ1378" s="1">
        <v>3.4</v>
      </c>
      <c r="AR1378" s="1">
        <v>11.5</v>
      </c>
      <c r="AS1378" s="1">
        <v>20.4</v>
      </c>
      <c r="AT1378" s="1">
        <v>22.4</v>
      </c>
      <c r="AU1378" s="1">
        <v>11.6</v>
      </c>
      <c r="AV1378" s="1">
        <v>10.6</v>
      </c>
      <c r="AW1378" s="1">
        <v>0.6</v>
      </c>
      <c r="AX1378" s="1">
        <v>0.1773</v>
      </c>
      <c r="AY1378" s="1">
        <v>10.0</v>
      </c>
      <c r="AZ1378" s="1">
        <v>8.1</v>
      </c>
      <c r="BA1378" s="1">
        <v>14.2</v>
      </c>
      <c r="BB1378" s="1">
        <v>2.97</v>
      </c>
      <c r="BC1378" s="1" t="s">
        <v>2289</v>
      </c>
      <c r="BD1378" s="1">
        <v>9.5</v>
      </c>
      <c r="BE1378" s="1">
        <v>36.6</v>
      </c>
      <c r="BF1378" s="1">
        <v>38.7</v>
      </c>
      <c r="BG1378" s="1">
        <v>15.2</v>
      </c>
      <c r="BH1378" s="1" t="s">
        <v>2397</v>
      </c>
    </row>
    <row r="1379">
      <c r="A1379" s="1">
        <v>27131.0</v>
      </c>
      <c r="B1379" s="2" t="str">
        <f>IFERROR(__xludf.DUMMYFUNCTION("TO_TEXT(A1379)"),"27131")</f>
        <v>27131</v>
      </c>
      <c r="C1379" s="1">
        <v>65116.0</v>
      </c>
      <c r="D1379" s="1">
        <v>495.843734008106</v>
      </c>
      <c r="E1379" s="1" t="s">
        <v>1715</v>
      </c>
      <c r="F1379" s="1" t="s">
        <v>2398</v>
      </c>
      <c r="G1379" s="1">
        <v>131.323631890315</v>
      </c>
      <c r="H1379" s="1">
        <v>12.432198451</v>
      </c>
      <c r="I1379" s="1">
        <v>2.7381458372</v>
      </c>
      <c r="J1379" s="1">
        <v>6.04940673019999</v>
      </c>
      <c r="K1379" s="1">
        <v>14.714853108</v>
      </c>
      <c r="L1379" s="1">
        <v>26.1</v>
      </c>
      <c r="M1379" s="1">
        <v>8.6</v>
      </c>
      <c r="N1379" s="1">
        <v>19.6</v>
      </c>
      <c r="O1379" s="1">
        <v>83.495993265</v>
      </c>
      <c r="P1379" s="1">
        <v>5.600895492</v>
      </c>
      <c r="Q1379" s="1">
        <v>90.95319</v>
      </c>
      <c r="R1379" s="1">
        <v>78.14</v>
      </c>
      <c r="S1379" s="1">
        <v>11.6</v>
      </c>
      <c r="T1379" s="1">
        <v>14310.0</v>
      </c>
      <c r="U1379" s="1">
        <v>27.875611461</v>
      </c>
      <c r="V1379" s="1">
        <v>153.55115698</v>
      </c>
      <c r="W1379" s="1">
        <v>13.021408078</v>
      </c>
      <c r="X1379" s="1">
        <v>11.505997335</v>
      </c>
      <c r="Y1379" s="1">
        <v>80.765652326</v>
      </c>
      <c r="Z1379" s="1">
        <v>7.0</v>
      </c>
      <c r="AA1379" s="1">
        <v>5.4607350129</v>
      </c>
      <c r="AB1379" s="1">
        <v>67024.0</v>
      </c>
      <c r="AC1379" s="1">
        <v>42.989947033</v>
      </c>
      <c r="AD1379" s="1">
        <v>74.515079193</v>
      </c>
      <c r="AE1379" s="1">
        <v>11.599982277</v>
      </c>
      <c r="AF1379" s="1">
        <v>5.60407678549999</v>
      </c>
      <c r="AG1379" s="1">
        <v>0.6914901613</v>
      </c>
      <c r="AH1379" s="1">
        <v>2.3210017588</v>
      </c>
      <c r="AI1379" s="1">
        <v>0.1142462006</v>
      </c>
      <c r="AJ1379" s="1">
        <v>8.1235061558</v>
      </c>
      <c r="AK1379" s="1">
        <v>82.021255806</v>
      </c>
      <c r="AL1379" s="1">
        <v>2.6143580155</v>
      </c>
      <c r="AM1379" s="1">
        <v>49.038678352</v>
      </c>
      <c r="AN1379" s="1">
        <v>25.934645006</v>
      </c>
      <c r="AO1379" s="1">
        <v>27856.0</v>
      </c>
      <c r="AP1379" s="1">
        <v>11.7</v>
      </c>
      <c r="AQ1379" s="1">
        <v>4.3</v>
      </c>
      <c r="AR1379" s="1">
        <v>9.9</v>
      </c>
      <c r="AS1379" s="1">
        <v>14.0</v>
      </c>
      <c r="AT1379" s="1">
        <v>22.2</v>
      </c>
      <c r="AU1379" s="1">
        <v>9.7</v>
      </c>
      <c r="AV1379" s="1">
        <v>15.9</v>
      </c>
      <c r="AW1379" s="1">
        <v>2.7</v>
      </c>
      <c r="AX1379" s="1">
        <v>0.3703</v>
      </c>
      <c r="AY1379" s="1">
        <v>8.2</v>
      </c>
      <c r="AZ1379" s="1">
        <v>7.5</v>
      </c>
      <c r="BA1379" s="1">
        <v>12.7</v>
      </c>
      <c r="BB1379" s="1">
        <v>2.91</v>
      </c>
      <c r="BC1379" s="1" t="s">
        <v>2289</v>
      </c>
      <c r="BD1379" s="1">
        <v>8.9</v>
      </c>
      <c r="BE1379" s="1">
        <v>31.4</v>
      </c>
      <c r="BF1379" s="1">
        <v>31.4</v>
      </c>
      <c r="BG1379" s="1">
        <v>28.3</v>
      </c>
      <c r="BH1379" s="1" t="s">
        <v>2398</v>
      </c>
    </row>
    <row r="1380">
      <c r="A1380" s="1">
        <v>27133.0</v>
      </c>
      <c r="B1380" s="2" t="str">
        <f>IFERROR(__xludf.DUMMYFUNCTION("TO_TEXT(A1380)"),"27133")</f>
        <v>27133</v>
      </c>
      <c r="C1380" s="1">
        <v>9554.0</v>
      </c>
      <c r="D1380" s="1">
        <v>482.457915121253</v>
      </c>
      <c r="E1380" s="1" t="s">
        <v>2399</v>
      </c>
      <c r="F1380" s="1" t="s">
        <v>2400</v>
      </c>
      <c r="G1380" s="1">
        <v>19.8027635168942</v>
      </c>
      <c r="H1380" s="1">
        <v>12.03634062</v>
      </c>
      <c r="I1380" s="1">
        <v>3.0157096423</v>
      </c>
      <c r="J1380" s="1">
        <v>7.180156658</v>
      </c>
      <c r="K1380" s="1">
        <v>14.173701832</v>
      </c>
      <c r="L1380" s="1">
        <v>24.7</v>
      </c>
      <c r="M1380" s="1">
        <v>8.8</v>
      </c>
      <c r="N1380" s="1">
        <v>27.9</v>
      </c>
      <c r="O1380" s="1">
        <v>60.2973056669999</v>
      </c>
      <c r="P1380" s="1">
        <v>5.310087836</v>
      </c>
      <c r="Q1380" s="1">
        <v>105.37408</v>
      </c>
      <c r="R1380" s="1">
        <v>90.24</v>
      </c>
      <c r="S1380" s="1">
        <v>12.0</v>
      </c>
      <c r="T1380" s="1">
        <v>2321.0</v>
      </c>
      <c r="U1380" s="1">
        <v>16.846186988</v>
      </c>
      <c r="V1380" s="1">
        <v>744.39085762</v>
      </c>
      <c r="W1380" s="1">
        <v>11.7048346059999</v>
      </c>
      <c r="X1380" s="1">
        <v>9.8674145844</v>
      </c>
      <c r="Y1380" s="1">
        <v>80.021317171</v>
      </c>
      <c r="Z1380" s="1">
        <v>4.9</v>
      </c>
      <c r="AA1380" s="1">
        <v>3.2774320677</v>
      </c>
      <c r="AB1380" s="1">
        <v>63503.0</v>
      </c>
      <c r="AC1380" s="1">
        <v>28.91198044</v>
      </c>
      <c r="AD1380" s="1">
        <v>74.509803922</v>
      </c>
      <c r="AE1380" s="1">
        <v>7.5599582899</v>
      </c>
      <c r="AF1380" s="1">
        <v>0.8391756958</v>
      </c>
      <c r="AG1380" s="1">
        <v>0.8285532186</v>
      </c>
      <c r="AH1380" s="1">
        <v>0.78606331</v>
      </c>
      <c r="AI1380" s="1">
        <v>0.0318674315</v>
      </c>
      <c r="AJ1380" s="1">
        <v>3.5266624177</v>
      </c>
      <c r="AK1380" s="1">
        <v>93.074144891</v>
      </c>
      <c r="AL1380" s="1">
        <v>0.3861880963</v>
      </c>
      <c r="AM1380" s="1">
        <v>50.754195878</v>
      </c>
      <c r="AN1380" s="1">
        <v>52.307215856</v>
      </c>
      <c r="AO1380" s="1">
        <v>27634.0</v>
      </c>
      <c r="AP1380" s="1">
        <v>10.7</v>
      </c>
      <c r="AQ1380" s="1">
        <v>2.1</v>
      </c>
      <c r="AR1380" s="1">
        <v>9.9</v>
      </c>
      <c r="AS1380" s="1">
        <v>20.4</v>
      </c>
      <c r="AT1380" s="1">
        <v>25.2</v>
      </c>
      <c r="AU1380" s="1">
        <v>11.5</v>
      </c>
      <c r="AV1380" s="1">
        <v>5.5</v>
      </c>
      <c r="AW1380" s="1">
        <v>0.7</v>
      </c>
      <c r="AX1380" s="1">
        <v>0.1719</v>
      </c>
      <c r="AY1380" s="1">
        <v>8.7</v>
      </c>
      <c r="AZ1380" s="1">
        <v>7.6</v>
      </c>
      <c r="BA1380" s="1">
        <v>11.5</v>
      </c>
      <c r="BB1380" s="1">
        <v>2.92</v>
      </c>
      <c r="BC1380" s="1" t="s">
        <v>2289</v>
      </c>
      <c r="BD1380" s="1">
        <v>6.7</v>
      </c>
      <c r="BE1380" s="1">
        <v>33.0</v>
      </c>
      <c r="BF1380" s="1">
        <v>36.5</v>
      </c>
      <c r="BG1380" s="1">
        <v>23.8</v>
      </c>
      <c r="BH1380" s="1" t="s">
        <v>2400</v>
      </c>
    </row>
    <row r="1381">
      <c r="A1381" s="1">
        <v>27135.0</v>
      </c>
      <c r="B1381" s="2" t="str">
        <f>IFERROR(__xludf.DUMMYFUNCTION("TO_TEXT(A1381)"),"27135")</f>
        <v>27135</v>
      </c>
      <c r="C1381" s="1">
        <v>15609.0</v>
      </c>
      <c r="D1381" s="1">
        <v>1671.61340893646</v>
      </c>
      <c r="E1381" s="1" t="s">
        <v>2401</v>
      </c>
      <c r="F1381" s="1" t="s">
        <v>2402</v>
      </c>
      <c r="G1381" s="1">
        <v>9.33768532637639</v>
      </c>
      <c r="H1381" s="1">
        <v>11.882734668</v>
      </c>
      <c r="I1381" s="1">
        <v>3.0729701067</v>
      </c>
      <c r="J1381" s="1">
        <v>5.8416602613</v>
      </c>
      <c r="K1381" s="1">
        <v>15.074972894</v>
      </c>
      <c r="L1381" s="1">
        <v>34.9</v>
      </c>
      <c r="M1381" s="1">
        <v>8.3</v>
      </c>
      <c r="N1381" s="1">
        <v>25.8</v>
      </c>
      <c r="O1381" s="1">
        <v>48.378015228</v>
      </c>
      <c r="P1381" s="1">
        <v>6.1085614812</v>
      </c>
      <c r="Q1381" s="1">
        <v>52.19547</v>
      </c>
      <c r="R1381" s="1">
        <v>93.15</v>
      </c>
      <c r="S1381" s="1">
        <v>11.7</v>
      </c>
      <c r="T1381" s="1">
        <v>3709.0</v>
      </c>
      <c r="U1381" s="1">
        <v>26.691830682</v>
      </c>
      <c r="V1381" s="1">
        <v>9.5767094426</v>
      </c>
      <c r="W1381" s="1">
        <v>9.6642096642</v>
      </c>
      <c r="X1381" s="1">
        <v>6.5952184666</v>
      </c>
      <c r="Y1381" s="1">
        <v>80.585135825</v>
      </c>
      <c r="Z1381" s="1">
        <v>10.6</v>
      </c>
      <c r="AA1381" s="1">
        <v>7.3033659054</v>
      </c>
      <c r="AB1381" s="1">
        <v>60239.0</v>
      </c>
      <c r="AC1381" s="1">
        <v>33.905259232</v>
      </c>
      <c r="AD1381" s="1">
        <v>79.7831526269999</v>
      </c>
      <c r="AE1381" s="1">
        <v>7.7266483516</v>
      </c>
      <c r="AF1381" s="1">
        <v>0.5742574257</v>
      </c>
      <c r="AG1381" s="1">
        <v>1.9669966997</v>
      </c>
      <c r="AH1381" s="1">
        <v>2.8052805281</v>
      </c>
      <c r="AI1381" s="1">
        <v>0.0264026403</v>
      </c>
      <c r="AJ1381" s="1">
        <v>1.3927392739</v>
      </c>
      <c r="AK1381" s="1">
        <v>91.650165017</v>
      </c>
      <c r="AL1381" s="1">
        <v>0.7566377769</v>
      </c>
      <c r="AM1381" s="1">
        <v>48.547854785</v>
      </c>
      <c r="AN1381" s="1">
        <v>82.321325741</v>
      </c>
      <c r="AO1381" s="1">
        <v>27307.0</v>
      </c>
      <c r="AP1381" s="1">
        <v>8.4</v>
      </c>
      <c r="AQ1381" s="1">
        <v>2.1</v>
      </c>
      <c r="AR1381" s="1">
        <v>8.8</v>
      </c>
      <c r="AS1381" s="1">
        <v>15.6</v>
      </c>
      <c r="AT1381" s="1">
        <v>24.9</v>
      </c>
      <c r="AU1381" s="1">
        <v>10.5</v>
      </c>
      <c r="AV1381" s="1">
        <v>7.2</v>
      </c>
      <c r="AW1381" s="1">
        <v>0.7</v>
      </c>
      <c r="AX1381" s="1">
        <v>0.2464</v>
      </c>
      <c r="AY1381" s="1">
        <v>6.0</v>
      </c>
      <c r="AZ1381" s="1">
        <v>7.9</v>
      </c>
      <c r="BA1381" s="1">
        <v>14.5</v>
      </c>
      <c r="BB1381" s="1">
        <v>3.13</v>
      </c>
      <c r="BC1381" s="1" t="s">
        <v>2289</v>
      </c>
      <c r="BD1381" s="1">
        <v>7.1</v>
      </c>
      <c r="BE1381" s="1">
        <v>35.1</v>
      </c>
      <c r="BF1381" s="1">
        <v>37.5</v>
      </c>
      <c r="BG1381" s="1">
        <v>20.3</v>
      </c>
      <c r="BH1381" s="1" t="s">
        <v>2402</v>
      </c>
    </row>
    <row r="1382">
      <c r="A1382" s="1">
        <v>27137.0</v>
      </c>
      <c r="B1382" s="2" t="str">
        <f>IFERROR(__xludf.DUMMYFUNCTION("TO_TEXT(A1382)"),"27137")</f>
        <v>27137</v>
      </c>
      <c r="C1382" s="1">
        <v>200353.0</v>
      </c>
      <c r="D1382" s="1">
        <v>6247.552214273</v>
      </c>
      <c r="E1382" s="1" t="s">
        <v>2403</v>
      </c>
      <c r="F1382" s="1" t="s">
        <v>2404</v>
      </c>
      <c r="G1382" s="1">
        <v>32.0690397020258</v>
      </c>
      <c r="H1382" s="1">
        <v>13.071982918</v>
      </c>
      <c r="I1382" s="1">
        <v>3.577147904</v>
      </c>
      <c r="J1382" s="1">
        <v>6.7429476108</v>
      </c>
      <c r="K1382" s="1">
        <v>16.715382789</v>
      </c>
      <c r="L1382" s="1">
        <v>28.3</v>
      </c>
      <c r="M1382" s="1">
        <v>7.8</v>
      </c>
      <c r="N1382" s="1">
        <v>22.1</v>
      </c>
      <c r="O1382" s="1">
        <v>82.443339027</v>
      </c>
      <c r="P1382" s="1">
        <v>5.160968497</v>
      </c>
      <c r="Q1382" s="1">
        <v>127.0</v>
      </c>
      <c r="R1382" s="1">
        <v>80.8</v>
      </c>
      <c r="S1382" s="1">
        <v>14.5</v>
      </c>
      <c r="T1382" s="1">
        <v>37591.0</v>
      </c>
      <c r="U1382" s="1">
        <v>32.5929078769999</v>
      </c>
      <c r="V1382" s="1">
        <v>238.53915332</v>
      </c>
      <c r="W1382" s="1">
        <v>13.68445803</v>
      </c>
      <c r="X1382" s="1">
        <v>11.608623549</v>
      </c>
      <c r="Y1382" s="1">
        <v>78.8564636139999</v>
      </c>
      <c r="Z1382" s="1">
        <v>9.1</v>
      </c>
      <c r="AA1382" s="1">
        <v>8.622287964</v>
      </c>
      <c r="AB1382" s="1">
        <v>53833.0</v>
      </c>
      <c r="AC1382" s="1">
        <v>39.204859194</v>
      </c>
      <c r="AD1382" s="1">
        <v>70.910980337</v>
      </c>
      <c r="AE1382" s="1">
        <v>11.441995027</v>
      </c>
      <c r="AF1382" s="1">
        <v>1.5844488721</v>
      </c>
      <c r="AG1382" s="1">
        <v>2.3909408573</v>
      </c>
      <c r="AH1382" s="1">
        <v>1.1584248626</v>
      </c>
      <c r="AI1382" s="1">
        <v>0.0510628073</v>
      </c>
      <c r="AJ1382" s="1">
        <v>1.7721797811</v>
      </c>
      <c r="AK1382" s="1">
        <v>90.953372648</v>
      </c>
      <c r="AL1382" s="1">
        <v>0.3082240499</v>
      </c>
      <c r="AM1382" s="1">
        <v>49.796750003</v>
      </c>
      <c r="AN1382" s="1">
        <v>37.1145605469999</v>
      </c>
      <c r="AO1382" s="1">
        <v>28013.0</v>
      </c>
      <c r="AP1382" s="1">
        <v>15.5</v>
      </c>
      <c r="AQ1382" s="1">
        <v>5.8</v>
      </c>
      <c r="AR1382" s="1">
        <v>6.5</v>
      </c>
      <c r="AS1382" s="1">
        <v>17.3</v>
      </c>
      <c r="AT1382" s="1">
        <v>19.2</v>
      </c>
      <c r="AU1382" s="1">
        <v>14.4</v>
      </c>
      <c r="AV1382" s="1">
        <v>8.4</v>
      </c>
      <c r="AW1382" s="1">
        <v>0.4</v>
      </c>
      <c r="AX1382" s="1">
        <v>0.3187</v>
      </c>
      <c r="AY1382" s="1">
        <v>12.8</v>
      </c>
      <c r="AZ1382" s="1">
        <v>10.3</v>
      </c>
      <c r="BA1382" s="1">
        <v>16.5</v>
      </c>
      <c r="BB1382" s="1">
        <v>3.18</v>
      </c>
      <c r="BC1382" s="1" t="s">
        <v>2289</v>
      </c>
      <c r="BD1382" s="1">
        <v>5.5</v>
      </c>
      <c r="BE1382" s="1">
        <v>27.2</v>
      </c>
      <c r="BF1382" s="1">
        <v>38.0</v>
      </c>
      <c r="BG1382" s="1">
        <v>29.3</v>
      </c>
      <c r="BH1382" s="1" t="s">
        <v>2404</v>
      </c>
    </row>
    <row r="1383">
      <c r="A1383" s="1">
        <v>27139.0</v>
      </c>
      <c r="B1383" s="2" t="str">
        <f>IFERROR(__xludf.DUMMYFUNCTION("TO_TEXT(A1383)"),"27139")</f>
        <v>27139</v>
      </c>
      <c r="C1383" s="1">
        <v>139490.0</v>
      </c>
      <c r="D1383" s="1">
        <v>356.259185296166</v>
      </c>
      <c r="E1383" s="1" t="s">
        <v>394</v>
      </c>
      <c r="F1383" s="1" t="s">
        <v>2405</v>
      </c>
      <c r="G1383" s="1">
        <v>391.540781984439</v>
      </c>
      <c r="H1383" s="1">
        <v>10.625364778</v>
      </c>
      <c r="I1383" s="1">
        <v>2.7574911145</v>
      </c>
      <c r="J1383" s="1">
        <v>6.1304448029</v>
      </c>
      <c r="K1383" s="1">
        <v>12.051936152</v>
      </c>
      <c r="L1383" s="1">
        <v>29.3</v>
      </c>
      <c r="M1383" s="1">
        <v>9.3</v>
      </c>
      <c r="N1383" s="1">
        <v>18.7</v>
      </c>
      <c r="O1383" s="1">
        <v>88.15805677</v>
      </c>
      <c r="P1383" s="1">
        <v>3.8251783505</v>
      </c>
      <c r="Q1383" s="1">
        <v>57.6025</v>
      </c>
      <c r="R1383" s="1">
        <v>87.54</v>
      </c>
      <c r="S1383" s="1">
        <v>6.1</v>
      </c>
      <c r="T1383" s="1">
        <v>40144.0</v>
      </c>
      <c r="U1383" s="1">
        <v>17.138302112</v>
      </c>
      <c r="V1383" s="1">
        <v>99.286971147</v>
      </c>
      <c r="W1383" s="1">
        <v>10.211006256</v>
      </c>
      <c r="X1383" s="1">
        <v>8.7566531829</v>
      </c>
      <c r="Y1383" s="1">
        <v>82.48440254</v>
      </c>
      <c r="Z1383" s="1">
        <v>7.8</v>
      </c>
      <c r="AA1383" s="1">
        <v>2.8264611561</v>
      </c>
      <c r="AB1383" s="1">
        <v>101427.0</v>
      </c>
      <c r="AC1383" s="1">
        <v>23.386034256</v>
      </c>
      <c r="AD1383" s="1">
        <v>82.31292517</v>
      </c>
      <c r="AE1383" s="1">
        <v>8.4924717299</v>
      </c>
      <c r="AF1383" s="1">
        <v>4.6444249937</v>
      </c>
      <c r="AG1383" s="1">
        <v>1.0978348634</v>
      </c>
      <c r="AH1383" s="1">
        <v>6.3332451266</v>
      </c>
      <c r="AI1383" s="1">
        <v>0.0997414864</v>
      </c>
      <c r="AJ1383" s="1">
        <v>5.3365087766</v>
      </c>
      <c r="AK1383" s="1">
        <v>80.789246918</v>
      </c>
      <c r="AL1383" s="1">
        <v>2.0772627595</v>
      </c>
      <c r="AM1383" s="1">
        <v>50.169967635</v>
      </c>
      <c r="AN1383" s="1">
        <v>17.239548057</v>
      </c>
      <c r="AO1383" s="1">
        <v>37113.0</v>
      </c>
      <c r="AP1383" s="1">
        <v>5.7</v>
      </c>
      <c r="AQ1383" s="1">
        <v>4.0</v>
      </c>
      <c r="AR1383" s="1">
        <v>5.1</v>
      </c>
      <c r="AS1383" s="1">
        <v>9.3</v>
      </c>
      <c r="AT1383" s="1">
        <v>28.8</v>
      </c>
      <c r="AU1383" s="1">
        <v>7.2</v>
      </c>
      <c r="AV1383" s="1">
        <v>17.1</v>
      </c>
      <c r="AW1383" s="1">
        <v>1.9</v>
      </c>
      <c r="AX1383" s="1">
        <v>0.0726</v>
      </c>
      <c r="AY1383" s="1">
        <v>4.2</v>
      </c>
      <c r="AZ1383" s="1">
        <v>4.9</v>
      </c>
      <c r="BA1383" s="1">
        <v>8.7</v>
      </c>
      <c r="BB1383" s="1">
        <v>3.24</v>
      </c>
      <c r="BC1383" s="1" t="s">
        <v>2289</v>
      </c>
      <c r="BD1383" s="1">
        <v>5.3</v>
      </c>
      <c r="BE1383" s="1">
        <v>22.2</v>
      </c>
      <c r="BF1383" s="1">
        <v>32.6</v>
      </c>
      <c r="BG1383" s="1">
        <v>39.9</v>
      </c>
      <c r="BH1383" s="1" t="s">
        <v>2405</v>
      </c>
    </row>
    <row r="1384">
      <c r="A1384" s="1">
        <v>27141.0</v>
      </c>
      <c r="B1384" s="2" t="str">
        <f>IFERROR(__xludf.DUMMYFUNCTION("TO_TEXT(A1384)"),"27141")</f>
        <v>27141</v>
      </c>
      <c r="C1384" s="1">
        <v>91188.0</v>
      </c>
      <c r="D1384" s="1">
        <v>432.915210736318</v>
      </c>
      <c r="E1384" s="1" t="s">
        <v>2406</v>
      </c>
      <c r="F1384" s="1" t="s">
        <v>2407</v>
      </c>
      <c r="G1384" s="1">
        <v>210.637089523614</v>
      </c>
      <c r="H1384" s="1">
        <v>10.814427139</v>
      </c>
      <c r="I1384" s="1">
        <v>2.8997085721</v>
      </c>
      <c r="J1384" s="1">
        <v>5.7951965587</v>
      </c>
      <c r="K1384" s="1">
        <v>15.145450446</v>
      </c>
      <c r="L1384" s="1">
        <v>30.2</v>
      </c>
      <c r="M1384" s="1">
        <v>8.9</v>
      </c>
      <c r="N1384" s="1">
        <v>19.6</v>
      </c>
      <c r="O1384" s="1">
        <v>88.52868394</v>
      </c>
      <c r="P1384" s="1">
        <v>3.7841888348</v>
      </c>
      <c r="Q1384" s="1">
        <v>40.18188</v>
      </c>
      <c r="R1384" s="1">
        <v>90.16</v>
      </c>
      <c r="S1384" s="1">
        <v>6.9</v>
      </c>
      <c r="T1384" s="1">
        <v>24906.0</v>
      </c>
      <c r="U1384" s="1">
        <v>22.6772665219999</v>
      </c>
      <c r="V1384" s="1">
        <v>103.9194023</v>
      </c>
      <c r="W1384" s="1">
        <v>9.681611436</v>
      </c>
      <c r="X1384" s="1">
        <v>7.7783227072</v>
      </c>
      <c r="Y1384" s="1">
        <v>80.895894162</v>
      </c>
      <c r="Z1384" s="1">
        <v>8.7</v>
      </c>
      <c r="AA1384" s="1">
        <v>5.6187703768</v>
      </c>
      <c r="AB1384" s="1">
        <v>81850.0</v>
      </c>
      <c r="AC1384" s="1">
        <v>22.636676039</v>
      </c>
      <c r="AD1384" s="1">
        <v>82.64801336</v>
      </c>
      <c r="AE1384" s="1">
        <v>8.4343097033</v>
      </c>
      <c r="AF1384" s="1">
        <v>2.7541755175</v>
      </c>
      <c r="AG1384" s="1">
        <v>0.5789495606</v>
      </c>
      <c r="AH1384" s="1">
        <v>1.2911824732</v>
      </c>
      <c r="AI1384" s="1">
        <v>0.0354033904</v>
      </c>
      <c r="AJ1384" s="1">
        <v>2.6781623558</v>
      </c>
      <c r="AK1384" s="1">
        <v>90.900287392</v>
      </c>
      <c r="AL1384" s="1">
        <v>0.524047578</v>
      </c>
      <c r="AM1384" s="1">
        <v>48.7681702689999</v>
      </c>
      <c r="AN1384" s="1">
        <v>44.192589747</v>
      </c>
      <c r="AO1384" s="1">
        <v>31182.0</v>
      </c>
      <c r="AP1384" s="1">
        <v>7.2</v>
      </c>
      <c r="AQ1384" s="1">
        <v>4.1</v>
      </c>
      <c r="AR1384" s="1">
        <v>5.5</v>
      </c>
      <c r="AS1384" s="1">
        <v>10.0</v>
      </c>
      <c r="AT1384" s="1">
        <v>27.4</v>
      </c>
      <c r="AU1384" s="1">
        <v>8.5</v>
      </c>
      <c r="AV1384" s="1">
        <v>7.7</v>
      </c>
      <c r="AW1384" s="1">
        <v>0.6</v>
      </c>
      <c r="AX1384" s="1">
        <v>0.1044</v>
      </c>
      <c r="AY1384" s="1">
        <v>5.5</v>
      </c>
      <c r="AZ1384" s="1">
        <v>6.0</v>
      </c>
      <c r="BA1384" s="1">
        <v>11.4</v>
      </c>
      <c r="BB1384" s="1">
        <v>3.24</v>
      </c>
      <c r="BC1384" s="1" t="s">
        <v>2289</v>
      </c>
      <c r="BD1384" s="1">
        <v>5.4</v>
      </c>
      <c r="BE1384" s="1">
        <v>28.5</v>
      </c>
      <c r="BF1384" s="1">
        <v>39.5</v>
      </c>
      <c r="BG1384" s="1">
        <v>26.6</v>
      </c>
      <c r="BH1384" s="1" t="s">
        <v>2407</v>
      </c>
    </row>
    <row r="1385">
      <c r="A1385" s="1">
        <v>27143.0</v>
      </c>
      <c r="B1385" s="2" t="str">
        <f>IFERROR(__xludf.DUMMYFUNCTION("TO_TEXT(A1385)"),"27143")</f>
        <v>27143</v>
      </c>
      <c r="C1385" s="1">
        <v>14957.0</v>
      </c>
      <c r="D1385" s="1">
        <v>588.781400092104</v>
      </c>
      <c r="E1385" s="1" t="s">
        <v>2408</v>
      </c>
      <c r="F1385" s="1" t="s">
        <v>2409</v>
      </c>
      <c r="G1385" s="1">
        <v>25.4033160654536</v>
      </c>
      <c r="H1385" s="1">
        <v>11.395018305</v>
      </c>
      <c r="I1385" s="1">
        <v>2.9425354237</v>
      </c>
      <c r="J1385" s="1">
        <v>4.5774647887</v>
      </c>
      <c r="K1385" s="1">
        <v>14.099158834</v>
      </c>
      <c r="L1385" s="1">
        <v>39.3</v>
      </c>
      <c r="M1385" s="1">
        <v>9.3</v>
      </c>
      <c r="N1385" s="1">
        <v>28.8</v>
      </c>
      <c r="O1385" s="1">
        <v>59.588861159</v>
      </c>
      <c r="P1385" s="1">
        <v>6.6793577222</v>
      </c>
      <c r="Q1385" s="1">
        <v>13.4508</v>
      </c>
      <c r="R1385" s="1">
        <v>88.59</v>
      </c>
      <c r="S1385" s="1">
        <v>10.3</v>
      </c>
      <c r="T1385" s="1">
        <v>3551.0</v>
      </c>
      <c r="U1385" s="1">
        <v>20.867361307</v>
      </c>
      <c r="V1385" s="1">
        <v>53.615709403</v>
      </c>
      <c r="W1385" s="1">
        <v>9.234608985</v>
      </c>
      <c r="X1385" s="1">
        <v>7.7983193277</v>
      </c>
      <c r="Y1385" s="1">
        <v>80.721308461</v>
      </c>
      <c r="Z1385" s="1">
        <v>9.3</v>
      </c>
      <c r="AA1385" s="1">
        <v>0.3614377842</v>
      </c>
      <c r="AB1385" s="1">
        <v>66209.0</v>
      </c>
      <c r="AC1385" s="1">
        <v>37.894269214</v>
      </c>
      <c r="AD1385" s="1">
        <v>79.01623054</v>
      </c>
      <c r="AE1385" s="1">
        <v>8.70849991309999</v>
      </c>
      <c r="AF1385" s="1">
        <v>0.6720787863</v>
      </c>
      <c r="AG1385" s="1">
        <v>0.472451424</v>
      </c>
      <c r="AH1385" s="1">
        <v>0.6920415225</v>
      </c>
      <c r="AI1385" s="1">
        <v>0.0465797179</v>
      </c>
      <c r="AJ1385" s="1">
        <v>9.4224114985</v>
      </c>
      <c r="AK1385" s="1">
        <v>87.915890338</v>
      </c>
      <c r="AL1385" s="1">
        <v>2.70251049</v>
      </c>
      <c r="AM1385" s="1">
        <v>49.693904711</v>
      </c>
      <c r="AN1385" s="1">
        <v>100.0</v>
      </c>
      <c r="AO1385" s="1">
        <v>28811.0</v>
      </c>
      <c r="AP1385" s="1">
        <v>9.8</v>
      </c>
      <c r="AQ1385" s="1">
        <v>4.2</v>
      </c>
      <c r="AR1385" s="1">
        <v>10.2</v>
      </c>
      <c r="AS1385" s="1">
        <v>17.5</v>
      </c>
      <c r="AT1385" s="1">
        <v>24.4</v>
      </c>
      <c r="AU1385" s="1">
        <v>10.8</v>
      </c>
      <c r="AV1385" s="1">
        <v>10.5</v>
      </c>
      <c r="AW1385" s="1">
        <v>2.1</v>
      </c>
      <c r="AX1385" s="1">
        <v>0.185</v>
      </c>
      <c r="AY1385" s="1">
        <v>10.7</v>
      </c>
      <c r="AZ1385" s="1">
        <v>6.7</v>
      </c>
      <c r="BA1385" s="1">
        <v>11.2</v>
      </c>
      <c r="BB1385" s="1">
        <v>3.23</v>
      </c>
      <c r="BC1385" s="1" t="s">
        <v>2289</v>
      </c>
      <c r="BD1385" s="1">
        <v>9.3</v>
      </c>
      <c r="BE1385" s="1">
        <v>39.2</v>
      </c>
      <c r="BF1385" s="1">
        <v>35.1</v>
      </c>
      <c r="BG1385" s="1">
        <v>16.4</v>
      </c>
      <c r="BH1385" s="1" t="s">
        <v>2409</v>
      </c>
    </row>
    <row r="1386">
      <c r="A1386" s="1">
        <v>27145.0</v>
      </c>
      <c r="B1386" s="2" t="str">
        <f>IFERROR(__xludf.DUMMYFUNCTION("TO_TEXT(A1386)"),"27145")</f>
        <v>27145</v>
      </c>
      <c r="C1386" s="1">
        <v>153661.0</v>
      </c>
      <c r="D1386" s="1">
        <v>1342.82728944248</v>
      </c>
      <c r="E1386" s="1" t="s">
        <v>2410</v>
      </c>
      <c r="F1386" s="1" t="s">
        <v>2411</v>
      </c>
      <c r="G1386" s="1">
        <v>114.430948200194</v>
      </c>
      <c r="H1386" s="1">
        <v>13.005775537</v>
      </c>
      <c r="I1386" s="1">
        <v>3.2802670384</v>
      </c>
      <c r="J1386" s="1">
        <v>6.5059895273</v>
      </c>
      <c r="K1386" s="1">
        <v>14.631964231</v>
      </c>
      <c r="L1386" s="1">
        <v>28.9</v>
      </c>
      <c r="M1386" s="1">
        <v>8.3</v>
      </c>
      <c r="N1386" s="1">
        <v>21.9</v>
      </c>
      <c r="O1386" s="1">
        <v>75.872598611</v>
      </c>
      <c r="P1386" s="1">
        <v>4.8817708293</v>
      </c>
      <c r="Q1386" s="1">
        <v>98.84553</v>
      </c>
      <c r="R1386" s="1">
        <v>82.74</v>
      </c>
      <c r="S1386" s="1">
        <v>13.8</v>
      </c>
      <c r="T1386" s="1">
        <v>35691.0</v>
      </c>
      <c r="U1386" s="1">
        <v>28.8644196019999</v>
      </c>
      <c r="V1386" s="1">
        <v>199.02080465</v>
      </c>
      <c r="W1386" s="1">
        <v>12.912730739</v>
      </c>
      <c r="X1386" s="1">
        <v>10.67086504</v>
      </c>
      <c r="Y1386" s="1">
        <v>82.242988248</v>
      </c>
      <c r="Z1386" s="1">
        <v>8.3</v>
      </c>
      <c r="AA1386" s="1">
        <v>4.9921272037</v>
      </c>
      <c r="AB1386" s="1">
        <v>60843.0</v>
      </c>
      <c r="AC1386" s="1">
        <v>39.641285394</v>
      </c>
      <c r="AD1386" s="1">
        <v>68.971489701</v>
      </c>
      <c r="AE1386" s="1">
        <v>10.733502274</v>
      </c>
      <c r="AF1386" s="1">
        <v>6.834907319</v>
      </c>
      <c r="AG1386" s="1">
        <v>0.4188225247</v>
      </c>
      <c r="AH1386" s="1">
        <v>2.3609785503</v>
      </c>
      <c r="AI1386" s="1">
        <v>0.0891646155</v>
      </c>
      <c r="AJ1386" s="1">
        <v>3.4585824082</v>
      </c>
      <c r="AK1386" s="1">
        <v>85.493796152</v>
      </c>
      <c r="AL1386" s="1">
        <v>1.902764252</v>
      </c>
      <c r="AM1386" s="1">
        <v>49.511478374</v>
      </c>
      <c r="AN1386" s="1">
        <v>36.933258985</v>
      </c>
      <c r="AO1386" s="1">
        <v>27792.0</v>
      </c>
      <c r="AP1386" s="1">
        <v>13.7</v>
      </c>
      <c r="AQ1386" s="1">
        <v>4.8</v>
      </c>
      <c r="AR1386" s="1">
        <v>7.9</v>
      </c>
      <c r="AS1386" s="1">
        <v>13.3</v>
      </c>
      <c r="AT1386" s="1">
        <v>22.9</v>
      </c>
      <c r="AU1386" s="1">
        <v>10.6</v>
      </c>
      <c r="AV1386" s="1">
        <v>11.4</v>
      </c>
      <c r="AW1386" s="1">
        <v>1.6</v>
      </c>
      <c r="AX1386" s="1">
        <v>0.3276</v>
      </c>
      <c r="AY1386" s="1">
        <v>11.2</v>
      </c>
      <c r="AZ1386" s="1">
        <v>8.6</v>
      </c>
      <c r="BA1386" s="1">
        <v>14.0</v>
      </c>
      <c r="BB1386" s="1">
        <v>3.1</v>
      </c>
      <c r="BC1386" s="1" t="s">
        <v>2289</v>
      </c>
      <c r="BD1386" s="1">
        <v>8.3</v>
      </c>
      <c r="BE1386" s="1">
        <v>28.0</v>
      </c>
      <c r="BF1386" s="1">
        <v>36.2</v>
      </c>
      <c r="BG1386" s="1">
        <v>27.5</v>
      </c>
      <c r="BH1386" s="1" t="s">
        <v>2411</v>
      </c>
    </row>
    <row r="1387">
      <c r="A1387" s="1">
        <v>27147.0</v>
      </c>
      <c r="B1387" s="2" t="str">
        <f>IFERROR(__xludf.DUMMYFUNCTION("TO_TEXT(A1387)"),"27147")</f>
        <v>27147</v>
      </c>
      <c r="C1387" s="1">
        <v>36541.0</v>
      </c>
      <c r="D1387" s="1">
        <v>429.644924865808</v>
      </c>
      <c r="E1387" s="1" t="s">
        <v>2412</v>
      </c>
      <c r="F1387" s="1" t="s">
        <v>2413</v>
      </c>
      <c r="G1387" s="1">
        <v>85.0492997477229</v>
      </c>
      <c r="H1387" s="1">
        <v>11.9848241809999</v>
      </c>
      <c r="I1387" s="1">
        <v>3.0408131083</v>
      </c>
      <c r="J1387" s="1">
        <v>6.3157894737</v>
      </c>
      <c r="K1387" s="1">
        <v>14.169517705</v>
      </c>
      <c r="L1387" s="1">
        <v>31.3</v>
      </c>
      <c r="M1387" s="1">
        <v>8.8</v>
      </c>
      <c r="N1387" s="1">
        <v>21.3</v>
      </c>
      <c r="O1387" s="1">
        <v>70.231846019</v>
      </c>
      <c r="P1387" s="1">
        <v>4.399244708</v>
      </c>
      <c r="Q1387" s="1">
        <v>73.1965199999999</v>
      </c>
      <c r="R1387" s="1">
        <v>83.21</v>
      </c>
      <c r="S1387" s="1">
        <v>12.2</v>
      </c>
      <c r="T1387" s="1">
        <v>9206.0</v>
      </c>
      <c r="U1387" s="1">
        <v>27.5907017159999</v>
      </c>
      <c r="V1387" s="1">
        <v>125.5595589</v>
      </c>
      <c r="W1387" s="1">
        <v>12.260536398</v>
      </c>
      <c r="X1387" s="1">
        <v>10.232067511</v>
      </c>
      <c r="Y1387" s="1">
        <v>81.531750901</v>
      </c>
      <c r="Z1387" s="1">
        <v>9.6</v>
      </c>
      <c r="AA1387" s="1">
        <v>3.9178567222</v>
      </c>
      <c r="AB1387" s="1">
        <v>65323.0</v>
      </c>
      <c r="AC1387" s="1">
        <v>39.168552036</v>
      </c>
      <c r="AD1387" s="1">
        <v>75.541453994</v>
      </c>
      <c r="AE1387" s="1">
        <v>10.234676007</v>
      </c>
      <c r="AF1387" s="1">
        <v>3.2796239437</v>
      </c>
      <c r="AG1387" s="1">
        <v>0.4890905633</v>
      </c>
      <c r="AH1387" s="1">
        <v>1.092302258</v>
      </c>
      <c r="AI1387" s="1">
        <v>0.0461918865</v>
      </c>
      <c r="AJ1387" s="1">
        <v>8.0890144825</v>
      </c>
      <c r="AK1387" s="1">
        <v>86.052767437</v>
      </c>
      <c r="AL1387" s="1">
        <v>0.8421972898</v>
      </c>
      <c r="AM1387" s="1">
        <v>50.20514632</v>
      </c>
      <c r="AN1387" s="1">
        <v>30.571959755</v>
      </c>
      <c r="AO1387" s="1">
        <v>28736.0</v>
      </c>
      <c r="AP1387" s="1">
        <v>9.4</v>
      </c>
      <c r="AQ1387" s="1">
        <v>4.3</v>
      </c>
      <c r="AR1387" s="1">
        <v>7.6</v>
      </c>
      <c r="AS1387" s="1">
        <v>15.8</v>
      </c>
      <c r="AT1387" s="1">
        <v>25.5</v>
      </c>
      <c r="AU1387" s="1">
        <v>11.0</v>
      </c>
      <c r="AV1387" s="1">
        <v>12.4</v>
      </c>
      <c r="AW1387" s="1">
        <v>0.8</v>
      </c>
      <c r="AX1387" s="1">
        <v>0.2665</v>
      </c>
      <c r="AY1387" s="1">
        <v>6.3</v>
      </c>
      <c r="AZ1387" s="1">
        <v>7.9</v>
      </c>
      <c r="BA1387" s="1">
        <v>13.1</v>
      </c>
      <c r="BB1387" s="1">
        <v>2.92</v>
      </c>
      <c r="BC1387" s="1" t="s">
        <v>2289</v>
      </c>
      <c r="BD1387" s="1">
        <v>7.5</v>
      </c>
      <c r="BE1387" s="1">
        <v>33.7</v>
      </c>
      <c r="BF1387" s="1">
        <v>32.9</v>
      </c>
      <c r="BG1387" s="1">
        <v>26.0</v>
      </c>
      <c r="BH1387" s="1" t="s">
        <v>2413</v>
      </c>
    </row>
    <row r="1388">
      <c r="A1388" s="1">
        <v>27149.0</v>
      </c>
      <c r="B1388" s="2" t="str">
        <f>IFERROR(__xludf.DUMMYFUNCTION("TO_TEXT(A1388)"),"27149")</f>
        <v>27149</v>
      </c>
      <c r="C1388" s="1">
        <v>9762.0</v>
      </c>
      <c r="D1388" s="1">
        <v>563.611492565728</v>
      </c>
      <c r="E1388" s="1" t="s">
        <v>1740</v>
      </c>
      <c r="F1388" s="1" t="s">
        <v>2414</v>
      </c>
      <c r="G1388" s="1">
        <v>17.3204417027773</v>
      </c>
      <c r="H1388" s="1">
        <v>12.724778481</v>
      </c>
      <c r="I1388" s="1">
        <v>3.313472651</v>
      </c>
      <c r="J1388" s="1">
        <v>4.5232273839</v>
      </c>
      <c r="K1388" s="1">
        <v>14.323780173</v>
      </c>
      <c r="L1388" s="1">
        <v>31.3</v>
      </c>
      <c r="M1388" s="1">
        <v>8.5</v>
      </c>
      <c r="N1388" s="1">
        <v>22.8</v>
      </c>
      <c r="O1388" s="1">
        <v>76.979230927</v>
      </c>
      <c r="P1388" s="1">
        <v>4.7921071177</v>
      </c>
      <c r="Q1388" s="1">
        <v>83.03924</v>
      </c>
      <c r="R1388" s="1">
        <v>95.15</v>
      </c>
      <c r="S1388" s="1">
        <v>9.0</v>
      </c>
      <c r="T1388" s="1">
        <v>2044.0</v>
      </c>
      <c r="U1388" s="1">
        <v>12.9647749509999</v>
      </c>
      <c r="V1388" s="1">
        <v>148.28450171</v>
      </c>
      <c r="W1388" s="1">
        <v>16.129032258</v>
      </c>
      <c r="X1388" s="1">
        <v>15.362891838</v>
      </c>
      <c r="Y1388" s="1">
        <v>83.5283277119999</v>
      </c>
      <c r="Z1388" s="1">
        <v>9.7</v>
      </c>
      <c r="AA1388" s="1">
        <v>3.7290403785</v>
      </c>
      <c r="AB1388" s="1">
        <v>61929.0</v>
      </c>
      <c r="AC1388" s="1">
        <v>26.688102894</v>
      </c>
      <c r="AD1388" s="1">
        <v>67.649490218</v>
      </c>
      <c r="AE1388" s="1">
        <v>12.826398852</v>
      </c>
      <c r="AF1388" s="1">
        <v>0.9432994976</v>
      </c>
      <c r="AG1388" s="1">
        <v>1.6917871424</v>
      </c>
      <c r="AH1388" s="1">
        <v>2.2044499128</v>
      </c>
      <c r="AI1388" s="1">
        <v>0.051266277</v>
      </c>
      <c r="AJ1388" s="1">
        <v>6.72613554799999</v>
      </c>
      <c r="AK1388" s="1">
        <v>86.701527735</v>
      </c>
      <c r="AL1388" s="1">
        <v>2.3024537888</v>
      </c>
      <c r="AM1388" s="1">
        <v>50.271711268</v>
      </c>
      <c r="AN1388" s="1">
        <v>47.326753033</v>
      </c>
      <c r="AO1388" s="1">
        <v>26625.0</v>
      </c>
      <c r="AP1388" s="1">
        <v>17.4</v>
      </c>
      <c r="AQ1388" s="1">
        <v>3.0</v>
      </c>
      <c r="AR1388" s="1">
        <v>8.4</v>
      </c>
      <c r="AS1388" s="1">
        <v>16.9</v>
      </c>
      <c r="AT1388" s="1">
        <v>21.0</v>
      </c>
      <c r="AU1388" s="1">
        <v>12.1</v>
      </c>
      <c r="AV1388" s="1">
        <v>10.3</v>
      </c>
      <c r="AW1388" s="1">
        <v>1.6</v>
      </c>
      <c r="AX1388" s="1">
        <v>0.2079</v>
      </c>
      <c r="AY1388" s="1">
        <v>11.9</v>
      </c>
      <c r="AZ1388" s="1">
        <v>7.5</v>
      </c>
      <c r="BA1388" s="1">
        <v>11.3</v>
      </c>
      <c r="BB1388" s="1">
        <v>2.96</v>
      </c>
      <c r="BC1388" s="1" t="s">
        <v>2289</v>
      </c>
      <c r="BD1388" s="1">
        <v>6.0</v>
      </c>
      <c r="BE1388" s="1">
        <v>31.4</v>
      </c>
      <c r="BF1388" s="1">
        <v>32.0</v>
      </c>
      <c r="BG1388" s="1">
        <v>30.5</v>
      </c>
      <c r="BH1388" s="1" t="s">
        <v>2414</v>
      </c>
    </row>
    <row r="1389">
      <c r="A1389" s="1">
        <v>27151.0</v>
      </c>
      <c r="B1389" s="2" t="str">
        <f>IFERROR(__xludf.DUMMYFUNCTION("TO_TEXT(A1389)"),"27151")</f>
        <v>27151</v>
      </c>
      <c r="C1389" s="1">
        <v>9483.0</v>
      </c>
      <c r="D1389" s="1">
        <v>742.038232208776</v>
      </c>
      <c r="E1389" s="1" t="s">
        <v>2415</v>
      </c>
      <c r="F1389" s="1" t="s">
        <v>2416</v>
      </c>
      <c r="G1389" s="1">
        <v>12.779664966551</v>
      </c>
      <c r="H1389" s="1">
        <v>12.894430143</v>
      </c>
      <c r="I1389" s="1">
        <v>3.244891463</v>
      </c>
      <c r="J1389" s="1">
        <v>4.8239895698</v>
      </c>
      <c r="K1389" s="1">
        <v>15.211126052</v>
      </c>
      <c r="L1389" s="1">
        <v>37.5</v>
      </c>
      <c r="M1389" s="1">
        <v>8.1</v>
      </c>
      <c r="N1389" s="1">
        <v>28.9</v>
      </c>
      <c r="O1389" s="1">
        <v>44.434222631</v>
      </c>
      <c r="P1389" s="1">
        <v>6.0038556871</v>
      </c>
      <c r="Q1389" s="1">
        <v>53.15191</v>
      </c>
      <c r="R1389" s="1">
        <v>88.04</v>
      </c>
      <c r="S1389" s="1">
        <v>13.8</v>
      </c>
      <c r="T1389" s="1">
        <v>2104.0</v>
      </c>
      <c r="U1389" s="1">
        <v>33.460076046</v>
      </c>
      <c r="V1389" s="1">
        <v>85.292392985</v>
      </c>
      <c r="W1389" s="1">
        <v>9.2215568862</v>
      </c>
      <c r="X1389" s="1">
        <v>7.68674698799999</v>
      </c>
      <c r="Y1389" s="1">
        <v>77.683018158</v>
      </c>
      <c r="Z1389" s="1">
        <v>13.6</v>
      </c>
      <c r="AA1389" s="1">
        <v>7.544283134</v>
      </c>
      <c r="AB1389" s="1">
        <v>51552.0</v>
      </c>
      <c r="AC1389" s="1">
        <v>41.238839286</v>
      </c>
      <c r="AD1389" s="1">
        <v>69.718476461</v>
      </c>
      <c r="AE1389" s="1">
        <v>7.9511465603</v>
      </c>
      <c r="AF1389" s="1">
        <v>0.963081862</v>
      </c>
      <c r="AG1389" s="1">
        <v>0.75976458</v>
      </c>
      <c r="AH1389" s="1">
        <v>0.4280363831</v>
      </c>
      <c r="AI1389" s="1">
        <v>0.7383627608</v>
      </c>
      <c r="AJ1389" s="1">
        <v>5.5858747994</v>
      </c>
      <c r="AK1389" s="1">
        <v>90.315676833</v>
      </c>
      <c r="AL1389" s="1">
        <v>1.1742124873</v>
      </c>
      <c r="AM1389" s="1">
        <v>49.438202247</v>
      </c>
      <c r="AN1389" s="1">
        <v>67.382193601</v>
      </c>
      <c r="AO1389" s="1">
        <v>28969.0</v>
      </c>
      <c r="AP1389" s="1">
        <v>12.4</v>
      </c>
      <c r="AQ1389" s="1">
        <v>3.3</v>
      </c>
      <c r="AR1389" s="1">
        <v>11.4</v>
      </c>
      <c r="AS1389" s="1">
        <v>21.1</v>
      </c>
      <c r="AT1389" s="1">
        <v>22.2</v>
      </c>
      <c r="AU1389" s="1">
        <v>14.1</v>
      </c>
      <c r="AV1389" s="1">
        <v>7.0</v>
      </c>
      <c r="AW1389" s="1">
        <v>1.1</v>
      </c>
      <c r="AX1389" s="1">
        <v>0.3037</v>
      </c>
      <c r="AY1389" s="1">
        <v>9.5</v>
      </c>
      <c r="AZ1389" s="1">
        <v>10.3</v>
      </c>
      <c r="BA1389" s="1">
        <v>17.1</v>
      </c>
      <c r="BB1389" s="1">
        <v>2.94</v>
      </c>
      <c r="BC1389" s="1" t="s">
        <v>2289</v>
      </c>
      <c r="BD1389" s="1">
        <v>9.4</v>
      </c>
      <c r="BE1389" s="1">
        <v>32.7</v>
      </c>
      <c r="BF1389" s="1">
        <v>38.3</v>
      </c>
      <c r="BG1389" s="1">
        <v>19.6</v>
      </c>
      <c r="BH1389" s="1" t="s">
        <v>2416</v>
      </c>
    </row>
    <row r="1390">
      <c r="A1390" s="1">
        <v>27153.0</v>
      </c>
      <c r="B1390" s="2" t="str">
        <f>IFERROR(__xludf.DUMMYFUNCTION("TO_TEXT(A1390)"),"27153")</f>
        <v>27153</v>
      </c>
      <c r="C1390" s="1">
        <v>24335.0</v>
      </c>
      <c r="D1390" s="1">
        <v>944.978971231109</v>
      </c>
      <c r="E1390" s="1" t="s">
        <v>1921</v>
      </c>
      <c r="F1390" s="1" t="s">
        <v>2417</v>
      </c>
      <c r="G1390" s="1">
        <v>25.7518957996458</v>
      </c>
      <c r="H1390" s="1">
        <v>12.934583121</v>
      </c>
      <c r="I1390" s="1">
        <v>3.2263904471</v>
      </c>
      <c r="J1390" s="1">
        <v>5.0969778981</v>
      </c>
      <c r="K1390" s="1">
        <v>14.556302701</v>
      </c>
      <c r="L1390" s="1">
        <v>37.1</v>
      </c>
      <c r="M1390" s="1">
        <v>7.9</v>
      </c>
      <c r="N1390" s="1">
        <v>24.5</v>
      </c>
      <c r="O1390" s="1">
        <v>39.710785298</v>
      </c>
      <c r="P1390" s="1">
        <v>8.2912457912</v>
      </c>
      <c r="Q1390" s="1">
        <v>73.42443</v>
      </c>
      <c r="R1390" s="1">
        <v>91.71</v>
      </c>
      <c r="S1390" s="1">
        <v>16.6</v>
      </c>
      <c r="T1390" s="1">
        <v>5716.0</v>
      </c>
      <c r="U1390" s="1">
        <v>18.579426172</v>
      </c>
      <c r="V1390" s="1">
        <v>105.36536992</v>
      </c>
      <c r="W1390" s="1">
        <v>12.671059301</v>
      </c>
      <c r="X1390" s="1">
        <v>8.691206544</v>
      </c>
      <c r="Y1390" s="1">
        <v>82.333495486</v>
      </c>
      <c r="Z1390" s="1">
        <v>12.2</v>
      </c>
      <c r="AA1390" s="1">
        <v>12.660761968</v>
      </c>
      <c r="AB1390" s="1">
        <v>58113.0</v>
      </c>
      <c r="AC1390" s="1">
        <v>55.326704545</v>
      </c>
      <c r="AD1390" s="1">
        <v>81.881922569</v>
      </c>
      <c r="AE1390" s="1">
        <v>9.7450959824</v>
      </c>
      <c r="AF1390" s="1">
        <v>0.4515499146</v>
      </c>
      <c r="AG1390" s="1">
        <v>0.638678707999999</v>
      </c>
      <c r="AH1390" s="1">
        <v>0.5369782768</v>
      </c>
      <c r="AI1390" s="1">
        <v>0.2766251729</v>
      </c>
      <c r="AJ1390" s="1">
        <v>6.2037263038</v>
      </c>
      <c r="AK1390" s="1">
        <v>90.936457571</v>
      </c>
      <c r="AL1390" s="1">
        <v>2.2272886706</v>
      </c>
      <c r="AM1390" s="1">
        <v>48.450085428</v>
      </c>
      <c r="AN1390" s="1">
        <v>78.389234786</v>
      </c>
      <c r="AO1390" s="1">
        <v>24410.0</v>
      </c>
      <c r="AP1390" s="1">
        <v>13.5</v>
      </c>
      <c r="AQ1390" s="1">
        <v>4.3</v>
      </c>
      <c r="AR1390" s="1">
        <v>12.2</v>
      </c>
      <c r="AS1390" s="1">
        <v>19.2</v>
      </c>
      <c r="AT1390" s="1">
        <v>24.0</v>
      </c>
      <c r="AU1390" s="1">
        <v>13.5</v>
      </c>
      <c r="AV1390" s="1">
        <v>8.1</v>
      </c>
      <c r="AW1390" s="1">
        <v>2.2</v>
      </c>
      <c r="AX1390" s="1">
        <v>0.4365</v>
      </c>
      <c r="AY1390" s="1">
        <v>11.8</v>
      </c>
      <c r="AZ1390" s="1">
        <v>9.6</v>
      </c>
      <c r="BA1390" s="1">
        <v>17.2</v>
      </c>
      <c r="BB1390" s="1">
        <v>3.29</v>
      </c>
      <c r="BC1390" s="1" t="s">
        <v>2289</v>
      </c>
      <c r="BD1390" s="1">
        <v>13.0</v>
      </c>
      <c r="BE1390" s="1">
        <v>36.7</v>
      </c>
      <c r="BF1390" s="1">
        <v>35.2</v>
      </c>
      <c r="BG1390" s="1">
        <v>15.1</v>
      </c>
      <c r="BH1390" s="1" t="s">
        <v>2417</v>
      </c>
    </row>
    <row r="1391">
      <c r="A1391" s="1">
        <v>27155.0</v>
      </c>
      <c r="B1391" s="2" t="str">
        <f>IFERROR(__xludf.DUMMYFUNCTION("TO_TEXT(A1391)"),"27155")</f>
        <v>27155</v>
      </c>
      <c r="C1391" s="1">
        <v>3397.0</v>
      </c>
      <c r="D1391" s="1">
        <v>573.871500703348</v>
      </c>
      <c r="E1391" s="1" t="s">
        <v>2418</v>
      </c>
      <c r="F1391" s="1" t="s">
        <v>2419</v>
      </c>
      <c r="G1391" s="1">
        <v>5.9194436312599</v>
      </c>
      <c r="H1391" s="1">
        <v>12.33094466</v>
      </c>
      <c r="I1391" s="1">
        <v>3.221100278</v>
      </c>
      <c r="J1391" s="1">
        <v>5.5555555556</v>
      </c>
      <c r="K1391" s="1">
        <v>14.557758885</v>
      </c>
      <c r="L1391" s="1">
        <v>32.6</v>
      </c>
      <c r="M1391" s="1">
        <v>7.9</v>
      </c>
      <c r="N1391" s="1">
        <v>31.9</v>
      </c>
      <c r="O1391" s="1">
        <v>65.598650927</v>
      </c>
      <c r="P1391" s="1">
        <v>7.4602527517</v>
      </c>
      <c r="Q1391" s="1">
        <v>30.12956</v>
      </c>
      <c r="R1391" s="1">
        <v>93.1</v>
      </c>
      <c r="S1391" s="1">
        <v>22.0</v>
      </c>
      <c r="T1391" s="1">
        <v>693.0</v>
      </c>
      <c r="U1391" s="1">
        <v>25.252525253</v>
      </c>
      <c r="V1391" s="1">
        <v>161.83610416</v>
      </c>
      <c r="W1391" s="1">
        <v>9.3851132686</v>
      </c>
      <c r="X1391" s="1">
        <v>8.0655737705</v>
      </c>
      <c r="Y1391" s="1">
        <v>77.455424721</v>
      </c>
      <c r="Z1391" s="1">
        <v>11.7</v>
      </c>
      <c r="AA1391" s="1">
        <v>13.030542914</v>
      </c>
      <c r="AB1391" s="1">
        <v>49773.0</v>
      </c>
      <c r="AC1391" s="1">
        <v>44.366197183</v>
      </c>
      <c r="AD1391" s="1">
        <v>79.797979798</v>
      </c>
      <c r="AE1391" s="1">
        <v>9.0540540541</v>
      </c>
      <c r="AF1391" s="1">
        <v>0.5441354293</v>
      </c>
      <c r="AG1391" s="1">
        <v>6.4087061669</v>
      </c>
      <c r="AH1391" s="1">
        <v>0.2116082225</v>
      </c>
      <c r="AI1391" s="1">
        <v>0.0604594921</v>
      </c>
      <c r="AJ1391" s="1">
        <v>3.2648125756</v>
      </c>
      <c r="AK1391" s="1">
        <v>88.301088271</v>
      </c>
      <c r="AL1391" s="1">
        <v>0.4721435316</v>
      </c>
      <c r="AM1391" s="1">
        <v>49.84885127</v>
      </c>
      <c r="AN1391" s="1">
        <v>100.0</v>
      </c>
      <c r="AO1391" s="1">
        <v>30992.0</v>
      </c>
      <c r="AP1391" s="1">
        <v>9.2</v>
      </c>
      <c r="AQ1391" s="1">
        <v>4.4</v>
      </c>
      <c r="AR1391" s="1">
        <v>9.3</v>
      </c>
      <c r="AS1391" s="1">
        <v>26.3</v>
      </c>
      <c r="AT1391" s="1">
        <v>20.5</v>
      </c>
      <c r="AU1391" s="1">
        <v>18.8</v>
      </c>
      <c r="AV1391" s="1">
        <v>9.0</v>
      </c>
      <c r="AW1391" s="1">
        <v>0.7</v>
      </c>
      <c r="AX1391" s="1">
        <v>0.2031</v>
      </c>
      <c r="AY1391" s="1">
        <v>11.9</v>
      </c>
      <c r="AZ1391" s="1">
        <v>9.7</v>
      </c>
      <c r="BA1391" s="1">
        <v>15.8</v>
      </c>
      <c r="BB1391" s="1">
        <v>3.21</v>
      </c>
      <c r="BC1391" s="1" t="s">
        <v>2289</v>
      </c>
      <c r="BD1391" s="1">
        <v>6.7</v>
      </c>
      <c r="BE1391" s="1">
        <v>35.4</v>
      </c>
      <c r="BF1391" s="1">
        <v>40.4</v>
      </c>
      <c r="BG1391" s="1">
        <v>17.5</v>
      </c>
      <c r="BH1391" s="1" t="s">
        <v>2419</v>
      </c>
    </row>
    <row r="1392">
      <c r="A1392" s="1">
        <v>27157.0</v>
      </c>
      <c r="B1392" s="2" t="str">
        <f>IFERROR(__xludf.DUMMYFUNCTION("TO_TEXT(A1392)"),"27157")</f>
        <v>27157</v>
      </c>
      <c r="C1392" s="1">
        <v>21327.0</v>
      </c>
      <c r="D1392" s="1">
        <v>522.920842942844</v>
      </c>
      <c r="E1392" s="1" t="s">
        <v>2420</v>
      </c>
      <c r="F1392" s="1" t="s">
        <v>2421</v>
      </c>
      <c r="G1392" s="1">
        <v>40.7843754706313</v>
      </c>
      <c r="H1392" s="1">
        <v>10.615078726</v>
      </c>
      <c r="I1392" s="1">
        <v>3.049432865</v>
      </c>
      <c r="J1392" s="1">
        <v>5.2535125229</v>
      </c>
      <c r="K1392" s="1">
        <v>14.0451027379999</v>
      </c>
      <c r="L1392" s="1">
        <v>36.5</v>
      </c>
      <c r="M1392" s="1">
        <v>9.2</v>
      </c>
      <c r="N1392" s="1">
        <v>25.5</v>
      </c>
      <c r="O1392" s="1">
        <v>91.280679092</v>
      </c>
      <c r="P1392" s="1">
        <v>4.6958062611</v>
      </c>
      <c r="Q1392" s="1">
        <v>74.04665</v>
      </c>
      <c r="R1392" s="1">
        <v>91.34</v>
      </c>
      <c r="S1392" s="1">
        <v>8.3</v>
      </c>
      <c r="T1392" s="1">
        <v>4609.0</v>
      </c>
      <c r="U1392" s="1">
        <v>21.414623563</v>
      </c>
      <c r="V1392" s="1">
        <v>82.246504524</v>
      </c>
      <c r="W1392" s="1">
        <v>10.272071072</v>
      </c>
      <c r="X1392" s="1">
        <v>9.0239821528</v>
      </c>
      <c r="Y1392" s="1">
        <v>83.04144596</v>
      </c>
      <c r="Z1392" s="1">
        <v>7.5</v>
      </c>
      <c r="AA1392" s="1">
        <v>2.5155552099</v>
      </c>
      <c r="AB1392" s="1">
        <v>63633.0</v>
      </c>
      <c r="AC1392" s="1">
        <v>24.931805783</v>
      </c>
      <c r="AD1392" s="1">
        <v>80.941070015</v>
      </c>
      <c r="AE1392" s="1">
        <v>8.376841861</v>
      </c>
      <c r="AF1392" s="1">
        <v>0.6329406329</v>
      </c>
      <c r="AG1392" s="1">
        <v>0.3465003465</v>
      </c>
      <c r="AH1392" s="1">
        <v>0.7253407253</v>
      </c>
      <c r="AI1392" s="1">
        <v>0.0138600139</v>
      </c>
      <c r="AJ1392" s="1">
        <v>2.8644028644</v>
      </c>
      <c r="AK1392" s="1">
        <v>94.58997459</v>
      </c>
      <c r="AL1392" s="1">
        <v>0.6745445593</v>
      </c>
      <c r="AM1392" s="1">
        <v>49.896049896</v>
      </c>
      <c r="AN1392" s="1">
        <v>64.541428308</v>
      </c>
      <c r="AO1392" s="1">
        <v>31464.0</v>
      </c>
      <c r="AP1392" s="1">
        <v>6.6</v>
      </c>
      <c r="AQ1392" s="1">
        <v>3.4</v>
      </c>
      <c r="AR1392" s="1">
        <v>6.8</v>
      </c>
      <c r="AS1392" s="1">
        <v>18.8</v>
      </c>
      <c r="AT1392" s="1">
        <v>22.4</v>
      </c>
      <c r="AU1392" s="1">
        <v>11.2</v>
      </c>
      <c r="AV1392" s="1">
        <v>5.1</v>
      </c>
      <c r="AW1392" s="1">
        <v>0.1</v>
      </c>
      <c r="AX1392" s="1">
        <v>0.029</v>
      </c>
      <c r="AY1392" s="1">
        <v>8.4</v>
      </c>
      <c r="AZ1392" s="1">
        <v>6.8</v>
      </c>
      <c r="BA1392" s="1">
        <v>10.8</v>
      </c>
      <c r="BB1392" s="1">
        <v>3.7</v>
      </c>
      <c r="BC1392" s="1" t="s">
        <v>2289</v>
      </c>
      <c r="BD1392" s="1">
        <v>6.6</v>
      </c>
      <c r="BE1392" s="1">
        <v>33.0</v>
      </c>
      <c r="BF1392" s="1">
        <v>36.7</v>
      </c>
      <c r="BG1392" s="1">
        <v>23.7</v>
      </c>
      <c r="BH1392" s="1" t="s">
        <v>2421</v>
      </c>
    </row>
    <row r="1393">
      <c r="A1393" s="1">
        <v>27159.0</v>
      </c>
      <c r="B1393" s="2" t="str">
        <f>IFERROR(__xludf.DUMMYFUNCTION("TO_TEXT(A1393)"),"27159")</f>
        <v>27159</v>
      </c>
      <c r="C1393" s="1">
        <v>13755.0</v>
      </c>
      <c r="D1393" s="1">
        <v>536.265323432964</v>
      </c>
      <c r="E1393" s="1" t="s">
        <v>2422</v>
      </c>
      <c r="F1393" s="1" t="s">
        <v>2423</v>
      </c>
      <c r="G1393" s="1">
        <v>25.649616708285</v>
      </c>
      <c r="H1393" s="1">
        <v>13.278815622</v>
      </c>
      <c r="I1393" s="1">
        <v>3.360163853</v>
      </c>
      <c r="J1393" s="1">
        <v>6.8707991038</v>
      </c>
      <c r="K1393" s="1">
        <v>15.984677159</v>
      </c>
      <c r="L1393" s="1">
        <v>34.3</v>
      </c>
      <c r="M1393" s="1">
        <v>7.5</v>
      </c>
      <c r="N1393" s="1">
        <v>30.1</v>
      </c>
      <c r="O1393" s="1">
        <v>66.827999711</v>
      </c>
      <c r="P1393" s="1">
        <v>6.08037825059999</v>
      </c>
      <c r="Q1393" s="1">
        <v>65.8424199999999</v>
      </c>
      <c r="R1393" s="1">
        <v>82.03</v>
      </c>
      <c r="S1393" s="1">
        <v>18.2</v>
      </c>
      <c r="T1393" s="1">
        <v>3396.0</v>
      </c>
      <c r="U1393" s="1">
        <v>32.302709069</v>
      </c>
      <c r="V1393" s="1">
        <v>79.46828493</v>
      </c>
      <c r="W1393" s="1">
        <v>13.439434129</v>
      </c>
      <c r="X1393" s="1">
        <v>11.781557744</v>
      </c>
      <c r="Y1393" s="1">
        <v>75.432886021</v>
      </c>
      <c r="Z1393" s="1">
        <v>10.6</v>
      </c>
      <c r="AA1393" s="1">
        <v>12.2794523379999</v>
      </c>
      <c r="AB1393" s="1">
        <v>46312.0</v>
      </c>
      <c r="AC1393" s="1">
        <v>50.6118606839999</v>
      </c>
      <c r="AD1393" s="1">
        <v>77.593799542</v>
      </c>
      <c r="AE1393" s="1">
        <v>10.262919311</v>
      </c>
      <c r="AF1393" s="1">
        <v>1.09634792709999</v>
      </c>
      <c r="AG1393" s="1">
        <v>0.7914034706</v>
      </c>
      <c r="AH1393" s="1">
        <v>0.5082407609</v>
      </c>
      <c r="AI1393" s="1">
        <v>0.00726058229999999</v>
      </c>
      <c r="AJ1393" s="1">
        <v>2.018441879</v>
      </c>
      <c r="AK1393" s="1">
        <v>93.712335729</v>
      </c>
      <c r="AL1393" s="1">
        <v>0.0627057533</v>
      </c>
      <c r="AM1393" s="1">
        <v>50.519131634</v>
      </c>
      <c r="AN1393" s="1">
        <v>66.9869248</v>
      </c>
      <c r="AO1393" s="1">
        <v>22283.0</v>
      </c>
      <c r="AP1393" s="1">
        <v>15.5</v>
      </c>
      <c r="AQ1393" s="1">
        <v>5.2</v>
      </c>
      <c r="AR1393" s="1">
        <v>10.7</v>
      </c>
      <c r="AS1393" s="1">
        <v>21.9</v>
      </c>
      <c r="AT1393" s="1">
        <v>24.4</v>
      </c>
      <c r="AU1393" s="1">
        <v>17.5</v>
      </c>
      <c r="AV1393" s="1">
        <v>5.1</v>
      </c>
      <c r="AW1393" s="1">
        <v>0.1</v>
      </c>
      <c r="AX1393" s="1">
        <v>0.6358</v>
      </c>
      <c r="AY1393" s="1">
        <v>12.5</v>
      </c>
      <c r="AZ1393" s="1">
        <v>12.0</v>
      </c>
      <c r="BA1393" s="1">
        <v>20.4</v>
      </c>
      <c r="BB1393" s="1">
        <v>2.99</v>
      </c>
      <c r="BC1393" s="1" t="s">
        <v>2289</v>
      </c>
      <c r="BD1393" s="1">
        <v>9.4</v>
      </c>
      <c r="BE1393" s="1">
        <v>37.1</v>
      </c>
      <c r="BF1393" s="1">
        <v>39.7</v>
      </c>
      <c r="BG1393" s="1">
        <v>13.8</v>
      </c>
      <c r="BH1393" s="1" t="s">
        <v>2423</v>
      </c>
    </row>
    <row r="1394">
      <c r="A1394" s="1">
        <v>27161.0</v>
      </c>
      <c r="B1394" s="2" t="str">
        <f>IFERROR(__xludf.DUMMYFUNCTION("TO_TEXT(A1394)"),"27161")</f>
        <v>27161</v>
      </c>
      <c r="C1394" s="1">
        <v>19034.0</v>
      </c>
      <c r="D1394" s="1">
        <v>423.361566169046</v>
      </c>
      <c r="E1394" s="1" t="s">
        <v>2424</v>
      </c>
      <c r="F1394" s="1" t="s">
        <v>2425</v>
      </c>
      <c r="G1394" s="1">
        <v>44.9592063168054</v>
      </c>
      <c r="H1394" s="1">
        <v>12.851987326</v>
      </c>
      <c r="I1394" s="1">
        <v>3.2562720939</v>
      </c>
      <c r="J1394" s="1">
        <v>5.4922973878</v>
      </c>
      <c r="K1394" s="1">
        <v>14.6976209209999</v>
      </c>
      <c r="L1394" s="1">
        <v>32.7</v>
      </c>
      <c r="M1394" s="1">
        <v>8.4</v>
      </c>
      <c r="N1394" s="1">
        <v>25.3</v>
      </c>
      <c r="O1394" s="1">
        <v>79.347826087</v>
      </c>
      <c r="P1394" s="1">
        <v>4.7005618747</v>
      </c>
      <c r="Q1394" s="1">
        <v>31.93698</v>
      </c>
      <c r="R1394" s="1">
        <v>82.85</v>
      </c>
      <c r="S1394" s="1">
        <v>12.0</v>
      </c>
      <c r="T1394" s="1">
        <v>4394.0</v>
      </c>
      <c r="U1394" s="1">
        <v>25.079654074</v>
      </c>
      <c r="V1394" s="1">
        <v>89.3420222829999</v>
      </c>
      <c r="W1394" s="1">
        <v>10.36834925</v>
      </c>
      <c r="X1394" s="1">
        <v>8.3539774291</v>
      </c>
      <c r="Y1394" s="1">
        <v>81.287666919</v>
      </c>
      <c r="Z1394" s="1">
        <v>9.7</v>
      </c>
      <c r="AA1394" s="1">
        <v>8.5538190651</v>
      </c>
      <c r="AB1394" s="1">
        <v>58335.0</v>
      </c>
      <c r="AC1394" s="1">
        <v>35.734157651</v>
      </c>
      <c r="AD1394" s="1">
        <v>78.712804632</v>
      </c>
      <c r="AE1394" s="1">
        <v>11.555555556</v>
      </c>
      <c r="AF1394" s="1">
        <v>2.0812155583</v>
      </c>
      <c r="AG1394" s="1">
        <v>0.7329730887</v>
      </c>
      <c r="AH1394" s="1">
        <v>0.8720774704</v>
      </c>
      <c r="AI1394" s="1">
        <v>0.0374511797</v>
      </c>
      <c r="AJ1394" s="1">
        <v>6.2543470119</v>
      </c>
      <c r="AK1394" s="1">
        <v>88.925151142</v>
      </c>
      <c r="AL1394" s="1">
        <v>0.8859045254</v>
      </c>
      <c r="AM1394" s="1">
        <v>51.805681879</v>
      </c>
      <c r="AN1394" s="1">
        <v>50.161998328</v>
      </c>
      <c r="AO1394" s="1">
        <v>27179.0</v>
      </c>
      <c r="AP1394" s="1">
        <v>7.8</v>
      </c>
      <c r="AQ1394" s="1">
        <v>4.7</v>
      </c>
      <c r="AR1394" s="1">
        <v>8.0</v>
      </c>
      <c r="AS1394" s="1">
        <v>16.2</v>
      </c>
      <c r="AT1394" s="1">
        <v>23.3</v>
      </c>
      <c r="AU1394" s="1">
        <v>11.9</v>
      </c>
      <c r="AV1394" s="1">
        <v>10.6</v>
      </c>
      <c r="AW1394" s="1">
        <v>1.0</v>
      </c>
      <c r="AX1394" s="1">
        <v>0.2455</v>
      </c>
      <c r="AY1394" s="1">
        <v>8.9</v>
      </c>
      <c r="AZ1394" s="1">
        <v>8.2</v>
      </c>
      <c r="BA1394" s="1">
        <v>13.4</v>
      </c>
      <c r="BB1394" s="1">
        <v>3.02</v>
      </c>
      <c r="BC1394" s="1" t="s">
        <v>2289</v>
      </c>
      <c r="BD1394" s="1">
        <v>7.0</v>
      </c>
      <c r="BE1394" s="1">
        <v>36.4</v>
      </c>
      <c r="BF1394" s="1">
        <v>35.2</v>
      </c>
      <c r="BG1394" s="1">
        <v>21.4</v>
      </c>
      <c r="BH1394" s="1" t="s">
        <v>2425</v>
      </c>
    </row>
    <row r="1395">
      <c r="A1395" s="1">
        <v>27163.0</v>
      </c>
      <c r="B1395" s="2" t="str">
        <f>IFERROR(__xludf.DUMMYFUNCTION("TO_TEXT(A1395)"),"27163")</f>
        <v>27163</v>
      </c>
      <c r="C1395" s="1">
        <v>248745.0</v>
      </c>
      <c r="D1395" s="1">
        <v>384.401439995935</v>
      </c>
      <c r="E1395" s="1" t="s">
        <v>188</v>
      </c>
      <c r="F1395" s="1" t="s">
        <v>2426</v>
      </c>
      <c r="G1395" s="1">
        <v>647.096951568729</v>
      </c>
      <c r="H1395" s="1">
        <v>8.9294561393</v>
      </c>
      <c r="I1395" s="1">
        <v>2.6500403938</v>
      </c>
      <c r="J1395" s="1">
        <v>6.1540026447</v>
      </c>
      <c r="K1395" s="1">
        <v>11.3094167309999</v>
      </c>
      <c r="L1395" s="1">
        <v>24.8</v>
      </c>
      <c r="M1395" s="1">
        <v>8.9</v>
      </c>
      <c r="N1395" s="1">
        <v>16.2</v>
      </c>
      <c r="O1395" s="1">
        <v>94.372543421</v>
      </c>
      <c r="P1395" s="1">
        <v>3.3343081436</v>
      </c>
      <c r="Q1395" s="1">
        <v>108.05624</v>
      </c>
      <c r="R1395" s="1">
        <v>90.24</v>
      </c>
      <c r="S1395" s="1">
        <v>4.5</v>
      </c>
      <c r="T1395" s="1">
        <v>62636.0</v>
      </c>
      <c r="U1395" s="1">
        <v>22.8574621619999</v>
      </c>
      <c r="V1395" s="1">
        <v>94.064397322</v>
      </c>
      <c r="W1395" s="1">
        <v>10.413014899</v>
      </c>
      <c r="X1395" s="1">
        <v>9.0308005951</v>
      </c>
      <c r="Y1395" s="1">
        <v>82.1583824539999</v>
      </c>
      <c r="Z1395" s="1">
        <v>7.5</v>
      </c>
      <c r="AA1395" s="1">
        <v>6.6897682158</v>
      </c>
      <c r="AB1395" s="1">
        <v>95840.0</v>
      </c>
      <c r="AC1395" s="1">
        <v>20.901915056</v>
      </c>
      <c r="AD1395" s="1">
        <v>81.594479739</v>
      </c>
      <c r="AE1395" s="1">
        <v>8.8568575522</v>
      </c>
      <c r="AF1395" s="1">
        <v>4.6921115273</v>
      </c>
      <c r="AG1395" s="1">
        <v>0.5412787759</v>
      </c>
      <c r="AH1395" s="1">
        <v>6.1924915413</v>
      </c>
      <c r="AI1395" s="1">
        <v>0.0706015795</v>
      </c>
      <c r="AJ1395" s="1">
        <v>4.2928075123</v>
      </c>
      <c r="AK1395" s="1">
        <v>82.220747605</v>
      </c>
      <c r="AL1395" s="1">
        <v>1.0089549479</v>
      </c>
      <c r="AM1395" s="1">
        <v>50.588153595</v>
      </c>
      <c r="AN1395" s="1">
        <v>14.468203044</v>
      </c>
      <c r="AO1395" s="1">
        <v>39873.0</v>
      </c>
      <c r="AP1395" s="1">
        <v>5.1</v>
      </c>
      <c r="AQ1395" s="1">
        <v>4.0</v>
      </c>
      <c r="AR1395" s="1">
        <v>4.0</v>
      </c>
      <c r="AS1395" s="1">
        <v>12.8</v>
      </c>
      <c r="AT1395" s="1">
        <v>25.2</v>
      </c>
      <c r="AU1395" s="1">
        <v>8.6</v>
      </c>
      <c r="AV1395" s="1">
        <v>15.8</v>
      </c>
      <c r="AW1395" s="1">
        <v>1.0</v>
      </c>
      <c r="AX1395" s="1">
        <v>0.0745</v>
      </c>
      <c r="AY1395" s="1">
        <v>4.6</v>
      </c>
      <c r="AZ1395" s="1">
        <v>5.1</v>
      </c>
      <c r="BA1395" s="1">
        <v>8.7</v>
      </c>
      <c r="BB1395" s="1">
        <v>3.27</v>
      </c>
      <c r="BC1395" s="1" t="s">
        <v>2289</v>
      </c>
      <c r="BD1395" s="1">
        <v>3.9</v>
      </c>
      <c r="BE1395" s="1">
        <v>21.0</v>
      </c>
      <c r="BF1395" s="1">
        <v>30.8</v>
      </c>
      <c r="BG1395" s="1">
        <v>44.3</v>
      </c>
      <c r="BH1395" s="1" t="s">
        <v>2426</v>
      </c>
    </row>
    <row r="1396">
      <c r="A1396" s="1">
        <v>27165.0</v>
      </c>
      <c r="B1396" s="2" t="str">
        <f>IFERROR(__xludf.DUMMYFUNCTION("TO_TEXT(A1396)"),"27165")</f>
        <v>27165</v>
      </c>
      <c r="C1396" s="1">
        <v>10996.0</v>
      </c>
      <c r="D1396" s="1">
        <v>434.954089529066</v>
      </c>
      <c r="E1396" s="1" t="s">
        <v>2427</v>
      </c>
      <c r="F1396" s="1" t="s">
        <v>2428</v>
      </c>
      <c r="G1396" s="1">
        <v>25.2808290914233</v>
      </c>
      <c r="H1396" s="1">
        <v>15.983553457</v>
      </c>
      <c r="I1396" s="1">
        <v>3.3286778415</v>
      </c>
      <c r="J1396" s="1">
        <v>5.2341597796</v>
      </c>
      <c r="K1396" s="1">
        <v>15.327179292</v>
      </c>
      <c r="L1396" s="1">
        <v>31.7</v>
      </c>
      <c r="M1396" s="1">
        <v>9.3</v>
      </c>
      <c r="N1396" s="1">
        <v>25.4</v>
      </c>
      <c r="O1396" s="1">
        <v>72.74105789</v>
      </c>
      <c r="P1396" s="1">
        <v>8.3108028682</v>
      </c>
      <c r="Q1396" s="1">
        <v>27.67528</v>
      </c>
      <c r="R1396" s="1">
        <v>87.84</v>
      </c>
      <c r="S1396" s="1">
        <v>14.2</v>
      </c>
      <c r="T1396" s="1">
        <v>2628.0</v>
      </c>
      <c r="U1396" s="1">
        <v>34.398782344</v>
      </c>
      <c r="V1396" s="1">
        <v>172.52338146</v>
      </c>
      <c r="W1396" s="1">
        <v>8.84658454649999</v>
      </c>
      <c r="X1396" s="1">
        <v>7.7514124294</v>
      </c>
      <c r="Y1396" s="1">
        <v>80.140842511</v>
      </c>
      <c r="Z1396" s="1">
        <v>12.4</v>
      </c>
      <c r="AA1396" s="1">
        <v>1.15886227</v>
      </c>
      <c r="AB1396" s="1">
        <v>51962.0</v>
      </c>
      <c r="AC1396" s="1">
        <v>56.6452304389999</v>
      </c>
      <c r="AD1396" s="1">
        <v>75.82213988</v>
      </c>
      <c r="AE1396" s="1">
        <v>9.383186473</v>
      </c>
      <c r="AF1396" s="1">
        <v>0.7103825137</v>
      </c>
      <c r="AG1396" s="1">
        <v>1.3387978142</v>
      </c>
      <c r="AH1396" s="1">
        <v>1.2021857923</v>
      </c>
      <c r="AI1396" s="1">
        <v>0.0637522769</v>
      </c>
      <c r="AJ1396" s="1">
        <v>26.174863388</v>
      </c>
      <c r="AK1396" s="1">
        <v>71.038251366</v>
      </c>
      <c r="AL1396" s="1">
        <v>6.8955341334</v>
      </c>
      <c r="AM1396" s="1">
        <v>50.58287796</v>
      </c>
      <c r="AN1396" s="1">
        <v>59.102667023</v>
      </c>
      <c r="AO1396" s="1">
        <v>26273.0</v>
      </c>
      <c r="AP1396" s="1">
        <v>11.7</v>
      </c>
      <c r="AQ1396" s="1">
        <v>2.7</v>
      </c>
      <c r="AR1396" s="1">
        <v>15.1</v>
      </c>
      <c r="AS1396" s="1">
        <v>19.2</v>
      </c>
      <c r="AT1396" s="1">
        <v>24.3</v>
      </c>
      <c r="AU1396" s="1">
        <v>10.4</v>
      </c>
      <c r="AV1396" s="1">
        <v>25.2</v>
      </c>
      <c r="AW1396" s="1">
        <v>5.1</v>
      </c>
      <c r="AX1396" s="1">
        <v>0.34</v>
      </c>
      <c r="AY1396" s="1">
        <v>10.1</v>
      </c>
      <c r="AZ1396" s="1">
        <v>8.5</v>
      </c>
      <c r="BA1396" s="1">
        <v>14.1</v>
      </c>
      <c r="BB1396" s="1">
        <v>3.03</v>
      </c>
      <c r="BC1396" s="1" t="s">
        <v>2289</v>
      </c>
      <c r="BD1396" s="1">
        <v>15.5</v>
      </c>
      <c r="BE1396" s="1">
        <v>41.3</v>
      </c>
      <c r="BF1396" s="1">
        <v>27.7</v>
      </c>
      <c r="BG1396" s="1">
        <v>15.5</v>
      </c>
      <c r="BH1396" s="1" t="s">
        <v>2428</v>
      </c>
    </row>
    <row r="1397">
      <c r="A1397" s="1">
        <v>27167.0</v>
      </c>
      <c r="B1397" s="2" t="str">
        <f>IFERROR(__xludf.DUMMYFUNCTION("TO_TEXT(A1397)"),"27167")</f>
        <v>27167</v>
      </c>
      <c r="C1397" s="1">
        <v>6479.0</v>
      </c>
      <c r="D1397" s="1">
        <v>750.983269984978</v>
      </c>
      <c r="E1397" s="1" t="s">
        <v>2429</v>
      </c>
      <c r="F1397" s="1" t="s">
        <v>2430</v>
      </c>
      <c r="G1397" s="1">
        <v>8.62735597309591</v>
      </c>
      <c r="H1397" s="1">
        <v>11.634221834</v>
      </c>
      <c r="I1397" s="1">
        <v>3.0867032574</v>
      </c>
      <c r="J1397" s="1">
        <v>5.905511811</v>
      </c>
      <c r="K1397" s="1">
        <v>14.77916831</v>
      </c>
      <c r="L1397" s="1">
        <v>29.8</v>
      </c>
      <c r="M1397" s="1">
        <v>8.5</v>
      </c>
      <c r="N1397" s="1">
        <v>31.6</v>
      </c>
      <c r="O1397" s="1">
        <v>62.135036496</v>
      </c>
      <c r="P1397" s="1">
        <v>4.6401887534</v>
      </c>
      <c r="Q1397" s="1">
        <v>48.31939</v>
      </c>
      <c r="R1397" s="1">
        <v>94.44</v>
      </c>
      <c r="S1397" s="1">
        <v>13.6</v>
      </c>
      <c r="T1397" s="1">
        <v>1376.0</v>
      </c>
      <c r="U1397" s="1">
        <v>27.398255814</v>
      </c>
      <c r="V1397" s="1">
        <v>100.65814944</v>
      </c>
      <c r="W1397" s="1">
        <v>9.2334494774</v>
      </c>
      <c r="X1397" s="1">
        <v>8.00139762399999</v>
      </c>
      <c r="Y1397" s="1">
        <v>77.940083574</v>
      </c>
      <c r="Z1397" s="1">
        <v>14.8</v>
      </c>
      <c r="AA1397" s="1">
        <v>6.09539562309999</v>
      </c>
      <c r="AB1397" s="1">
        <v>61387.0</v>
      </c>
      <c r="AC1397" s="1">
        <v>40.84761046</v>
      </c>
      <c r="AD1397" s="1">
        <v>79.157820241</v>
      </c>
      <c r="AE1397" s="1">
        <v>6.6399124407</v>
      </c>
      <c r="AF1397" s="1">
        <v>0.6236008954</v>
      </c>
      <c r="AG1397" s="1">
        <v>1.8068436201</v>
      </c>
      <c r="AH1397" s="1">
        <v>0.4317236968</v>
      </c>
      <c r="AI1397" s="1">
        <v>0.0</v>
      </c>
      <c r="AJ1397" s="1">
        <v>3.1020147106</v>
      </c>
      <c r="AK1397" s="1">
        <v>92.900543652</v>
      </c>
      <c r="AL1397" s="1">
        <v>0.0</v>
      </c>
      <c r="AM1397" s="1">
        <v>48.3850335789999</v>
      </c>
      <c r="AN1397" s="1">
        <v>50.1368613139999</v>
      </c>
      <c r="AO1397" s="1">
        <v>27814.0</v>
      </c>
      <c r="AP1397" s="1">
        <v>9.2</v>
      </c>
      <c r="AQ1397" s="1">
        <v>2.0</v>
      </c>
      <c r="AR1397" s="1">
        <v>7.7</v>
      </c>
      <c r="AS1397" s="1">
        <v>18.6</v>
      </c>
      <c r="AT1397" s="1">
        <v>23.1</v>
      </c>
      <c r="AU1397" s="1">
        <v>14.5</v>
      </c>
      <c r="AV1397" s="1">
        <v>5.7</v>
      </c>
      <c r="AW1397" s="1">
        <v>0.0</v>
      </c>
      <c r="AX1397" s="1">
        <v>0.1748</v>
      </c>
      <c r="AY1397" s="1">
        <v>9.1</v>
      </c>
      <c r="AZ1397" s="1">
        <v>8.6</v>
      </c>
      <c r="BA1397" s="1">
        <v>14.2</v>
      </c>
      <c r="BB1397" s="1">
        <v>3.18</v>
      </c>
      <c r="BC1397" s="1" t="s">
        <v>2289</v>
      </c>
      <c r="BD1397" s="1">
        <v>5.1</v>
      </c>
      <c r="BE1397" s="1">
        <v>28.7</v>
      </c>
      <c r="BF1397" s="1">
        <v>42.4</v>
      </c>
      <c r="BG1397" s="1">
        <v>23.8</v>
      </c>
      <c r="BH1397" s="1" t="s">
        <v>2430</v>
      </c>
    </row>
    <row r="1398">
      <c r="A1398" s="1">
        <v>27169.0</v>
      </c>
      <c r="B1398" s="2" t="str">
        <f>IFERROR(__xludf.DUMMYFUNCTION("TO_TEXT(A1398)"),"27169")</f>
        <v>27169</v>
      </c>
      <c r="C1398" s="1">
        <v>51145.0</v>
      </c>
      <c r="D1398" s="1">
        <v>626.090829017838</v>
      </c>
      <c r="E1398" s="1" t="s">
        <v>2431</v>
      </c>
      <c r="F1398" s="1" t="s">
        <v>2432</v>
      </c>
      <c r="G1398" s="1">
        <v>81.689425287114</v>
      </c>
      <c r="H1398" s="1">
        <v>13.026178993</v>
      </c>
      <c r="I1398" s="1">
        <v>3.4690100592</v>
      </c>
      <c r="J1398" s="1">
        <v>6.2989752863</v>
      </c>
      <c r="K1398" s="1">
        <v>14.940194313</v>
      </c>
      <c r="L1398" s="1">
        <v>29.5</v>
      </c>
      <c r="M1398" s="1">
        <v>8.4</v>
      </c>
      <c r="N1398" s="1">
        <v>25.2</v>
      </c>
      <c r="O1398" s="1">
        <v>96.37589631</v>
      </c>
      <c r="P1398" s="1">
        <v>5.6100945724</v>
      </c>
      <c r="Q1398" s="1">
        <v>41.27926</v>
      </c>
      <c r="R1398" s="1">
        <v>83.47</v>
      </c>
      <c r="S1398" s="1">
        <v>11.1</v>
      </c>
      <c r="T1398" s="1">
        <v>9149.0</v>
      </c>
      <c r="U1398" s="1">
        <v>23.674718548</v>
      </c>
      <c r="V1398" s="1">
        <v>95.104566</v>
      </c>
      <c r="W1398" s="1">
        <v>14.9109014679999</v>
      </c>
      <c r="X1398" s="1">
        <v>11.936758893</v>
      </c>
      <c r="Y1398" s="1">
        <v>80.482114012</v>
      </c>
      <c r="Z1398" s="1">
        <v>8.4</v>
      </c>
      <c r="AA1398" s="1">
        <v>4.0715079391</v>
      </c>
      <c r="AB1398" s="1">
        <v>56076.0</v>
      </c>
      <c r="AC1398" s="1">
        <v>36.640639878</v>
      </c>
      <c r="AD1398" s="1">
        <v>69.838585703</v>
      </c>
      <c r="AE1398" s="1">
        <v>12.1095176009999</v>
      </c>
      <c r="AF1398" s="1">
        <v>1.8160354156</v>
      </c>
      <c r="AG1398" s="1">
        <v>0.4604033448</v>
      </c>
      <c r="AH1398" s="1">
        <v>2.6896212494</v>
      </c>
      <c r="AI1398" s="1">
        <v>0.0137727496</v>
      </c>
      <c r="AJ1398" s="1">
        <v>3.0536153468</v>
      </c>
      <c r="AK1398" s="1">
        <v>90.9572060989999</v>
      </c>
      <c r="AL1398" s="1">
        <v>0.840700652699999</v>
      </c>
      <c r="AM1398" s="1">
        <v>50.549926217</v>
      </c>
      <c r="AN1398" s="1">
        <v>34.5348905</v>
      </c>
      <c r="AO1398" s="1">
        <v>25967.0</v>
      </c>
      <c r="AP1398" s="1">
        <v>13.9</v>
      </c>
      <c r="AQ1398" s="1">
        <v>5.7</v>
      </c>
      <c r="AR1398" s="1">
        <v>7.5</v>
      </c>
      <c r="AS1398" s="1">
        <v>15.0</v>
      </c>
      <c r="AT1398" s="1">
        <v>18.4</v>
      </c>
      <c r="AU1398" s="1">
        <v>11.3</v>
      </c>
      <c r="AV1398" s="1">
        <v>8.3</v>
      </c>
      <c r="AW1398" s="1">
        <v>0.8</v>
      </c>
      <c r="AX1398" s="1">
        <v>0.2324</v>
      </c>
      <c r="AY1398" s="1">
        <v>11.0</v>
      </c>
      <c r="AZ1398" s="1">
        <v>8.3</v>
      </c>
      <c r="BA1398" s="1">
        <v>12.5</v>
      </c>
      <c r="BB1398" s="1">
        <v>3.5</v>
      </c>
      <c r="BC1398" s="1" t="s">
        <v>2289</v>
      </c>
      <c r="BD1398" s="1">
        <v>6.5</v>
      </c>
      <c r="BE1398" s="1">
        <v>27.2</v>
      </c>
      <c r="BF1398" s="1">
        <v>36.2</v>
      </c>
      <c r="BG1398" s="1">
        <v>30.1</v>
      </c>
      <c r="BH1398" s="1" t="s">
        <v>2432</v>
      </c>
    </row>
    <row r="1399">
      <c r="A1399" s="1">
        <v>27171.0</v>
      </c>
      <c r="B1399" s="2" t="str">
        <f>IFERROR(__xludf.DUMMYFUNCTION("TO_TEXT(A1399)"),"27171")</f>
        <v>27171</v>
      </c>
      <c r="C1399" s="1">
        <v>129922.0</v>
      </c>
      <c r="D1399" s="1">
        <v>661.327236150963</v>
      </c>
      <c r="E1399" s="1" t="s">
        <v>1585</v>
      </c>
      <c r="F1399" s="1" t="s">
        <v>2433</v>
      </c>
      <c r="G1399" s="1">
        <v>196.456448332851</v>
      </c>
      <c r="H1399" s="1">
        <v>10.798558009</v>
      </c>
      <c r="I1399" s="1">
        <v>2.8005100745</v>
      </c>
      <c r="J1399" s="1">
        <v>5.5006031363</v>
      </c>
      <c r="K1399" s="1">
        <v>14.7115999759999</v>
      </c>
      <c r="L1399" s="1">
        <v>31.8</v>
      </c>
      <c r="M1399" s="1">
        <v>9.3</v>
      </c>
      <c r="N1399" s="1">
        <v>20.0</v>
      </c>
      <c r="O1399" s="1">
        <v>85.8163592619999</v>
      </c>
      <c r="P1399" s="1">
        <v>4.0246284501</v>
      </c>
      <c r="Q1399" s="1">
        <v>44.68076</v>
      </c>
      <c r="R1399" s="1">
        <v>89.54</v>
      </c>
      <c r="S1399" s="1">
        <v>4.7</v>
      </c>
      <c r="T1399" s="1">
        <v>37160.0</v>
      </c>
      <c r="U1399" s="1">
        <v>19.120021529</v>
      </c>
      <c r="V1399" s="1">
        <v>75.969276345</v>
      </c>
      <c r="W1399" s="1">
        <v>10.057753078</v>
      </c>
      <c r="X1399" s="1">
        <v>8.1255468066</v>
      </c>
      <c r="Y1399" s="1">
        <v>81.325115129</v>
      </c>
      <c r="Z1399" s="1">
        <v>7.0</v>
      </c>
      <c r="AA1399" s="1">
        <v>2.1683298292</v>
      </c>
      <c r="AB1399" s="1">
        <v>87377.0</v>
      </c>
      <c r="AC1399" s="1">
        <v>20.392655881</v>
      </c>
      <c r="AD1399" s="1">
        <v>81.666172798</v>
      </c>
      <c r="AE1399" s="1">
        <v>8.2797479516</v>
      </c>
      <c r="AF1399" s="1">
        <v>1.5042281205</v>
      </c>
      <c r="AG1399" s="1">
        <v>0.4444477041</v>
      </c>
      <c r="AH1399" s="1">
        <v>1.3362767604</v>
      </c>
      <c r="AI1399" s="1">
        <v>0.0462049593</v>
      </c>
      <c r="AJ1399" s="1">
        <v>3.0744633257</v>
      </c>
      <c r="AK1399" s="1">
        <v>92.096751718</v>
      </c>
      <c r="AL1399" s="1">
        <v>0.55559611</v>
      </c>
      <c r="AM1399" s="1">
        <v>49.506046982</v>
      </c>
      <c r="AN1399" s="1">
        <v>32.507618284</v>
      </c>
      <c r="AO1399" s="1">
        <v>31154.0</v>
      </c>
      <c r="AP1399" s="1">
        <v>5.6</v>
      </c>
      <c r="AQ1399" s="1">
        <v>4.4</v>
      </c>
      <c r="AR1399" s="1">
        <v>5.8</v>
      </c>
      <c r="AS1399" s="1">
        <v>11.2</v>
      </c>
      <c r="AT1399" s="1">
        <v>28.8</v>
      </c>
      <c r="AU1399" s="1">
        <v>8.2</v>
      </c>
      <c r="AV1399" s="1">
        <v>6.9</v>
      </c>
      <c r="AW1399" s="1">
        <v>0.5</v>
      </c>
      <c r="AX1399" s="1">
        <v>0.0758</v>
      </c>
      <c r="AY1399" s="1">
        <v>5.2</v>
      </c>
      <c r="AZ1399" s="1">
        <v>5.4</v>
      </c>
      <c r="BA1399" s="1">
        <v>9.4</v>
      </c>
      <c r="BB1399" s="1">
        <v>3.44</v>
      </c>
      <c r="BC1399" s="1" t="s">
        <v>2289</v>
      </c>
      <c r="BD1399" s="1">
        <v>5.1</v>
      </c>
      <c r="BE1399" s="1">
        <v>29.4</v>
      </c>
      <c r="BF1399" s="1">
        <v>36.0</v>
      </c>
      <c r="BG1399" s="1">
        <v>29.6</v>
      </c>
      <c r="BH1399" s="1" t="s">
        <v>2433</v>
      </c>
    </row>
    <row r="1400">
      <c r="A1400" s="1">
        <v>27173.0</v>
      </c>
      <c r="B1400" s="2" t="str">
        <f>IFERROR(__xludf.DUMMYFUNCTION("TO_TEXT(A1400)"),"27173")</f>
        <v>27173</v>
      </c>
      <c r="C1400" s="1">
        <v>10038.0</v>
      </c>
      <c r="D1400" s="1">
        <v>759.10084484294</v>
      </c>
      <c r="E1400" s="1" t="s">
        <v>2434</v>
      </c>
      <c r="F1400" s="1" t="s">
        <v>2435</v>
      </c>
      <c r="G1400" s="1">
        <v>13.223539491748</v>
      </c>
      <c r="H1400" s="1">
        <v>13.4154333659999</v>
      </c>
      <c r="I1400" s="1">
        <v>3.2133699677</v>
      </c>
      <c r="J1400" s="1">
        <v>6.1500615006</v>
      </c>
      <c r="K1400" s="1">
        <v>15.163888421</v>
      </c>
      <c r="L1400" s="1">
        <v>35.3</v>
      </c>
      <c r="M1400" s="1">
        <v>8.3</v>
      </c>
      <c r="N1400" s="1">
        <v>28.9</v>
      </c>
      <c r="O1400" s="1">
        <v>58.344510443</v>
      </c>
      <c r="P1400" s="1">
        <v>6.08116758419999</v>
      </c>
      <c r="Q1400" s="1">
        <v>81.07834</v>
      </c>
      <c r="R1400" s="1">
        <v>95.93</v>
      </c>
      <c r="S1400" s="1">
        <v>15.0</v>
      </c>
      <c r="T1400" s="1">
        <v>2264.0</v>
      </c>
      <c r="U1400" s="1">
        <v>29.902826855</v>
      </c>
      <c r="V1400" s="1">
        <v>120.94335819</v>
      </c>
      <c r="W1400" s="1">
        <v>9.5808383234</v>
      </c>
      <c r="X1400" s="1">
        <v>8.2771896054</v>
      </c>
      <c r="Y1400" s="1">
        <v>80.9190868239999</v>
      </c>
      <c r="Z1400" s="1">
        <v>12.0</v>
      </c>
      <c r="AA1400" s="1">
        <v>7.92480003279999</v>
      </c>
      <c r="AB1400" s="1">
        <v>56528.0</v>
      </c>
      <c r="AC1400" s="1">
        <v>39.959155888</v>
      </c>
      <c r="AD1400" s="1">
        <v>77.959183673</v>
      </c>
      <c r="AE1400" s="1">
        <v>9.7896845268</v>
      </c>
      <c r="AF1400" s="1">
        <v>0.5819295559</v>
      </c>
      <c r="AG1400" s="1">
        <v>3.9509954058</v>
      </c>
      <c r="AH1400" s="1">
        <v>0.6329760082</v>
      </c>
      <c r="AI1400" s="1">
        <v>0.0816743236</v>
      </c>
      <c r="AJ1400" s="1">
        <v>5.1148545176</v>
      </c>
      <c r="AK1400" s="1">
        <v>88.820826953</v>
      </c>
      <c r="AL1400" s="1">
        <v>0.778294238499999</v>
      </c>
      <c r="AM1400" s="1">
        <v>49.484430832</v>
      </c>
      <c r="AN1400" s="1">
        <v>80.820080475</v>
      </c>
      <c r="AO1400" s="1">
        <v>27686.0</v>
      </c>
      <c r="AP1400" s="1">
        <v>11.3</v>
      </c>
      <c r="AQ1400" s="1">
        <v>3.1</v>
      </c>
      <c r="AR1400" s="1">
        <v>9.4</v>
      </c>
      <c r="AS1400" s="1">
        <v>20.2</v>
      </c>
      <c r="AT1400" s="1">
        <v>23.2</v>
      </c>
      <c r="AU1400" s="1">
        <v>12.2</v>
      </c>
      <c r="AV1400" s="1">
        <v>9.4</v>
      </c>
      <c r="AW1400" s="1">
        <v>0.7</v>
      </c>
      <c r="AX1400" s="1">
        <v>0.2101</v>
      </c>
      <c r="AY1400" s="1">
        <v>9.6</v>
      </c>
      <c r="AZ1400" s="1">
        <v>9.3</v>
      </c>
      <c r="BA1400" s="1">
        <v>15.0</v>
      </c>
      <c r="BB1400" s="1">
        <v>3.15</v>
      </c>
      <c r="BC1400" s="1" t="s">
        <v>2289</v>
      </c>
      <c r="BD1400" s="1">
        <v>8.7</v>
      </c>
      <c r="BE1400" s="1">
        <v>35.4</v>
      </c>
      <c r="BF1400" s="1">
        <v>38.6</v>
      </c>
      <c r="BG1400" s="1">
        <v>17.2</v>
      </c>
      <c r="BH1400" s="1" t="s">
        <v>2435</v>
      </c>
    </row>
    <row r="1401">
      <c r="A1401" s="1">
        <v>28001.0</v>
      </c>
      <c r="B1401" s="2" t="str">
        <f>IFERROR(__xludf.DUMMYFUNCTION("TO_TEXT(A1401)"),"28001")</f>
        <v>28001</v>
      </c>
      <c r="C1401" s="1">
        <v>31747.0</v>
      </c>
      <c r="D1401" s="1">
        <v>462.343348803336</v>
      </c>
      <c r="E1401" s="1" t="s">
        <v>532</v>
      </c>
      <c r="F1401" s="1" t="s">
        <v>2436</v>
      </c>
      <c r="G1401" s="1">
        <v>68.6654195029937</v>
      </c>
      <c r="H1401" s="1">
        <v>27.277446718</v>
      </c>
      <c r="I1401" s="1">
        <v>4.7889222897</v>
      </c>
      <c r="J1401" s="1">
        <v>13.24095458</v>
      </c>
      <c r="K1401" s="1">
        <v>22.2061618109999</v>
      </c>
      <c r="L1401" s="1">
        <v>35.3</v>
      </c>
      <c r="M1401" s="1">
        <v>4.9</v>
      </c>
      <c r="N1401" s="1">
        <v>31.9</v>
      </c>
      <c r="O1401" s="1">
        <v>69.0776233089999</v>
      </c>
      <c r="P1401" s="1">
        <v>14.979845776</v>
      </c>
      <c r="Q1401" s="1">
        <v>93.53933</v>
      </c>
      <c r="R1401" s="1">
        <v>80.0</v>
      </c>
      <c r="S1401" s="1">
        <v>40.4</v>
      </c>
      <c r="T1401" s="1">
        <v>6581.0</v>
      </c>
      <c r="U1401" s="1">
        <v>66.3576963989999</v>
      </c>
      <c r="V1401" s="1">
        <v>303.72295457</v>
      </c>
      <c r="W1401" s="1">
        <v>12.775140268</v>
      </c>
      <c r="X1401" s="1">
        <v>11.640729213</v>
      </c>
      <c r="Y1401" s="1">
        <v>73.335841075</v>
      </c>
      <c r="Z1401" s="1">
        <v>13.2</v>
      </c>
      <c r="AA1401" s="1">
        <v>13.33677915</v>
      </c>
      <c r="AB1401" s="1">
        <v>33392.0</v>
      </c>
      <c r="AC1401" s="1">
        <v>100.0</v>
      </c>
      <c r="AD1401" s="1">
        <v>61.74058725</v>
      </c>
      <c r="AE1401" s="1">
        <v>17.1486761709999</v>
      </c>
      <c r="AF1401" s="1">
        <v>52.37240318</v>
      </c>
      <c r="AG1401" s="1">
        <v>0.500128238</v>
      </c>
      <c r="AH1401" s="1">
        <v>0.512952039</v>
      </c>
      <c r="AI1401" s="1">
        <v>0.0256476019</v>
      </c>
      <c r="AJ1401" s="1">
        <v>11.2592972559999</v>
      </c>
      <c r="AK1401" s="1">
        <v>34.617850731</v>
      </c>
      <c r="AL1401" s="1">
        <v>5.6078550461</v>
      </c>
      <c r="AM1401" s="1">
        <v>47.906514491</v>
      </c>
      <c r="AN1401" s="1">
        <v>37.226367774</v>
      </c>
      <c r="AO1401" s="1">
        <v>18091.0</v>
      </c>
      <c r="AP1401" s="1">
        <v>30.4</v>
      </c>
      <c r="AQ1401" s="1">
        <v>10.1</v>
      </c>
      <c r="AR1401" s="1">
        <v>19.2</v>
      </c>
      <c r="AS1401" s="1">
        <v>16.8</v>
      </c>
      <c r="AT1401" s="1">
        <v>22.3</v>
      </c>
      <c r="AU1401" s="1">
        <v>15.5</v>
      </c>
      <c r="AV1401" s="1">
        <v>62.5</v>
      </c>
      <c r="AW1401" s="1">
        <v>5.5</v>
      </c>
      <c r="AX1401" s="1">
        <v>0.9828</v>
      </c>
      <c r="AY1401" s="1">
        <v>27.9</v>
      </c>
      <c r="AZ1401" s="1">
        <v>22.7</v>
      </c>
      <c r="BA1401" s="1">
        <v>31.3</v>
      </c>
      <c r="BB1401" s="1">
        <v>3.05</v>
      </c>
      <c r="BC1401" s="1" t="s">
        <v>2437</v>
      </c>
      <c r="BD1401" s="1">
        <v>22.1</v>
      </c>
      <c r="BE1401" s="1">
        <v>33.0</v>
      </c>
      <c r="BF1401" s="1">
        <v>27.4</v>
      </c>
      <c r="BG1401" s="1">
        <v>17.4</v>
      </c>
      <c r="BH1401" s="1" t="s">
        <v>2436</v>
      </c>
    </row>
    <row r="1402">
      <c r="A1402" s="1">
        <v>28003.0</v>
      </c>
      <c r="B1402" s="2" t="str">
        <f>IFERROR(__xludf.DUMMYFUNCTION("TO_TEXT(A1402)"),"28003")</f>
        <v>28003</v>
      </c>
      <c r="C1402" s="1">
        <v>37309.0</v>
      </c>
      <c r="D1402" s="1">
        <v>400.040501505936</v>
      </c>
      <c r="E1402" s="1" t="s">
        <v>2438</v>
      </c>
      <c r="F1402" s="1" t="s">
        <v>2439</v>
      </c>
      <c r="G1402" s="1">
        <v>93.2630567643821</v>
      </c>
      <c r="H1402" s="1">
        <v>22.494803544</v>
      </c>
      <c r="I1402" s="1">
        <v>4.63000479</v>
      </c>
      <c r="J1402" s="1">
        <v>11.388250738</v>
      </c>
      <c r="K1402" s="1">
        <v>19.024841559</v>
      </c>
      <c r="L1402" s="1">
        <v>35.3</v>
      </c>
      <c r="M1402" s="1">
        <v>7.5</v>
      </c>
      <c r="N1402" s="1">
        <v>35.1</v>
      </c>
      <c r="O1402" s="1">
        <v>31.370591251</v>
      </c>
      <c r="P1402" s="1">
        <v>14.3975903609999</v>
      </c>
      <c r="Q1402" s="1">
        <v>34.93684</v>
      </c>
      <c r="R1402" s="1">
        <v>87.817839196</v>
      </c>
      <c r="S1402" s="1">
        <v>23.4</v>
      </c>
      <c r="T1402" s="1">
        <v>8582.0</v>
      </c>
      <c r="U1402" s="1">
        <v>29.631787462</v>
      </c>
      <c r="V1402" s="1">
        <v>204.509002055</v>
      </c>
      <c r="W1402" s="1">
        <v>13.468697124</v>
      </c>
      <c r="X1402" s="1">
        <v>9.825282631</v>
      </c>
      <c r="Y1402" s="1">
        <v>73.48553847</v>
      </c>
      <c r="Z1402" s="1">
        <v>18.6</v>
      </c>
      <c r="AA1402" s="1">
        <v>4.6791539563</v>
      </c>
      <c r="AB1402" s="1">
        <v>40010.0</v>
      </c>
      <c r="AC1402" s="1">
        <v>61.944491742</v>
      </c>
      <c r="AD1402" s="1">
        <v>71.066059854</v>
      </c>
      <c r="AE1402" s="1">
        <v>8.7887200468</v>
      </c>
      <c r="AF1402" s="1">
        <v>12.178740691</v>
      </c>
      <c r="AG1402" s="1">
        <v>0.4333107651</v>
      </c>
      <c r="AH1402" s="1">
        <v>0.4008124577</v>
      </c>
      <c r="AI1402" s="1">
        <v>0.0324983074</v>
      </c>
      <c r="AJ1402" s="1">
        <v>3.3662830061</v>
      </c>
      <c r="AK1402" s="1">
        <v>82.678402167</v>
      </c>
      <c r="AL1402" s="1">
        <v>0.9231558253</v>
      </c>
      <c r="AM1402" s="1">
        <v>51.187542316</v>
      </c>
      <c r="AN1402" s="1">
        <v>66.35183636</v>
      </c>
      <c r="AO1402" s="1">
        <v>20006.0</v>
      </c>
      <c r="AP1402" s="1">
        <v>19.9</v>
      </c>
      <c r="AQ1402" s="1">
        <v>7.7</v>
      </c>
      <c r="AR1402" s="1">
        <v>18.6</v>
      </c>
      <c r="AS1402" s="1">
        <v>17.0</v>
      </c>
      <c r="AT1402" s="1">
        <v>23.9</v>
      </c>
      <c r="AU1402" s="1">
        <v>19.9</v>
      </c>
      <c r="AV1402" s="1">
        <v>16.7</v>
      </c>
      <c r="AW1402" s="1">
        <v>1.2</v>
      </c>
      <c r="AX1402" s="1">
        <v>0.7517</v>
      </c>
      <c r="AY1402" s="1">
        <v>17.3</v>
      </c>
      <c r="AZ1402" s="1">
        <v>16.8</v>
      </c>
      <c r="BA1402" s="1">
        <v>19.3</v>
      </c>
      <c r="BB1402" s="1">
        <v>2.73</v>
      </c>
      <c r="BC1402" s="1" t="s">
        <v>2437</v>
      </c>
      <c r="BD1402" s="1">
        <v>18.7</v>
      </c>
      <c r="BE1402" s="1">
        <v>32.2</v>
      </c>
      <c r="BF1402" s="1">
        <v>32.0</v>
      </c>
      <c r="BG1402" s="1">
        <v>17.1</v>
      </c>
      <c r="BH1402" s="1" t="s">
        <v>2439</v>
      </c>
    </row>
    <row r="1403">
      <c r="A1403" s="1">
        <v>28005.0</v>
      </c>
      <c r="B1403" s="2" t="str">
        <f>IFERROR(__xludf.DUMMYFUNCTION("TO_TEXT(A1403)"),"28005")</f>
        <v>28005</v>
      </c>
      <c r="C1403" s="1">
        <v>12692.0</v>
      </c>
      <c r="D1403" s="1">
        <v>730.099912036535</v>
      </c>
      <c r="E1403" s="1" t="s">
        <v>2440</v>
      </c>
      <c r="F1403" s="1" t="s">
        <v>2441</v>
      </c>
      <c r="G1403" s="1">
        <v>17.3839221053965</v>
      </c>
      <c r="H1403" s="1">
        <v>24.682269669</v>
      </c>
      <c r="I1403" s="1">
        <v>4.5925315492</v>
      </c>
      <c r="J1403" s="1">
        <v>12.1651785709999</v>
      </c>
      <c r="K1403" s="1">
        <v>18.693335466</v>
      </c>
      <c r="L1403" s="1">
        <v>39.9</v>
      </c>
      <c r="M1403" s="1">
        <v>6.3</v>
      </c>
      <c r="N1403" s="1">
        <v>37.0</v>
      </c>
      <c r="O1403" s="1">
        <v>26.936257711</v>
      </c>
      <c r="P1403" s="1">
        <v>18.367346939</v>
      </c>
      <c r="Q1403" s="1">
        <v>24.10219</v>
      </c>
      <c r="R1403" s="1">
        <v>89.912280702</v>
      </c>
      <c r="S1403" s="1">
        <v>32.9</v>
      </c>
      <c r="T1403" s="1">
        <v>2592.0</v>
      </c>
      <c r="U1403" s="1">
        <v>40.007716049</v>
      </c>
      <c r="V1403" s="1">
        <v>204.509002055</v>
      </c>
      <c r="W1403" s="1">
        <v>11.503531786</v>
      </c>
      <c r="X1403" s="1">
        <v>9.351184346</v>
      </c>
      <c r="Y1403" s="1">
        <v>76.851184729</v>
      </c>
      <c r="Z1403" s="1">
        <v>15.2</v>
      </c>
      <c r="AA1403" s="1">
        <v>8.9349608123</v>
      </c>
      <c r="AB1403" s="1">
        <v>38092.0</v>
      </c>
      <c r="AC1403" s="1">
        <v>100.0</v>
      </c>
      <c r="AD1403" s="1">
        <v>85.048970618</v>
      </c>
      <c r="AE1403" s="1">
        <v>9.0768551237</v>
      </c>
      <c r="AF1403" s="1">
        <v>40.199578128</v>
      </c>
      <c r="AG1403" s="1">
        <v>0.348856076599999</v>
      </c>
      <c r="AH1403" s="1">
        <v>0.1460327762</v>
      </c>
      <c r="AI1403" s="1">
        <v>0.024338796</v>
      </c>
      <c r="AJ1403" s="1">
        <v>1.3629725783</v>
      </c>
      <c r="AK1403" s="1">
        <v>57.29352588</v>
      </c>
      <c r="AL1403" s="1">
        <v>0.1613040156</v>
      </c>
      <c r="AM1403" s="1">
        <v>51.590134675</v>
      </c>
      <c r="AN1403" s="1">
        <v>100.0</v>
      </c>
      <c r="AO1403" s="1">
        <v>17954.0</v>
      </c>
      <c r="AP1403" s="1">
        <v>28.0</v>
      </c>
      <c r="AQ1403" s="1">
        <v>10.6</v>
      </c>
      <c r="AR1403" s="1">
        <v>23.4</v>
      </c>
      <c r="AS1403" s="1">
        <v>20.9</v>
      </c>
      <c r="AT1403" s="1">
        <v>21.4</v>
      </c>
      <c r="AU1403" s="1">
        <v>21.6</v>
      </c>
      <c r="AV1403" s="1">
        <v>42.6</v>
      </c>
      <c r="AW1403" s="1">
        <v>0.0</v>
      </c>
      <c r="AX1403" s="1">
        <v>0.7195</v>
      </c>
      <c r="AY1403" s="1">
        <v>20.9</v>
      </c>
      <c r="AZ1403" s="1">
        <v>19.3</v>
      </c>
      <c r="BA1403" s="1">
        <v>24.6</v>
      </c>
      <c r="BB1403" s="1">
        <v>3.15</v>
      </c>
      <c r="BC1403" s="1" t="s">
        <v>2437</v>
      </c>
      <c r="BD1403" s="1">
        <v>18.1</v>
      </c>
      <c r="BE1403" s="1">
        <v>39.3</v>
      </c>
      <c r="BF1403" s="1">
        <v>30.0</v>
      </c>
      <c r="BG1403" s="1">
        <v>12.6</v>
      </c>
      <c r="BH1403" s="1" t="s">
        <v>2441</v>
      </c>
    </row>
    <row r="1404">
      <c r="A1404" s="1">
        <v>28007.0</v>
      </c>
      <c r="B1404" s="2" t="str">
        <f>IFERROR(__xludf.DUMMYFUNCTION("TO_TEXT(A1404)"),"28007")</f>
        <v>28007</v>
      </c>
      <c r="C1404" s="1">
        <v>19085.0</v>
      </c>
      <c r="D1404" s="1">
        <v>734.981635144756</v>
      </c>
      <c r="E1404" s="1" t="s">
        <v>2442</v>
      </c>
      <c r="F1404" s="1" t="s">
        <v>2443</v>
      </c>
      <c r="G1404" s="1">
        <v>25.9666352020363</v>
      </c>
      <c r="H1404" s="1">
        <v>24.11024276</v>
      </c>
      <c r="I1404" s="1">
        <v>4.5255113107</v>
      </c>
      <c r="J1404" s="1">
        <v>13.631022327</v>
      </c>
      <c r="K1404" s="1">
        <v>19.384917098</v>
      </c>
      <c r="L1404" s="1">
        <v>37.3</v>
      </c>
      <c r="M1404" s="1">
        <v>5.9</v>
      </c>
      <c r="N1404" s="1">
        <v>30.3</v>
      </c>
      <c r="O1404" s="1">
        <v>33.152729503</v>
      </c>
      <c r="P1404" s="1">
        <v>14.450944792</v>
      </c>
      <c r="Q1404" s="1">
        <v>48.70921</v>
      </c>
      <c r="R1404" s="1">
        <v>82.5</v>
      </c>
      <c r="S1404" s="1">
        <v>32.6</v>
      </c>
      <c r="T1404" s="1">
        <v>4710.0</v>
      </c>
      <c r="U1404" s="1">
        <v>43.736730361</v>
      </c>
      <c r="V1404" s="1">
        <v>204.509002055</v>
      </c>
      <c r="W1404" s="1">
        <v>16.850068776</v>
      </c>
      <c r="X1404" s="1">
        <v>12.4214933709999</v>
      </c>
      <c r="Y1404" s="1">
        <v>73.8154985789999</v>
      </c>
      <c r="Z1404" s="1">
        <v>19.7</v>
      </c>
      <c r="AA1404" s="1">
        <v>11.513572263</v>
      </c>
      <c r="AB1404" s="1">
        <v>36761.0</v>
      </c>
      <c r="AC1404" s="1">
        <v>76.1560693639999</v>
      </c>
      <c r="AD1404" s="1">
        <v>70.781315753</v>
      </c>
      <c r="AE1404" s="1">
        <v>12.361427487</v>
      </c>
      <c r="AF1404" s="1">
        <v>43.07650422</v>
      </c>
      <c r="AG1404" s="1">
        <v>0.3430438334</v>
      </c>
      <c r="AH1404" s="1">
        <v>0.3866049551</v>
      </c>
      <c r="AI1404" s="1">
        <v>0.0217805608</v>
      </c>
      <c r="AJ1404" s="1">
        <v>2.1453852437</v>
      </c>
      <c r="AK1404" s="1">
        <v>53.4440511839999</v>
      </c>
      <c r="AL1404" s="1">
        <v>0.3569577984</v>
      </c>
      <c r="AM1404" s="1">
        <v>52.638170433</v>
      </c>
      <c r="AN1404" s="1">
        <v>64.306890207</v>
      </c>
      <c r="AO1404" s="1">
        <v>20283.0</v>
      </c>
      <c r="AP1404" s="1">
        <v>24.4</v>
      </c>
      <c r="AQ1404" s="1">
        <v>11.4</v>
      </c>
      <c r="AR1404" s="1">
        <v>23.1</v>
      </c>
      <c r="AS1404" s="1">
        <v>19.1</v>
      </c>
      <c r="AT1404" s="1">
        <v>25.5</v>
      </c>
      <c r="AU1404" s="1">
        <v>19.4</v>
      </c>
      <c r="AV1404" s="1">
        <v>45.4</v>
      </c>
      <c r="AW1404" s="1">
        <v>0.1</v>
      </c>
      <c r="AX1404" s="1">
        <v>0.9618</v>
      </c>
      <c r="AY1404" s="1">
        <v>24.1</v>
      </c>
      <c r="AZ1404" s="1">
        <v>20.2</v>
      </c>
      <c r="BA1404" s="1">
        <v>24.7</v>
      </c>
      <c r="BB1404" s="1">
        <v>3.17</v>
      </c>
      <c r="BC1404" s="1" t="s">
        <v>2437</v>
      </c>
      <c r="BD1404" s="1">
        <v>22.4</v>
      </c>
      <c r="BE1404" s="1">
        <v>32.4</v>
      </c>
      <c r="BF1404" s="1">
        <v>31.2</v>
      </c>
      <c r="BG1404" s="1">
        <v>13.9</v>
      </c>
      <c r="BH1404" s="1" t="s">
        <v>2443</v>
      </c>
    </row>
    <row r="1405">
      <c r="A1405" s="1">
        <v>28009.0</v>
      </c>
      <c r="B1405" s="2" t="str">
        <f>IFERROR(__xludf.DUMMYFUNCTION("TO_TEXT(A1405)"),"28009")</f>
        <v>28009</v>
      </c>
      <c r="C1405" s="1">
        <v>8378.0</v>
      </c>
      <c r="D1405" s="1">
        <v>406.616139416698</v>
      </c>
      <c r="E1405" s="1" t="s">
        <v>291</v>
      </c>
      <c r="F1405" s="1" t="s">
        <v>2444</v>
      </c>
      <c r="G1405" s="1">
        <v>20.6041993611431</v>
      </c>
      <c r="H1405" s="1">
        <v>21.6131857719999</v>
      </c>
      <c r="I1405" s="1">
        <v>4.4462796027</v>
      </c>
      <c r="J1405" s="1">
        <v>12.030075188</v>
      </c>
      <c r="K1405" s="1">
        <v>18.33024885</v>
      </c>
      <c r="L1405" s="1">
        <v>39.9</v>
      </c>
      <c r="M1405" s="1">
        <v>5.5</v>
      </c>
      <c r="N1405" s="1">
        <v>24.9</v>
      </c>
      <c r="O1405" s="1">
        <v>79.745675335</v>
      </c>
      <c r="P1405" s="1">
        <v>15.594951923</v>
      </c>
      <c r="Q1405" s="1">
        <v>48.31939</v>
      </c>
      <c r="R1405" s="1">
        <v>77.5</v>
      </c>
      <c r="S1405" s="1">
        <v>32.8</v>
      </c>
      <c r="T1405" s="1">
        <v>1800.0</v>
      </c>
      <c r="U1405" s="1">
        <v>34.444444444</v>
      </c>
      <c r="V1405" s="1">
        <v>204.509002055</v>
      </c>
      <c r="W1405" s="1">
        <v>12.0</v>
      </c>
      <c r="X1405" s="1">
        <v>10.627062706</v>
      </c>
      <c r="Y1405" s="1">
        <v>72.953059035</v>
      </c>
      <c r="Z1405" s="1">
        <v>19.9</v>
      </c>
      <c r="AA1405" s="1">
        <v>21.550232336</v>
      </c>
      <c r="AB1405" s="1">
        <v>35184.0</v>
      </c>
      <c r="AC1405" s="1">
        <v>80.923344948</v>
      </c>
      <c r="AD1405" s="1">
        <v>83.349818661</v>
      </c>
      <c r="AE1405" s="1">
        <v>12.75261324</v>
      </c>
      <c r="AF1405" s="1">
        <v>35.062265748</v>
      </c>
      <c r="AG1405" s="1">
        <v>0.4231652763</v>
      </c>
      <c r="AH1405" s="1">
        <v>0.0846330553</v>
      </c>
      <c r="AI1405" s="1">
        <v>0.0362713094</v>
      </c>
      <c r="AJ1405" s="1">
        <v>2.7687099504</v>
      </c>
      <c r="AK1405" s="1">
        <v>60.50054407</v>
      </c>
      <c r="AL1405" s="1">
        <v>0.741392309599999</v>
      </c>
      <c r="AM1405" s="1">
        <v>50.4292104939999</v>
      </c>
      <c r="AN1405" s="1">
        <v>100.0</v>
      </c>
      <c r="AO1405" s="1">
        <v>20261.0</v>
      </c>
      <c r="AP1405" s="1">
        <v>22.7</v>
      </c>
      <c r="AQ1405" s="1">
        <v>13.8</v>
      </c>
      <c r="AR1405" s="1">
        <v>23.8</v>
      </c>
      <c r="AS1405" s="1">
        <v>17.4</v>
      </c>
      <c r="AT1405" s="1">
        <v>23.1</v>
      </c>
      <c r="AU1405" s="1">
        <v>18.6</v>
      </c>
      <c r="AV1405" s="1">
        <v>39.8</v>
      </c>
      <c r="AW1405" s="1">
        <v>0.4</v>
      </c>
      <c r="AX1405" s="1">
        <v>0.6587</v>
      </c>
      <c r="AY1405" s="1">
        <v>20.7</v>
      </c>
      <c r="AZ1405" s="1">
        <v>18.6</v>
      </c>
      <c r="BA1405" s="1">
        <v>20.5</v>
      </c>
      <c r="BB1405" s="1">
        <v>2.99</v>
      </c>
      <c r="BC1405" s="1" t="s">
        <v>2437</v>
      </c>
      <c r="BD1405" s="1">
        <v>27.4</v>
      </c>
      <c r="BE1405" s="1">
        <v>33.4</v>
      </c>
      <c r="BF1405" s="1">
        <v>27.7</v>
      </c>
      <c r="BG1405" s="1">
        <v>11.5</v>
      </c>
      <c r="BH1405" s="1" t="s">
        <v>2444</v>
      </c>
    </row>
    <row r="1406">
      <c r="A1406" s="1">
        <v>28011.0</v>
      </c>
      <c r="B1406" s="2" t="str">
        <f>IFERROR(__xludf.DUMMYFUNCTION("TO_TEXT(A1406)"),"28011")</f>
        <v>28011</v>
      </c>
      <c r="C1406" s="1">
        <v>33615.0</v>
      </c>
      <c r="D1406" s="1">
        <v>876.573080662478</v>
      </c>
      <c r="E1406" s="1" t="s">
        <v>2445</v>
      </c>
      <c r="F1406" s="1" t="s">
        <v>2446</v>
      </c>
      <c r="G1406" s="1">
        <v>38.3482002146302</v>
      </c>
      <c r="H1406" s="1">
        <v>27.931093414</v>
      </c>
      <c r="I1406" s="1">
        <v>5.1424728594</v>
      </c>
      <c r="J1406" s="1">
        <v>13.301233825</v>
      </c>
      <c r="K1406" s="1">
        <v>24.746814416</v>
      </c>
      <c r="L1406" s="1">
        <v>39.1</v>
      </c>
      <c r="M1406" s="1">
        <v>3.4</v>
      </c>
      <c r="N1406" s="1">
        <v>33.0</v>
      </c>
      <c r="O1406" s="1">
        <v>38.8197393469999</v>
      </c>
      <c r="P1406" s="1">
        <v>15.629723924</v>
      </c>
      <c r="Q1406" s="1">
        <v>50.08609</v>
      </c>
      <c r="R1406" s="1">
        <v>82.216824645</v>
      </c>
      <c r="S1406" s="1">
        <v>38.9</v>
      </c>
      <c r="T1406" s="1">
        <v>8067.0</v>
      </c>
      <c r="U1406" s="1">
        <v>62.749473162</v>
      </c>
      <c r="V1406" s="1">
        <v>204.509002055</v>
      </c>
      <c r="W1406" s="1">
        <v>19.841269841</v>
      </c>
      <c r="X1406" s="1">
        <v>16.550040683</v>
      </c>
      <c r="Y1406" s="1">
        <v>72.0988215019999</v>
      </c>
      <c r="Z1406" s="1">
        <v>11.5</v>
      </c>
      <c r="AA1406" s="1">
        <v>24.351599798</v>
      </c>
      <c r="AB1406" s="1">
        <v>33116.0</v>
      </c>
      <c r="AC1406" s="1">
        <v>93.754361479</v>
      </c>
      <c r="AD1406" s="1">
        <v>54.1738629819999</v>
      </c>
      <c r="AE1406" s="1">
        <v>19.6479628309999</v>
      </c>
      <c r="AF1406" s="1">
        <v>63.571952893</v>
      </c>
      <c r="AG1406" s="1">
        <v>0.1595761657</v>
      </c>
      <c r="AH1406" s="1">
        <v>0.9127756678</v>
      </c>
      <c r="AI1406" s="1">
        <v>0.0542558963</v>
      </c>
      <c r="AJ1406" s="1">
        <v>2.1925765168</v>
      </c>
      <c r="AK1406" s="1">
        <v>32.59821913</v>
      </c>
      <c r="AL1406" s="1">
        <v>0.2802228596</v>
      </c>
      <c r="AM1406" s="1">
        <v>53.540995117</v>
      </c>
      <c r="AN1406" s="1">
        <v>53.955191097</v>
      </c>
      <c r="AO1406" s="1">
        <v>16595.0</v>
      </c>
      <c r="AP1406" s="1">
        <v>37.8</v>
      </c>
      <c r="AQ1406" s="1">
        <v>14.4</v>
      </c>
      <c r="AR1406" s="1">
        <v>25.2</v>
      </c>
      <c r="AS1406" s="1">
        <v>14.0</v>
      </c>
      <c r="AT1406" s="1">
        <v>25.1</v>
      </c>
      <c r="AU1406" s="1">
        <v>16.7</v>
      </c>
      <c r="AV1406" s="1">
        <v>67.7</v>
      </c>
      <c r="AW1406" s="1">
        <v>0.5</v>
      </c>
      <c r="AX1406" s="1">
        <v>0.9895</v>
      </c>
      <c r="AY1406" s="1">
        <v>36.6</v>
      </c>
      <c r="AZ1406" s="1">
        <v>24.1</v>
      </c>
      <c r="BA1406" s="1">
        <v>28.8</v>
      </c>
      <c r="BB1406" s="1">
        <v>3.04</v>
      </c>
      <c r="BC1406" s="1" t="s">
        <v>2437</v>
      </c>
      <c r="BD1406" s="1">
        <v>22.2</v>
      </c>
      <c r="BE1406" s="1">
        <v>24.9</v>
      </c>
      <c r="BF1406" s="1">
        <v>29.4</v>
      </c>
      <c r="BG1406" s="1">
        <v>23.6</v>
      </c>
      <c r="BH1406" s="1" t="s">
        <v>2446</v>
      </c>
    </row>
    <row r="1407">
      <c r="A1407" s="1">
        <v>28013.0</v>
      </c>
      <c r="B1407" s="2" t="str">
        <f>IFERROR(__xludf.DUMMYFUNCTION("TO_TEXT(A1407)"),"28013")</f>
        <v>28013</v>
      </c>
      <c r="C1407" s="1">
        <v>14724.0</v>
      </c>
      <c r="D1407" s="1">
        <v>586.573186228604</v>
      </c>
      <c r="E1407" s="1" t="s">
        <v>74</v>
      </c>
      <c r="F1407" s="1" t="s">
        <v>2447</v>
      </c>
      <c r="G1407" s="1">
        <v>25.1017270234743</v>
      </c>
      <c r="H1407" s="1">
        <v>25.264503456</v>
      </c>
      <c r="I1407" s="1">
        <v>4.8088470928</v>
      </c>
      <c r="J1407" s="1">
        <v>12.2618061309999</v>
      </c>
      <c r="K1407" s="1">
        <v>19.887259613</v>
      </c>
      <c r="L1407" s="1">
        <v>38.3</v>
      </c>
      <c r="M1407" s="1">
        <v>6.9</v>
      </c>
      <c r="N1407" s="1">
        <v>39.4</v>
      </c>
      <c r="O1407" s="1">
        <v>37.982889988</v>
      </c>
      <c r="P1407" s="1">
        <v>18.768202844</v>
      </c>
      <c r="Q1407" s="1">
        <v>13.80072</v>
      </c>
      <c r="R1407" s="1">
        <v>87.5</v>
      </c>
      <c r="S1407" s="1">
        <v>34.2</v>
      </c>
      <c r="T1407" s="1">
        <v>3465.0</v>
      </c>
      <c r="U1407" s="1">
        <v>42.251082251</v>
      </c>
      <c r="V1407" s="1">
        <v>204.509002055</v>
      </c>
      <c r="W1407" s="1">
        <v>13.745704467</v>
      </c>
      <c r="X1407" s="1">
        <v>11.6287215409999</v>
      </c>
      <c r="Y1407" s="1">
        <v>76.0667621189999</v>
      </c>
      <c r="Z1407" s="1">
        <v>24.8</v>
      </c>
      <c r="AA1407" s="1">
        <v>4.2793525628</v>
      </c>
      <c r="AB1407" s="1">
        <v>39176.0</v>
      </c>
      <c r="AC1407" s="1">
        <v>79.105658884</v>
      </c>
      <c r="AD1407" s="1">
        <v>71.882007935</v>
      </c>
      <c r="AE1407" s="1">
        <v>11.3734307659999</v>
      </c>
      <c r="AF1407" s="1">
        <v>27.867830424</v>
      </c>
      <c r="AG1407" s="1">
        <v>0.353283458</v>
      </c>
      <c r="AH1407" s="1">
        <v>0.1523967858</v>
      </c>
      <c r="AI1407" s="1">
        <v>0.0207813799</v>
      </c>
      <c r="AJ1407" s="1">
        <v>6.2413410917</v>
      </c>
      <c r="AK1407" s="1">
        <v>64.387642006</v>
      </c>
      <c r="AL1407" s="1">
        <v>1.0509414684</v>
      </c>
      <c r="AM1407" s="1">
        <v>51.911886949</v>
      </c>
      <c r="AN1407" s="1">
        <v>100.0</v>
      </c>
      <c r="AO1407" s="1">
        <v>17203.0</v>
      </c>
      <c r="AP1407" s="1">
        <v>26.3</v>
      </c>
      <c r="AQ1407" s="1">
        <v>9.7</v>
      </c>
      <c r="AR1407" s="1">
        <v>25.4</v>
      </c>
      <c r="AS1407" s="1">
        <v>17.4</v>
      </c>
      <c r="AT1407" s="1">
        <v>24.3</v>
      </c>
      <c r="AU1407" s="1">
        <v>20.3</v>
      </c>
      <c r="AV1407" s="1">
        <v>34.6</v>
      </c>
      <c r="AW1407" s="1">
        <v>1.2</v>
      </c>
      <c r="AX1407" s="1">
        <v>0.9545</v>
      </c>
      <c r="AY1407" s="1">
        <v>17.2</v>
      </c>
      <c r="AZ1407" s="1">
        <v>19.5</v>
      </c>
      <c r="BA1407" s="1">
        <v>25.4</v>
      </c>
      <c r="BB1407" s="1">
        <v>3.1</v>
      </c>
      <c r="BC1407" s="1" t="s">
        <v>2437</v>
      </c>
      <c r="BD1407" s="1">
        <v>22.5</v>
      </c>
      <c r="BE1407" s="1">
        <v>37.3</v>
      </c>
      <c r="BF1407" s="1">
        <v>28.5</v>
      </c>
      <c r="BG1407" s="1">
        <v>11.8</v>
      </c>
      <c r="BH1407" s="1" t="s">
        <v>2447</v>
      </c>
    </row>
    <row r="1408">
      <c r="A1408" s="1">
        <v>28015.0</v>
      </c>
      <c r="B1408" s="2" t="str">
        <f>IFERROR(__xludf.DUMMYFUNCTION("TO_TEXT(A1408)"),"28015")</f>
        <v>28015</v>
      </c>
      <c r="C1408" s="1">
        <v>10301.0</v>
      </c>
      <c r="D1408" s="1">
        <v>628.242331447374</v>
      </c>
      <c r="E1408" s="1" t="s">
        <v>298</v>
      </c>
      <c r="F1408" s="1" t="s">
        <v>2448</v>
      </c>
      <c r="G1408" s="1">
        <v>16.3965391766391</v>
      </c>
      <c r="H1408" s="1">
        <v>19.075340386</v>
      </c>
      <c r="I1408" s="1">
        <v>4.1585527774</v>
      </c>
      <c r="J1408" s="1">
        <v>12.238325282</v>
      </c>
      <c r="K1408" s="1">
        <v>15.629340944</v>
      </c>
      <c r="L1408" s="1">
        <v>34.4</v>
      </c>
      <c r="M1408" s="1">
        <v>6.0</v>
      </c>
      <c r="N1408" s="1">
        <v>41.4</v>
      </c>
      <c r="O1408" s="1">
        <v>21.307917335</v>
      </c>
      <c r="P1408" s="1">
        <v>16.084754797</v>
      </c>
      <c r="Q1408" s="1">
        <v>19.72581</v>
      </c>
      <c r="R1408" s="1">
        <v>82.5</v>
      </c>
      <c r="S1408" s="1">
        <v>24.0</v>
      </c>
      <c r="T1408" s="1">
        <v>1966.0</v>
      </c>
      <c r="U1408" s="1">
        <v>28.128179044</v>
      </c>
      <c r="V1408" s="1">
        <v>204.509002055</v>
      </c>
      <c r="W1408" s="1">
        <v>15.1020408159999</v>
      </c>
      <c r="X1408" s="1">
        <v>12.309820194</v>
      </c>
      <c r="Y1408" s="1">
        <v>78.181864788</v>
      </c>
      <c r="Z1408" s="1">
        <v>22.1</v>
      </c>
      <c r="AA1408" s="1">
        <v>19.637604962</v>
      </c>
      <c r="AB1408" s="1">
        <v>42588.0</v>
      </c>
      <c r="AC1408" s="1">
        <v>90.552016985</v>
      </c>
      <c r="AD1408" s="1">
        <v>80.781848004</v>
      </c>
      <c r="AE1408" s="1">
        <v>9.4096493857</v>
      </c>
      <c r="AF1408" s="1">
        <v>32.579961659</v>
      </c>
      <c r="AG1408" s="1">
        <v>0.2421551811</v>
      </c>
      <c r="AH1408" s="1">
        <v>0.2421551811</v>
      </c>
      <c r="AI1408" s="1">
        <v>0.0201795984</v>
      </c>
      <c r="AJ1408" s="1">
        <v>1.6749066694</v>
      </c>
      <c r="AK1408" s="1">
        <v>64.3729189789999</v>
      </c>
      <c r="AL1408" s="1">
        <v>0.1240438288</v>
      </c>
      <c r="AM1408" s="1">
        <v>49.4299263439999</v>
      </c>
      <c r="AN1408" s="1">
        <v>100.0</v>
      </c>
      <c r="AO1408" s="1">
        <v>22519.0</v>
      </c>
      <c r="AP1408" s="1">
        <v>17.4</v>
      </c>
      <c r="AQ1408" s="1">
        <v>8.9</v>
      </c>
      <c r="AR1408" s="1">
        <v>19.2</v>
      </c>
      <c r="AS1408" s="1">
        <v>20.9</v>
      </c>
      <c r="AT1408" s="1">
        <v>20.0</v>
      </c>
      <c r="AU1408" s="1">
        <v>17.4</v>
      </c>
      <c r="AV1408" s="1">
        <v>35.5</v>
      </c>
      <c r="AW1408" s="1">
        <v>0.4</v>
      </c>
      <c r="AX1408" s="1">
        <v>0.5183</v>
      </c>
      <c r="AY1408" s="1">
        <v>17.2</v>
      </c>
      <c r="AZ1408" s="1">
        <v>16.5</v>
      </c>
      <c r="BA1408" s="1">
        <v>19.5</v>
      </c>
      <c r="BB1408" s="1">
        <v>3.05</v>
      </c>
      <c r="BC1408" s="1" t="s">
        <v>2437</v>
      </c>
      <c r="BD1408" s="1">
        <v>19.8</v>
      </c>
      <c r="BE1408" s="1">
        <v>35.4</v>
      </c>
      <c r="BF1408" s="1">
        <v>32.5</v>
      </c>
      <c r="BG1408" s="1">
        <v>12.2</v>
      </c>
      <c r="BH1408" s="1" t="s">
        <v>2448</v>
      </c>
    </row>
    <row r="1409">
      <c r="A1409" s="1">
        <v>28017.0</v>
      </c>
      <c r="B1409" s="2" t="str">
        <f>IFERROR(__xludf.DUMMYFUNCTION("TO_TEXT(A1409)"),"28017")</f>
        <v>28017</v>
      </c>
      <c r="C1409" s="1">
        <v>17357.0</v>
      </c>
      <c r="D1409" s="1">
        <v>501.781735662826</v>
      </c>
      <c r="E1409" s="1" t="s">
        <v>1471</v>
      </c>
      <c r="F1409" s="1" t="s">
        <v>2449</v>
      </c>
      <c r="G1409" s="1">
        <v>34.5907369009204</v>
      </c>
      <c r="H1409" s="1">
        <v>25.494221186</v>
      </c>
      <c r="I1409" s="1">
        <v>4.8110172797</v>
      </c>
      <c r="J1409" s="1">
        <v>13.188745604</v>
      </c>
      <c r="K1409" s="1">
        <v>20.808172661</v>
      </c>
      <c r="L1409" s="1">
        <v>45.3</v>
      </c>
      <c r="M1409" s="1">
        <v>6.9</v>
      </c>
      <c r="N1409" s="1">
        <v>31.7</v>
      </c>
      <c r="O1409" s="1">
        <v>22.935832567</v>
      </c>
      <c r="P1409" s="1">
        <v>17.2817936959999</v>
      </c>
      <c r="Q1409" s="1">
        <v>52.49038</v>
      </c>
      <c r="R1409" s="1">
        <v>84.1995073889999</v>
      </c>
      <c r="S1409" s="1">
        <v>27.1</v>
      </c>
      <c r="T1409" s="1">
        <v>4293.0</v>
      </c>
      <c r="U1409" s="1">
        <v>44.42115071</v>
      </c>
      <c r="V1409" s="1">
        <v>204.509002055</v>
      </c>
      <c r="W1409" s="1">
        <v>15.625</v>
      </c>
      <c r="X1409" s="1">
        <v>13.402061856</v>
      </c>
      <c r="Y1409" s="1">
        <v>74.658908017</v>
      </c>
      <c r="Z1409" s="1">
        <v>12.3</v>
      </c>
      <c r="AA1409" s="1">
        <v>2.2205306364</v>
      </c>
      <c r="AB1409" s="1">
        <v>37429.0</v>
      </c>
      <c r="AC1409" s="1">
        <v>87.846481876</v>
      </c>
      <c r="AD1409" s="1">
        <v>71.1640211639999</v>
      </c>
      <c r="AE1409" s="1">
        <v>15.3265066309999</v>
      </c>
      <c r="AF1409" s="1">
        <v>43.748180071</v>
      </c>
      <c r="AG1409" s="1">
        <v>0.3610739037</v>
      </c>
      <c r="AH1409" s="1">
        <v>0.4659018112</v>
      </c>
      <c r="AI1409" s="1">
        <v>0.0465901811</v>
      </c>
      <c r="AJ1409" s="1">
        <v>5.287985557</v>
      </c>
      <c r="AK1409" s="1">
        <v>49.175936171</v>
      </c>
      <c r="AL1409" s="1">
        <v>0.7543170625</v>
      </c>
      <c r="AM1409" s="1">
        <v>50.853182692</v>
      </c>
      <c r="AN1409" s="1">
        <v>85.297838086</v>
      </c>
      <c r="AO1409" s="1">
        <v>18514.0</v>
      </c>
      <c r="AP1409" s="1">
        <v>27.2</v>
      </c>
      <c r="AQ1409" s="1">
        <v>10.9</v>
      </c>
      <c r="AR1409" s="1">
        <v>27.1</v>
      </c>
      <c r="AS1409" s="1">
        <v>15.4</v>
      </c>
      <c r="AT1409" s="1">
        <v>25.1</v>
      </c>
      <c r="AU1409" s="1">
        <v>16.8</v>
      </c>
      <c r="AV1409" s="1">
        <v>48.9</v>
      </c>
      <c r="AW1409" s="1">
        <v>1.2</v>
      </c>
      <c r="AX1409" s="1">
        <v>0.9726</v>
      </c>
      <c r="AY1409" s="1">
        <v>22.7</v>
      </c>
      <c r="AZ1409" s="1">
        <v>18.0</v>
      </c>
      <c r="BA1409" s="1">
        <v>21.5</v>
      </c>
      <c r="BB1409" s="1">
        <v>3.01</v>
      </c>
      <c r="BC1409" s="1" t="s">
        <v>2437</v>
      </c>
      <c r="BD1409" s="1">
        <v>24.6</v>
      </c>
      <c r="BE1409" s="1">
        <v>38.4</v>
      </c>
      <c r="BF1409" s="1">
        <v>24.6</v>
      </c>
      <c r="BG1409" s="1">
        <v>12.4</v>
      </c>
      <c r="BH1409" s="1" t="s">
        <v>2449</v>
      </c>
    </row>
    <row r="1410">
      <c r="A1410" s="1">
        <v>28019.0</v>
      </c>
      <c r="B1410" s="2" t="str">
        <f>IFERROR(__xludf.DUMMYFUNCTION("TO_TEXT(A1410)"),"28019")</f>
        <v>28019</v>
      </c>
      <c r="C1410" s="1">
        <v>8320.0</v>
      </c>
      <c r="D1410" s="1">
        <v>418.182662668038</v>
      </c>
      <c r="E1410" s="1" t="s">
        <v>82</v>
      </c>
      <c r="F1410" s="1" t="s">
        <v>2450</v>
      </c>
      <c r="G1410" s="1">
        <v>19.8956119962453</v>
      </c>
      <c r="H1410" s="1">
        <v>23.058222305</v>
      </c>
      <c r="I1410" s="1">
        <v>4.7173851934</v>
      </c>
      <c r="J1410" s="1">
        <v>11.889250814</v>
      </c>
      <c r="K1410" s="1">
        <v>18.813450092</v>
      </c>
      <c r="L1410" s="1">
        <v>37.7</v>
      </c>
      <c r="M1410" s="1">
        <v>7.2</v>
      </c>
      <c r="N1410" s="1">
        <v>34.2</v>
      </c>
      <c r="O1410" s="1">
        <v>8.3772083772</v>
      </c>
      <c r="P1410" s="1">
        <v>13.564865286</v>
      </c>
      <c r="Q1410" s="1">
        <v>36.24064</v>
      </c>
      <c r="R1410" s="1">
        <v>72.5</v>
      </c>
      <c r="S1410" s="1">
        <v>28.6</v>
      </c>
      <c r="T1410" s="1">
        <v>1782.0</v>
      </c>
      <c r="U1410" s="1">
        <v>37.598204265</v>
      </c>
      <c r="V1410" s="1">
        <v>60.448528078</v>
      </c>
      <c r="W1410" s="1">
        <v>15.070643642</v>
      </c>
      <c r="X1410" s="1">
        <v>12.241653418</v>
      </c>
      <c r="Y1410" s="1">
        <v>74.212827323</v>
      </c>
      <c r="Z1410" s="1">
        <v>25.1</v>
      </c>
      <c r="AA1410" s="1">
        <v>1.2408728617</v>
      </c>
      <c r="AB1410" s="1">
        <v>38479.0</v>
      </c>
      <c r="AC1410" s="1">
        <v>65.973254086</v>
      </c>
      <c r="AD1410" s="1">
        <v>76.390644753</v>
      </c>
      <c r="AE1410" s="1">
        <v>7.1503313568</v>
      </c>
      <c r="AF1410" s="1">
        <v>29.826044938</v>
      </c>
      <c r="AG1410" s="1">
        <v>0.3382459531</v>
      </c>
      <c r="AH1410" s="1">
        <v>0.4107272288</v>
      </c>
      <c r="AI1410" s="1">
        <v>0.0362406378</v>
      </c>
      <c r="AJ1410" s="1">
        <v>1.5825078521</v>
      </c>
      <c r="AK1410" s="1">
        <v>66.863976806</v>
      </c>
      <c r="AL1410" s="1">
        <v>0.0</v>
      </c>
      <c r="AM1410" s="1">
        <v>51.147620198</v>
      </c>
      <c r="AN1410" s="1">
        <v>100.0</v>
      </c>
      <c r="AO1410" s="1">
        <v>18434.0</v>
      </c>
      <c r="AP1410" s="1">
        <v>24.5</v>
      </c>
      <c r="AQ1410" s="1">
        <v>13.3</v>
      </c>
      <c r="AR1410" s="1">
        <v>18.5</v>
      </c>
      <c r="AS1410" s="1">
        <v>19.2</v>
      </c>
      <c r="AT1410" s="1">
        <v>23.0</v>
      </c>
      <c r="AU1410" s="1">
        <v>24.2</v>
      </c>
      <c r="AV1410" s="1">
        <v>32.4</v>
      </c>
      <c r="AW1410" s="1">
        <v>0.1</v>
      </c>
      <c r="AX1410" s="1">
        <v>0.8777</v>
      </c>
      <c r="AY1410" s="1">
        <v>20.9</v>
      </c>
      <c r="AZ1410" s="1">
        <v>19.9</v>
      </c>
      <c r="BA1410" s="1">
        <v>26.8</v>
      </c>
      <c r="BB1410" s="1">
        <v>3.22</v>
      </c>
      <c r="BC1410" s="1" t="s">
        <v>2437</v>
      </c>
      <c r="BD1410" s="1">
        <v>19.5</v>
      </c>
      <c r="BE1410" s="1">
        <v>35.9</v>
      </c>
      <c r="BF1410" s="1">
        <v>25.5</v>
      </c>
      <c r="BG1410" s="1">
        <v>19.1</v>
      </c>
      <c r="BH1410" s="1" t="s">
        <v>2450</v>
      </c>
    </row>
    <row r="1411">
      <c r="A1411" s="1">
        <v>28021.0</v>
      </c>
      <c r="B1411" s="2" t="str">
        <f>IFERROR(__xludf.DUMMYFUNCTION("TO_TEXT(A1411)"),"28021")</f>
        <v>28021</v>
      </c>
      <c r="C1411" s="1">
        <v>9209.0</v>
      </c>
      <c r="D1411" s="1">
        <v>487.41517445255</v>
      </c>
      <c r="E1411" s="1" t="s">
        <v>1961</v>
      </c>
      <c r="F1411" s="1" t="s">
        <v>2451</v>
      </c>
      <c r="G1411" s="1">
        <v>18.8935439081133</v>
      </c>
      <c r="H1411" s="1">
        <v>37.274637929</v>
      </c>
      <c r="I1411" s="1">
        <v>5.5412911507</v>
      </c>
      <c r="J1411" s="1">
        <v>16.284680338</v>
      </c>
      <c r="K1411" s="1">
        <v>25.475241324</v>
      </c>
      <c r="L1411" s="1">
        <v>41.0</v>
      </c>
      <c r="M1411" s="1">
        <v>3.5</v>
      </c>
      <c r="N1411" s="1">
        <v>42.5</v>
      </c>
      <c r="O1411" s="1">
        <v>0.3644314869</v>
      </c>
      <c r="P1411" s="1">
        <v>14.474929044</v>
      </c>
      <c r="Q1411" s="1">
        <v>44.69274</v>
      </c>
      <c r="R1411" s="1">
        <v>87.5</v>
      </c>
      <c r="S1411" s="1">
        <v>45.9</v>
      </c>
      <c r="T1411" s="1">
        <v>1957.0</v>
      </c>
      <c r="U1411" s="1">
        <v>70.362800204</v>
      </c>
      <c r="V1411" s="1">
        <v>279.98437297</v>
      </c>
      <c r="W1411" s="1">
        <v>17.703349282</v>
      </c>
      <c r="X1411" s="1">
        <v>12.988313856</v>
      </c>
      <c r="Y1411" s="1">
        <v>72.070824332</v>
      </c>
      <c r="Z1411" s="1">
        <v>12.5</v>
      </c>
      <c r="AA1411" s="1">
        <v>11.114174317</v>
      </c>
      <c r="AB1411" s="1">
        <v>29631.0</v>
      </c>
      <c r="AC1411" s="1">
        <v>100.0</v>
      </c>
      <c r="AD1411" s="1">
        <v>68.428049186</v>
      </c>
      <c r="AE1411" s="1">
        <v>13.943894389</v>
      </c>
      <c r="AF1411" s="1">
        <v>85.414352366</v>
      </c>
      <c r="AG1411" s="1">
        <v>0.233281493</v>
      </c>
      <c r="AH1411" s="1">
        <v>0.7998222617</v>
      </c>
      <c r="AI1411" s="1">
        <v>0.0444345701</v>
      </c>
      <c r="AJ1411" s="1">
        <v>1.4330148856</v>
      </c>
      <c r="AK1411" s="1">
        <v>11.208620307</v>
      </c>
      <c r="AL1411" s="1">
        <v>0.3957630078</v>
      </c>
      <c r="AM1411" s="1">
        <v>52.621639636</v>
      </c>
      <c r="AN1411" s="1">
        <v>100.0</v>
      </c>
      <c r="AO1411" s="1">
        <v>12944.0</v>
      </c>
      <c r="AP1411" s="1">
        <v>41.2</v>
      </c>
      <c r="AQ1411" s="1">
        <v>20.9</v>
      </c>
      <c r="AR1411" s="1">
        <v>22.4</v>
      </c>
      <c r="AS1411" s="1">
        <v>15.0</v>
      </c>
      <c r="AT1411" s="1">
        <v>21.7</v>
      </c>
      <c r="AU1411" s="1">
        <v>14.6</v>
      </c>
      <c r="AV1411" s="1">
        <v>87.4</v>
      </c>
      <c r="AW1411" s="1">
        <v>0.2</v>
      </c>
      <c r="AX1411" s="1">
        <v>0.9873</v>
      </c>
      <c r="AY1411" s="1">
        <v>37.5</v>
      </c>
      <c r="AZ1411" s="1">
        <v>27.1</v>
      </c>
      <c r="BA1411" s="1">
        <v>37.0</v>
      </c>
      <c r="BB1411" s="1">
        <v>3.15</v>
      </c>
      <c r="BC1411" s="1" t="s">
        <v>2437</v>
      </c>
      <c r="BD1411" s="1">
        <v>19.7</v>
      </c>
      <c r="BE1411" s="1">
        <v>28.0</v>
      </c>
      <c r="BF1411" s="1">
        <v>28.4</v>
      </c>
      <c r="BG1411" s="1">
        <v>24.0</v>
      </c>
      <c r="BH1411" s="1" t="s">
        <v>2451</v>
      </c>
    </row>
    <row r="1412">
      <c r="A1412" s="1">
        <v>28023.0</v>
      </c>
      <c r="B1412" s="2" t="str">
        <f>IFERROR(__xludf.DUMMYFUNCTION("TO_TEXT(A1412)"),"28023")</f>
        <v>28023</v>
      </c>
      <c r="C1412" s="1">
        <v>16203.0</v>
      </c>
      <c r="D1412" s="1">
        <v>691.577107768643</v>
      </c>
      <c r="E1412" s="1" t="s">
        <v>84</v>
      </c>
      <c r="F1412" s="1" t="s">
        <v>2452</v>
      </c>
      <c r="G1412" s="1">
        <v>23.429057755076</v>
      </c>
      <c r="H1412" s="1">
        <v>21.505493468</v>
      </c>
      <c r="I1412" s="1">
        <v>4.460210447</v>
      </c>
      <c r="J1412" s="1">
        <v>13.0208333329999</v>
      </c>
      <c r="K1412" s="1">
        <v>17.508455985</v>
      </c>
      <c r="L1412" s="1">
        <v>28.7</v>
      </c>
      <c r="M1412" s="1">
        <v>7.0</v>
      </c>
      <c r="N1412" s="1">
        <v>33.1</v>
      </c>
      <c r="O1412" s="1">
        <v>24.34855367</v>
      </c>
      <c r="P1412" s="1">
        <v>14.692319924</v>
      </c>
      <c r="Q1412" s="1">
        <v>31.58959</v>
      </c>
      <c r="R1412" s="1">
        <v>82.63681592</v>
      </c>
      <c r="S1412" s="1">
        <v>32.8</v>
      </c>
      <c r="T1412" s="1">
        <v>3601.0</v>
      </c>
      <c r="U1412" s="1">
        <v>39.655651208</v>
      </c>
      <c r="V1412" s="1">
        <v>204.509002055</v>
      </c>
      <c r="W1412" s="1">
        <v>11.96969697</v>
      </c>
      <c r="X1412" s="1">
        <v>10.611928737</v>
      </c>
      <c r="Y1412" s="1">
        <v>73.14512788</v>
      </c>
      <c r="Z1412" s="1">
        <v>15.1</v>
      </c>
      <c r="AA1412" s="1">
        <v>5.6273510286</v>
      </c>
      <c r="AB1412" s="1">
        <v>41495.0</v>
      </c>
      <c r="AC1412" s="1">
        <v>80.856334041</v>
      </c>
      <c r="AD1412" s="1">
        <v>81.431767338</v>
      </c>
      <c r="AE1412" s="1">
        <v>10.304612707</v>
      </c>
      <c r="AF1412" s="1">
        <v>34.529607793</v>
      </c>
      <c r="AG1412" s="1">
        <v>0.4806459882</v>
      </c>
      <c r="AH1412" s="1">
        <v>0.2243014612</v>
      </c>
      <c r="AI1412" s="1">
        <v>0.0064086132</v>
      </c>
      <c r="AJ1412" s="1">
        <v>1.1150986926</v>
      </c>
      <c r="AK1412" s="1">
        <v>63.05434504</v>
      </c>
      <c r="AL1412" s="1">
        <v>0.0</v>
      </c>
      <c r="AM1412" s="1">
        <v>53.2363496539999</v>
      </c>
      <c r="AN1412" s="1">
        <v>100.0</v>
      </c>
      <c r="AO1412" s="1">
        <v>20431.0</v>
      </c>
      <c r="AP1412" s="1">
        <v>19.2</v>
      </c>
      <c r="AQ1412" s="1">
        <v>10.6</v>
      </c>
      <c r="AR1412" s="1">
        <v>19.8</v>
      </c>
      <c r="AS1412" s="1">
        <v>18.3</v>
      </c>
      <c r="AT1412" s="1">
        <v>23.5</v>
      </c>
      <c r="AU1412" s="1">
        <v>22.9</v>
      </c>
      <c r="AV1412" s="1">
        <v>36.4</v>
      </c>
      <c r="AW1412" s="1">
        <v>0.0</v>
      </c>
      <c r="AX1412" s="1">
        <v>0.7265</v>
      </c>
      <c r="AY1412" s="1">
        <v>23.2</v>
      </c>
      <c r="AZ1412" s="1">
        <v>18.5</v>
      </c>
      <c r="BA1412" s="1">
        <v>24.6</v>
      </c>
      <c r="BB1412" s="1">
        <v>2.98</v>
      </c>
      <c r="BC1412" s="1" t="s">
        <v>2437</v>
      </c>
      <c r="BD1412" s="1">
        <v>17.1</v>
      </c>
      <c r="BE1412" s="1">
        <v>39.4</v>
      </c>
      <c r="BF1412" s="1">
        <v>31.0</v>
      </c>
      <c r="BG1412" s="1">
        <v>12.5</v>
      </c>
      <c r="BH1412" s="1" t="s">
        <v>2452</v>
      </c>
    </row>
    <row r="1413">
      <c r="A1413" s="1">
        <v>28025.0</v>
      </c>
      <c r="B1413" s="2" t="str">
        <f>IFERROR(__xludf.DUMMYFUNCTION("TO_TEXT(A1413)"),"28025")</f>
        <v>28025</v>
      </c>
      <c r="C1413" s="1">
        <v>20147.0</v>
      </c>
      <c r="D1413" s="1">
        <v>410.065811365224</v>
      </c>
      <c r="E1413" s="1" t="s">
        <v>86</v>
      </c>
      <c r="F1413" s="1" t="s">
        <v>2453</v>
      </c>
      <c r="G1413" s="1">
        <v>49.1311380798243</v>
      </c>
      <c r="H1413" s="1">
        <v>26.779985589</v>
      </c>
      <c r="I1413" s="1">
        <v>4.8857397112</v>
      </c>
      <c r="J1413" s="1">
        <v>13.8461538459999</v>
      </c>
      <c r="K1413" s="1">
        <v>21.477439525</v>
      </c>
      <c r="L1413" s="1">
        <v>39.5</v>
      </c>
      <c r="M1413" s="1">
        <v>5.0</v>
      </c>
      <c r="N1413" s="1">
        <v>30.4</v>
      </c>
      <c r="O1413" s="1">
        <v>67.354851216</v>
      </c>
      <c r="P1413" s="1">
        <v>14.781172585</v>
      </c>
      <c r="Q1413" s="1">
        <v>50.9165</v>
      </c>
      <c r="R1413" s="1">
        <v>87.5</v>
      </c>
      <c r="S1413" s="1">
        <v>35.6</v>
      </c>
      <c r="T1413" s="1">
        <v>4588.0</v>
      </c>
      <c r="U1413" s="1">
        <v>56.822144725</v>
      </c>
      <c r="V1413" s="1">
        <v>275.81751317</v>
      </c>
      <c r="W1413" s="1">
        <v>16.002570694</v>
      </c>
      <c r="X1413" s="1">
        <v>16.083445491</v>
      </c>
      <c r="Y1413" s="1">
        <v>76.200003372</v>
      </c>
      <c r="Z1413" s="1">
        <v>18.7</v>
      </c>
      <c r="AA1413" s="1">
        <v>15.265379254</v>
      </c>
      <c r="AB1413" s="1">
        <v>38121.0</v>
      </c>
      <c r="AC1413" s="1">
        <v>100.0</v>
      </c>
      <c r="AD1413" s="1">
        <v>71.179883946</v>
      </c>
      <c r="AE1413" s="1">
        <v>14.7996614</v>
      </c>
      <c r="AF1413" s="1">
        <v>58.4648715569999</v>
      </c>
      <c r="AG1413" s="1">
        <v>0.2527597235</v>
      </c>
      <c r="AH1413" s="1">
        <v>0.3404518725</v>
      </c>
      <c r="AI1413" s="1">
        <v>0.0051583617</v>
      </c>
      <c r="AJ1413" s="1">
        <v>1.6197255752</v>
      </c>
      <c r="AK1413" s="1">
        <v>38.698029506</v>
      </c>
      <c r="AL1413" s="1">
        <v>0.0588833574</v>
      </c>
      <c r="AM1413" s="1">
        <v>53.162075725</v>
      </c>
      <c r="AN1413" s="1">
        <v>55.5442473589999</v>
      </c>
      <c r="AO1413" s="1">
        <v>19097.0</v>
      </c>
      <c r="AP1413" s="1">
        <v>26.0</v>
      </c>
      <c r="AQ1413" s="1">
        <v>13.8</v>
      </c>
      <c r="AR1413" s="1">
        <v>21.2</v>
      </c>
      <c r="AS1413" s="1">
        <v>16.4</v>
      </c>
      <c r="AT1413" s="1">
        <v>24.4</v>
      </c>
      <c r="AU1413" s="1">
        <v>14.6</v>
      </c>
      <c r="AV1413" s="1">
        <v>60.7</v>
      </c>
      <c r="AW1413" s="1">
        <v>0.2</v>
      </c>
      <c r="AX1413" s="1">
        <v>0.8271</v>
      </c>
      <c r="AY1413" s="1">
        <v>29.7</v>
      </c>
      <c r="AZ1413" s="1">
        <v>17.8</v>
      </c>
      <c r="BA1413" s="1">
        <v>23.7</v>
      </c>
      <c r="BB1413" s="1">
        <v>3.2</v>
      </c>
      <c r="BC1413" s="1" t="s">
        <v>2437</v>
      </c>
      <c r="BD1413" s="1">
        <v>18.3</v>
      </c>
      <c r="BE1413" s="1">
        <v>34.3</v>
      </c>
      <c r="BF1413" s="1">
        <v>27.0</v>
      </c>
      <c r="BG1413" s="1">
        <v>20.4</v>
      </c>
      <c r="BH1413" s="1" t="s">
        <v>2453</v>
      </c>
    </row>
    <row r="1414">
      <c r="A1414" s="1">
        <v>28027.0</v>
      </c>
      <c r="B1414" s="2" t="str">
        <f>IFERROR(__xludf.DUMMYFUNCTION("TO_TEXT(A1414)"),"28027")</f>
        <v>28027</v>
      </c>
      <c r="C1414" s="1">
        <v>24804.0</v>
      </c>
      <c r="D1414" s="1">
        <v>552.52558753958</v>
      </c>
      <c r="E1414" s="1" t="s">
        <v>2454</v>
      </c>
      <c r="F1414" s="1" t="s">
        <v>2455</v>
      </c>
      <c r="G1414" s="1">
        <v>44.8920385940012</v>
      </c>
      <c r="H1414" s="1">
        <v>34.90213956</v>
      </c>
      <c r="I1414" s="1">
        <v>5.39513756809999</v>
      </c>
      <c r="J1414" s="1">
        <v>17.103399433</v>
      </c>
      <c r="K1414" s="1">
        <v>25.358860795</v>
      </c>
      <c r="L1414" s="1">
        <v>42.4</v>
      </c>
      <c r="M1414" s="1">
        <v>3.6</v>
      </c>
      <c r="N1414" s="1">
        <v>35.8</v>
      </c>
      <c r="O1414" s="1">
        <v>72.234331383</v>
      </c>
      <c r="P1414" s="1">
        <v>13.569617579</v>
      </c>
      <c r="Q1414" s="1">
        <v>56.14581</v>
      </c>
      <c r="R1414" s="1">
        <v>73.7828947369999</v>
      </c>
      <c r="S1414" s="1">
        <v>50.3</v>
      </c>
      <c r="T1414" s="1">
        <v>6497.0</v>
      </c>
      <c r="U1414" s="1">
        <v>71.032784362</v>
      </c>
      <c r="V1414" s="1">
        <v>204.509002055</v>
      </c>
      <c r="W1414" s="1">
        <v>15.57512383</v>
      </c>
      <c r="X1414" s="1">
        <v>13.513513514</v>
      </c>
      <c r="Y1414" s="1">
        <v>71.15023596</v>
      </c>
      <c r="Z1414" s="1">
        <v>20.9</v>
      </c>
      <c r="AA1414" s="1">
        <v>16.458254538</v>
      </c>
      <c r="AB1414" s="1">
        <v>29380.0</v>
      </c>
      <c r="AC1414" s="1">
        <v>100.0</v>
      </c>
      <c r="AD1414" s="1">
        <v>51.9670631289999</v>
      </c>
      <c r="AE1414" s="1">
        <v>16.2128559</v>
      </c>
      <c r="AF1414" s="1">
        <v>76.6439809089999</v>
      </c>
      <c r="AG1414" s="1">
        <v>0.1767721407</v>
      </c>
      <c r="AH1414" s="1">
        <v>0.486123387</v>
      </c>
      <c r="AI1414" s="1">
        <v>0.0486123387</v>
      </c>
      <c r="AJ1414" s="1">
        <v>1.65723881919999</v>
      </c>
      <c r="AK1414" s="1">
        <v>20.5630192679999</v>
      </c>
      <c r="AL1414" s="1">
        <v>0.1282286133</v>
      </c>
      <c r="AM1414" s="1">
        <v>53.654764009</v>
      </c>
      <c r="AN1414" s="1">
        <v>31.998776337</v>
      </c>
      <c r="AO1414" s="1">
        <v>16066.0</v>
      </c>
      <c r="AP1414" s="1">
        <v>35.2</v>
      </c>
      <c r="AQ1414" s="1">
        <v>21.1</v>
      </c>
      <c r="AR1414" s="1">
        <v>22.5</v>
      </c>
      <c r="AS1414" s="1">
        <v>13.3</v>
      </c>
      <c r="AT1414" s="1">
        <v>27.8</v>
      </c>
      <c r="AU1414" s="1">
        <v>14.6</v>
      </c>
      <c r="AV1414" s="1">
        <v>78.0</v>
      </c>
      <c r="AW1414" s="1">
        <v>0.4</v>
      </c>
      <c r="AX1414" s="1">
        <v>0.964</v>
      </c>
      <c r="AY1414" s="1">
        <v>38.2</v>
      </c>
      <c r="AZ1414" s="1">
        <v>23.9</v>
      </c>
      <c r="BA1414" s="1">
        <v>29.2</v>
      </c>
      <c r="BB1414" s="1">
        <v>3.1</v>
      </c>
      <c r="BC1414" s="1" t="s">
        <v>2437</v>
      </c>
      <c r="BD1414" s="1">
        <v>20.5</v>
      </c>
      <c r="BE1414" s="1">
        <v>25.2</v>
      </c>
      <c r="BF1414" s="1">
        <v>37.9</v>
      </c>
      <c r="BG1414" s="1">
        <v>16.5</v>
      </c>
      <c r="BH1414" s="1" t="s">
        <v>2455</v>
      </c>
    </row>
    <row r="1415">
      <c r="A1415" s="1">
        <v>28029.0</v>
      </c>
      <c r="B1415" s="2" t="str">
        <f>IFERROR(__xludf.DUMMYFUNCTION("TO_TEXT(A1415)"),"28029")</f>
        <v>28029</v>
      </c>
      <c r="C1415" s="1">
        <v>28780.0</v>
      </c>
      <c r="D1415" s="1">
        <v>777.242077815834</v>
      </c>
      <c r="E1415" s="1" t="s">
        <v>2456</v>
      </c>
      <c r="F1415" s="1" t="s">
        <v>2457</v>
      </c>
      <c r="G1415" s="1">
        <v>37.0283606889582</v>
      </c>
      <c r="H1415" s="1">
        <v>26.795375739</v>
      </c>
      <c r="I1415" s="1">
        <v>4.7633504398</v>
      </c>
      <c r="J1415" s="1">
        <v>14.734299517</v>
      </c>
      <c r="K1415" s="1">
        <v>19.58273565</v>
      </c>
      <c r="L1415" s="1">
        <v>39.2</v>
      </c>
      <c r="M1415" s="1">
        <v>5.8</v>
      </c>
      <c r="N1415" s="1">
        <v>43.2</v>
      </c>
      <c r="O1415" s="1">
        <v>42.748480424</v>
      </c>
      <c r="P1415" s="1">
        <v>15.631542219</v>
      </c>
      <c r="Q1415" s="1">
        <v>35.06803</v>
      </c>
      <c r="R1415" s="1">
        <v>79.076271186</v>
      </c>
      <c r="S1415" s="1">
        <v>36.1</v>
      </c>
      <c r="T1415" s="1">
        <v>6667.0</v>
      </c>
      <c r="U1415" s="1">
        <v>48.417579121</v>
      </c>
      <c r="V1415" s="1">
        <v>204.509002055</v>
      </c>
      <c r="W1415" s="1">
        <v>18.578680203</v>
      </c>
      <c r="X1415" s="1">
        <v>13.75464684</v>
      </c>
      <c r="Y1415" s="1">
        <v>74.869312883</v>
      </c>
      <c r="Z1415" s="1">
        <v>18.7</v>
      </c>
      <c r="AA1415" s="1">
        <v>11.733956258</v>
      </c>
      <c r="AB1415" s="1">
        <v>38664.0</v>
      </c>
      <c r="AC1415" s="1">
        <v>100.0</v>
      </c>
      <c r="AD1415" s="1">
        <v>78.655304998</v>
      </c>
      <c r="AE1415" s="1">
        <v>12.073815686</v>
      </c>
      <c r="AF1415" s="1">
        <v>51.2104544019999</v>
      </c>
      <c r="AG1415" s="1">
        <v>0.2592579617</v>
      </c>
      <c r="AH1415" s="1">
        <v>0.3818799706</v>
      </c>
      <c r="AI1415" s="1">
        <v>0.0175174298</v>
      </c>
      <c r="AJ1415" s="1">
        <v>3.559541744</v>
      </c>
      <c r="AK1415" s="1">
        <v>43.684966542</v>
      </c>
      <c r="AL1415" s="1">
        <v>0.864820725999999</v>
      </c>
      <c r="AM1415" s="1">
        <v>51.87261325</v>
      </c>
      <c r="AN1415" s="1">
        <v>65.577778532</v>
      </c>
      <c r="AO1415" s="1">
        <v>18188.0</v>
      </c>
      <c r="AP1415" s="1">
        <v>28.1</v>
      </c>
      <c r="AQ1415" s="1">
        <v>14.7</v>
      </c>
      <c r="AR1415" s="1">
        <v>22.1</v>
      </c>
      <c r="AS1415" s="1">
        <v>15.3</v>
      </c>
      <c r="AT1415" s="1">
        <v>23.9</v>
      </c>
      <c r="AU1415" s="1">
        <v>16.7</v>
      </c>
      <c r="AV1415" s="1">
        <v>55.2</v>
      </c>
      <c r="AW1415" s="1">
        <v>1.0</v>
      </c>
      <c r="AX1415" s="1">
        <v>0.971</v>
      </c>
      <c r="AY1415" s="1">
        <v>22.1</v>
      </c>
      <c r="AZ1415" s="1">
        <v>18.2</v>
      </c>
      <c r="BA1415" s="1">
        <v>23.7</v>
      </c>
      <c r="BB1415" s="1">
        <v>2.91</v>
      </c>
      <c r="BC1415" s="1" t="s">
        <v>2437</v>
      </c>
      <c r="BD1415" s="1">
        <v>19.8</v>
      </c>
      <c r="BE1415" s="1">
        <v>34.4</v>
      </c>
      <c r="BF1415" s="1">
        <v>31.3</v>
      </c>
      <c r="BG1415" s="1">
        <v>14.5</v>
      </c>
      <c r="BH1415" s="1" t="s">
        <v>2457</v>
      </c>
    </row>
    <row r="1416">
      <c r="A1416" s="1">
        <v>28031.0</v>
      </c>
      <c r="B1416" s="2" t="str">
        <f>IFERROR(__xludf.DUMMYFUNCTION("TO_TEXT(A1416)"),"28031")</f>
        <v>28031</v>
      </c>
      <c r="C1416" s="1">
        <v>19503.0</v>
      </c>
      <c r="D1416" s="1">
        <v>413.79625668815</v>
      </c>
      <c r="E1416" s="1" t="s">
        <v>98</v>
      </c>
      <c r="F1416" s="1" t="s">
        <v>2458</v>
      </c>
      <c r="G1416" s="1">
        <v>47.1318908394526</v>
      </c>
      <c r="H1416" s="1">
        <v>24.100441948</v>
      </c>
      <c r="I1416" s="1">
        <v>4.6733295321</v>
      </c>
      <c r="J1416" s="1">
        <v>12.697547684</v>
      </c>
      <c r="K1416" s="1">
        <v>20.178168022</v>
      </c>
      <c r="L1416" s="1">
        <v>37.5</v>
      </c>
      <c r="M1416" s="1">
        <v>7.7</v>
      </c>
      <c r="N1416" s="1">
        <v>40.1</v>
      </c>
      <c r="O1416" s="1">
        <v>30.73896157</v>
      </c>
      <c r="P1416" s="1">
        <v>15.971168437</v>
      </c>
      <c r="Q1416" s="1">
        <v>41.93092</v>
      </c>
      <c r="R1416" s="1">
        <v>80.0</v>
      </c>
      <c r="S1416" s="1">
        <v>36.0</v>
      </c>
      <c r="T1416" s="1">
        <v>4724.0</v>
      </c>
      <c r="U1416" s="1">
        <v>41.765453006</v>
      </c>
      <c r="V1416" s="1">
        <v>204.509002055</v>
      </c>
      <c r="W1416" s="1">
        <v>12.73381295</v>
      </c>
      <c r="X1416" s="1">
        <v>10.5385735079999</v>
      </c>
      <c r="Y1416" s="1">
        <v>72.268575412</v>
      </c>
      <c r="Z1416" s="1">
        <v>16.8</v>
      </c>
      <c r="AA1416" s="1">
        <v>6.508531482</v>
      </c>
      <c r="AB1416" s="1">
        <v>36083.0</v>
      </c>
      <c r="AC1416" s="1">
        <v>84.111498258</v>
      </c>
      <c r="AD1416" s="1">
        <v>80.453341183</v>
      </c>
      <c r="AE1416" s="1">
        <v>12.3391722209999</v>
      </c>
      <c r="AF1416" s="1">
        <v>35.622977775</v>
      </c>
      <c r="AG1416" s="1">
        <v>0.2015594335</v>
      </c>
      <c r="AH1416" s="1">
        <v>0.4243356495</v>
      </c>
      <c r="AI1416" s="1">
        <v>0.0477377606</v>
      </c>
      <c r="AJ1416" s="1">
        <v>2.4028006153</v>
      </c>
      <c r="AK1416" s="1">
        <v>60.3670503369999</v>
      </c>
      <c r="AL1416" s="1">
        <v>0.1348693453</v>
      </c>
      <c r="AM1416" s="1">
        <v>51.286267438</v>
      </c>
      <c r="AN1416" s="1">
        <v>100.0</v>
      </c>
      <c r="AO1416" s="1">
        <v>16941.0</v>
      </c>
      <c r="AP1416" s="1">
        <v>25.8</v>
      </c>
      <c r="AQ1416" s="1">
        <v>13.1</v>
      </c>
      <c r="AR1416" s="1">
        <v>20.6</v>
      </c>
      <c r="AS1416" s="1">
        <v>16.8</v>
      </c>
      <c r="AT1416" s="1">
        <v>25.0</v>
      </c>
      <c r="AU1416" s="1">
        <v>22.8</v>
      </c>
      <c r="AV1416" s="1">
        <v>38.8</v>
      </c>
      <c r="AW1416" s="1">
        <v>0.1</v>
      </c>
      <c r="AX1416" s="1">
        <v>0.8889</v>
      </c>
      <c r="AY1416" s="1">
        <v>21.3</v>
      </c>
      <c r="AZ1416" s="1">
        <v>18.5</v>
      </c>
      <c r="BA1416" s="1">
        <v>23.8</v>
      </c>
      <c r="BB1416" s="1">
        <v>3.06</v>
      </c>
      <c r="BC1416" s="1" t="s">
        <v>2437</v>
      </c>
      <c r="BD1416" s="1">
        <v>16.8</v>
      </c>
      <c r="BE1416" s="1">
        <v>36.6</v>
      </c>
      <c r="BF1416" s="1">
        <v>31.9</v>
      </c>
      <c r="BG1416" s="1">
        <v>14.7</v>
      </c>
      <c r="BH1416" s="1" t="s">
        <v>2458</v>
      </c>
    </row>
    <row r="1417">
      <c r="A1417" s="1">
        <v>28033.0</v>
      </c>
      <c r="B1417" s="2" t="str">
        <f>IFERROR(__xludf.DUMMYFUNCTION("TO_TEXT(A1417)"),"28033")</f>
        <v>28033</v>
      </c>
      <c r="C1417" s="1">
        <v>170890.0</v>
      </c>
      <c r="D1417" s="1">
        <v>476.278708597297</v>
      </c>
      <c r="E1417" s="1" t="s">
        <v>701</v>
      </c>
      <c r="F1417" s="1" t="s">
        <v>2459</v>
      </c>
      <c r="G1417" s="1">
        <v>358.802518179519</v>
      </c>
      <c r="H1417" s="1">
        <v>17.53926756</v>
      </c>
      <c r="I1417" s="1">
        <v>4.0993313708</v>
      </c>
      <c r="J1417" s="1">
        <v>8.6236050051</v>
      </c>
      <c r="K1417" s="1">
        <v>15.317170828</v>
      </c>
      <c r="L1417" s="1">
        <v>35.3</v>
      </c>
      <c r="M1417" s="1">
        <v>7.6</v>
      </c>
      <c r="N1417" s="1">
        <v>28.8</v>
      </c>
      <c r="O1417" s="1">
        <v>70.392925359</v>
      </c>
      <c r="P1417" s="1">
        <v>10.445244846</v>
      </c>
      <c r="Q1417" s="1">
        <v>34.12568</v>
      </c>
      <c r="R1417" s="1">
        <v>89.0</v>
      </c>
      <c r="S1417" s="1">
        <v>12.6</v>
      </c>
      <c r="T1417" s="1">
        <v>45668.0</v>
      </c>
      <c r="U1417" s="1">
        <v>31.380835596</v>
      </c>
      <c r="V1417" s="1">
        <v>161.37522163</v>
      </c>
      <c r="W1417" s="1">
        <v>12.298803137</v>
      </c>
      <c r="X1417" s="1">
        <v>9.8734598735</v>
      </c>
      <c r="Y1417" s="1">
        <v>76.890804268</v>
      </c>
      <c r="Z1417" s="1">
        <v>12.0</v>
      </c>
      <c r="AA1417" s="1">
        <v>8.8805771352</v>
      </c>
      <c r="AB1417" s="1">
        <v>68126.0</v>
      </c>
      <c r="AC1417" s="1">
        <v>53.072872231</v>
      </c>
      <c r="AD1417" s="1">
        <v>73.686330101</v>
      </c>
      <c r="AE1417" s="1">
        <v>10.320916246</v>
      </c>
      <c r="AF1417" s="1">
        <v>28.7058862309999</v>
      </c>
      <c r="AG1417" s="1">
        <v>0.3016466942</v>
      </c>
      <c r="AH1417" s="1">
        <v>1.4939478355</v>
      </c>
      <c r="AI1417" s="1">
        <v>0.0752743117</v>
      </c>
      <c r="AJ1417" s="1">
        <v>5.0922797127</v>
      </c>
      <c r="AK1417" s="1">
        <v>63.137565178</v>
      </c>
      <c r="AL1417" s="1">
        <v>1.2229510578</v>
      </c>
      <c r="AM1417" s="1">
        <v>51.7612540589999</v>
      </c>
      <c r="AN1417" s="1">
        <v>20.428893905</v>
      </c>
      <c r="AO1417" s="1">
        <v>27135.0</v>
      </c>
      <c r="AP1417" s="1">
        <v>10.0</v>
      </c>
      <c r="AQ1417" s="1">
        <v>6.7</v>
      </c>
      <c r="AR1417" s="1">
        <v>10.8</v>
      </c>
      <c r="AS1417" s="1">
        <v>11.7</v>
      </c>
      <c r="AT1417" s="1">
        <v>26.8</v>
      </c>
      <c r="AU1417" s="1">
        <v>11.2</v>
      </c>
      <c r="AV1417" s="1">
        <v>32.6</v>
      </c>
      <c r="AW1417" s="1">
        <v>0.9</v>
      </c>
      <c r="AX1417" s="1">
        <v>0.2744</v>
      </c>
      <c r="AY1417" s="1">
        <v>9.4</v>
      </c>
      <c r="AZ1417" s="1">
        <v>12.1</v>
      </c>
      <c r="BA1417" s="1">
        <v>12.4</v>
      </c>
      <c r="BB1417" s="1">
        <v>2.96</v>
      </c>
      <c r="BC1417" s="1" t="s">
        <v>2437</v>
      </c>
      <c r="BD1417" s="1">
        <v>9.6</v>
      </c>
      <c r="BE1417" s="1">
        <v>29.2</v>
      </c>
      <c r="BF1417" s="1">
        <v>36.2</v>
      </c>
      <c r="BG1417" s="1">
        <v>25.0</v>
      </c>
      <c r="BH1417" s="1" t="s">
        <v>2459</v>
      </c>
    </row>
    <row r="1418">
      <c r="A1418" s="1">
        <v>28035.0</v>
      </c>
      <c r="B1418" s="2" t="str">
        <f>IFERROR(__xludf.DUMMYFUNCTION("TO_TEXT(A1418)"),"28035")</f>
        <v>28035</v>
      </c>
      <c r="C1418" s="1">
        <v>76274.0</v>
      </c>
      <c r="D1418" s="1">
        <v>466.041638779498</v>
      </c>
      <c r="E1418" s="1" t="s">
        <v>2460</v>
      </c>
      <c r="F1418" s="1" t="s">
        <v>2461</v>
      </c>
      <c r="G1418" s="1">
        <v>163.663487665505</v>
      </c>
      <c r="H1418" s="1">
        <v>23.25296388</v>
      </c>
      <c r="I1418" s="1">
        <v>4.4761470941</v>
      </c>
      <c r="J1418" s="1">
        <v>12.205421605</v>
      </c>
      <c r="K1418" s="1">
        <v>18.729759822</v>
      </c>
      <c r="L1418" s="1">
        <v>31.3</v>
      </c>
      <c r="M1418" s="1">
        <v>6.2</v>
      </c>
      <c r="N1418" s="1">
        <v>28.6</v>
      </c>
      <c r="O1418" s="1">
        <v>74.709744575</v>
      </c>
      <c r="P1418" s="1">
        <v>15.396199814</v>
      </c>
      <c r="Q1418" s="1">
        <v>63.60059</v>
      </c>
      <c r="R1418" s="1">
        <v>79.53931848</v>
      </c>
      <c r="S1418" s="1">
        <v>31.2</v>
      </c>
      <c r="T1418" s="1">
        <v>17135.0</v>
      </c>
      <c r="U1418" s="1">
        <v>47.487598483</v>
      </c>
      <c r="V1418" s="1">
        <v>195.5616019</v>
      </c>
      <c r="W1418" s="1">
        <v>19.932191292</v>
      </c>
      <c r="X1418" s="1">
        <v>17.831149927</v>
      </c>
      <c r="Y1418" s="1">
        <v>73.581702162</v>
      </c>
      <c r="Z1418" s="1">
        <v>10.8</v>
      </c>
      <c r="AA1418" s="1">
        <v>7.1158591035</v>
      </c>
      <c r="AB1418" s="1">
        <v>39061.0</v>
      </c>
      <c r="AC1418" s="1">
        <v>78.706880982</v>
      </c>
      <c r="AD1418" s="1">
        <v>54.674847501</v>
      </c>
      <c r="AE1418" s="1">
        <v>16.539039039</v>
      </c>
      <c r="AF1418" s="1">
        <v>37.516658671</v>
      </c>
      <c r="AG1418" s="1">
        <v>0.3664907511</v>
      </c>
      <c r="AH1418" s="1">
        <v>1.0408337331</v>
      </c>
      <c r="AI1418" s="1">
        <v>0.0892904739</v>
      </c>
      <c r="AJ1418" s="1">
        <v>2.9079375233</v>
      </c>
      <c r="AK1418" s="1">
        <v>56.9553281089999</v>
      </c>
      <c r="AL1418" s="1">
        <v>0.5120276864</v>
      </c>
      <c r="AM1418" s="1">
        <v>52.541446772</v>
      </c>
      <c r="AN1418" s="1">
        <v>29.635412496</v>
      </c>
      <c r="AO1418" s="1">
        <v>20194.0</v>
      </c>
      <c r="AP1418" s="1">
        <v>27.3</v>
      </c>
      <c r="AQ1418" s="1">
        <v>12.5</v>
      </c>
      <c r="AR1418" s="1">
        <v>13.8</v>
      </c>
      <c r="AS1418" s="1">
        <v>12.6</v>
      </c>
      <c r="AT1418" s="1">
        <v>23.1</v>
      </c>
      <c r="AU1418" s="1">
        <v>20.3</v>
      </c>
      <c r="AV1418" s="1">
        <v>42.6</v>
      </c>
      <c r="AW1418" s="1">
        <v>0.8</v>
      </c>
      <c r="AX1418" s="1">
        <v>0.9462</v>
      </c>
      <c r="AY1418" s="1">
        <v>23.3</v>
      </c>
      <c r="AZ1418" s="1">
        <v>20.2</v>
      </c>
      <c r="BA1418" s="1">
        <v>22.5</v>
      </c>
      <c r="BB1418" s="1">
        <v>3.34</v>
      </c>
      <c r="BC1418" s="1" t="s">
        <v>2437</v>
      </c>
      <c r="BD1418" s="1">
        <v>12.6</v>
      </c>
      <c r="BE1418" s="1">
        <v>27.2</v>
      </c>
      <c r="BF1418" s="1">
        <v>32.4</v>
      </c>
      <c r="BG1418" s="1">
        <v>27.8</v>
      </c>
      <c r="BH1418" s="1" t="s">
        <v>2461</v>
      </c>
    </row>
    <row r="1419">
      <c r="A1419" s="1">
        <v>28037.0</v>
      </c>
      <c r="B1419" s="2" t="str">
        <f>IFERROR(__xludf.DUMMYFUNCTION("TO_TEXT(A1419)"),"28037")</f>
        <v>28037</v>
      </c>
      <c r="C1419" s="1">
        <v>7818.0</v>
      </c>
      <c r="D1419" s="1">
        <v>563.711935842722</v>
      </c>
      <c r="E1419" s="1" t="s">
        <v>118</v>
      </c>
      <c r="F1419" s="1" t="s">
        <v>2462</v>
      </c>
      <c r="G1419" s="1">
        <v>13.8687856383819</v>
      </c>
      <c r="H1419" s="1">
        <v>22.368358999</v>
      </c>
      <c r="I1419" s="1">
        <v>4.6142034477</v>
      </c>
      <c r="J1419" s="1">
        <v>10.0671140939999</v>
      </c>
      <c r="K1419" s="1">
        <v>18.3149358079999</v>
      </c>
      <c r="L1419" s="1">
        <v>32.0</v>
      </c>
      <c r="M1419" s="1">
        <v>6.2</v>
      </c>
      <c r="N1419" s="1">
        <v>32.1</v>
      </c>
      <c r="O1419" s="1">
        <v>69.931017492</v>
      </c>
      <c r="P1419" s="1">
        <v>14.439102564</v>
      </c>
      <c r="Q1419" s="1">
        <v>38.6349</v>
      </c>
      <c r="R1419" s="1">
        <v>82.5</v>
      </c>
      <c r="S1419" s="1">
        <v>27.6</v>
      </c>
      <c r="T1419" s="1">
        <v>1863.0</v>
      </c>
      <c r="U1419" s="1">
        <v>38.325281804</v>
      </c>
      <c r="V1419" s="1">
        <v>204.509002055</v>
      </c>
      <c r="W1419" s="1">
        <v>9.2084006462</v>
      </c>
      <c r="X1419" s="1">
        <v>8.2352941176</v>
      </c>
      <c r="Y1419" s="1">
        <v>74.966184203</v>
      </c>
      <c r="Z1419" s="1">
        <v>19.1</v>
      </c>
      <c r="AA1419" s="1">
        <v>12.897564185</v>
      </c>
      <c r="AB1419" s="1">
        <v>39508.0</v>
      </c>
      <c r="AC1419" s="1">
        <v>78.180416345</v>
      </c>
      <c r="AD1419" s="1">
        <v>78.62849534</v>
      </c>
      <c r="AE1419" s="1">
        <v>8.3365055196</v>
      </c>
      <c r="AF1419" s="1">
        <v>34.5017976369999</v>
      </c>
      <c r="AG1419" s="1">
        <v>0.2953261428</v>
      </c>
      <c r="AH1419" s="1">
        <v>0.1027221366</v>
      </c>
      <c r="AI1419" s="1">
        <v>0.0256805342</v>
      </c>
      <c r="AJ1419" s="1">
        <v>1.0914227016</v>
      </c>
      <c r="AK1419" s="1">
        <v>62.814586543</v>
      </c>
      <c r="AL1419" s="1">
        <v>0.0546075085</v>
      </c>
      <c r="AM1419" s="1">
        <v>50.847457627</v>
      </c>
      <c r="AN1419" s="1">
        <v>100.0</v>
      </c>
      <c r="AO1419" s="1">
        <v>22769.0</v>
      </c>
      <c r="AP1419" s="1">
        <v>18.7</v>
      </c>
      <c r="AQ1419" s="1">
        <v>10.0</v>
      </c>
      <c r="AR1419" s="1">
        <v>15.8</v>
      </c>
      <c r="AS1419" s="1">
        <v>18.0</v>
      </c>
      <c r="AT1419" s="1">
        <v>24.5</v>
      </c>
      <c r="AU1419" s="1">
        <v>19.7</v>
      </c>
      <c r="AV1419" s="1">
        <v>36.8</v>
      </c>
      <c r="AW1419" s="1">
        <v>0.1</v>
      </c>
      <c r="AX1419" s="1">
        <v>0.7001</v>
      </c>
      <c r="AY1419" s="1">
        <v>19.6</v>
      </c>
      <c r="AZ1419" s="1">
        <v>16.5</v>
      </c>
      <c r="BA1419" s="1">
        <v>20.3</v>
      </c>
      <c r="BB1419" s="1">
        <v>3.0</v>
      </c>
      <c r="BC1419" s="1" t="s">
        <v>2437</v>
      </c>
      <c r="BD1419" s="1">
        <v>15.4</v>
      </c>
      <c r="BE1419" s="1">
        <v>35.4</v>
      </c>
      <c r="BF1419" s="1">
        <v>37.2</v>
      </c>
      <c r="BG1419" s="1">
        <v>12.0</v>
      </c>
      <c r="BH1419" s="1" t="s">
        <v>2462</v>
      </c>
    </row>
    <row r="1420">
      <c r="A1420" s="1">
        <v>28039.0</v>
      </c>
      <c r="B1420" s="2" t="str">
        <f>IFERROR(__xludf.DUMMYFUNCTION("TO_TEXT(A1420)"),"28039")</f>
        <v>28039</v>
      </c>
      <c r="C1420" s="1">
        <v>23313.0</v>
      </c>
      <c r="D1420" s="1">
        <v>478.695917156786</v>
      </c>
      <c r="E1420" s="1" t="s">
        <v>2463</v>
      </c>
      <c r="F1420" s="1" t="s">
        <v>2464</v>
      </c>
      <c r="G1420" s="1">
        <v>48.7010629596917</v>
      </c>
      <c r="H1420" s="1">
        <v>18.89322794</v>
      </c>
      <c r="I1420" s="1">
        <v>4.2973069624</v>
      </c>
      <c r="J1420" s="1">
        <v>9.1930951425</v>
      </c>
      <c r="K1420" s="1">
        <v>17.182069371</v>
      </c>
      <c r="L1420" s="1">
        <v>38.8</v>
      </c>
      <c r="M1420" s="1">
        <v>7.9</v>
      </c>
      <c r="N1420" s="1">
        <v>32.3</v>
      </c>
      <c r="O1420" s="1">
        <v>39.861812384</v>
      </c>
      <c r="P1420" s="1">
        <v>14.688928642</v>
      </c>
      <c r="Q1420" s="1">
        <v>33.20329</v>
      </c>
      <c r="R1420" s="1">
        <v>89.0</v>
      </c>
      <c r="S1420" s="1">
        <v>23.6</v>
      </c>
      <c r="T1420" s="1">
        <v>6281.0</v>
      </c>
      <c r="U1420" s="1">
        <v>22.0028657859999</v>
      </c>
      <c r="V1420" s="1">
        <v>59.2768227619999</v>
      </c>
      <c r="W1420" s="1">
        <v>10.5937921729999</v>
      </c>
      <c r="X1420" s="1">
        <v>8.4923928077</v>
      </c>
      <c r="Y1420" s="1">
        <v>72.958833478</v>
      </c>
      <c r="Z1420" s="1">
        <v>19.4</v>
      </c>
      <c r="AA1420" s="1">
        <v>3.2730976408</v>
      </c>
      <c r="AB1420" s="1">
        <v>47246.0</v>
      </c>
      <c r="AC1420" s="1">
        <v>65.124126295</v>
      </c>
      <c r="AD1420" s="1">
        <v>83.523499049</v>
      </c>
      <c r="AE1420" s="1">
        <v>9.2466250544</v>
      </c>
      <c r="AF1420" s="1">
        <v>7.8144329897</v>
      </c>
      <c r="AG1420" s="1">
        <v>0.5402061856</v>
      </c>
      <c r="AH1420" s="1">
        <v>0.7298969072</v>
      </c>
      <c r="AI1420" s="1">
        <v>0.0041237113</v>
      </c>
      <c r="AJ1420" s="1">
        <v>3.1505154639</v>
      </c>
      <c r="AK1420" s="1">
        <v>86.804123711</v>
      </c>
      <c r="AL1420" s="1">
        <v>0.6859337845</v>
      </c>
      <c r="AM1420" s="1">
        <v>49.443298969</v>
      </c>
      <c r="AN1420" s="1">
        <v>88.324918062</v>
      </c>
      <c r="AO1420" s="1">
        <v>20640.0</v>
      </c>
      <c r="AP1420" s="1">
        <v>17.9</v>
      </c>
      <c r="AQ1420" s="1">
        <v>8.8</v>
      </c>
      <c r="AR1420" s="1">
        <v>19.7</v>
      </c>
      <c r="AS1420" s="1">
        <v>14.1</v>
      </c>
      <c r="AT1420" s="1">
        <v>26.4</v>
      </c>
      <c r="AU1420" s="1">
        <v>20.4</v>
      </c>
      <c r="AV1420" s="1">
        <v>12.1</v>
      </c>
      <c r="AW1420" s="1">
        <v>0.5</v>
      </c>
      <c r="AX1420" s="1">
        <v>0.5772</v>
      </c>
      <c r="AY1420" s="1">
        <v>16.6</v>
      </c>
      <c r="AZ1420" s="1">
        <v>16.4</v>
      </c>
      <c r="BA1420" s="1">
        <v>20.1</v>
      </c>
      <c r="BB1420" s="1">
        <v>2.95</v>
      </c>
      <c r="BC1420" s="1" t="s">
        <v>2437</v>
      </c>
      <c r="BD1420" s="1">
        <v>15.7</v>
      </c>
      <c r="BE1420" s="1">
        <v>36.6</v>
      </c>
      <c r="BF1420" s="1">
        <v>34.0</v>
      </c>
      <c r="BG1420" s="1">
        <v>13.8</v>
      </c>
      <c r="BH1420" s="1" t="s">
        <v>2464</v>
      </c>
    </row>
    <row r="1421">
      <c r="A1421" s="1">
        <v>28041.0</v>
      </c>
      <c r="B1421" s="2" t="str">
        <f>IFERROR(__xludf.DUMMYFUNCTION("TO_TEXT(A1421)"),"28041")</f>
        <v>28041</v>
      </c>
      <c r="C1421" s="1">
        <v>13941.0</v>
      </c>
      <c r="D1421" s="1">
        <v>712.757426031734</v>
      </c>
      <c r="E1421" s="1" t="s">
        <v>122</v>
      </c>
      <c r="F1421" s="1" t="s">
        <v>2465</v>
      </c>
      <c r="G1421" s="1">
        <v>19.5592490387876</v>
      </c>
      <c r="H1421" s="1">
        <v>17.230543671</v>
      </c>
      <c r="I1421" s="1">
        <v>4.0041098823</v>
      </c>
      <c r="J1421" s="1">
        <v>7.8389830508</v>
      </c>
      <c r="K1421" s="1">
        <v>16.800455973</v>
      </c>
      <c r="L1421" s="1">
        <v>36.5</v>
      </c>
      <c r="M1421" s="1">
        <v>7.6</v>
      </c>
      <c r="N1421" s="1">
        <v>28.5</v>
      </c>
      <c r="O1421" s="1">
        <v>13.729166667</v>
      </c>
      <c r="P1421" s="1">
        <v>15.377826806</v>
      </c>
      <c r="Q1421" s="1">
        <v>48.31939</v>
      </c>
      <c r="R1421" s="1">
        <v>87.5</v>
      </c>
      <c r="S1421" s="1">
        <v>25.0</v>
      </c>
      <c r="T1421" s="1">
        <v>2672.0</v>
      </c>
      <c r="U1421" s="1">
        <v>28.555389222</v>
      </c>
      <c r="V1421" s="1">
        <v>109.00370613</v>
      </c>
      <c r="W1421" s="1">
        <v>12.12484994</v>
      </c>
      <c r="X1421" s="1">
        <v>8.1508515815</v>
      </c>
      <c r="Y1421" s="1">
        <v>73.954856745</v>
      </c>
      <c r="Z1421" s="1">
        <v>11.3</v>
      </c>
      <c r="AA1421" s="1">
        <v>1.7829728149</v>
      </c>
      <c r="AB1421" s="1">
        <v>42022.0</v>
      </c>
      <c r="AC1421" s="1">
        <v>78.998467041</v>
      </c>
      <c r="AD1421" s="1">
        <v>84.803451582</v>
      </c>
      <c r="AE1421" s="1">
        <v>8.3621114948</v>
      </c>
      <c r="AF1421" s="1">
        <v>25.268658914</v>
      </c>
      <c r="AG1421" s="1">
        <v>0.3606653908</v>
      </c>
      <c r="AH1421" s="1">
        <v>0.161931399999999</v>
      </c>
      <c r="AI1421" s="1">
        <v>0.00736051819999999</v>
      </c>
      <c r="AJ1421" s="1">
        <v>1.2880906816</v>
      </c>
      <c r="AK1421" s="1">
        <v>72.052112469</v>
      </c>
      <c r="AL1421" s="1">
        <v>0.0229498164</v>
      </c>
      <c r="AM1421" s="1">
        <v>42.15368762</v>
      </c>
      <c r="AN1421" s="1">
        <v>100.0</v>
      </c>
      <c r="AO1421" s="1">
        <v>15659.0</v>
      </c>
      <c r="AP1421" s="1">
        <v>18.0</v>
      </c>
      <c r="AQ1421" s="1">
        <v>10.4</v>
      </c>
      <c r="AR1421" s="1">
        <v>24.8</v>
      </c>
      <c r="AS1421" s="1">
        <v>12.0</v>
      </c>
      <c r="AT1421" s="1">
        <v>20.5</v>
      </c>
      <c r="AU1421" s="1">
        <v>23.5</v>
      </c>
      <c r="AV1421" s="1">
        <v>28.2</v>
      </c>
      <c r="AW1421" s="1">
        <v>0.0</v>
      </c>
      <c r="AX1421" s="1">
        <v>0.7354</v>
      </c>
      <c r="AY1421" s="1">
        <v>21.8</v>
      </c>
      <c r="AZ1421" s="1">
        <v>16.5</v>
      </c>
      <c r="BA1421" s="1">
        <v>19.7</v>
      </c>
      <c r="BB1421" s="1">
        <v>3.17</v>
      </c>
      <c r="BC1421" s="1" t="s">
        <v>2437</v>
      </c>
      <c r="BD1421" s="1">
        <v>23.8</v>
      </c>
      <c r="BE1421" s="1">
        <v>33.7</v>
      </c>
      <c r="BF1421" s="1">
        <v>32.8</v>
      </c>
      <c r="BG1421" s="1">
        <v>9.7</v>
      </c>
      <c r="BH1421" s="1" t="s">
        <v>2465</v>
      </c>
    </row>
    <row r="1422">
      <c r="A1422" s="1">
        <v>28043.0</v>
      </c>
      <c r="B1422" s="2" t="str">
        <f>IFERROR(__xludf.DUMMYFUNCTION("TO_TEXT(A1422)"),"28043")</f>
        <v>28043</v>
      </c>
      <c r="C1422" s="1">
        <v>21518.0</v>
      </c>
      <c r="D1422" s="1">
        <v>422.106943550228</v>
      </c>
      <c r="E1422" s="1" t="s">
        <v>2466</v>
      </c>
      <c r="F1422" s="1" t="s">
        <v>2467</v>
      </c>
      <c r="G1422" s="1">
        <v>50.9776025455016</v>
      </c>
      <c r="H1422" s="1">
        <v>24.808311344</v>
      </c>
      <c r="I1422" s="1">
        <v>4.7853811518</v>
      </c>
      <c r="J1422" s="1">
        <v>11.987213639</v>
      </c>
      <c r="K1422" s="1">
        <v>19.808679083</v>
      </c>
      <c r="L1422" s="1">
        <v>41.5</v>
      </c>
      <c r="M1422" s="1">
        <v>6.2</v>
      </c>
      <c r="N1422" s="1">
        <v>32.7</v>
      </c>
      <c r="O1422" s="1">
        <v>33.9952524419999</v>
      </c>
      <c r="P1422" s="1">
        <v>14.663855704</v>
      </c>
      <c r="Q1422" s="1">
        <v>47.42258</v>
      </c>
      <c r="R1422" s="1">
        <v>82.5</v>
      </c>
      <c r="S1422" s="1">
        <v>33.8</v>
      </c>
      <c r="T1422" s="1">
        <v>5054.0</v>
      </c>
      <c r="U1422" s="1">
        <v>51.58290463</v>
      </c>
      <c r="V1422" s="1">
        <v>204.509002055</v>
      </c>
      <c r="W1422" s="1">
        <v>16.511318242</v>
      </c>
      <c r="X1422" s="1">
        <v>14.479945615</v>
      </c>
      <c r="Y1422" s="1">
        <v>70.664071034</v>
      </c>
      <c r="Z1422" s="1">
        <v>15.9</v>
      </c>
      <c r="AA1422" s="1">
        <v>7.5961784613</v>
      </c>
      <c r="AB1422" s="1">
        <v>39633.0</v>
      </c>
      <c r="AC1422" s="1">
        <v>73.112156474</v>
      </c>
      <c r="AD1422" s="1">
        <v>66.609922179</v>
      </c>
      <c r="AE1422" s="1">
        <v>12.9133446609999</v>
      </c>
      <c r="AF1422" s="1">
        <v>42.426976965</v>
      </c>
      <c r="AG1422" s="1">
        <v>0.3039658038</v>
      </c>
      <c r="AH1422" s="1">
        <v>0.4749465685</v>
      </c>
      <c r="AI1422" s="1">
        <v>0.0284967941</v>
      </c>
      <c r="AJ1422" s="1">
        <v>1.448587034</v>
      </c>
      <c r="AK1422" s="1">
        <v>54.45262408</v>
      </c>
      <c r="AL1422" s="1">
        <v>0.15562249</v>
      </c>
      <c r="AM1422" s="1">
        <v>52.434101164</v>
      </c>
      <c r="AN1422" s="1">
        <v>52.154660824</v>
      </c>
      <c r="AO1422" s="1">
        <v>20562.0</v>
      </c>
      <c r="AP1422" s="1">
        <v>24.1</v>
      </c>
      <c r="AQ1422" s="1">
        <v>9.6</v>
      </c>
      <c r="AR1422" s="1">
        <v>22.7</v>
      </c>
      <c r="AS1422" s="1">
        <v>16.5</v>
      </c>
      <c r="AT1422" s="1">
        <v>23.8</v>
      </c>
      <c r="AU1422" s="1">
        <v>21.9</v>
      </c>
      <c r="AV1422" s="1">
        <v>44.7</v>
      </c>
      <c r="AW1422" s="1">
        <v>0.0</v>
      </c>
      <c r="AX1422" s="1">
        <v>0.8883</v>
      </c>
      <c r="AY1422" s="1">
        <v>20.3</v>
      </c>
      <c r="AZ1422" s="1">
        <v>19.4</v>
      </c>
      <c r="BA1422" s="1">
        <v>25.3</v>
      </c>
      <c r="BB1422" s="1">
        <v>3.2</v>
      </c>
      <c r="BC1422" s="1" t="s">
        <v>2437</v>
      </c>
      <c r="BD1422" s="1">
        <v>19.2</v>
      </c>
      <c r="BE1422" s="1">
        <v>27.8</v>
      </c>
      <c r="BF1422" s="1">
        <v>31.6</v>
      </c>
      <c r="BG1422" s="1">
        <v>21.3</v>
      </c>
      <c r="BH1422" s="1" t="s">
        <v>2467</v>
      </c>
    </row>
    <row r="1423">
      <c r="A1423" s="1">
        <v>28045.0</v>
      </c>
      <c r="B1423" s="2" t="str">
        <f>IFERROR(__xludf.DUMMYFUNCTION("TO_TEXT(A1423)"),"28045")</f>
        <v>28045</v>
      </c>
      <c r="C1423" s="1">
        <v>46028.0</v>
      </c>
      <c r="D1423" s="1">
        <v>473.963634827666</v>
      </c>
      <c r="E1423" s="1" t="s">
        <v>917</v>
      </c>
      <c r="F1423" s="1" t="s">
        <v>2468</v>
      </c>
      <c r="G1423" s="1">
        <v>97.112935714437</v>
      </c>
      <c r="H1423" s="1">
        <v>20.187514255</v>
      </c>
      <c r="I1423" s="1">
        <v>4.4451004958</v>
      </c>
      <c r="J1423" s="1">
        <v>8.1463990555</v>
      </c>
      <c r="K1423" s="1">
        <v>18.404401675</v>
      </c>
      <c r="L1423" s="1">
        <v>33.7</v>
      </c>
      <c r="M1423" s="1">
        <v>6.8</v>
      </c>
      <c r="N1423" s="1">
        <v>35.3</v>
      </c>
      <c r="O1423" s="1">
        <v>54.683694143</v>
      </c>
      <c r="P1423" s="1">
        <v>15.554091448</v>
      </c>
      <c r="Q1423" s="1">
        <v>34.00421</v>
      </c>
      <c r="R1423" s="1">
        <v>82.828054299</v>
      </c>
      <c r="S1423" s="1">
        <v>26.2</v>
      </c>
      <c r="T1423" s="1">
        <v>9933.0</v>
      </c>
      <c r="U1423" s="1">
        <v>40.008053962</v>
      </c>
      <c r="V1423" s="1">
        <v>123.61534757</v>
      </c>
      <c r="W1423" s="1">
        <v>14.909478168</v>
      </c>
      <c r="X1423" s="1">
        <v>12.452931684</v>
      </c>
      <c r="Y1423" s="1">
        <v>76.878464311</v>
      </c>
      <c r="Z1423" s="1">
        <v>12.6</v>
      </c>
      <c r="AA1423" s="1">
        <v>14.823409958</v>
      </c>
      <c r="AB1423" s="1">
        <v>49843.0</v>
      </c>
      <c r="AC1423" s="1">
        <v>75.171982489</v>
      </c>
      <c r="AD1423" s="1">
        <v>74.568369281</v>
      </c>
      <c r="AE1423" s="1">
        <v>14.051733277</v>
      </c>
      <c r="AF1423" s="1">
        <v>7.9477753834</v>
      </c>
      <c r="AG1423" s="1">
        <v>0.6739341699</v>
      </c>
      <c r="AH1423" s="1">
        <v>0.927451726</v>
      </c>
      <c r="AI1423" s="1">
        <v>0.0676046816</v>
      </c>
      <c r="AJ1423" s="1">
        <v>4.0034647399</v>
      </c>
      <c r="AK1423" s="1">
        <v>84.605146406</v>
      </c>
      <c r="AL1423" s="1">
        <v>0.2386038268</v>
      </c>
      <c r="AM1423" s="1">
        <v>51.1197025389999</v>
      </c>
      <c r="AN1423" s="1">
        <v>42.559584785</v>
      </c>
      <c r="AO1423" s="1">
        <v>23221.0</v>
      </c>
      <c r="AP1423" s="1">
        <v>18.5</v>
      </c>
      <c r="AQ1423" s="1">
        <v>8.8</v>
      </c>
      <c r="AR1423" s="1">
        <v>15.7</v>
      </c>
      <c r="AS1423" s="1">
        <v>17.4</v>
      </c>
      <c r="AT1423" s="1">
        <v>22.5</v>
      </c>
      <c r="AU1423" s="1">
        <v>17.4</v>
      </c>
      <c r="AV1423" s="1">
        <v>14.8</v>
      </c>
      <c r="AW1423" s="1">
        <v>0.1</v>
      </c>
      <c r="AX1423" s="1">
        <v>0.5565</v>
      </c>
      <c r="AY1423" s="1">
        <v>16.7</v>
      </c>
      <c r="AZ1423" s="1">
        <v>17.0</v>
      </c>
      <c r="BA1423" s="1">
        <v>20.8</v>
      </c>
      <c r="BB1423" s="1">
        <v>3.27</v>
      </c>
      <c r="BC1423" s="1" t="s">
        <v>2437</v>
      </c>
      <c r="BD1423" s="1">
        <v>12.5</v>
      </c>
      <c r="BE1423" s="1">
        <v>28.1</v>
      </c>
      <c r="BF1423" s="1">
        <v>37.3</v>
      </c>
      <c r="BG1423" s="1">
        <v>22.0</v>
      </c>
      <c r="BH1423" s="1" t="s">
        <v>2468</v>
      </c>
    </row>
    <row r="1424">
      <c r="A1424" s="1">
        <v>28047.0</v>
      </c>
      <c r="B1424" s="2" t="str">
        <f>IFERROR(__xludf.DUMMYFUNCTION("TO_TEXT(A1424)"),"28047")</f>
        <v>28047</v>
      </c>
      <c r="C1424" s="1">
        <v>198570.0</v>
      </c>
      <c r="D1424" s="1">
        <v>574.023196318127</v>
      </c>
      <c r="E1424" s="1" t="s">
        <v>1349</v>
      </c>
      <c r="F1424" s="1" t="s">
        <v>2469</v>
      </c>
      <c r="G1424" s="1">
        <v>345.926787059579</v>
      </c>
      <c r="H1424" s="1">
        <v>20.98271876</v>
      </c>
      <c r="I1424" s="1">
        <v>4.5320186428</v>
      </c>
      <c r="J1424" s="1">
        <v>10.029130254</v>
      </c>
      <c r="K1424" s="1">
        <v>21.678630446</v>
      </c>
      <c r="L1424" s="1">
        <v>33.9</v>
      </c>
      <c r="M1424" s="1">
        <v>6.0</v>
      </c>
      <c r="N1424" s="1">
        <v>30.0</v>
      </c>
      <c r="O1424" s="1">
        <v>71.203335026</v>
      </c>
      <c r="P1424" s="1">
        <v>15.79714232</v>
      </c>
      <c r="Q1424" s="1">
        <v>54.13921</v>
      </c>
      <c r="R1424" s="1">
        <v>85.233125898</v>
      </c>
      <c r="S1424" s="1">
        <v>29.0</v>
      </c>
      <c r="T1424" s="1">
        <v>48491.0</v>
      </c>
      <c r="U1424" s="1">
        <v>44.142211957</v>
      </c>
      <c r="V1424" s="1">
        <v>234.22057014</v>
      </c>
      <c r="W1424" s="1">
        <v>18.816853639</v>
      </c>
      <c r="X1424" s="1">
        <v>16.178705968</v>
      </c>
      <c r="Y1424" s="1">
        <v>75.1888059189999</v>
      </c>
      <c r="Z1424" s="1">
        <v>11.3</v>
      </c>
      <c r="AA1424" s="1">
        <v>15.787188763</v>
      </c>
      <c r="AB1424" s="1">
        <v>45355.0</v>
      </c>
      <c r="AC1424" s="1">
        <v>67.409649606</v>
      </c>
      <c r="AD1424" s="1">
        <v>56.016129237</v>
      </c>
      <c r="AE1424" s="1">
        <v>16.533616475</v>
      </c>
      <c r="AF1424" s="1">
        <v>25.173481732</v>
      </c>
      <c r="AG1424" s="1">
        <v>0.4843939027</v>
      </c>
      <c r="AH1424" s="1">
        <v>2.8729736269</v>
      </c>
      <c r="AI1424" s="1">
        <v>0.1030728285</v>
      </c>
      <c r="AJ1424" s="1">
        <v>5.5639970965</v>
      </c>
      <c r="AK1424" s="1">
        <v>63.525768207</v>
      </c>
      <c r="AL1424" s="1">
        <v>1.5046584097</v>
      </c>
      <c r="AM1424" s="1">
        <v>51.013307525</v>
      </c>
      <c r="AN1424" s="1">
        <v>22.844926645</v>
      </c>
      <c r="AO1424" s="1">
        <v>22517.0</v>
      </c>
      <c r="AP1424" s="1">
        <v>21.0</v>
      </c>
      <c r="AQ1424" s="1">
        <v>9.6</v>
      </c>
      <c r="AR1424" s="1">
        <v>13.6</v>
      </c>
      <c r="AS1424" s="1">
        <v>13.3</v>
      </c>
      <c r="AT1424" s="1">
        <v>24.3</v>
      </c>
      <c r="AU1424" s="1">
        <v>15.3</v>
      </c>
      <c r="AV1424" s="1">
        <v>35.1</v>
      </c>
      <c r="AW1424" s="1">
        <v>1.5</v>
      </c>
      <c r="AX1424" s="1">
        <v>0.8564</v>
      </c>
      <c r="AY1424" s="1">
        <v>17.5</v>
      </c>
      <c r="AZ1424" s="1">
        <v>17.7</v>
      </c>
      <c r="BA1424" s="1">
        <v>20.9</v>
      </c>
      <c r="BB1424" s="1">
        <v>3.2</v>
      </c>
      <c r="BC1424" s="1" t="s">
        <v>2437</v>
      </c>
      <c r="BD1424" s="1">
        <v>11.7</v>
      </c>
      <c r="BE1424" s="1">
        <v>29.1</v>
      </c>
      <c r="BF1424" s="1">
        <v>36.1</v>
      </c>
      <c r="BG1424" s="1">
        <v>23.1</v>
      </c>
      <c r="BH1424" s="1" t="s">
        <v>2469</v>
      </c>
    </row>
    <row r="1425">
      <c r="A1425" s="1">
        <v>28049.0</v>
      </c>
      <c r="B1425" s="2" t="str">
        <f>IFERROR(__xludf.DUMMYFUNCTION("TO_TEXT(A1425)"),"28049")</f>
        <v>28049</v>
      </c>
      <c r="C1425" s="1">
        <v>244596.0</v>
      </c>
      <c r="D1425" s="1">
        <v>869.763310498916</v>
      </c>
      <c r="E1425" s="1" t="s">
        <v>2470</v>
      </c>
      <c r="F1425" s="1" t="s">
        <v>2471</v>
      </c>
      <c r="G1425" s="1">
        <v>281.221335790416</v>
      </c>
      <c r="H1425" s="1">
        <v>21.0145611809999</v>
      </c>
      <c r="I1425" s="1">
        <v>4.5877435868</v>
      </c>
      <c r="J1425" s="1">
        <v>14.601828541</v>
      </c>
      <c r="K1425" s="1">
        <v>18.854159609</v>
      </c>
      <c r="L1425" s="1">
        <v>37.2</v>
      </c>
      <c r="M1425" s="1">
        <v>5.1</v>
      </c>
      <c r="N1425" s="1">
        <v>31.2</v>
      </c>
      <c r="O1425" s="1">
        <v>68.563915445</v>
      </c>
      <c r="P1425" s="1">
        <v>14.196975062</v>
      </c>
      <c r="Q1425" s="1">
        <v>78.91539</v>
      </c>
      <c r="R1425" s="1">
        <v>74.355348169</v>
      </c>
      <c r="S1425" s="1">
        <v>30.4</v>
      </c>
      <c r="T1425" s="1">
        <v>58418.0</v>
      </c>
      <c r="U1425" s="1">
        <v>58.050600842</v>
      </c>
      <c r="V1425" s="1">
        <v>755.01275122</v>
      </c>
      <c r="W1425" s="1">
        <v>20.568646107</v>
      </c>
      <c r="X1425" s="1">
        <v>18.127752044</v>
      </c>
      <c r="Y1425" s="1">
        <v>75.21256267</v>
      </c>
      <c r="Z1425" s="1">
        <v>13.8</v>
      </c>
      <c r="AA1425" s="1">
        <v>12.478546644</v>
      </c>
      <c r="AB1425" s="1">
        <v>44776.0</v>
      </c>
      <c r="AC1425" s="1">
        <v>89.4088409479999</v>
      </c>
      <c r="AD1425" s="1">
        <v>58.4284989569999</v>
      </c>
      <c r="AE1425" s="1">
        <v>17.139351612</v>
      </c>
      <c r="AF1425" s="1">
        <v>72.429297509</v>
      </c>
      <c r="AG1425" s="1">
        <v>0.1096653099</v>
      </c>
      <c r="AH1425" s="1">
        <v>0.764282852099999</v>
      </c>
      <c r="AI1425" s="1">
        <v>0.0265727482</v>
      </c>
      <c r="AJ1425" s="1">
        <v>1.633591328</v>
      </c>
      <c r="AK1425" s="1">
        <v>24.2027121069999</v>
      </c>
      <c r="AL1425" s="1">
        <v>0.7483173928</v>
      </c>
      <c r="AM1425" s="1">
        <v>53.334458106</v>
      </c>
      <c r="AN1425" s="1">
        <v>15.276515074</v>
      </c>
      <c r="AO1425" s="1">
        <v>21672.0</v>
      </c>
      <c r="AP1425" s="1">
        <v>25.5</v>
      </c>
      <c r="AQ1425" s="1">
        <v>10.5</v>
      </c>
      <c r="AR1425" s="1">
        <v>13.7</v>
      </c>
      <c r="AS1425" s="1">
        <v>12.1</v>
      </c>
      <c r="AT1425" s="1">
        <v>25.0</v>
      </c>
      <c r="AU1425" s="1">
        <v>12.5</v>
      </c>
      <c r="AV1425" s="1">
        <v>74.3</v>
      </c>
      <c r="AW1425" s="1">
        <v>0.7</v>
      </c>
      <c r="AX1425" s="1">
        <v>0.8746</v>
      </c>
      <c r="AY1425" s="1">
        <v>20.1</v>
      </c>
      <c r="AZ1425" s="1">
        <v>18.0</v>
      </c>
      <c r="BA1425" s="1">
        <v>21.0</v>
      </c>
      <c r="BB1425" s="1">
        <v>3.26</v>
      </c>
      <c r="BC1425" s="1" t="s">
        <v>2437</v>
      </c>
      <c r="BD1425" s="1">
        <v>12.5</v>
      </c>
      <c r="BE1425" s="1">
        <v>25.0</v>
      </c>
      <c r="BF1425" s="1">
        <v>33.5</v>
      </c>
      <c r="BG1425" s="1">
        <v>29.0</v>
      </c>
      <c r="BH1425" s="1" t="s">
        <v>2471</v>
      </c>
    </row>
    <row r="1426">
      <c r="A1426" s="1">
        <v>28051.0</v>
      </c>
      <c r="B1426" s="2" t="str">
        <f>IFERROR(__xludf.DUMMYFUNCTION("TO_TEXT(A1426)"),"28051")</f>
        <v>28051</v>
      </c>
      <c r="C1426" s="1">
        <v>18547.0</v>
      </c>
      <c r="D1426" s="1">
        <v>756.67375168615</v>
      </c>
      <c r="E1426" s="1" t="s">
        <v>731</v>
      </c>
      <c r="F1426" s="1" t="s">
        <v>2472</v>
      </c>
      <c r="G1426" s="1">
        <v>24.5112242345798</v>
      </c>
      <c r="H1426" s="1">
        <v>37.551650455</v>
      </c>
      <c r="I1426" s="1">
        <v>5.6067934842</v>
      </c>
      <c r="J1426" s="1">
        <v>14.130434783</v>
      </c>
      <c r="K1426" s="1">
        <v>27.775253162</v>
      </c>
      <c r="L1426" s="1">
        <v>46.3</v>
      </c>
      <c r="M1426" s="1">
        <v>1.5</v>
      </c>
      <c r="N1426" s="1">
        <v>41.6</v>
      </c>
      <c r="O1426" s="1">
        <v>27.07052818</v>
      </c>
      <c r="P1426" s="1">
        <v>14.430560514</v>
      </c>
      <c r="Q1426" s="1">
        <v>50.73567</v>
      </c>
      <c r="R1426" s="1">
        <v>75.996047431</v>
      </c>
      <c r="S1426" s="1">
        <v>45.5</v>
      </c>
      <c r="T1426" s="1">
        <v>4724.0</v>
      </c>
      <c r="U1426" s="1">
        <v>79.868755292</v>
      </c>
      <c r="V1426" s="1">
        <v>204.509002055</v>
      </c>
      <c r="W1426" s="1">
        <v>18.052256532</v>
      </c>
      <c r="X1426" s="1">
        <v>16.067615658</v>
      </c>
      <c r="Y1426" s="1">
        <v>72.051301241</v>
      </c>
      <c r="Z1426" s="1">
        <v>23.1</v>
      </c>
      <c r="AA1426" s="1">
        <v>32.506353951</v>
      </c>
      <c r="AB1426" s="1">
        <v>26449.0</v>
      </c>
      <c r="AC1426" s="1">
        <v>100.0</v>
      </c>
      <c r="AD1426" s="1">
        <v>60.647631201</v>
      </c>
      <c r="AE1426" s="1">
        <v>17.391304348</v>
      </c>
      <c r="AF1426" s="1">
        <v>81.954375213</v>
      </c>
      <c r="AG1426" s="1">
        <v>0.175916468099999</v>
      </c>
      <c r="AH1426" s="1">
        <v>0.2496878901</v>
      </c>
      <c r="AI1426" s="1">
        <v>0.0056747248</v>
      </c>
      <c r="AJ1426" s="1">
        <v>1.1462944047</v>
      </c>
      <c r="AK1426" s="1">
        <v>15.724662354</v>
      </c>
      <c r="AL1426" s="1">
        <v>0.0</v>
      </c>
      <c r="AM1426" s="1">
        <v>52.207467938</v>
      </c>
      <c r="AN1426" s="1">
        <v>86.84758829</v>
      </c>
      <c r="AO1426" s="1">
        <v>12408.0</v>
      </c>
      <c r="AP1426" s="1">
        <v>45.0</v>
      </c>
      <c r="AQ1426" s="1">
        <v>18.9</v>
      </c>
      <c r="AR1426" s="1">
        <v>25.6</v>
      </c>
      <c r="AS1426" s="1">
        <v>13.6</v>
      </c>
      <c r="AT1426" s="1">
        <v>27.0</v>
      </c>
      <c r="AU1426" s="1">
        <v>13.8</v>
      </c>
      <c r="AV1426" s="1">
        <v>84.3</v>
      </c>
      <c r="AW1426" s="1">
        <v>0.0</v>
      </c>
      <c r="AX1426" s="1">
        <v>0.9592</v>
      </c>
      <c r="AY1426" s="1">
        <v>33.8</v>
      </c>
      <c r="AZ1426" s="1">
        <v>27.8</v>
      </c>
      <c r="BA1426" s="1">
        <v>34.4</v>
      </c>
      <c r="BB1426" s="1">
        <v>3.25</v>
      </c>
      <c r="BC1426" s="1" t="s">
        <v>2437</v>
      </c>
      <c r="BD1426" s="1">
        <v>23.2</v>
      </c>
      <c r="BE1426" s="1">
        <v>41.0</v>
      </c>
      <c r="BF1426" s="1">
        <v>25.7</v>
      </c>
      <c r="BG1426" s="1">
        <v>10.2</v>
      </c>
      <c r="BH1426" s="1" t="s">
        <v>2472</v>
      </c>
    </row>
    <row r="1427">
      <c r="A1427" s="1">
        <v>28053.0</v>
      </c>
      <c r="B1427" s="2" t="str">
        <f>IFERROR(__xludf.DUMMYFUNCTION("TO_TEXT(A1427)"),"28053")</f>
        <v>28053</v>
      </c>
      <c r="C1427" s="1">
        <v>8822.0</v>
      </c>
      <c r="D1427" s="1">
        <v>418.514213088662</v>
      </c>
      <c r="E1427" s="1" t="s">
        <v>2473</v>
      </c>
      <c r="F1427" s="1" t="s">
        <v>2474</v>
      </c>
      <c r="G1427" s="1">
        <v>21.0793318938754</v>
      </c>
      <c r="H1427" s="1">
        <v>36.166916186</v>
      </c>
      <c r="I1427" s="1">
        <v>5.556300095</v>
      </c>
      <c r="J1427" s="1">
        <v>14.140127389</v>
      </c>
      <c r="K1427" s="1">
        <v>25.66835241</v>
      </c>
      <c r="L1427" s="1">
        <v>46.3</v>
      </c>
      <c r="M1427" s="1">
        <v>3.8</v>
      </c>
      <c r="N1427" s="1">
        <v>28.1</v>
      </c>
      <c r="O1427" s="1">
        <v>35.8826666669999</v>
      </c>
      <c r="P1427" s="1">
        <v>15.419937787</v>
      </c>
      <c r="Q1427" s="1">
        <v>35.9626</v>
      </c>
      <c r="R1427" s="1">
        <v>82.5</v>
      </c>
      <c r="S1427" s="1">
        <v>56.3</v>
      </c>
      <c r="T1427" s="1">
        <v>2269.0</v>
      </c>
      <c r="U1427" s="1">
        <v>74.1736447769999</v>
      </c>
      <c r="V1427" s="1">
        <v>204.509002055</v>
      </c>
      <c r="W1427" s="1">
        <v>23.3660130719999</v>
      </c>
      <c r="X1427" s="1">
        <v>18.474576271</v>
      </c>
      <c r="Y1427" s="1">
        <v>74.115569058</v>
      </c>
      <c r="Z1427" s="1">
        <v>14.0</v>
      </c>
      <c r="AA1427" s="1">
        <v>12.632553885</v>
      </c>
      <c r="AB1427" s="1">
        <v>28542.0</v>
      </c>
      <c r="AC1427" s="1">
        <v>100.0</v>
      </c>
      <c r="AD1427" s="1">
        <v>60.517187007</v>
      </c>
      <c r="AE1427" s="1">
        <v>16.8474331159999</v>
      </c>
      <c r="AF1427" s="1">
        <v>74.809252755</v>
      </c>
      <c r="AG1427" s="1">
        <v>0.2179968512</v>
      </c>
      <c r="AH1427" s="1">
        <v>0.3754390214</v>
      </c>
      <c r="AI1427" s="1">
        <v>0.0605546809</v>
      </c>
      <c r="AJ1427" s="1">
        <v>3.7059464697</v>
      </c>
      <c r="AK1427" s="1">
        <v>20.176819668</v>
      </c>
      <c r="AL1427" s="1">
        <v>0.1124156882</v>
      </c>
      <c r="AM1427" s="1">
        <v>52.936902023</v>
      </c>
      <c r="AN1427" s="1">
        <v>49.845333333</v>
      </c>
      <c r="AO1427" s="1">
        <v>13977.0</v>
      </c>
      <c r="AP1427" s="1">
        <v>42.5</v>
      </c>
      <c r="AQ1427" s="1">
        <v>25.1</v>
      </c>
      <c r="AR1427" s="1">
        <v>34.7</v>
      </c>
      <c r="AS1427" s="1">
        <v>14.1</v>
      </c>
      <c r="AT1427" s="1">
        <v>27.5</v>
      </c>
      <c r="AU1427" s="1">
        <v>15.2</v>
      </c>
      <c r="AV1427" s="1">
        <v>78.5</v>
      </c>
      <c r="AW1427" s="1">
        <v>0.3</v>
      </c>
      <c r="AX1427" s="1">
        <v>0.9341</v>
      </c>
      <c r="AY1427" s="1">
        <v>37.1</v>
      </c>
      <c r="AZ1427" s="1">
        <v>26.4</v>
      </c>
      <c r="BA1427" s="1">
        <v>35.1</v>
      </c>
      <c r="BB1427" s="1">
        <v>3.03</v>
      </c>
      <c r="BC1427" s="1" t="s">
        <v>2437</v>
      </c>
      <c r="BD1427" s="1">
        <v>30.1</v>
      </c>
      <c r="BE1427" s="1">
        <v>33.8</v>
      </c>
      <c r="BF1427" s="1">
        <v>23.3</v>
      </c>
      <c r="BG1427" s="1">
        <v>12.8</v>
      </c>
      <c r="BH1427" s="1" t="s">
        <v>2474</v>
      </c>
    </row>
    <row r="1428">
      <c r="A1428" s="1">
        <v>28055.0</v>
      </c>
      <c r="B1428" s="2" t="str">
        <f>IFERROR(__xludf.DUMMYFUNCTION("TO_TEXT(A1428)"),"28055")</f>
        <v>28055</v>
      </c>
      <c r="C1428" s="1">
        <v>1352.0</v>
      </c>
      <c r="D1428" s="1">
        <v>413.0453172558</v>
      </c>
      <c r="E1428" s="1" t="s">
        <v>2475</v>
      </c>
      <c r="F1428" s="1" t="s">
        <v>2476</v>
      </c>
      <c r="G1428" s="1">
        <v>3.27324858439856</v>
      </c>
      <c r="H1428" s="1">
        <v>35.332852064</v>
      </c>
      <c r="I1428" s="1">
        <v>5.239326747</v>
      </c>
      <c r="J1428" s="1">
        <v>24.3902439019999</v>
      </c>
      <c r="K1428" s="1">
        <v>27.223854899</v>
      </c>
      <c r="L1428" s="1">
        <v>27.1</v>
      </c>
      <c r="M1428" s="1">
        <v>2.3</v>
      </c>
      <c r="N1428" s="1">
        <v>43.4</v>
      </c>
      <c r="O1428" s="1">
        <v>18.13655761</v>
      </c>
      <c r="P1428" s="1">
        <v>18.028846154</v>
      </c>
      <c r="Q1428" s="1">
        <v>0.0</v>
      </c>
      <c r="R1428" s="1">
        <v>89.912280702</v>
      </c>
      <c r="S1428" s="1">
        <v>50.8</v>
      </c>
      <c r="T1428" s="1">
        <v>200.0</v>
      </c>
      <c r="U1428" s="1">
        <v>42.0</v>
      </c>
      <c r="V1428" s="1">
        <v>204.509002055</v>
      </c>
      <c r="W1428" s="1">
        <v>19.791666667</v>
      </c>
      <c r="X1428" s="1">
        <v>17.647058824</v>
      </c>
      <c r="Y1428" s="1">
        <v>77.482572377</v>
      </c>
      <c r="Z1428" s="1">
        <v>7.0</v>
      </c>
      <c r="AA1428" s="1">
        <v>27.153304487</v>
      </c>
      <c r="AB1428" s="1">
        <v>26936.0</v>
      </c>
      <c r="AC1428" s="1">
        <v>52.4746192889999</v>
      </c>
      <c r="AD1428" s="1">
        <v>45.867768595</v>
      </c>
      <c r="AE1428" s="1">
        <v>16.172506739</v>
      </c>
      <c r="AF1428" s="1">
        <v>62.996941896</v>
      </c>
      <c r="AG1428" s="1">
        <v>0.3058103976</v>
      </c>
      <c r="AH1428" s="1">
        <v>0.4587155963</v>
      </c>
      <c r="AI1428" s="1">
        <v>0.1529051988</v>
      </c>
      <c r="AJ1428" s="1">
        <v>1.6819571865</v>
      </c>
      <c r="AK1428" s="1">
        <v>34.327217125</v>
      </c>
      <c r="AL1428" s="1">
        <v>0.1619433198</v>
      </c>
      <c r="AM1428" s="1">
        <v>40.825688073</v>
      </c>
      <c r="AN1428" s="1">
        <v>100.0</v>
      </c>
      <c r="AO1428" s="1">
        <v>17282.0</v>
      </c>
      <c r="AP1428" s="1">
        <v>40.4</v>
      </c>
      <c r="AQ1428" s="1">
        <v>10.7</v>
      </c>
      <c r="AR1428" s="1">
        <v>33.5</v>
      </c>
      <c r="AS1428" s="1">
        <v>18.6</v>
      </c>
      <c r="AT1428" s="1">
        <v>15.4</v>
      </c>
      <c r="AU1428" s="1">
        <v>19.9</v>
      </c>
      <c r="AV1428" s="1">
        <v>60.8</v>
      </c>
      <c r="AW1428" s="1">
        <v>0.0</v>
      </c>
      <c r="AX1428" s="1">
        <v>0.9392</v>
      </c>
      <c r="AY1428" s="1">
        <v>35.8</v>
      </c>
      <c r="AZ1428" s="1">
        <v>28.9</v>
      </c>
      <c r="BA1428" s="1">
        <v>41.1</v>
      </c>
      <c r="BB1428" s="1">
        <v>3.11</v>
      </c>
      <c r="BC1428" s="1" t="s">
        <v>2437</v>
      </c>
      <c r="BD1428" s="1">
        <v>39.5</v>
      </c>
      <c r="BE1428" s="1">
        <v>31.9</v>
      </c>
      <c r="BF1428" s="1">
        <v>25.5</v>
      </c>
      <c r="BG1428" s="1">
        <v>3.2</v>
      </c>
      <c r="BH1428" s="1" t="s">
        <v>2476</v>
      </c>
    </row>
    <row r="1429">
      <c r="A1429" s="1">
        <v>28057.0</v>
      </c>
      <c r="B1429" s="2" t="str">
        <f>IFERROR(__xludf.DUMMYFUNCTION("TO_TEXT(A1429)"),"28057")</f>
        <v>28057</v>
      </c>
      <c r="C1429" s="1">
        <v>23511.0</v>
      </c>
      <c r="D1429" s="1">
        <v>532.792127447884</v>
      </c>
      <c r="E1429" s="1" t="s">
        <v>2477</v>
      </c>
      <c r="F1429" s="1" t="s">
        <v>2478</v>
      </c>
      <c r="G1429" s="1">
        <v>44.1279042778269</v>
      </c>
      <c r="H1429" s="1">
        <v>21.007350868</v>
      </c>
      <c r="I1429" s="1">
        <v>4.5304288465</v>
      </c>
      <c r="J1429" s="1">
        <v>9.9839829151</v>
      </c>
      <c r="K1429" s="1">
        <v>19.050322083</v>
      </c>
      <c r="L1429" s="1">
        <v>33.7</v>
      </c>
      <c r="M1429" s="1">
        <v>7.7</v>
      </c>
      <c r="N1429" s="1">
        <v>30.4</v>
      </c>
      <c r="O1429" s="1">
        <v>49.0235460019999</v>
      </c>
      <c r="P1429" s="1">
        <v>15.2617998059999</v>
      </c>
      <c r="Q1429" s="1">
        <v>17.01548</v>
      </c>
      <c r="R1429" s="1">
        <v>84.0</v>
      </c>
      <c r="S1429" s="1">
        <v>17.5</v>
      </c>
      <c r="T1429" s="1">
        <v>5082.0</v>
      </c>
      <c r="U1429" s="1">
        <v>27.981109799</v>
      </c>
      <c r="V1429" s="1">
        <v>106.73725557</v>
      </c>
      <c r="W1429" s="1">
        <v>11.90744921</v>
      </c>
      <c r="X1429" s="1">
        <v>9.3402180149</v>
      </c>
      <c r="Y1429" s="1">
        <v>74.919437095</v>
      </c>
      <c r="Z1429" s="1">
        <v>14.9</v>
      </c>
      <c r="AA1429" s="1">
        <v>4.6599638876</v>
      </c>
      <c r="AB1429" s="1">
        <v>45720.0</v>
      </c>
      <c r="AC1429" s="1">
        <v>64.517906336</v>
      </c>
      <c r="AD1429" s="1">
        <v>77.8084079939999</v>
      </c>
      <c r="AE1429" s="1">
        <v>7.7643908969</v>
      </c>
      <c r="AF1429" s="1">
        <v>6.8716247821</v>
      </c>
      <c r="AG1429" s="1">
        <v>0.3316749585</v>
      </c>
      <c r="AH1429" s="1">
        <v>0.4847557086</v>
      </c>
      <c r="AI1429" s="1">
        <v>0.0127567292</v>
      </c>
      <c r="AJ1429" s="1">
        <v>1.5988433899</v>
      </c>
      <c r="AK1429" s="1">
        <v>89.820130119</v>
      </c>
      <c r="AL1429" s="1">
        <v>0.0630119723</v>
      </c>
      <c r="AM1429" s="1">
        <v>50.699493983</v>
      </c>
      <c r="AN1429" s="1">
        <v>86.2527242429999</v>
      </c>
      <c r="AO1429" s="1">
        <v>19707.0</v>
      </c>
      <c r="AP1429" s="1">
        <v>20.2</v>
      </c>
      <c r="AQ1429" s="1">
        <v>7.2</v>
      </c>
      <c r="AR1429" s="1">
        <v>24.2</v>
      </c>
      <c r="AS1429" s="1">
        <v>16.9</v>
      </c>
      <c r="AT1429" s="1">
        <v>22.3</v>
      </c>
      <c r="AU1429" s="1">
        <v>20.7</v>
      </c>
      <c r="AV1429" s="1">
        <v>9.1</v>
      </c>
      <c r="AW1429" s="1">
        <v>0.1</v>
      </c>
      <c r="AX1429" s="1">
        <v>0.6625</v>
      </c>
      <c r="AY1429" s="1">
        <v>12.8</v>
      </c>
      <c r="AZ1429" s="1">
        <v>15.9</v>
      </c>
      <c r="BA1429" s="1">
        <v>18.4</v>
      </c>
      <c r="BB1429" s="1">
        <v>2.99</v>
      </c>
      <c r="BC1429" s="1" t="s">
        <v>2437</v>
      </c>
      <c r="BD1429" s="1">
        <v>20.9</v>
      </c>
      <c r="BE1429" s="1">
        <v>31.1</v>
      </c>
      <c r="BF1429" s="1">
        <v>34.8</v>
      </c>
      <c r="BG1429" s="1">
        <v>13.2</v>
      </c>
      <c r="BH1429" s="1" t="s">
        <v>2478</v>
      </c>
    </row>
    <row r="1430">
      <c r="A1430" s="1">
        <v>28059.0</v>
      </c>
      <c r="B1430" s="2" t="str">
        <f>IFERROR(__xludf.DUMMYFUNCTION("TO_TEXT(A1430)"),"28059")</f>
        <v>28059</v>
      </c>
      <c r="C1430" s="1">
        <v>140850.0</v>
      </c>
      <c r="D1430" s="1">
        <v>722.75046316925</v>
      </c>
      <c r="E1430" s="1" t="s">
        <v>130</v>
      </c>
      <c r="F1430" s="1" t="s">
        <v>2479</v>
      </c>
      <c r="G1430" s="1">
        <v>194.880539242237</v>
      </c>
      <c r="H1430" s="1">
        <v>21.530508112</v>
      </c>
      <c r="I1430" s="1">
        <v>4.3018039568</v>
      </c>
      <c r="J1430" s="1">
        <v>9.8742636068</v>
      </c>
      <c r="K1430" s="1">
        <v>19.193371227</v>
      </c>
      <c r="L1430" s="1">
        <v>32.9</v>
      </c>
      <c r="M1430" s="1">
        <v>6.9</v>
      </c>
      <c r="N1430" s="1">
        <v>26.3</v>
      </c>
      <c r="O1430" s="1">
        <v>75.05942664</v>
      </c>
      <c r="P1430" s="1">
        <v>13.84379683</v>
      </c>
      <c r="Q1430" s="1">
        <v>50.65001</v>
      </c>
      <c r="R1430" s="1">
        <v>87.428774929</v>
      </c>
      <c r="S1430" s="1">
        <v>26.5</v>
      </c>
      <c r="T1430" s="1">
        <v>33614.0</v>
      </c>
      <c r="U1430" s="1">
        <v>39.394299994</v>
      </c>
      <c r="V1430" s="1">
        <v>219.95632296</v>
      </c>
      <c r="W1430" s="1">
        <v>12.9951355109999</v>
      </c>
      <c r="X1430" s="1">
        <v>11.915935523</v>
      </c>
      <c r="Y1430" s="1">
        <v>76.322790978</v>
      </c>
      <c r="Z1430" s="1">
        <v>13.8</v>
      </c>
      <c r="AA1430" s="1">
        <v>10.918585968</v>
      </c>
      <c r="AB1430" s="1">
        <v>51771.0</v>
      </c>
      <c r="AC1430" s="1">
        <v>69.626090569</v>
      </c>
      <c r="AD1430" s="1">
        <v>69.937194968</v>
      </c>
      <c r="AE1430" s="1">
        <v>12.958839751</v>
      </c>
      <c r="AF1430" s="1">
        <v>21.11992853</v>
      </c>
      <c r="AG1430" s="1">
        <v>0.4773969304</v>
      </c>
      <c r="AH1430" s="1">
        <v>2.3081164458</v>
      </c>
      <c r="AI1430" s="1">
        <v>0.0998066682</v>
      </c>
      <c r="AJ1430" s="1">
        <v>6.9599447225</v>
      </c>
      <c r="AK1430" s="1">
        <v>67.38974155</v>
      </c>
      <c r="AL1430" s="1">
        <v>0.9326742137</v>
      </c>
      <c r="AM1430" s="1">
        <v>50.79321873</v>
      </c>
      <c r="AN1430" s="1">
        <v>27.260360283</v>
      </c>
      <c r="AO1430" s="1">
        <v>24350.0</v>
      </c>
      <c r="AP1430" s="1">
        <v>15.6</v>
      </c>
      <c r="AQ1430" s="1">
        <v>8.7</v>
      </c>
      <c r="AR1430" s="1">
        <v>12.3</v>
      </c>
      <c r="AS1430" s="1">
        <v>14.1</v>
      </c>
      <c r="AT1430" s="1">
        <v>24.3</v>
      </c>
      <c r="AU1430" s="1">
        <v>17.6</v>
      </c>
      <c r="AV1430" s="1">
        <v>31.3</v>
      </c>
      <c r="AW1430" s="1">
        <v>0.8</v>
      </c>
      <c r="AX1430" s="1">
        <v>0.518</v>
      </c>
      <c r="AY1430" s="1">
        <v>15.1</v>
      </c>
      <c r="AZ1430" s="1">
        <v>16.3</v>
      </c>
      <c r="BA1430" s="1">
        <v>19.6</v>
      </c>
      <c r="BB1430" s="1">
        <v>3.34</v>
      </c>
      <c r="BC1430" s="1" t="s">
        <v>2437</v>
      </c>
      <c r="BD1430" s="1">
        <v>11.3</v>
      </c>
      <c r="BE1430" s="1">
        <v>31.2</v>
      </c>
      <c r="BF1430" s="1">
        <v>36.4</v>
      </c>
      <c r="BG1430" s="1">
        <v>21.1</v>
      </c>
      <c r="BH1430" s="1" t="s">
        <v>2479</v>
      </c>
    </row>
    <row r="1431">
      <c r="A1431" s="1">
        <v>28061.0</v>
      </c>
      <c r="B1431" s="2" t="str">
        <f>IFERROR(__xludf.DUMMYFUNCTION("TO_TEXT(A1431)"),"28061")</f>
        <v>28061</v>
      </c>
      <c r="C1431" s="1">
        <v>16538.0</v>
      </c>
      <c r="D1431" s="1">
        <v>676.238899639758</v>
      </c>
      <c r="E1431" s="1" t="s">
        <v>932</v>
      </c>
      <c r="F1431" s="1" t="s">
        <v>2480</v>
      </c>
      <c r="G1431" s="1">
        <v>24.4558542976602</v>
      </c>
      <c r="H1431" s="1">
        <v>26.553256708</v>
      </c>
      <c r="I1431" s="1">
        <v>4.6557336297</v>
      </c>
      <c r="J1431" s="1">
        <v>12.382864793</v>
      </c>
      <c r="K1431" s="1">
        <v>19.368614997</v>
      </c>
      <c r="L1431" s="1">
        <v>45.4</v>
      </c>
      <c r="M1431" s="1">
        <v>6.3</v>
      </c>
      <c r="N1431" s="1">
        <v>38.8</v>
      </c>
      <c r="O1431" s="1">
        <v>29.885124839</v>
      </c>
      <c r="P1431" s="1">
        <v>15.279257343</v>
      </c>
      <c r="Q1431" s="1">
        <v>18.09191</v>
      </c>
      <c r="R1431" s="1">
        <v>83.185279188</v>
      </c>
      <c r="S1431" s="1">
        <v>28.2</v>
      </c>
      <c r="T1431" s="1">
        <v>3778.0</v>
      </c>
      <c r="U1431" s="1">
        <v>56.405505558</v>
      </c>
      <c r="V1431" s="1">
        <v>204.509002055</v>
      </c>
      <c r="W1431" s="1">
        <v>14.47562777</v>
      </c>
      <c r="X1431" s="1">
        <v>11.700468019</v>
      </c>
      <c r="Y1431" s="1">
        <v>75.29158584</v>
      </c>
      <c r="Z1431" s="1">
        <v>22.3</v>
      </c>
      <c r="AA1431" s="1">
        <v>6.1348046144</v>
      </c>
      <c r="AB1431" s="1">
        <v>36987.0</v>
      </c>
      <c r="AC1431" s="1">
        <v>87.9738562089999</v>
      </c>
      <c r="AD1431" s="1">
        <v>84.738415546</v>
      </c>
      <c r="AE1431" s="1">
        <v>8.2770813243</v>
      </c>
      <c r="AF1431" s="1">
        <v>53.031409788</v>
      </c>
      <c r="AG1431" s="1">
        <v>0.2556610665</v>
      </c>
      <c r="AH1431" s="1">
        <v>0.1339177015</v>
      </c>
      <c r="AI1431" s="1">
        <v>0.048697346</v>
      </c>
      <c r="AJ1431" s="1">
        <v>1.3878743608</v>
      </c>
      <c r="AK1431" s="1">
        <v>44.43632822</v>
      </c>
      <c r="AL1431" s="1">
        <v>0.0</v>
      </c>
      <c r="AM1431" s="1">
        <v>51.625273923</v>
      </c>
      <c r="AN1431" s="1">
        <v>100.0</v>
      </c>
      <c r="AO1431" s="1">
        <v>19363.0</v>
      </c>
      <c r="AP1431" s="1">
        <v>22.1</v>
      </c>
      <c r="AQ1431" s="1">
        <v>6.5</v>
      </c>
      <c r="AR1431" s="1">
        <v>16.8</v>
      </c>
      <c r="AS1431" s="1">
        <v>18.2</v>
      </c>
      <c r="AT1431" s="1">
        <v>23.2</v>
      </c>
      <c r="AU1431" s="1">
        <v>19.7</v>
      </c>
      <c r="AV1431" s="1">
        <v>54.4</v>
      </c>
      <c r="AW1431" s="1">
        <v>0.1</v>
      </c>
      <c r="AX1431" s="1">
        <v>0.7383</v>
      </c>
      <c r="AY1431" s="1">
        <v>20.5</v>
      </c>
      <c r="AZ1431" s="1">
        <v>18.7</v>
      </c>
      <c r="BA1431" s="1">
        <v>26.4</v>
      </c>
      <c r="BB1431" s="1">
        <v>2.94</v>
      </c>
      <c r="BC1431" s="1" t="s">
        <v>2437</v>
      </c>
      <c r="BD1431" s="1">
        <v>15.8</v>
      </c>
      <c r="BE1431" s="1">
        <v>38.5</v>
      </c>
      <c r="BF1431" s="1">
        <v>30.6</v>
      </c>
      <c r="BG1431" s="1">
        <v>15.1</v>
      </c>
      <c r="BH1431" s="1" t="s">
        <v>2480</v>
      </c>
    </row>
    <row r="1432">
      <c r="A1432" s="1">
        <v>28063.0</v>
      </c>
      <c r="B1432" s="2" t="str">
        <f>IFERROR(__xludf.DUMMYFUNCTION("TO_TEXT(A1432)"),"28063")</f>
        <v>28063</v>
      </c>
      <c r="C1432" s="1">
        <v>7528.0</v>
      </c>
      <c r="D1432" s="1">
        <v>519.932891843222</v>
      </c>
      <c r="E1432" s="1" t="s">
        <v>132</v>
      </c>
      <c r="F1432" s="1" t="s">
        <v>2481</v>
      </c>
      <c r="G1432" s="1">
        <v>14.4787916250352</v>
      </c>
      <c r="H1432" s="1">
        <v>37.470369089</v>
      </c>
      <c r="I1432" s="1">
        <v>5.5471147964</v>
      </c>
      <c r="J1432" s="1">
        <v>16.620498615</v>
      </c>
      <c r="K1432" s="1">
        <v>26.538028629</v>
      </c>
      <c r="L1432" s="1">
        <v>53.7</v>
      </c>
      <c r="M1432" s="1">
        <v>3.3</v>
      </c>
      <c r="N1432" s="1">
        <v>35.1</v>
      </c>
      <c r="O1432" s="1">
        <v>61.066528605</v>
      </c>
      <c r="P1432" s="1">
        <v>14.911347518</v>
      </c>
      <c r="Q1432" s="1">
        <v>55.08124</v>
      </c>
      <c r="R1432" s="1">
        <v>87.5</v>
      </c>
      <c r="S1432" s="1">
        <v>50.8</v>
      </c>
      <c r="T1432" s="1">
        <v>1688.0</v>
      </c>
      <c r="U1432" s="1">
        <v>87.203791469</v>
      </c>
      <c r="V1432" s="1">
        <v>251.50905433</v>
      </c>
      <c r="W1432" s="1">
        <v>12.423625255</v>
      </c>
      <c r="X1432" s="1">
        <v>9.3449781659</v>
      </c>
      <c r="Y1432" s="1">
        <v>71.924086007</v>
      </c>
      <c r="Z1432" s="1">
        <v>16.0</v>
      </c>
      <c r="AA1432" s="1">
        <v>6.36125997399999</v>
      </c>
      <c r="AB1432" s="1">
        <v>28024.0</v>
      </c>
      <c r="AC1432" s="1">
        <v>100.0</v>
      </c>
      <c r="AD1432" s="1">
        <v>66.758893281</v>
      </c>
      <c r="AE1432" s="1">
        <v>12.4015748029999</v>
      </c>
      <c r="AF1432" s="1">
        <v>84.787503518</v>
      </c>
      <c r="AG1432" s="1">
        <v>0.2392344498</v>
      </c>
      <c r="AH1432" s="1">
        <v>0.1266535322</v>
      </c>
      <c r="AI1432" s="1">
        <v>0.0281452294</v>
      </c>
      <c r="AJ1432" s="1">
        <v>0.956937799</v>
      </c>
      <c r="AK1432" s="1">
        <v>13.157894737</v>
      </c>
      <c r="AL1432" s="1">
        <v>0.3339140534</v>
      </c>
      <c r="AM1432" s="1">
        <v>50.90064734</v>
      </c>
      <c r="AN1432" s="1">
        <v>100.0</v>
      </c>
      <c r="AO1432" s="1">
        <v>13703.0</v>
      </c>
      <c r="AP1432" s="1">
        <v>39.7</v>
      </c>
      <c r="AQ1432" s="1">
        <v>11.9</v>
      </c>
      <c r="AR1432" s="1">
        <v>21.5</v>
      </c>
      <c r="AS1432" s="1">
        <v>13.9</v>
      </c>
      <c r="AT1432" s="1">
        <v>23.4</v>
      </c>
      <c r="AU1432" s="1">
        <v>15.8</v>
      </c>
      <c r="AV1432" s="1">
        <v>86.8</v>
      </c>
      <c r="AW1432" s="1">
        <v>0.1</v>
      </c>
      <c r="AX1432" s="1">
        <v>0.9745</v>
      </c>
      <c r="AY1432" s="1">
        <v>28.9</v>
      </c>
      <c r="AZ1432" s="1">
        <v>30.4</v>
      </c>
      <c r="BA1432" s="1">
        <v>40.0</v>
      </c>
      <c r="BB1432" s="1">
        <v>3.02</v>
      </c>
      <c r="BC1432" s="1" t="s">
        <v>2437</v>
      </c>
      <c r="BD1432" s="1">
        <v>22.0</v>
      </c>
      <c r="BE1432" s="1">
        <v>37.9</v>
      </c>
      <c r="BF1432" s="1">
        <v>24.2</v>
      </c>
      <c r="BG1432" s="1">
        <v>15.9</v>
      </c>
      <c r="BH1432" s="1" t="s">
        <v>2481</v>
      </c>
    </row>
    <row r="1433">
      <c r="A1433" s="1">
        <v>28065.0</v>
      </c>
      <c r="B1433" s="2" t="str">
        <f>IFERROR(__xludf.DUMMYFUNCTION("TO_TEXT(A1433)"),"28065")</f>
        <v>28065</v>
      </c>
      <c r="C1433" s="1">
        <v>11771.0</v>
      </c>
      <c r="D1433" s="1">
        <v>408.446229691925</v>
      </c>
      <c r="E1433" s="1" t="s">
        <v>1983</v>
      </c>
      <c r="F1433" s="1" t="s">
        <v>2482</v>
      </c>
      <c r="G1433" s="1">
        <v>28.8189708811326</v>
      </c>
      <c r="H1433" s="1">
        <v>31.56624023</v>
      </c>
      <c r="I1433" s="1">
        <v>5.21588251</v>
      </c>
      <c r="J1433" s="1">
        <v>14.255319149</v>
      </c>
      <c r="K1433" s="1">
        <v>24.577656505</v>
      </c>
      <c r="L1433" s="1">
        <v>40.4</v>
      </c>
      <c r="M1433" s="1">
        <v>5.2</v>
      </c>
      <c r="N1433" s="1">
        <v>37.4</v>
      </c>
      <c r="O1433" s="1">
        <v>22.855770001</v>
      </c>
      <c r="P1433" s="1">
        <v>17.105567106</v>
      </c>
      <c r="Q1433" s="1">
        <v>17.67721</v>
      </c>
      <c r="R1433" s="1">
        <v>82.5</v>
      </c>
      <c r="S1433" s="1">
        <v>37.6</v>
      </c>
      <c r="T1433" s="1">
        <v>2298.0</v>
      </c>
      <c r="U1433" s="1">
        <v>53.437771976</v>
      </c>
      <c r="V1433" s="1">
        <v>204.509002055</v>
      </c>
      <c r="W1433" s="1">
        <v>23.6493374109999</v>
      </c>
      <c r="X1433" s="1">
        <v>21.9097586569999</v>
      </c>
      <c r="Y1433" s="1">
        <v>72.009370331</v>
      </c>
      <c r="Z1433" s="1">
        <v>14.8</v>
      </c>
      <c r="AA1433" s="1">
        <v>9.4438102274</v>
      </c>
      <c r="AB1433" s="1">
        <v>31739.0</v>
      </c>
      <c r="AC1433" s="1">
        <v>99.780380673</v>
      </c>
      <c r="AD1433" s="1">
        <v>76.296755528</v>
      </c>
      <c r="AE1433" s="1">
        <v>19.557984791</v>
      </c>
      <c r="AF1433" s="1">
        <v>59.640377426</v>
      </c>
      <c r="AG1433" s="1">
        <v>0.2848495638</v>
      </c>
      <c r="AH1433" s="1">
        <v>0.275948015</v>
      </c>
      <c r="AI1433" s="1">
        <v>0.0445077443</v>
      </c>
      <c r="AJ1433" s="1">
        <v>1.5933772476</v>
      </c>
      <c r="AK1433" s="1">
        <v>37.431012996</v>
      </c>
      <c r="AL1433" s="1">
        <v>0.0</v>
      </c>
      <c r="AM1433" s="1">
        <v>52.688267759</v>
      </c>
      <c r="AN1433" s="1">
        <v>100.0</v>
      </c>
      <c r="AO1433" s="1">
        <v>16859.0</v>
      </c>
      <c r="AP1433" s="1">
        <v>34.7</v>
      </c>
      <c r="AQ1433" s="1">
        <v>14.5</v>
      </c>
      <c r="AR1433" s="1">
        <v>20.2</v>
      </c>
      <c r="AS1433" s="1">
        <v>19.4</v>
      </c>
      <c r="AT1433" s="1">
        <v>21.1</v>
      </c>
      <c r="AU1433" s="1">
        <v>21.0</v>
      </c>
      <c r="AV1433" s="1">
        <v>61.8</v>
      </c>
      <c r="AW1433" s="1">
        <v>0.0</v>
      </c>
      <c r="AX1433" s="1">
        <v>0.8688</v>
      </c>
      <c r="AY1433" s="1">
        <v>24.3</v>
      </c>
      <c r="AZ1433" s="1">
        <v>20.9</v>
      </c>
      <c r="BA1433" s="1">
        <v>26.2</v>
      </c>
      <c r="BB1433" s="1">
        <v>3.0</v>
      </c>
      <c r="BC1433" s="1" t="s">
        <v>2437</v>
      </c>
      <c r="BD1433" s="1">
        <v>17.6</v>
      </c>
      <c r="BE1433" s="1">
        <v>36.6</v>
      </c>
      <c r="BF1433" s="1">
        <v>31.7</v>
      </c>
      <c r="BG1433" s="1">
        <v>14.1</v>
      </c>
      <c r="BH1433" s="1" t="s">
        <v>2482</v>
      </c>
    </row>
    <row r="1434">
      <c r="A1434" s="1">
        <v>28067.0</v>
      </c>
      <c r="B1434" s="2" t="str">
        <f>IFERROR(__xludf.DUMMYFUNCTION("TO_TEXT(A1434)"),"28067")</f>
        <v>28067</v>
      </c>
      <c r="C1434" s="1">
        <v>68313.0</v>
      </c>
      <c r="D1434" s="1">
        <v>694.813292338309</v>
      </c>
      <c r="E1434" s="1" t="s">
        <v>940</v>
      </c>
      <c r="F1434" s="1" t="s">
        <v>2483</v>
      </c>
      <c r="G1434" s="1">
        <v>98.3184990173416</v>
      </c>
      <c r="H1434" s="1">
        <v>23.848195705</v>
      </c>
      <c r="I1434" s="1">
        <v>4.7581964567</v>
      </c>
      <c r="J1434" s="1">
        <v>11.363299214</v>
      </c>
      <c r="K1434" s="1">
        <v>18.802358804</v>
      </c>
      <c r="L1434" s="1">
        <v>39.7</v>
      </c>
      <c r="M1434" s="1">
        <v>7.0</v>
      </c>
      <c r="N1434" s="1">
        <v>35.9</v>
      </c>
      <c r="O1434" s="1">
        <v>50.470034386</v>
      </c>
      <c r="P1434" s="1">
        <v>17.039561954</v>
      </c>
      <c r="Q1434" s="1">
        <v>50.05152</v>
      </c>
      <c r="R1434" s="1">
        <v>85.1405472639999</v>
      </c>
      <c r="S1434" s="1">
        <v>28.6</v>
      </c>
      <c r="T1434" s="1">
        <v>17348.0</v>
      </c>
      <c r="U1434" s="1">
        <v>41.58404427</v>
      </c>
      <c r="V1434" s="1">
        <v>224.09578136</v>
      </c>
      <c r="W1434" s="1">
        <v>14.073180539</v>
      </c>
      <c r="X1434" s="1">
        <v>10.122699387</v>
      </c>
      <c r="Y1434" s="1">
        <v>74.542123882</v>
      </c>
      <c r="Z1434" s="1">
        <v>17.9</v>
      </c>
      <c r="AA1434" s="1">
        <v>5.415683134</v>
      </c>
      <c r="AB1434" s="1">
        <v>42435.0</v>
      </c>
      <c r="AC1434" s="1">
        <v>76.525031552</v>
      </c>
      <c r="AD1434" s="1">
        <v>73.088722047</v>
      </c>
      <c r="AE1434" s="1">
        <v>9.679082356</v>
      </c>
      <c r="AF1434" s="1">
        <v>29.183038518</v>
      </c>
      <c r="AG1434" s="1">
        <v>0.70112911</v>
      </c>
      <c r="AH1434" s="1">
        <v>0.5024758622</v>
      </c>
      <c r="AI1434" s="1">
        <v>0.0408991981</v>
      </c>
      <c r="AJ1434" s="1">
        <v>4.4711587619</v>
      </c>
      <c r="AK1434" s="1">
        <v>64.550620061</v>
      </c>
      <c r="AL1434" s="1">
        <v>1.0883925763</v>
      </c>
      <c r="AM1434" s="1">
        <v>51.423438162</v>
      </c>
      <c r="AN1434" s="1">
        <v>61.436519532</v>
      </c>
      <c r="AO1434" s="1">
        <v>20957.0</v>
      </c>
      <c r="AP1434" s="1">
        <v>23.7</v>
      </c>
      <c r="AQ1434" s="1">
        <v>7.5</v>
      </c>
      <c r="AR1434" s="1">
        <v>19.5</v>
      </c>
      <c r="AS1434" s="1">
        <v>15.3</v>
      </c>
      <c r="AT1434" s="1">
        <v>25.5</v>
      </c>
      <c r="AU1434" s="1">
        <v>17.9</v>
      </c>
      <c r="AV1434" s="1">
        <v>35.0</v>
      </c>
      <c r="AW1434" s="1">
        <v>0.8</v>
      </c>
      <c r="AX1434" s="1">
        <v>0.8968</v>
      </c>
      <c r="AY1434" s="1">
        <v>23.8</v>
      </c>
      <c r="AZ1434" s="1">
        <v>17.5</v>
      </c>
      <c r="BA1434" s="1">
        <v>21.6</v>
      </c>
      <c r="BB1434" s="1">
        <v>3.06</v>
      </c>
      <c r="BC1434" s="1" t="s">
        <v>2437</v>
      </c>
      <c r="BD1434" s="1">
        <v>15.9</v>
      </c>
      <c r="BE1434" s="1">
        <v>29.9</v>
      </c>
      <c r="BF1434" s="1">
        <v>33.4</v>
      </c>
      <c r="BG1434" s="1">
        <v>20.8</v>
      </c>
      <c r="BH1434" s="1" t="s">
        <v>2483</v>
      </c>
    </row>
    <row r="1435">
      <c r="A1435" s="1">
        <v>28069.0</v>
      </c>
      <c r="B1435" s="2" t="str">
        <f>IFERROR(__xludf.DUMMYFUNCTION("TO_TEXT(A1435)"),"28069")</f>
        <v>28069</v>
      </c>
      <c r="C1435" s="1">
        <v>10128.0</v>
      </c>
      <c r="D1435" s="1">
        <v>766.182010735526</v>
      </c>
      <c r="E1435" s="1" t="s">
        <v>2484</v>
      </c>
      <c r="F1435" s="1" t="s">
        <v>2485</v>
      </c>
      <c r="G1435" s="1">
        <v>13.218791172449</v>
      </c>
      <c r="H1435" s="1">
        <v>31.437623953</v>
      </c>
      <c r="I1435" s="1">
        <v>5.1729888518</v>
      </c>
      <c r="J1435" s="1">
        <v>15.048543689</v>
      </c>
      <c r="K1435" s="1">
        <v>22.712817189</v>
      </c>
      <c r="L1435" s="1">
        <v>38.6</v>
      </c>
      <c r="M1435" s="1">
        <v>3.3</v>
      </c>
      <c r="N1435" s="1">
        <v>35.7</v>
      </c>
      <c r="O1435" s="1">
        <v>1.214613619</v>
      </c>
      <c r="P1435" s="1">
        <v>20.138388352</v>
      </c>
      <c r="Q1435" s="1">
        <v>10.11839</v>
      </c>
      <c r="R1435" s="1">
        <v>92.5</v>
      </c>
      <c r="S1435" s="1">
        <v>39.4</v>
      </c>
      <c r="T1435" s="1">
        <v>1943.0</v>
      </c>
      <c r="U1435" s="1">
        <v>65.877509007</v>
      </c>
      <c r="V1435" s="1">
        <v>98.543742472</v>
      </c>
      <c r="W1435" s="1">
        <v>12.253521127</v>
      </c>
      <c r="X1435" s="1">
        <v>10.480349345</v>
      </c>
      <c r="Y1435" s="1">
        <v>76.541305855</v>
      </c>
      <c r="Z1435" s="1">
        <v>18.2</v>
      </c>
      <c r="AA1435" s="1">
        <v>30.377282849</v>
      </c>
      <c r="AB1435" s="1">
        <v>33437.0</v>
      </c>
      <c r="AC1435" s="1">
        <v>100.0</v>
      </c>
      <c r="AD1435" s="1">
        <v>75.90296496</v>
      </c>
      <c r="AE1435" s="1">
        <v>13.3413102</v>
      </c>
      <c r="AF1435" s="1">
        <v>60.676174329</v>
      </c>
      <c r="AG1435" s="1">
        <v>3.5204946644</v>
      </c>
      <c r="AH1435" s="1">
        <v>0.1795153087</v>
      </c>
      <c r="AI1435" s="1">
        <v>0.0</v>
      </c>
      <c r="AJ1435" s="1">
        <v>0.9474419069</v>
      </c>
      <c r="AK1435" s="1">
        <v>33.908447193</v>
      </c>
      <c r="AL1435" s="1">
        <v>0.0</v>
      </c>
      <c r="AM1435" s="1">
        <v>49.925201955</v>
      </c>
      <c r="AN1435" s="1">
        <v>100.0</v>
      </c>
      <c r="AO1435" s="1">
        <v>14715.0</v>
      </c>
      <c r="AP1435" s="1">
        <v>29.9</v>
      </c>
      <c r="AQ1435" s="1">
        <v>9.3</v>
      </c>
      <c r="AR1435" s="1">
        <v>22.2</v>
      </c>
      <c r="AS1435" s="1">
        <v>17.0</v>
      </c>
      <c r="AT1435" s="1">
        <v>21.0</v>
      </c>
      <c r="AU1435" s="1">
        <v>19.9</v>
      </c>
      <c r="AV1435" s="1">
        <v>66.0</v>
      </c>
      <c r="AW1435" s="1">
        <v>0.1</v>
      </c>
      <c r="AX1435" s="1">
        <v>0.9325</v>
      </c>
      <c r="AY1435" s="1">
        <v>28.0</v>
      </c>
      <c r="AZ1435" s="1">
        <v>22.1</v>
      </c>
      <c r="BA1435" s="1">
        <v>30.2</v>
      </c>
      <c r="BB1435" s="1">
        <v>3.06</v>
      </c>
      <c r="BC1435" s="1" t="s">
        <v>2437</v>
      </c>
      <c r="BD1435" s="1">
        <v>17.9</v>
      </c>
      <c r="BE1435" s="1">
        <v>38.3</v>
      </c>
      <c r="BF1435" s="1">
        <v>29.1</v>
      </c>
      <c r="BG1435" s="1">
        <v>14.7</v>
      </c>
      <c r="BH1435" s="1" t="s">
        <v>2485</v>
      </c>
    </row>
    <row r="1436">
      <c r="A1436" s="1">
        <v>28071.0</v>
      </c>
      <c r="B1436" s="2" t="str">
        <f>IFERROR(__xludf.DUMMYFUNCTION("TO_TEXT(A1436)"),"28071")</f>
        <v>28071</v>
      </c>
      <c r="C1436" s="1">
        <v>52193.0</v>
      </c>
      <c r="D1436" s="1">
        <v>631.71760388901</v>
      </c>
      <c r="E1436" s="1" t="s">
        <v>349</v>
      </c>
      <c r="F1436" s="1" t="s">
        <v>2486</v>
      </c>
      <c r="G1436" s="1">
        <v>82.6207781430926</v>
      </c>
      <c r="H1436" s="1">
        <v>20.058568455</v>
      </c>
      <c r="I1436" s="1">
        <v>4.580074427</v>
      </c>
      <c r="J1436" s="1">
        <v>7.85844392399999</v>
      </c>
      <c r="K1436" s="1">
        <v>17.590890992</v>
      </c>
      <c r="L1436" s="1">
        <v>32.1</v>
      </c>
      <c r="M1436" s="1">
        <v>5.8</v>
      </c>
      <c r="N1436" s="1">
        <v>26.2</v>
      </c>
      <c r="O1436" s="1">
        <v>80.503051678</v>
      </c>
      <c r="P1436" s="1">
        <v>13.838605183</v>
      </c>
      <c r="Q1436" s="1">
        <v>60.6907699999999</v>
      </c>
      <c r="R1436" s="1">
        <v>86.990927419</v>
      </c>
      <c r="S1436" s="1">
        <v>16.2</v>
      </c>
      <c r="T1436" s="1">
        <v>9654.0</v>
      </c>
      <c r="U1436" s="1">
        <v>34.462399006</v>
      </c>
      <c r="V1436" s="1">
        <v>204.509002055</v>
      </c>
      <c r="W1436" s="1">
        <v>23.390101118</v>
      </c>
      <c r="X1436" s="1">
        <v>22.110141767</v>
      </c>
      <c r="Y1436" s="1">
        <v>78.002732848</v>
      </c>
      <c r="Z1436" s="1">
        <v>12.5</v>
      </c>
      <c r="AA1436" s="1">
        <v>16.1696116679999</v>
      </c>
      <c r="AB1436" s="1">
        <v>49381.0</v>
      </c>
      <c r="AC1436" s="1">
        <v>46.25</v>
      </c>
      <c r="AD1436" s="1">
        <v>61.199979293</v>
      </c>
      <c r="AE1436" s="1">
        <v>19.929955128</v>
      </c>
      <c r="AF1436" s="1">
        <v>23.256620371</v>
      </c>
      <c r="AG1436" s="1">
        <v>0.3449345719</v>
      </c>
      <c r="AH1436" s="1">
        <v>2.1845856223</v>
      </c>
      <c r="AI1436" s="1">
        <v>0.0857773803</v>
      </c>
      <c r="AJ1436" s="1">
        <v>2.8142280948</v>
      </c>
      <c r="AK1436" s="1">
        <v>70.454255106</v>
      </c>
      <c r="AL1436" s="1">
        <v>0.5860415557</v>
      </c>
      <c r="AM1436" s="1">
        <v>51.54125527</v>
      </c>
      <c r="AN1436" s="1">
        <v>45.580874744</v>
      </c>
      <c r="AO1436" s="1">
        <v>23833.0</v>
      </c>
      <c r="AP1436" s="1">
        <v>25.3</v>
      </c>
      <c r="AQ1436" s="1">
        <v>7.3</v>
      </c>
      <c r="AR1436" s="1">
        <v>10.6</v>
      </c>
      <c r="AS1436" s="1">
        <v>11.2</v>
      </c>
      <c r="AT1436" s="1">
        <v>18.1</v>
      </c>
      <c r="AU1436" s="1">
        <v>10.4</v>
      </c>
      <c r="AV1436" s="1">
        <v>29.4</v>
      </c>
      <c r="AW1436" s="1">
        <v>0.4</v>
      </c>
      <c r="AX1436" s="1">
        <v>0.44</v>
      </c>
      <c r="AY1436" s="1">
        <v>17.5</v>
      </c>
      <c r="AZ1436" s="1">
        <v>15.2</v>
      </c>
      <c r="BA1436" s="1">
        <v>15.6</v>
      </c>
      <c r="BB1436" s="1">
        <v>3.76</v>
      </c>
      <c r="BC1436" s="1" t="s">
        <v>2437</v>
      </c>
      <c r="BD1436" s="1">
        <v>9.6</v>
      </c>
      <c r="BE1436" s="1">
        <v>18.7</v>
      </c>
      <c r="BF1436" s="1">
        <v>26.1</v>
      </c>
      <c r="BG1436" s="1">
        <v>45.6</v>
      </c>
      <c r="BH1436" s="1" t="s">
        <v>2486</v>
      </c>
    </row>
    <row r="1437">
      <c r="A1437" s="1">
        <v>28073.0</v>
      </c>
      <c r="B1437" s="2" t="str">
        <f>IFERROR(__xludf.DUMMYFUNCTION("TO_TEXT(A1437)"),"28073")</f>
        <v>28073</v>
      </c>
      <c r="C1437" s="1">
        <v>59623.0</v>
      </c>
      <c r="D1437" s="1">
        <v>497.10617442022</v>
      </c>
      <c r="E1437" s="1" t="s">
        <v>134</v>
      </c>
      <c r="F1437" s="1" t="s">
        <v>2487</v>
      </c>
      <c r="G1437" s="1">
        <v>119.940171874829</v>
      </c>
      <c r="H1437" s="1">
        <v>18.120067531</v>
      </c>
      <c r="I1437" s="1">
        <v>4.2708501667</v>
      </c>
      <c r="J1437" s="1">
        <v>10.091743119</v>
      </c>
      <c r="K1437" s="1">
        <v>16.88335727</v>
      </c>
      <c r="L1437" s="1">
        <v>33.9</v>
      </c>
      <c r="M1437" s="1">
        <v>7.6</v>
      </c>
      <c r="N1437" s="1">
        <v>25.5</v>
      </c>
      <c r="O1437" s="1">
        <v>51.84879083</v>
      </c>
      <c r="P1437" s="1">
        <v>13.074458058</v>
      </c>
      <c r="Q1437" s="1">
        <v>136.86577</v>
      </c>
      <c r="R1437" s="1">
        <v>91.611650485</v>
      </c>
      <c r="S1437" s="1">
        <v>18.3</v>
      </c>
      <c r="T1437" s="1">
        <v>15370.0</v>
      </c>
      <c r="U1437" s="1">
        <v>28.666232921</v>
      </c>
      <c r="V1437" s="1">
        <v>57.750866263</v>
      </c>
      <c r="W1437" s="1">
        <v>13.509174312</v>
      </c>
      <c r="X1437" s="1">
        <v>11.734575087</v>
      </c>
      <c r="Y1437" s="1">
        <v>78.847701582</v>
      </c>
      <c r="Z1437" s="1">
        <v>12.5</v>
      </c>
      <c r="AA1437" s="1">
        <v>4.6851730992</v>
      </c>
      <c r="AB1437" s="1">
        <v>58377.0</v>
      </c>
      <c r="AC1437" s="1">
        <v>53.570409813</v>
      </c>
      <c r="AD1437" s="1">
        <v>69.220726602</v>
      </c>
      <c r="AE1437" s="1">
        <v>10.690936456</v>
      </c>
      <c r="AF1437" s="1">
        <v>20.553429308</v>
      </c>
      <c r="AG1437" s="1">
        <v>0.3138661585</v>
      </c>
      <c r="AH1437" s="1">
        <v>1.5341009176</v>
      </c>
      <c r="AI1437" s="1">
        <v>0.0944801191</v>
      </c>
      <c r="AJ1437" s="1">
        <v>2.7287139494</v>
      </c>
      <c r="AK1437" s="1">
        <v>73.713709225</v>
      </c>
      <c r="AL1437" s="1">
        <v>0.5274003702</v>
      </c>
      <c r="AM1437" s="1">
        <v>51.957660096</v>
      </c>
      <c r="AN1437" s="1">
        <v>50.355744008</v>
      </c>
      <c r="AO1437" s="1">
        <v>28101.0</v>
      </c>
      <c r="AP1437" s="1">
        <v>16.1</v>
      </c>
      <c r="AQ1437" s="1">
        <v>8.5</v>
      </c>
      <c r="AR1437" s="1">
        <v>7.9</v>
      </c>
      <c r="AS1437" s="1">
        <v>11.5</v>
      </c>
      <c r="AT1437" s="1">
        <v>25.5</v>
      </c>
      <c r="AU1437" s="1">
        <v>14.9</v>
      </c>
      <c r="AV1437" s="1">
        <v>25.2</v>
      </c>
      <c r="AW1437" s="1">
        <v>0.6</v>
      </c>
      <c r="AX1437" s="1">
        <v>0.455</v>
      </c>
      <c r="AY1437" s="1">
        <v>16.0</v>
      </c>
      <c r="AZ1437" s="1">
        <v>14.8</v>
      </c>
      <c r="BA1437" s="1">
        <v>16.3</v>
      </c>
      <c r="BB1437" s="1">
        <v>3.11</v>
      </c>
      <c r="BC1437" s="1" t="s">
        <v>2437</v>
      </c>
      <c r="BD1437" s="1">
        <v>10.6</v>
      </c>
      <c r="BE1437" s="1">
        <v>24.2</v>
      </c>
      <c r="BF1437" s="1">
        <v>31.1</v>
      </c>
      <c r="BG1437" s="1">
        <v>34.1</v>
      </c>
      <c r="BH1437" s="1" t="s">
        <v>2487</v>
      </c>
    </row>
    <row r="1438">
      <c r="A1438" s="1">
        <v>28075.0</v>
      </c>
      <c r="B1438" s="2" t="str">
        <f>IFERROR(__xludf.DUMMYFUNCTION("TO_TEXT(A1438)"),"28075")</f>
        <v>28075</v>
      </c>
      <c r="C1438" s="1">
        <v>79233.0</v>
      </c>
      <c r="D1438" s="1">
        <v>703.652026581362</v>
      </c>
      <c r="E1438" s="1" t="s">
        <v>136</v>
      </c>
      <c r="F1438" s="1" t="s">
        <v>2488</v>
      </c>
      <c r="G1438" s="1">
        <v>112.602532227396</v>
      </c>
      <c r="H1438" s="1">
        <v>21.084720949</v>
      </c>
      <c r="I1438" s="1">
        <v>4.3711775552</v>
      </c>
      <c r="J1438" s="1">
        <v>13.193851409</v>
      </c>
      <c r="K1438" s="1">
        <v>19.776140155</v>
      </c>
      <c r="L1438" s="1">
        <v>35.8</v>
      </c>
      <c r="M1438" s="1">
        <v>6.0</v>
      </c>
      <c r="N1438" s="1">
        <v>33.6</v>
      </c>
      <c r="O1438" s="1">
        <v>51.756145575</v>
      </c>
      <c r="P1438" s="1">
        <v>12.594726937</v>
      </c>
      <c r="Q1438" s="1">
        <v>93.23091</v>
      </c>
      <c r="R1438" s="1">
        <v>81.738705739</v>
      </c>
      <c r="S1438" s="1">
        <v>33.9</v>
      </c>
      <c r="T1438" s="1">
        <v>17998.0</v>
      </c>
      <c r="U1438" s="1">
        <v>42.199133237</v>
      </c>
      <c r="V1438" s="1">
        <v>358.66326769</v>
      </c>
      <c r="W1438" s="1">
        <v>15.998652745</v>
      </c>
      <c r="X1438" s="1">
        <v>12.5598904859999</v>
      </c>
      <c r="Y1438" s="1">
        <v>75.194808843</v>
      </c>
      <c r="Z1438" s="1">
        <v>13.3</v>
      </c>
      <c r="AA1438" s="1">
        <v>11.094367941</v>
      </c>
      <c r="AB1438" s="1">
        <v>40077.0</v>
      </c>
      <c r="AC1438" s="1">
        <v>75.24107596</v>
      </c>
      <c r="AD1438" s="1">
        <v>65.44154837</v>
      </c>
      <c r="AE1438" s="1">
        <v>13.2620926359999</v>
      </c>
      <c r="AF1438" s="1">
        <v>43.79223814</v>
      </c>
      <c r="AG1438" s="1">
        <v>0.3279472098</v>
      </c>
      <c r="AH1438" s="1">
        <v>0.8577080872</v>
      </c>
      <c r="AI1438" s="1">
        <v>0.0597474674</v>
      </c>
      <c r="AJ1438" s="1">
        <v>2.2212780647</v>
      </c>
      <c r="AK1438" s="1">
        <v>52.0612876239999</v>
      </c>
      <c r="AL1438" s="1">
        <v>0.5045839939</v>
      </c>
      <c r="AM1438" s="1">
        <v>51.536837633</v>
      </c>
      <c r="AN1438" s="1">
        <v>48.255067841</v>
      </c>
      <c r="AO1438" s="1">
        <v>21575.0</v>
      </c>
      <c r="AP1438" s="1">
        <v>23.1</v>
      </c>
      <c r="AQ1438" s="1">
        <v>9.0</v>
      </c>
      <c r="AR1438" s="1">
        <v>13.8</v>
      </c>
      <c r="AS1438" s="1">
        <v>15.1</v>
      </c>
      <c r="AT1438" s="1">
        <v>24.1</v>
      </c>
      <c r="AU1438" s="1">
        <v>18.9</v>
      </c>
      <c r="AV1438" s="1">
        <v>46.8</v>
      </c>
      <c r="AW1438" s="1">
        <v>0.6</v>
      </c>
      <c r="AX1438" s="1">
        <v>0.937</v>
      </c>
      <c r="AY1438" s="1">
        <v>21.5</v>
      </c>
      <c r="AZ1438" s="1">
        <v>19.0</v>
      </c>
      <c r="BA1438" s="1">
        <v>23.0</v>
      </c>
      <c r="BB1438" s="1">
        <v>3.01</v>
      </c>
      <c r="BC1438" s="1" t="s">
        <v>2437</v>
      </c>
      <c r="BD1438" s="1">
        <v>15.5</v>
      </c>
      <c r="BE1438" s="1">
        <v>27.5</v>
      </c>
      <c r="BF1438" s="1">
        <v>37.3</v>
      </c>
      <c r="BG1438" s="1">
        <v>19.7</v>
      </c>
      <c r="BH1438" s="1" t="s">
        <v>2488</v>
      </c>
    </row>
    <row r="1439">
      <c r="A1439" s="1">
        <v>28077.0</v>
      </c>
      <c r="B1439" s="2" t="str">
        <f>IFERROR(__xludf.DUMMYFUNCTION("TO_TEXT(A1439)"),"28077")</f>
        <v>28077</v>
      </c>
      <c r="C1439" s="1">
        <v>12603.0</v>
      </c>
      <c r="D1439" s="1">
        <v>430.667673928526</v>
      </c>
      <c r="E1439" s="1" t="s">
        <v>138</v>
      </c>
      <c r="F1439" s="1" t="s">
        <v>2489</v>
      </c>
      <c r="G1439" s="1">
        <v>29.2638634449532</v>
      </c>
      <c r="H1439" s="1">
        <v>23.560596544</v>
      </c>
      <c r="I1439" s="1">
        <v>4.5668076517</v>
      </c>
      <c r="J1439" s="1">
        <v>11.312217195</v>
      </c>
      <c r="K1439" s="1">
        <v>19.583838913</v>
      </c>
      <c r="L1439" s="1">
        <v>33.9</v>
      </c>
      <c r="M1439" s="1">
        <v>6.7</v>
      </c>
      <c r="N1439" s="1">
        <v>44.2</v>
      </c>
      <c r="O1439" s="1">
        <v>27.790238998</v>
      </c>
      <c r="P1439" s="1">
        <v>15.492008473</v>
      </c>
      <c r="Q1439" s="1">
        <v>23.72855</v>
      </c>
      <c r="R1439" s="1">
        <v>82.5</v>
      </c>
      <c r="S1439" s="1">
        <v>27.2</v>
      </c>
      <c r="T1439" s="1">
        <v>3058.0</v>
      </c>
      <c r="U1439" s="1">
        <v>35.840418574</v>
      </c>
      <c r="V1439" s="1">
        <v>204.509002055</v>
      </c>
      <c r="W1439" s="1">
        <v>16.152263374</v>
      </c>
      <c r="X1439" s="1">
        <v>13.0453563709999</v>
      </c>
      <c r="Y1439" s="1">
        <v>72.4701182169999</v>
      </c>
      <c r="Z1439" s="1">
        <v>15.7</v>
      </c>
      <c r="AA1439" s="1">
        <v>7.0593752021</v>
      </c>
      <c r="AB1439" s="1">
        <v>40510.0</v>
      </c>
      <c r="AC1439" s="1">
        <v>79.189944134</v>
      </c>
      <c r="AD1439" s="1">
        <v>77.237638222</v>
      </c>
      <c r="AE1439" s="1">
        <v>11.917216284</v>
      </c>
      <c r="AF1439" s="1">
        <v>31.890806905</v>
      </c>
      <c r="AG1439" s="1">
        <v>0.2649538338</v>
      </c>
      <c r="AH1439" s="1">
        <v>0.4014452027</v>
      </c>
      <c r="AI1439" s="1">
        <v>0.0160578081</v>
      </c>
      <c r="AJ1439" s="1">
        <v>2.055399438</v>
      </c>
      <c r="AK1439" s="1">
        <v>64.785226817</v>
      </c>
      <c r="AL1439" s="1">
        <v>0.1773349096</v>
      </c>
      <c r="AM1439" s="1">
        <v>51.473303894</v>
      </c>
      <c r="AN1439" s="1">
        <v>100.0</v>
      </c>
      <c r="AO1439" s="1">
        <v>20700.0</v>
      </c>
      <c r="AP1439" s="1">
        <v>21.7</v>
      </c>
      <c r="AQ1439" s="1">
        <v>10.1</v>
      </c>
      <c r="AR1439" s="1">
        <v>20.7</v>
      </c>
      <c r="AS1439" s="1">
        <v>16.0</v>
      </c>
      <c r="AT1439" s="1">
        <v>24.5</v>
      </c>
      <c r="AU1439" s="1">
        <v>16.2</v>
      </c>
      <c r="AV1439" s="1">
        <v>34.5</v>
      </c>
      <c r="AW1439" s="1">
        <v>0.0</v>
      </c>
      <c r="AX1439" s="1">
        <v>0.6686</v>
      </c>
      <c r="AY1439" s="1">
        <v>19.7</v>
      </c>
      <c r="AZ1439" s="1">
        <v>17.4</v>
      </c>
      <c r="BA1439" s="1">
        <v>21.6</v>
      </c>
      <c r="BB1439" s="1">
        <v>2.92</v>
      </c>
      <c r="BC1439" s="1" t="s">
        <v>2437</v>
      </c>
      <c r="BD1439" s="1">
        <v>18.3</v>
      </c>
      <c r="BE1439" s="1">
        <v>33.6</v>
      </c>
      <c r="BF1439" s="1">
        <v>30.6</v>
      </c>
      <c r="BG1439" s="1">
        <v>17.6</v>
      </c>
      <c r="BH1439" s="1" t="s">
        <v>2489</v>
      </c>
    </row>
    <row r="1440">
      <c r="A1440" s="1">
        <v>28079.0</v>
      </c>
      <c r="B1440" s="2" t="str">
        <f>IFERROR(__xludf.DUMMYFUNCTION("TO_TEXT(A1440)"),"28079")</f>
        <v>28079</v>
      </c>
      <c r="C1440" s="1">
        <v>23011.0</v>
      </c>
      <c r="D1440" s="1">
        <v>583.001212610558</v>
      </c>
      <c r="E1440" s="1" t="s">
        <v>2490</v>
      </c>
      <c r="F1440" s="1" t="s">
        <v>2491</v>
      </c>
      <c r="G1440" s="1">
        <v>39.469900751941</v>
      </c>
      <c r="H1440" s="1">
        <v>26.452762384</v>
      </c>
      <c r="I1440" s="1">
        <v>4.867370287</v>
      </c>
      <c r="J1440" s="1">
        <v>10.385338346</v>
      </c>
      <c r="K1440" s="1">
        <v>21.186076298</v>
      </c>
      <c r="L1440" s="1">
        <v>40.4</v>
      </c>
      <c r="M1440" s="1">
        <v>6.1</v>
      </c>
      <c r="N1440" s="1">
        <v>35.0</v>
      </c>
      <c r="O1440" s="1">
        <v>22.8145347619999</v>
      </c>
      <c r="P1440" s="1">
        <v>19.013237064</v>
      </c>
      <c r="Q1440" s="1">
        <v>22.01189</v>
      </c>
      <c r="R1440" s="1">
        <v>77.5</v>
      </c>
      <c r="S1440" s="1">
        <v>39.7</v>
      </c>
      <c r="T1440" s="1">
        <v>6070.0</v>
      </c>
      <c r="U1440" s="1">
        <v>51.911037891</v>
      </c>
      <c r="V1440" s="1">
        <v>204.509002055</v>
      </c>
      <c r="W1440" s="1">
        <v>18.2203389829999</v>
      </c>
      <c r="X1440" s="1">
        <v>13.7230769229999</v>
      </c>
      <c r="Y1440" s="1">
        <v>75.381855326</v>
      </c>
      <c r="Z1440" s="1">
        <v>17.0</v>
      </c>
      <c r="AA1440" s="1">
        <v>9.6708927067</v>
      </c>
      <c r="AB1440" s="1">
        <v>37212.0</v>
      </c>
      <c r="AC1440" s="1">
        <v>99.484536082</v>
      </c>
      <c r="AD1440" s="1">
        <v>72.306562194</v>
      </c>
      <c r="AE1440" s="1">
        <v>11.374472143</v>
      </c>
      <c r="AF1440" s="1">
        <v>41.708034969</v>
      </c>
      <c r="AG1440" s="1">
        <v>6.6028203664</v>
      </c>
      <c r="AH1440" s="1">
        <v>0.4788472521</v>
      </c>
      <c r="AI1440" s="1">
        <v>0.0087861881</v>
      </c>
      <c r="AJ1440" s="1">
        <v>4.6830382638</v>
      </c>
      <c r="AK1440" s="1">
        <v>46.830382638</v>
      </c>
      <c r="AL1440" s="1">
        <v>1.7974388824</v>
      </c>
      <c r="AM1440" s="1">
        <v>48.3723586519999</v>
      </c>
      <c r="AN1440" s="1">
        <v>81.188825877</v>
      </c>
      <c r="AO1440" s="1">
        <v>18178.0</v>
      </c>
      <c r="AP1440" s="1">
        <v>27.1</v>
      </c>
      <c r="AQ1440" s="1">
        <v>9.9</v>
      </c>
      <c r="AR1440" s="1">
        <v>23.3</v>
      </c>
      <c r="AS1440" s="1">
        <v>14.2</v>
      </c>
      <c r="AT1440" s="1">
        <v>28.3</v>
      </c>
      <c r="AU1440" s="1">
        <v>21.8</v>
      </c>
      <c r="AV1440" s="1">
        <v>52.3</v>
      </c>
      <c r="AW1440" s="1">
        <v>1.6</v>
      </c>
      <c r="AX1440" s="1">
        <v>0.9911</v>
      </c>
      <c r="AY1440" s="1">
        <v>23.8</v>
      </c>
      <c r="AZ1440" s="1">
        <v>20.5</v>
      </c>
      <c r="BA1440" s="1">
        <v>25.3</v>
      </c>
      <c r="BB1440" s="1">
        <v>2.87</v>
      </c>
      <c r="BC1440" s="1" t="s">
        <v>2437</v>
      </c>
      <c r="BD1440" s="1">
        <v>21.4</v>
      </c>
      <c r="BE1440" s="1">
        <v>36.6</v>
      </c>
      <c r="BF1440" s="1">
        <v>27.8</v>
      </c>
      <c r="BG1440" s="1">
        <v>14.3</v>
      </c>
      <c r="BH1440" s="1" t="s">
        <v>2491</v>
      </c>
    </row>
    <row r="1441">
      <c r="A1441" s="1">
        <v>28081.0</v>
      </c>
      <c r="B1441" s="2" t="str">
        <f>IFERROR(__xludf.DUMMYFUNCTION("TO_TEXT(A1441)"),"28081")</f>
        <v>28081</v>
      </c>
      <c r="C1441" s="1">
        <v>85281.0</v>
      </c>
      <c r="D1441" s="1">
        <v>449.950807041337</v>
      </c>
      <c r="E1441" s="1" t="s">
        <v>140</v>
      </c>
      <c r="F1441" s="1" t="s">
        <v>2492</v>
      </c>
      <c r="G1441" s="1">
        <v>189.534052757383</v>
      </c>
      <c r="H1441" s="1">
        <v>20.924155614</v>
      </c>
      <c r="I1441" s="1">
        <v>4.4143902577</v>
      </c>
      <c r="J1441" s="1">
        <v>11.7516356009999</v>
      </c>
      <c r="K1441" s="1">
        <v>18.494265152</v>
      </c>
      <c r="L1441" s="1">
        <v>30.9</v>
      </c>
      <c r="M1441" s="1">
        <v>6.9</v>
      </c>
      <c r="N1441" s="1">
        <v>28.9</v>
      </c>
      <c r="O1441" s="1">
        <v>53.287902545</v>
      </c>
      <c r="P1441" s="1">
        <v>14.083588797</v>
      </c>
      <c r="Q1441" s="1">
        <v>97.72409</v>
      </c>
      <c r="R1441" s="1">
        <v>83.998265395</v>
      </c>
      <c r="S1441" s="1">
        <v>19.9</v>
      </c>
      <c r="T1441" s="1">
        <v>21412.0</v>
      </c>
      <c r="U1441" s="1">
        <v>39.398468149</v>
      </c>
      <c r="V1441" s="1">
        <v>204.509002055</v>
      </c>
      <c r="W1441" s="1">
        <v>15.940472538</v>
      </c>
      <c r="X1441" s="1">
        <v>12.8673059079999</v>
      </c>
      <c r="Y1441" s="1">
        <v>74.869402154</v>
      </c>
      <c r="Z1441" s="1">
        <v>13.3</v>
      </c>
      <c r="AA1441" s="1">
        <v>8.8659992244</v>
      </c>
      <c r="AB1441" s="1">
        <v>51088.0</v>
      </c>
      <c r="AC1441" s="1">
        <v>63.237075285</v>
      </c>
      <c r="AD1441" s="1">
        <v>66.296835776</v>
      </c>
      <c r="AE1441" s="1">
        <v>12.759643917</v>
      </c>
      <c r="AF1441" s="1">
        <v>29.988732659</v>
      </c>
      <c r="AG1441" s="1">
        <v>0.2781624844</v>
      </c>
      <c r="AH1441" s="1">
        <v>0.9107767423</v>
      </c>
      <c r="AI1441" s="1">
        <v>0.0305157156</v>
      </c>
      <c r="AJ1441" s="1">
        <v>2.722940776</v>
      </c>
      <c r="AK1441" s="1">
        <v>64.9679584989999</v>
      </c>
      <c r="AL1441" s="1">
        <v>0.8078381795</v>
      </c>
      <c r="AM1441" s="1">
        <v>52.200652567</v>
      </c>
      <c r="AN1441" s="1">
        <v>45.364853456</v>
      </c>
      <c r="AO1441" s="1">
        <v>22741.0</v>
      </c>
      <c r="AP1441" s="1">
        <v>18.5</v>
      </c>
      <c r="AQ1441" s="1">
        <v>7.0</v>
      </c>
      <c r="AR1441" s="1">
        <v>16.6</v>
      </c>
      <c r="AS1441" s="1">
        <v>14.2</v>
      </c>
      <c r="AT1441" s="1">
        <v>25.9</v>
      </c>
      <c r="AU1441" s="1">
        <v>16.8</v>
      </c>
      <c r="AV1441" s="1">
        <v>33.2</v>
      </c>
      <c r="AW1441" s="1">
        <v>0.7</v>
      </c>
      <c r="AX1441" s="1">
        <v>0.7682</v>
      </c>
      <c r="AY1441" s="1">
        <v>14.6</v>
      </c>
      <c r="AZ1441" s="1">
        <v>15.7</v>
      </c>
      <c r="BA1441" s="1">
        <v>17.7</v>
      </c>
      <c r="BB1441" s="1">
        <v>2.84</v>
      </c>
      <c r="BC1441" s="1" t="s">
        <v>2437</v>
      </c>
      <c r="BD1441" s="1">
        <v>16.4</v>
      </c>
      <c r="BE1441" s="1">
        <v>25.9</v>
      </c>
      <c r="BF1441" s="1">
        <v>33.3</v>
      </c>
      <c r="BG1441" s="1">
        <v>24.4</v>
      </c>
      <c r="BH1441" s="1" t="s">
        <v>2492</v>
      </c>
    </row>
    <row r="1442">
      <c r="A1442" s="1">
        <v>28083.0</v>
      </c>
      <c r="B1442" s="2" t="str">
        <f>IFERROR(__xludf.DUMMYFUNCTION("TO_TEXT(A1442)"),"28083")</f>
        <v>28083</v>
      </c>
      <c r="C1442" s="1">
        <v>30500.0</v>
      </c>
      <c r="D1442" s="1">
        <v>593.359056678366</v>
      </c>
      <c r="E1442" s="1" t="s">
        <v>2493</v>
      </c>
      <c r="F1442" s="1" t="s">
        <v>2494</v>
      </c>
      <c r="G1442" s="1">
        <v>51.4022658906388</v>
      </c>
      <c r="H1442" s="1">
        <v>30.91647539</v>
      </c>
      <c r="I1442" s="1">
        <v>5.0346639129</v>
      </c>
      <c r="J1442" s="1">
        <v>14.378478664</v>
      </c>
      <c r="K1442" s="1">
        <v>23.927844953</v>
      </c>
      <c r="L1442" s="1">
        <v>37.1</v>
      </c>
      <c r="M1442" s="1">
        <v>2.3</v>
      </c>
      <c r="N1442" s="1">
        <v>33.3</v>
      </c>
      <c r="O1442" s="1">
        <v>69.347402296</v>
      </c>
      <c r="P1442" s="1">
        <v>14.521647307</v>
      </c>
      <c r="Q1442" s="1">
        <v>75.28317</v>
      </c>
      <c r="R1442" s="1">
        <v>75.02173913</v>
      </c>
      <c r="S1442" s="1">
        <v>49.0</v>
      </c>
      <c r="T1442" s="1">
        <v>8200.0</v>
      </c>
      <c r="U1442" s="1">
        <v>65.06097561</v>
      </c>
      <c r="V1442" s="1">
        <v>613.807504899999</v>
      </c>
      <c r="W1442" s="1">
        <v>21.0402999059999</v>
      </c>
      <c r="X1442" s="1">
        <v>18.54134566</v>
      </c>
      <c r="Y1442" s="1">
        <v>70.465850703</v>
      </c>
      <c r="Z1442" s="1">
        <v>14.9</v>
      </c>
      <c r="AA1442" s="1">
        <v>30.781579806</v>
      </c>
      <c r="AB1442" s="1">
        <v>29244.0</v>
      </c>
      <c r="AC1442" s="1">
        <v>100.0</v>
      </c>
      <c r="AD1442" s="1">
        <v>50.058685446</v>
      </c>
      <c r="AE1442" s="1">
        <v>19.564193168</v>
      </c>
      <c r="AF1442" s="1">
        <v>73.989418721</v>
      </c>
      <c r="AG1442" s="1">
        <v>0.4529893841</v>
      </c>
      <c r="AH1442" s="1">
        <v>0.601680556</v>
      </c>
      <c r="AI1442" s="1">
        <v>0.0069158685</v>
      </c>
      <c r="AJ1442" s="1">
        <v>2.8009267264</v>
      </c>
      <c r="AK1442" s="1">
        <v>21.8679760709999</v>
      </c>
      <c r="AL1442" s="1">
        <v>0.762056827699999</v>
      </c>
      <c r="AM1442" s="1">
        <v>53.376672776</v>
      </c>
      <c r="AN1442" s="1">
        <v>17.681096636</v>
      </c>
      <c r="AO1442" s="1">
        <v>15370.0</v>
      </c>
      <c r="AP1442" s="1">
        <v>40.4</v>
      </c>
      <c r="AQ1442" s="1">
        <v>13.1</v>
      </c>
      <c r="AR1442" s="1">
        <v>22.5</v>
      </c>
      <c r="AS1442" s="1">
        <v>12.8</v>
      </c>
      <c r="AT1442" s="1">
        <v>27.7</v>
      </c>
      <c r="AU1442" s="1">
        <v>11.8</v>
      </c>
      <c r="AV1442" s="1">
        <v>76.6</v>
      </c>
      <c r="AW1442" s="1">
        <v>0.8</v>
      </c>
      <c r="AX1442" s="1">
        <v>0.9694</v>
      </c>
      <c r="AY1442" s="1">
        <v>35.7</v>
      </c>
      <c r="AZ1442" s="1">
        <v>24.2</v>
      </c>
      <c r="BA1442" s="1">
        <v>29.2</v>
      </c>
      <c r="BB1442" s="1">
        <v>3.02</v>
      </c>
      <c r="BC1442" s="1" t="s">
        <v>2437</v>
      </c>
      <c r="BD1442" s="1">
        <v>18.4</v>
      </c>
      <c r="BE1442" s="1">
        <v>38.2</v>
      </c>
      <c r="BF1442" s="1">
        <v>25.0</v>
      </c>
      <c r="BG1442" s="1">
        <v>18.5</v>
      </c>
      <c r="BH1442" s="1" t="s">
        <v>2494</v>
      </c>
    </row>
    <row r="1443">
      <c r="A1443" s="1">
        <v>28085.0</v>
      </c>
      <c r="B1443" s="2" t="str">
        <f>IFERROR(__xludf.DUMMYFUNCTION("TO_TEXT(A1443)"),"28085")</f>
        <v>28085</v>
      </c>
      <c r="C1443" s="1">
        <v>34691.0</v>
      </c>
      <c r="D1443" s="1">
        <v>586.124234158942</v>
      </c>
      <c r="E1443" s="1" t="s">
        <v>353</v>
      </c>
      <c r="F1443" s="1" t="s">
        <v>2495</v>
      </c>
      <c r="G1443" s="1">
        <v>59.1871108175211</v>
      </c>
      <c r="H1443" s="1">
        <v>21.56007089</v>
      </c>
      <c r="I1443" s="1">
        <v>4.6357056704</v>
      </c>
      <c r="J1443" s="1">
        <v>10.759700033</v>
      </c>
      <c r="K1443" s="1">
        <v>20.156853236</v>
      </c>
      <c r="L1443" s="1">
        <v>39.4</v>
      </c>
      <c r="M1443" s="1">
        <v>6.2</v>
      </c>
      <c r="N1443" s="1">
        <v>32.7</v>
      </c>
      <c r="O1443" s="1">
        <v>53.566204938</v>
      </c>
      <c r="P1443" s="1">
        <v>14.679484905</v>
      </c>
      <c r="Q1443" s="1">
        <v>46.5834</v>
      </c>
      <c r="R1443" s="1">
        <v>81.28968254</v>
      </c>
      <c r="S1443" s="1">
        <v>24.8</v>
      </c>
      <c r="T1443" s="1">
        <v>8290.0</v>
      </c>
      <c r="U1443" s="1">
        <v>38.866103739</v>
      </c>
      <c r="V1443" s="1">
        <v>107.89426362</v>
      </c>
      <c r="W1443" s="1">
        <v>11.982991882</v>
      </c>
      <c r="X1443" s="1">
        <v>9.6748612213</v>
      </c>
      <c r="Y1443" s="1">
        <v>74.198659751</v>
      </c>
      <c r="Z1443" s="1">
        <v>15.5</v>
      </c>
      <c r="AA1443" s="1">
        <v>11.947258423</v>
      </c>
      <c r="AB1443" s="1">
        <v>43478.0</v>
      </c>
      <c r="AC1443" s="1">
        <v>63.554265441</v>
      </c>
      <c r="AD1443" s="1">
        <v>75.403445856</v>
      </c>
      <c r="AE1443" s="1">
        <v>10.431961755</v>
      </c>
      <c r="AF1443" s="1">
        <v>30.059932758</v>
      </c>
      <c r="AG1443" s="1">
        <v>0.2426545827</v>
      </c>
      <c r="AH1443" s="1">
        <v>0.4063733372</v>
      </c>
      <c r="AI1443" s="1">
        <v>0.0350825903</v>
      </c>
      <c r="AJ1443" s="1">
        <v>1.1284899868</v>
      </c>
      <c r="AK1443" s="1">
        <v>67.2474784389999</v>
      </c>
      <c r="AL1443" s="1">
        <v>0.0868109382</v>
      </c>
      <c r="AM1443" s="1">
        <v>52.357842421</v>
      </c>
      <c r="AN1443" s="1">
        <v>69.500129054</v>
      </c>
      <c r="AO1443" s="1">
        <v>19418.0</v>
      </c>
      <c r="AP1443" s="1">
        <v>25.5</v>
      </c>
      <c r="AQ1443" s="1">
        <v>8.0</v>
      </c>
      <c r="AR1443" s="1">
        <v>14.1</v>
      </c>
      <c r="AS1443" s="1">
        <v>15.6</v>
      </c>
      <c r="AT1443" s="1">
        <v>24.8</v>
      </c>
      <c r="AU1443" s="1">
        <v>15.4</v>
      </c>
      <c r="AV1443" s="1">
        <v>32.8</v>
      </c>
      <c r="AW1443" s="1">
        <v>0.6</v>
      </c>
      <c r="AX1443" s="1">
        <v>0.7762</v>
      </c>
      <c r="AY1443" s="1">
        <v>19.6</v>
      </c>
      <c r="AZ1443" s="1">
        <v>17.7</v>
      </c>
      <c r="BA1443" s="1">
        <v>21.1</v>
      </c>
      <c r="BB1443" s="1">
        <v>3.07</v>
      </c>
      <c r="BC1443" s="1" t="s">
        <v>2437</v>
      </c>
      <c r="BD1443" s="1">
        <v>13.7</v>
      </c>
      <c r="BE1443" s="1">
        <v>37.6</v>
      </c>
      <c r="BF1443" s="1">
        <v>32.6</v>
      </c>
      <c r="BG1443" s="1">
        <v>16.2</v>
      </c>
      <c r="BH1443" s="1" t="s">
        <v>2495</v>
      </c>
    </row>
    <row r="1444">
      <c r="A1444" s="1">
        <v>28087.0</v>
      </c>
      <c r="B1444" s="2" t="str">
        <f>IFERROR(__xludf.DUMMYFUNCTION("TO_TEXT(A1444)"),"28087")</f>
        <v>28087</v>
      </c>
      <c r="C1444" s="1">
        <v>59785.0</v>
      </c>
      <c r="D1444" s="1">
        <v>505.437332410338</v>
      </c>
      <c r="E1444" s="1" t="s">
        <v>144</v>
      </c>
      <c r="F1444" s="1" t="s">
        <v>2496</v>
      </c>
      <c r="G1444" s="1">
        <v>118.283704361322</v>
      </c>
      <c r="H1444" s="1">
        <v>22.689659486</v>
      </c>
      <c r="I1444" s="1">
        <v>4.4416655455</v>
      </c>
      <c r="J1444" s="1">
        <v>11.0296746509999</v>
      </c>
      <c r="K1444" s="1">
        <v>17.325280117</v>
      </c>
      <c r="L1444" s="1">
        <v>36.7</v>
      </c>
      <c r="M1444" s="1">
        <v>6.3</v>
      </c>
      <c r="N1444" s="1">
        <v>30.1</v>
      </c>
      <c r="O1444" s="1">
        <v>67.271115275</v>
      </c>
      <c r="P1444" s="1">
        <v>14.287178646</v>
      </c>
      <c r="Q1444" s="1">
        <v>54.06684</v>
      </c>
      <c r="R1444" s="1">
        <v>87.607493857</v>
      </c>
      <c r="S1444" s="1">
        <v>31.8</v>
      </c>
      <c r="T1444" s="1">
        <v>13963.0</v>
      </c>
      <c r="U1444" s="1">
        <v>45.4057151039999</v>
      </c>
      <c r="V1444" s="1">
        <v>204.509002055</v>
      </c>
      <c r="W1444" s="1">
        <v>15.337423313</v>
      </c>
      <c r="X1444" s="1">
        <v>13.452914798</v>
      </c>
      <c r="Y1444" s="1">
        <v>75.33642359</v>
      </c>
      <c r="Z1444" s="1">
        <v>18.1</v>
      </c>
      <c r="AA1444" s="1">
        <v>7.1188370915</v>
      </c>
      <c r="AB1444" s="1">
        <v>44348.0</v>
      </c>
      <c r="AC1444" s="1">
        <v>71.720649952</v>
      </c>
      <c r="AD1444" s="1">
        <v>61.463371735</v>
      </c>
      <c r="AE1444" s="1">
        <v>14.02678906</v>
      </c>
      <c r="AF1444" s="1">
        <v>44.576616324</v>
      </c>
      <c r="AG1444" s="1">
        <v>0.2901747836</v>
      </c>
      <c r="AH1444" s="1">
        <v>0.9384014933</v>
      </c>
      <c r="AI1444" s="1">
        <v>0.0712709995</v>
      </c>
      <c r="AJ1444" s="1">
        <v>2.1398269133</v>
      </c>
      <c r="AK1444" s="1">
        <v>51.1318513489999</v>
      </c>
      <c r="AL1444" s="1">
        <v>0.568171569799999</v>
      </c>
      <c r="AM1444" s="1">
        <v>52.3926692689999</v>
      </c>
      <c r="AN1444" s="1">
        <v>42.598571405</v>
      </c>
      <c r="AO1444" s="1">
        <v>22143.0</v>
      </c>
      <c r="AP1444" s="1">
        <v>21.9</v>
      </c>
      <c r="AQ1444" s="1">
        <v>11.5</v>
      </c>
      <c r="AR1444" s="1">
        <v>15.9</v>
      </c>
      <c r="AS1444" s="1">
        <v>14.2</v>
      </c>
      <c r="AT1444" s="1">
        <v>23.9</v>
      </c>
      <c r="AU1444" s="1">
        <v>15.4</v>
      </c>
      <c r="AV1444" s="1">
        <v>47.5</v>
      </c>
      <c r="AW1444" s="1">
        <v>0.7</v>
      </c>
      <c r="AX1444" s="1">
        <v>0.8577</v>
      </c>
      <c r="AY1444" s="1">
        <v>17.2</v>
      </c>
      <c r="AZ1444" s="1">
        <v>17.8</v>
      </c>
      <c r="BA1444" s="1">
        <v>21.0</v>
      </c>
      <c r="BB1444" s="1">
        <v>3.25</v>
      </c>
      <c r="BC1444" s="1" t="s">
        <v>2437</v>
      </c>
      <c r="BD1444" s="1">
        <v>14.0</v>
      </c>
      <c r="BE1444" s="1">
        <v>32.0</v>
      </c>
      <c r="BF1444" s="1">
        <v>30.6</v>
      </c>
      <c r="BG1444" s="1">
        <v>23.4</v>
      </c>
      <c r="BH1444" s="1" t="s">
        <v>2496</v>
      </c>
    </row>
    <row r="1445">
      <c r="A1445" s="1">
        <v>28089.0</v>
      </c>
      <c r="B1445" s="2" t="str">
        <f>IFERROR(__xludf.DUMMYFUNCTION("TO_TEXT(A1445)"),"28089")</f>
        <v>28089</v>
      </c>
      <c r="C1445" s="1">
        <v>101791.0</v>
      </c>
      <c r="D1445" s="1">
        <v>714.31139893658</v>
      </c>
      <c r="E1445" s="1" t="s">
        <v>148</v>
      </c>
      <c r="F1445" s="1" t="s">
        <v>2497</v>
      </c>
      <c r="G1445" s="1">
        <v>142.502275830317</v>
      </c>
      <c r="H1445" s="1">
        <v>17.033148734</v>
      </c>
      <c r="I1445" s="1">
        <v>3.9003127362</v>
      </c>
      <c r="J1445" s="1">
        <v>10.499780798</v>
      </c>
      <c r="K1445" s="1">
        <v>14.729055959</v>
      </c>
      <c r="L1445" s="1">
        <v>36.4</v>
      </c>
      <c r="M1445" s="1">
        <v>7.5</v>
      </c>
      <c r="N1445" s="1">
        <v>22.4</v>
      </c>
      <c r="O1445" s="1">
        <v>76.703465227</v>
      </c>
      <c r="P1445" s="1">
        <v>10.607614196</v>
      </c>
      <c r="Q1445" s="1">
        <v>131.90847</v>
      </c>
      <c r="R1445" s="1">
        <v>84.600174216</v>
      </c>
      <c r="S1445" s="1">
        <v>13.6</v>
      </c>
      <c r="T1445" s="1">
        <v>26135.0</v>
      </c>
      <c r="U1445" s="1">
        <v>34.861297111</v>
      </c>
      <c r="V1445" s="1">
        <v>155.18100675</v>
      </c>
      <c r="W1445" s="1">
        <v>14.566350394</v>
      </c>
      <c r="X1445" s="1">
        <v>11.905405405</v>
      </c>
      <c r="Y1445" s="1">
        <v>76.614878391</v>
      </c>
      <c r="Z1445" s="1">
        <v>7.8</v>
      </c>
      <c r="AA1445" s="1">
        <v>5.3248234627</v>
      </c>
      <c r="AB1445" s="1">
        <v>75740.0</v>
      </c>
      <c r="AC1445" s="1">
        <v>50.663082437</v>
      </c>
      <c r="AD1445" s="1">
        <v>71.829830856</v>
      </c>
      <c r="AE1445" s="1">
        <v>11.465652858</v>
      </c>
      <c r="AF1445" s="1">
        <v>38.0261289409999</v>
      </c>
      <c r="AG1445" s="1">
        <v>0.3616396857</v>
      </c>
      <c r="AH1445" s="1">
        <v>2.69620373</v>
      </c>
      <c r="AI1445" s="1">
        <v>0.0757360598</v>
      </c>
      <c r="AJ1445" s="1">
        <v>3.135472877</v>
      </c>
      <c r="AK1445" s="1">
        <v>55.234308435</v>
      </c>
      <c r="AL1445" s="1">
        <v>1.2293051484</v>
      </c>
      <c r="AM1445" s="1">
        <v>52.097888857</v>
      </c>
      <c r="AN1445" s="1">
        <v>27.981261095</v>
      </c>
      <c r="AO1445" s="1">
        <v>35435.0</v>
      </c>
      <c r="AP1445" s="1">
        <v>12.7</v>
      </c>
      <c r="AQ1445" s="1">
        <v>5.5</v>
      </c>
      <c r="AR1445" s="1">
        <v>9.7</v>
      </c>
      <c r="AS1445" s="1">
        <v>12.5</v>
      </c>
      <c r="AT1445" s="1">
        <v>25.6</v>
      </c>
      <c r="AU1445" s="1">
        <v>10.4</v>
      </c>
      <c r="AV1445" s="1">
        <v>44.1</v>
      </c>
      <c r="AW1445" s="1">
        <v>1.2</v>
      </c>
      <c r="AX1445" s="1">
        <v>0.3454</v>
      </c>
      <c r="AY1445" s="1">
        <v>10.1</v>
      </c>
      <c r="AZ1445" s="1">
        <v>12.2</v>
      </c>
      <c r="BA1445" s="1">
        <v>12.6</v>
      </c>
      <c r="BB1445" s="1">
        <v>3.37</v>
      </c>
      <c r="BC1445" s="1" t="s">
        <v>2437</v>
      </c>
      <c r="BD1445" s="1">
        <v>8.3</v>
      </c>
      <c r="BE1445" s="1">
        <v>17.0</v>
      </c>
      <c r="BF1445" s="1">
        <v>26.3</v>
      </c>
      <c r="BG1445" s="1">
        <v>48.4</v>
      </c>
      <c r="BH1445" s="1" t="s">
        <v>2497</v>
      </c>
    </row>
    <row r="1446">
      <c r="A1446" s="1">
        <v>28091.0</v>
      </c>
      <c r="B1446" s="2" t="str">
        <f>IFERROR(__xludf.DUMMYFUNCTION("TO_TEXT(A1446)"),"28091")</f>
        <v>28091</v>
      </c>
      <c r="C1446" s="1">
        <v>25810.0</v>
      </c>
      <c r="D1446" s="1">
        <v>542.384349396486</v>
      </c>
      <c r="E1446" s="1" t="s">
        <v>152</v>
      </c>
      <c r="F1446" s="1" t="s">
        <v>2498</v>
      </c>
      <c r="G1446" s="1">
        <v>47.5861813282757</v>
      </c>
      <c r="H1446" s="1">
        <v>24.6942563209999</v>
      </c>
      <c r="I1446" s="1">
        <v>4.8472436657</v>
      </c>
      <c r="J1446" s="1">
        <v>11.650485437</v>
      </c>
      <c r="K1446" s="1">
        <v>19.884241349</v>
      </c>
      <c r="L1446" s="1">
        <v>35.9</v>
      </c>
      <c r="M1446" s="1">
        <v>5.6</v>
      </c>
      <c r="N1446" s="1">
        <v>29.6</v>
      </c>
      <c r="O1446" s="1">
        <v>35.45481394</v>
      </c>
      <c r="P1446" s="1">
        <v>15.9805201329999</v>
      </c>
      <c r="Q1446" s="1">
        <v>31.91192</v>
      </c>
      <c r="R1446" s="1">
        <v>82.171814672</v>
      </c>
      <c r="S1446" s="1">
        <v>35.7</v>
      </c>
      <c r="T1446" s="1">
        <v>5846.0</v>
      </c>
      <c r="U1446" s="1">
        <v>38.145740677</v>
      </c>
      <c r="V1446" s="1">
        <v>292.9951039</v>
      </c>
      <c r="W1446" s="1">
        <v>14.958592133</v>
      </c>
      <c r="X1446" s="1">
        <v>11.1702127659999</v>
      </c>
      <c r="Y1446" s="1">
        <v>73.664045864</v>
      </c>
      <c r="Z1446" s="1">
        <v>15.7</v>
      </c>
      <c r="AA1446" s="1">
        <v>18.0741394609999</v>
      </c>
      <c r="AB1446" s="1">
        <v>36408.0</v>
      </c>
      <c r="AC1446" s="1">
        <v>81.349099704</v>
      </c>
      <c r="AD1446" s="1">
        <v>80.6035837789999</v>
      </c>
      <c r="AE1446" s="1">
        <v>17.365338234</v>
      </c>
      <c r="AF1446" s="1">
        <v>31.531458628</v>
      </c>
      <c r="AG1446" s="1">
        <v>0.2710904309</v>
      </c>
      <c r="AH1446" s="1">
        <v>0.3965203318</v>
      </c>
      <c r="AI1446" s="1">
        <v>0.04855351</v>
      </c>
      <c r="AJ1446" s="1">
        <v>1.7762492414</v>
      </c>
      <c r="AK1446" s="1">
        <v>65.029334412</v>
      </c>
      <c r="AL1446" s="1">
        <v>0.3795226449</v>
      </c>
      <c r="AM1446" s="1">
        <v>51.664980781</v>
      </c>
      <c r="AN1446" s="1">
        <v>73.072947431</v>
      </c>
      <c r="AO1446" s="1">
        <v>19707.0</v>
      </c>
      <c r="AP1446" s="1">
        <v>27.3</v>
      </c>
      <c r="AQ1446" s="1">
        <v>8.8</v>
      </c>
      <c r="AR1446" s="1">
        <v>22.2</v>
      </c>
      <c r="AS1446" s="1">
        <v>16.5</v>
      </c>
      <c r="AT1446" s="1">
        <v>23.9</v>
      </c>
      <c r="AU1446" s="1">
        <v>21.2</v>
      </c>
      <c r="AV1446" s="1">
        <v>34.9</v>
      </c>
      <c r="AW1446" s="1">
        <v>0.1</v>
      </c>
      <c r="AX1446" s="1">
        <v>0.9351</v>
      </c>
      <c r="AY1446" s="1">
        <v>23.8</v>
      </c>
      <c r="AZ1446" s="1">
        <v>20.4</v>
      </c>
      <c r="BA1446" s="1">
        <v>25.8</v>
      </c>
      <c r="BB1446" s="1">
        <v>2.97</v>
      </c>
      <c r="BC1446" s="1" t="s">
        <v>2437</v>
      </c>
      <c r="BD1446" s="1">
        <v>18.5</v>
      </c>
      <c r="BE1446" s="1">
        <v>39.3</v>
      </c>
      <c r="BF1446" s="1">
        <v>29.9</v>
      </c>
      <c r="BG1446" s="1">
        <v>12.3</v>
      </c>
      <c r="BH1446" s="1" t="s">
        <v>2498</v>
      </c>
    </row>
    <row r="1447">
      <c r="A1447" s="1">
        <v>28093.0</v>
      </c>
      <c r="B1447" s="2" t="str">
        <f>IFERROR(__xludf.DUMMYFUNCTION("TO_TEXT(A1447)"),"28093")</f>
        <v>28093</v>
      </c>
      <c r="C1447" s="1">
        <v>36196.0</v>
      </c>
      <c r="D1447" s="1">
        <v>706.176632500966</v>
      </c>
      <c r="E1447" s="1" t="s">
        <v>154</v>
      </c>
      <c r="F1447" s="1" t="s">
        <v>2499</v>
      </c>
      <c r="G1447" s="1">
        <v>51.2562981188002</v>
      </c>
      <c r="H1447" s="1">
        <v>23.956761417</v>
      </c>
      <c r="I1447" s="1">
        <v>4.4221155737</v>
      </c>
      <c r="J1447" s="1">
        <v>11.571906355</v>
      </c>
      <c r="K1447" s="1">
        <v>18.566897276</v>
      </c>
      <c r="L1447" s="1">
        <v>43.7</v>
      </c>
      <c r="M1447" s="1">
        <v>6.6</v>
      </c>
      <c r="N1447" s="1">
        <v>37.2</v>
      </c>
      <c r="O1447" s="1">
        <v>34.667779453</v>
      </c>
      <c r="P1447" s="1">
        <v>14.352202619</v>
      </c>
      <c r="Q1447" s="1">
        <v>11.22996</v>
      </c>
      <c r="R1447" s="1">
        <v>80.910774411</v>
      </c>
      <c r="S1447" s="1">
        <v>33.3</v>
      </c>
      <c r="T1447" s="1">
        <v>7702.0</v>
      </c>
      <c r="U1447" s="1">
        <v>44.3650999739999</v>
      </c>
      <c r="V1447" s="1">
        <v>373.76348921</v>
      </c>
      <c r="W1447" s="1">
        <v>15.172152857</v>
      </c>
      <c r="X1447" s="1">
        <v>13.04181051</v>
      </c>
      <c r="Y1447" s="1">
        <v>74.267138853</v>
      </c>
      <c r="Z1447" s="1">
        <v>16.7</v>
      </c>
      <c r="AA1447" s="1">
        <v>7.6236512468</v>
      </c>
      <c r="AB1447" s="1">
        <v>40285.0</v>
      </c>
      <c r="AC1447" s="1">
        <v>91.8678815489999</v>
      </c>
      <c r="AD1447" s="1">
        <v>75.97521799</v>
      </c>
      <c r="AE1447" s="1">
        <v>13.249236703</v>
      </c>
      <c r="AF1447" s="1">
        <v>47.011367803</v>
      </c>
      <c r="AG1447" s="1">
        <v>0.4315816197</v>
      </c>
      <c r="AH1447" s="1">
        <v>0.2679755155</v>
      </c>
      <c r="AI1447" s="1">
        <v>0.0451327184</v>
      </c>
      <c r="AJ1447" s="1">
        <v>3.9096217314</v>
      </c>
      <c r="AK1447" s="1">
        <v>47.5698851939999</v>
      </c>
      <c r="AL1447" s="1">
        <v>0.3446841386</v>
      </c>
      <c r="AM1447" s="1">
        <v>50.36529294</v>
      </c>
      <c r="AN1447" s="1">
        <v>83.415894896</v>
      </c>
      <c r="AO1447" s="1">
        <v>19104.0</v>
      </c>
      <c r="AP1447" s="1">
        <v>18.2</v>
      </c>
      <c r="AQ1447" s="1">
        <v>7.5</v>
      </c>
      <c r="AR1447" s="1">
        <v>21.5</v>
      </c>
      <c r="AS1447" s="1">
        <v>15.1</v>
      </c>
      <c r="AT1447" s="1">
        <v>22.2</v>
      </c>
      <c r="AU1447" s="1">
        <v>13.7</v>
      </c>
      <c r="AV1447" s="1">
        <v>52.1</v>
      </c>
      <c r="AW1447" s="1">
        <v>0.3</v>
      </c>
      <c r="AX1447" s="1">
        <v>0.6648</v>
      </c>
      <c r="AY1447" s="1">
        <v>20.3</v>
      </c>
      <c r="AZ1447" s="1">
        <v>16.0</v>
      </c>
      <c r="BA1447" s="1">
        <v>20.8</v>
      </c>
      <c r="BB1447" s="1">
        <v>2.68</v>
      </c>
      <c r="BC1447" s="1" t="s">
        <v>2437</v>
      </c>
      <c r="BD1447" s="1">
        <v>17.9</v>
      </c>
      <c r="BE1447" s="1">
        <v>38.8</v>
      </c>
      <c r="BF1447" s="1">
        <v>29.5</v>
      </c>
      <c r="BG1447" s="1">
        <v>13.8</v>
      </c>
      <c r="BH1447" s="1" t="s">
        <v>2499</v>
      </c>
    </row>
    <row r="1448">
      <c r="A1448" s="1">
        <v>28095.0</v>
      </c>
      <c r="B1448" s="2" t="str">
        <f>IFERROR(__xludf.DUMMYFUNCTION("TO_TEXT(A1448)"),"28095")</f>
        <v>28095</v>
      </c>
      <c r="C1448" s="1">
        <v>36029.0</v>
      </c>
      <c r="D1448" s="1">
        <v>765.092318921946</v>
      </c>
      <c r="E1448" s="1" t="s">
        <v>158</v>
      </c>
      <c r="F1448" s="1" t="s">
        <v>2500</v>
      </c>
      <c r="G1448" s="1">
        <v>47.0910491570046</v>
      </c>
      <c r="H1448" s="1">
        <v>22.266774577</v>
      </c>
      <c r="I1448" s="1">
        <v>4.5638593307</v>
      </c>
      <c r="J1448" s="1">
        <v>13.178559235</v>
      </c>
      <c r="K1448" s="1">
        <v>18.461120914</v>
      </c>
      <c r="L1448" s="1">
        <v>36.3</v>
      </c>
      <c r="M1448" s="1">
        <v>7.2</v>
      </c>
      <c r="N1448" s="1">
        <v>37.4</v>
      </c>
      <c r="O1448" s="1">
        <v>24.05850388</v>
      </c>
      <c r="P1448" s="1">
        <v>14.810319717</v>
      </c>
      <c r="Q1448" s="1">
        <v>47.39072</v>
      </c>
      <c r="R1448" s="1">
        <v>87.586848635</v>
      </c>
      <c r="S1448" s="1">
        <v>24.5</v>
      </c>
      <c r="T1448" s="1">
        <v>8175.0</v>
      </c>
      <c r="U1448" s="1">
        <v>35.437308869</v>
      </c>
      <c r="V1448" s="1">
        <v>204.509002055</v>
      </c>
      <c r="W1448" s="1">
        <v>12.759856631</v>
      </c>
      <c r="X1448" s="1">
        <v>10.212454212</v>
      </c>
      <c r="Y1448" s="1">
        <v>75.323905076</v>
      </c>
      <c r="Z1448" s="1">
        <v>15.7</v>
      </c>
      <c r="AA1448" s="1">
        <v>3.3772417422</v>
      </c>
      <c r="AB1448" s="1">
        <v>44681.0</v>
      </c>
      <c r="AC1448" s="1">
        <v>67.676767677</v>
      </c>
      <c r="AD1448" s="1">
        <v>74.243395286</v>
      </c>
      <c r="AE1448" s="1">
        <v>11.310302377</v>
      </c>
      <c r="AF1448" s="1">
        <v>30.328422</v>
      </c>
      <c r="AG1448" s="1">
        <v>0.267124058</v>
      </c>
      <c r="AH1448" s="1">
        <v>0.2530648971</v>
      </c>
      <c r="AI1448" s="1">
        <v>0.0140591609</v>
      </c>
      <c r="AJ1448" s="1">
        <v>1.3103138005</v>
      </c>
      <c r="AK1448" s="1">
        <v>67.050950399</v>
      </c>
      <c r="AL1448" s="1">
        <v>0.2342337</v>
      </c>
      <c r="AM1448" s="1">
        <v>52.356315375</v>
      </c>
      <c r="AN1448" s="1">
        <v>69.634215578</v>
      </c>
      <c r="AO1448" s="1">
        <v>19905.0</v>
      </c>
      <c r="AP1448" s="1">
        <v>20.6</v>
      </c>
      <c r="AQ1448" s="1">
        <v>9.4</v>
      </c>
      <c r="AR1448" s="1">
        <v>21.4</v>
      </c>
      <c r="AS1448" s="1">
        <v>17.6</v>
      </c>
      <c r="AT1448" s="1">
        <v>23.4</v>
      </c>
      <c r="AU1448" s="1">
        <v>17.0</v>
      </c>
      <c r="AV1448" s="1">
        <v>32.9</v>
      </c>
      <c r="AW1448" s="1">
        <v>0.0</v>
      </c>
      <c r="AX1448" s="1">
        <v>0.7571</v>
      </c>
      <c r="AY1448" s="1">
        <v>17.9</v>
      </c>
      <c r="AZ1448" s="1">
        <v>16.3</v>
      </c>
      <c r="BA1448" s="1">
        <v>20.2</v>
      </c>
      <c r="BB1448" s="1">
        <v>3.03</v>
      </c>
      <c r="BC1448" s="1" t="s">
        <v>2437</v>
      </c>
      <c r="BD1448" s="1">
        <v>19.0</v>
      </c>
      <c r="BE1448" s="1">
        <v>36.0</v>
      </c>
      <c r="BF1448" s="1">
        <v>28.3</v>
      </c>
      <c r="BG1448" s="1">
        <v>16.7</v>
      </c>
      <c r="BH1448" s="1" t="s">
        <v>2500</v>
      </c>
    </row>
    <row r="1449">
      <c r="A1449" s="1">
        <v>28097.0</v>
      </c>
      <c r="B1449" s="2" t="str">
        <f>IFERROR(__xludf.DUMMYFUNCTION("TO_TEXT(A1449)"),"28097")</f>
        <v>28097</v>
      </c>
      <c r="C1449" s="1">
        <v>10353.0</v>
      </c>
      <c r="D1449" s="1">
        <v>406.980356383134</v>
      </c>
      <c r="E1449" s="1" t="s">
        <v>160</v>
      </c>
      <c r="F1449" s="1" t="s">
        <v>2501</v>
      </c>
      <c r="G1449" s="1">
        <v>25.4385742152468</v>
      </c>
      <c r="H1449" s="1">
        <v>24.243834929</v>
      </c>
      <c r="I1449" s="1">
        <v>4.62246132139999</v>
      </c>
      <c r="J1449" s="1">
        <v>13.774403471</v>
      </c>
      <c r="K1449" s="1">
        <v>18.971023397</v>
      </c>
      <c r="L1449" s="1">
        <v>37.9</v>
      </c>
      <c r="M1449" s="1">
        <v>6.3</v>
      </c>
      <c r="N1449" s="1">
        <v>35.2</v>
      </c>
      <c r="O1449" s="1">
        <v>8.0549199085</v>
      </c>
      <c r="P1449" s="1">
        <v>15.1054746359999</v>
      </c>
      <c r="Q1449" s="1">
        <v>58.97965</v>
      </c>
      <c r="R1449" s="1">
        <v>84.0</v>
      </c>
      <c r="S1449" s="1">
        <v>36.0</v>
      </c>
      <c r="T1449" s="1">
        <v>2327.0</v>
      </c>
      <c r="U1449" s="1">
        <v>57.284056725</v>
      </c>
      <c r="V1449" s="1">
        <v>204.509002055</v>
      </c>
      <c r="W1449" s="1">
        <v>13.563218391</v>
      </c>
      <c r="X1449" s="1">
        <v>11.126927639</v>
      </c>
      <c r="Y1449" s="1">
        <v>72.832287147</v>
      </c>
      <c r="Z1449" s="1">
        <v>17.4</v>
      </c>
      <c r="AA1449" s="1">
        <v>7.5967174745</v>
      </c>
      <c r="AB1449" s="1">
        <v>36311.0</v>
      </c>
      <c r="AC1449" s="1">
        <v>83.257575758</v>
      </c>
      <c r="AD1449" s="1">
        <v>71.444035506</v>
      </c>
      <c r="AE1449" s="1">
        <v>13.829279924</v>
      </c>
      <c r="AF1449" s="1">
        <v>44.6473111839999</v>
      </c>
      <c r="AG1449" s="1">
        <v>0.3791280056</v>
      </c>
      <c r="AH1449" s="1">
        <v>0.6983936945</v>
      </c>
      <c r="AI1449" s="1">
        <v>0.0199541056</v>
      </c>
      <c r="AJ1449" s="1">
        <v>1.4366956001</v>
      </c>
      <c r="AK1449" s="1">
        <v>52.20991719</v>
      </c>
      <c r="AL1449" s="1">
        <v>0.2708615481</v>
      </c>
      <c r="AM1449" s="1">
        <v>52.2697795069999</v>
      </c>
      <c r="AN1449" s="1">
        <v>59.835240275</v>
      </c>
      <c r="AO1449" s="1">
        <v>19706.0</v>
      </c>
      <c r="AP1449" s="1">
        <v>28.5</v>
      </c>
      <c r="AQ1449" s="1">
        <v>8.3</v>
      </c>
      <c r="AR1449" s="1">
        <v>25.1</v>
      </c>
      <c r="AS1449" s="1">
        <v>18.9</v>
      </c>
      <c r="AT1449" s="1">
        <v>23.1</v>
      </c>
      <c r="AU1449" s="1">
        <v>19.2</v>
      </c>
      <c r="AV1449" s="1">
        <v>47.7</v>
      </c>
      <c r="AW1449" s="1">
        <v>0.0</v>
      </c>
      <c r="AX1449" s="1">
        <v>0.8465</v>
      </c>
      <c r="AY1449" s="1">
        <v>23.7</v>
      </c>
      <c r="AZ1449" s="1">
        <v>21.3</v>
      </c>
      <c r="BA1449" s="1">
        <v>31.0</v>
      </c>
      <c r="BB1449" s="1">
        <v>3.07</v>
      </c>
      <c r="BC1449" s="1" t="s">
        <v>2437</v>
      </c>
      <c r="BD1449" s="1">
        <v>22.1</v>
      </c>
      <c r="BE1449" s="1">
        <v>33.3</v>
      </c>
      <c r="BF1449" s="1">
        <v>25.3</v>
      </c>
      <c r="BG1449" s="1">
        <v>19.3</v>
      </c>
      <c r="BH1449" s="1" t="s">
        <v>2501</v>
      </c>
    </row>
    <row r="1450">
      <c r="A1450" s="1">
        <v>28099.0</v>
      </c>
      <c r="B1450" s="2" t="str">
        <f>IFERROR(__xludf.DUMMYFUNCTION("TO_TEXT(A1450)"),"28099")</f>
        <v>28099</v>
      </c>
      <c r="C1450" s="1">
        <v>29474.0</v>
      </c>
      <c r="D1450" s="1">
        <v>570.134090872546</v>
      </c>
      <c r="E1450" s="1" t="s">
        <v>2502</v>
      </c>
      <c r="F1450" s="1" t="s">
        <v>2503</v>
      </c>
      <c r="G1450" s="1">
        <v>51.6966104498194</v>
      </c>
      <c r="H1450" s="1">
        <v>23.873610738</v>
      </c>
      <c r="I1450" s="1">
        <v>4.9688940305</v>
      </c>
      <c r="J1450" s="1">
        <v>8.6727989488</v>
      </c>
      <c r="K1450" s="1">
        <v>22.215837794</v>
      </c>
      <c r="L1450" s="1">
        <v>42.8</v>
      </c>
      <c r="M1450" s="1">
        <v>7.2</v>
      </c>
      <c r="N1450" s="1">
        <v>32.3</v>
      </c>
      <c r="O1450" s="1">
        <v>44.8139911039999</v>
      </c>
      <c r="P1450" s="1">
        <v>18.045449002</v>
      </c>
      <c r="Q1450" s="1">
        <v>57.88416</v>
      </c>
      <c r="R1450" s="1">
        <v>80.386533666</v>
      </c>
      <c r="S1450" s="1">
        <v>37.6</v>
      </c>
      <c r="T1450" s="1">
        <v>8178.0</v>
      </c>
      <c r="U1450" s="1">
        <v>51.577402788</v>
      </c>
      <c r="V1450" s="1">
        <v>204.509002055</v>
      </c>
      <c r="W1450" s="1">
        <v>16.287703016</v>
      </c>
      <c r="X1450" s="1">
        <v>11.0694183859999</v>
      </c>
      <c r="Y1450" s="1">
        <v>70.4621166519999</v>
      </c>
      <c r="Z1450" s="1">
        <v>14.2</v>
      </c>
      <c r="AA1450" s="1">
        <v>3.7923033781</v>
      </c>
      <c r="AB1450" s="1">
        <v>36236.0</v>
      </c>
      <c r="AC1450" s="1">
        <v>75.139275766</v>
      </c>
      <c r="AD1450" s="1">
        <v>72.670343023</v>
      </c>
      <c r="AE1450" s="1">
        <v>10.730616807</v>
      </c>
      <c r="AF1450" s="1">
        <v>21.146781116</v>
      </c>
      <c r="AG1450" s="1">
        <v>17.191416309</v>
      </c>
      <c r="AH1450" s="1">
        <v>0.4429184549</v>
      </c>
      <c r="AI1450" s="1">
        <v>0.0652360515</v>
      </c>
      <c r="AJ1450" s="1">
        <v>2.1115879828</v>
      </c>
      <c r="AK1450" s="1">
        <v>58.132188841</v>
      </c>
      <c r="AL1450" s="1">
        <v>0.6326799298</v>
      </c>
      <c r="AM1450" s="1">
        <v>52.3914163089999</v>
      </c>
      <c r="AN1450" s="1">
        <v>73.854293031</v>
      </c>
      <c r="AO1450" s="1">
        <v>19030.0</v>
      </c>
      <c r="AP1450" s="1">
        <v>22.3</v>
      </c>
      <c r="AQ1450" s="1">
        <v>8.3</v>
      </c>
      <c r="AR1450" s="1">
        <v>21.4</v>
      </c>
      <c r="AS1450" s="1">
        <v>14.7</v>
      </c>
      <c r="AT1450" s="1">
        <v>28.3</v>
      </c>
      <c r="AU1450" s="1">
        <v>19.7</v>
      </c>
      <c r="AV1450" s="1">
        <v>40.9</v>
      </c>
      <c r="AW1450" s="1">
        <v>0.5</v>
      </c>
      <c r="AX1450" s="1">
        <v>0.9096</v>
      </c>
      <c r="AY1450" s="1">
        <v>21.7</v>
      </c>
      <c r="AZ1450" s="1">
        <v>19.3</v>
      </c>
      <c r="BA1450" s="1">
        <v>23.4</v>
      </c>
      <c r="BB1450" s="1">
        <v>3.01</v>
      </c>
      <c r="BC1450" s="1" t="s">
        <v>2437</v>
      </c>
      <c r="BD1450" s="1">
        <v>19.7</v>
      </c>
      <c r="BE1450" s="1">
        <v>35.6</v>
      </c>
      <c r="BF1450" s="1">
        <v>33.0</v>
      </c>
      <c r="BG1450" s="1">
        <v>11.6</v>
      </c>
      <c r="BH1450" s="1" t="s">
        <v>2503</v>
      </c>
    </row>
    <row r="1451">
      <c r="A1451" s="1">
        <v>28101.0</v>
      </c>
      <c r="B1451" s="2" t="str">
        <f>IFERROR(__xludf.DUMMYFUNCTION("TO_TEXT(A1451)"),"28101")</f>
        <v>28101</v>
      </c>
      <c r="C1451" s="1">
        <v>21652.0</v>
      </c>
      <c r="D1451" s="1">
        <v>577.854438201378</v>
      </c>
      <c r="E1451" s="1" t="s">
        <v>371</v>
      </c>
      <c r="F1451" s="1" t="s">
        <v>2504</v>
      </c>
      <c r="G1451" s="1">
        <v>37.4696438559747</v>
      </c>
      <c r="H1451" s="1">
        <v>24.45094415</v>
      </c>
      <c r="I1451" s="1">
        <v>4.685907995</v>
      </c>
      <c r="J1451" s="1">
        <v>12.875751503</v>
      </c>
      <c r="K1451" s="1">
        <v>19.970284534</v>
      </c>
      <c r="L1451" s="1">
        <v>34.3</v>
      </c>
      <c r="M1451" s="1">
        <v>6.8</v>
      </c>
      <c r="N1451" s="1">
        <v>31.7</v>
      </c>
      <c r="O1451" s="1">
        <v>45.32228361</v>
      </c>
      <c r="P1451" s="1">
        <v>16.7644837</v>
      </c>
      <c r="Q1451" s="1">
        <v>28.32193</v>
      </c>
      <c r="R1451" s="1">
        <v>84.023972603</v>
      </c>
      <c r="S1451" s="1">
        <v>31.1</v>
      </c>
      <c r="T1451" s="1">
        <v>5460.0</v>
      </c>
      <c r="U1451" s="1">
        <v>45.732600733</v>
      </c>
      <c r="V1451" s="1">
        <v>204.509002055</v>
      </c>
      <c r="W1451" s="1">
        <v>14.527238572</v>
      </c>
      <c r="X1451" s="1">
        <v>10.696202532</v>
      </c>
      <c r="Y1451" s="1">
        <v>73.967777554</v>
      </c>
      <c r="Z1451" s="1">
        <v>16.1</v>
      </c>
      <c r="AA1451" s="1">
        <v>5.982943097</v>
      </c>
      <c r="AB1451" s="1">
        <v>40792.0</v>
      </c>
      <c r="AC1451" s="1">
        <v>68.07148573</v>
      </c>
      <c r="AD1451" s="1">
        <v>77.90350659</v>
      </c>
      <c r="AE1451" s="1">
        <v>12.0360551429999</v>
      </c>
      <c r="AF1451" s="1">
        <v>30.765284708</v>
      </c>
      <c r="AG1451" s="1">
        <v>5.6428671361</v>
      </c>
      <c r="AH1451" s="1">
        <v>0.4896702887</v>
      </c>
      <c r="AI1451" s="1">
        <v>0.0373082125</v>
      </c>
      <c r="AJ1451" s="1">
        <v>1.9959893672</v>
      </c>
      <c r="AK1451" s="1">
        <v>60.346033671</v>
      </c>
      <c r="AL1451" s="1">
        <v>0.4460303301</v>
      </c>
      <c r="AM1451" s="1">
        <v>52.156881033</v>
      </c>
      <c r="AN1451" s="1">
        <v>87.062615101</v>
      </c>
      <c r="AO1451" s="1">
        <v>20896.0</v>
      </c>
      <c r="AP1451" s="1">
        <v>23.3</v>
      </c>
      <c r="AQ1451" s="1">
        <v>9.2</v>
      </c>
      <c r="AR1451" s="1">
        <v>16.5</v>
      </c>
      <c r="AS1451" s="1">
        <v>16.2</v>
      </c>
      <c r="AT1451" s="1">
        <v>25.4</v>
      </c>
      <c r="AU1451" s="1">
        <v>19.3</v>
      </c>
      <c r="AV1451" s="1">
        <v>38.0</v>
      </c>
      <c r="AW1451" s="1">
        <v>0.4</v>
      </c>
      <c r="AX1451" s="1">
        <v>0.9347</v>
      </c>
      <c r="AY1451" s="1">
        <v>20.3</v>
      </c>
      <c r="AZ1451" s="1">
        <v>19.4</v>
      </c>
      <c r="BA1451" s="1">
        <v>25.0</v>
      </c>
      <c r="BB1451" s="1">
        <v>2.72</v>
      </c>
      <c r="BC1451" s="1" t="s">
        <v>2437</v>
      </c>
      <c r="BD1451" s="1">
        <v>14.8</v>
      </c>
      <c r="BE1451" s="1">
        <v>30.9</v>
      </c>
      <c r="BF1451" s="1">
        <v>37.9</v>
      </c>
      <c r="BG1451" s="1">
        <v>16.4</v>
      </c>
      <c r="BH1451" s="1" t="s">
        <v>2504</v>
      </c>
    </row>
    <row r="1452">
      <c r="A1452" s="1">
        <v>28103.0</v>
      </c>
      <c r="B1452" s="2" t="str">
        <f>IFERROR(__xludf.DUMMYFUNCTION("TO_TEXT(A1452)"),"28103")</f>
        <v>28103</v>
      </c>
      <c r="C1452" s="1">
        <v>11098.0</v>
      </c>
      <c r="D1452" s="1">
        <v>695.158074088372</v>
      </c>
      <c r="E1452" s="1" t="s">
        <v>2505</v>
      </c>
      <c r="F1452" s="1" t="s">
        <v>2506</v>
      </c>
      <c r="G1452" s="1">
        <v>15.9647142335991</v>
      </c>
      <c r="H1452" s="1">
        <v>29.7862839969999</v>
      </c>
      <c r="I1452" s="1">
        <v>5.0018329359</v>
      </c>
      <c r="J1452" s="1">
        <v>11.754385965</v>
      </c>
      <c r="K1452" s="1">
        <v>21.836874761</v>
      </c>
      <c r="L1452" s="1">
        <v>42.3</v>
      </c>
      <c r="M1452" s="1">
        <v>4.7</v>
      </c>
      <c r="N1452" s="1">
        <v>39.8</v>
      </c>
      <c r="O1452" s="1">
        <v>39.523603291</v>
      </c>
      <c r="P1452" s="1">
        <v>17.718501703</v>
      </c>
      <c r="Q1452" s="1">
        <v>48.31939</v>
      </c>
      <c r="R1452" s="1">
        <v>72.5</v>
      </c>
      <c r="S1452" s="1">
        <v>40.8</v>
      </c>
      <c r="T1452" s="1">
        <v>2674.0</v>
      </c>
      <c r="U1452" s="1">
        <v>55.1608077789999</v>
      </c>
      <c r="V1452" s="1">
        <v>204.509002055</v>
      </c>
      <c r="W1452" s="1">
        <v>15.336658354</v>
      </c>
      <c r="X1452" s="1">
        <v>14.21656051</v>
      </c>
      <c r="Y1452" s="1">
        <v>74.11746536</v>
      </c>
      <c r="Z1452" s="1">
        <v>14.3</v>
      </c>
      <c r="AA1452" s="1">
        <v>10.842931574</v>
      </c>
      <c r="AB1452" s="1">
        <v>32167.0</v>
      </c>
      <c r="AC1452" s="1">
        <v>100.0</v>
      </c>
      <c r="AD1452" s="1">
        <v>72.736318408</v>
      </c>
      <c r="AE1452" s="1">
        <v>12.541163557</v>
      </c>
      <c r="AF1452" s="1">
        <v>71.817750356</v>
      </c>
      <c r="AG1452" s="1">
        <v>0.3132415757</v>
      </c>
      <c r="AH1452" s="1">
        <v>0.2657807309</v>
      </c>
      <c r="AI1452" s="1">
        <v>0.0284765069</v>
      </c>
      <c r="AJ1452" s="1">
        <v>1.3953488372</v>
      </c>
      <c r="AK1452" s="1">
        <v>25.628856194</v>
      </c>
      <c r="AL1452" s="1">
        <v>0.079649542</v>
      </c>
      <c r="AM1452" s="1">
        <v>52.842904604</v>
      </c>
      <c r="AN1452" s="1">
        <v>74.032048506</v>
      </c>
      <c r="AO1452" s="1">
        <v>16108.0</v>
      </c>
      <c r="AP1452" s="1">
        <v>32.4</v>
      </c>
      <c r="AQ1452" s="1">
        <v>15.0</v>
      </c>
      <c r="AR1452" s="1">
        <v>31.0</v>
      </c>
      <c r="AS1452" s="1">
        <v>15.4</v>
      </c>
      <c r="AT1452" s="1">
        <v>25.6</v>
      </c>
      <c r="AU1452" s="1">
        <v>21.4</v>
      </c>
      <c r="AV1452" s="1">
        <v>73.7</v>
      </c>
      <c r="AW1452" s="1">
        <v>0.2</v>
      </c>
      <c r="AX1452" s="1">
        <v>0.972</v>
      </c>
      <c r="AY1452" s="1">
        <v>29.2</v>
      </c>
      <c r="AZ1452" s="1">
        <v>22.0</v>
      </c>
      <c r="BA1452" s="1">
        <v>27.4</v>
      </c>
      <c r="BB1452" s="1">
        <v>3.2</v>
      </c>
      <c r="BC1452" s="1" t="s">
        <v>2437</v>
      </c>
      <c r="BD1452" s="1">
        <v>29.1</v>
      </c>
      <c r="BE1452" s="1">
        <v>29.6</v>
      </c>
      <c r="BF1452" s="1">
        <v>25.7</v>
      </c>
      <c r="BG1452" s="1">
        <v>15.6</v>
      </c>
      <c r="BH1452" s="1" t="s">
        <v>2506</v>
      </c>
    </row>
    <row r="1453">
      <c r="A1453" s="1">
        <v>28105.0</v>
      </c>
      <c r="B1453" s="2" t="str">
        <f>IFERROR(__xludf.DUMMYFUNCTION("TO_TEXT(A1453)"),"28105")</f>
        <v>28105</v>
      </c>
      <c r="C1453" s="1">
        <v>49424.0</v>
      </c>
      <c r="D1453" s="1">
        <v>458.206830740562</v>
      </c>
      <c r="E1453" s="1" t="s">
        <v>2507</v>
      </c>
      <c r="F1453" s="1" t="s">
        <v>2508</v>
      </c>
      <c r="G1453" s="1">
        <v>107.863952879358</v>
      </c>
      <c r="H1453" s="1">
        <v>23.467277469</v>
      </c>
      <c r="I1453" s="1">
        <v>4.685079901</v>
      </c>
      <c r="J1453" s="1">
        <v>11.349693252</v>
      </c>
      <c r="K1453" s="1">
        <v>19.058866586</v>
      </c>
      <c r="L1453" s="1">
        <v>33.6</v>
      </c>
      <c r="M1453" s="1">
        <v>5.2</v>
      </c>
      <c r="N1453" s="1">
        <v>24.3</v>
      </c>
      <c r="O1453" s="1">
        <v>60.095236097</v>
      </c>
      <c r="P1453" s="1">
        <v>15.646877448</v>
      </c>
      <c r="Q1453" s="1">
        <v>42.16952</v>
      </c>
      <c r="R1453" s="1">
        <v>90.0</v>
      </c>
      <c r="S1453" s="1">
        <v>26.7</v>
      </c>
      <c r="T1453" s="1">
        <v>8606.0</v>
      </c>
      <c r="U1453" s="1">
        <v>41.320009296</v>
      </c>
      <c r="V1453" s="1">
        <v>176.0120694</v>
      </c>
      <c r="W1453" s="1">
        <v>22.267679719</v>
      </c>
      <c r="X1453" s="1">
        <v>21.478765658</v>
      </c>
      <c r="Y1453" s="1">
        <v>77.963554035</v>
      </c>
      <c r="Z1453" s="1">
        <v>9.3</v>
      </c>
      <c r="AA1453" s="1">
        <v>15.41796098</v>
      </c>
      <c r="AB1453" s="1">
        <v>39130.0</v>
      </c>
      <c r="AC1453" s="1">
        <v>70.3341801839999</v>
      </c>
      <c r="AD1453" s="1">
        <v>50.862215186</v>
      </c>
      <c r="AE1453" s="1">
        <v>22.9546574669999</v>
      </c>
      <c r="AF1453" s="1">
        <v>37.307203774</v>
      </c>
      <c r="AG1453" s="1">
        <v>0.2318595133</v>
      </c>
      <c r="AH1453" s="1">
        <v>3.1190144963</v>
      </c>
      <c r="AI1453" s="1">
        <v>0.0846791266</v>
      </c>
      <c r="AJ1453" s="1">
        <v>1.655275308</v>
      </c>
      <c r="AK1453" s="1">
        <v>56.581785923</v>
      </c>
      <c r="AL1453" s="1">
        <v>0.4884603899</v>
      </c>
      <c r="AM1453" s="1">
        <v>50.128026775</v>
      </c>
      <c r="AN1453" s="1">
        <v>36.424660695</v>
      </c>
      <c r="AO1453" s="1">
        <v>20128.0</v>
      </c>
      <c r="AP1453" s="1">
        <v>32.6</v>
      </c>
      <c r="AQ1453" s="1">
        <v>11.0</v>
      </c>
      <c r="AR1453" s="1">
        <v>13.2</v>
      </c>
      <c r="AS1453" s="1">
        <v>10.1</v>
      </c>
      <c r="AT1453" s="1">
        <v>17.6</v>
      </c>
      <c r="AU1453" s="1">
        <v>11.6</v>
      </c>
      <c r="AV1453" s="1">
        <v>43.0</v>
      </c>
      <c r="AW1453" s="1">
        <v>0.4</v>
      </c>
      <c r="AX1453" s="1">
        <v>0.7268</v>
      </c>
      <c r="AY1453" s="1">
        <v>31.1</v>
      </c>
      <c r="AZ1453" s="1">
        <v>17.7</v>
      </c>
      <c r="BA1453" s="1">
        <v>17.9</v>
      </c>
      <c r="BB1453" s="1">
        <v>3.31</v>
      </c>
      <c r="BC1453" s="1" t="s">
        <v>2437</v>
      </c>
      <c r="BD1453" s="1">
        <v>9.3</v>
      </c>
      <c r="BE1453" s="1">
        <v>21.7</v>
      </c>
      <c r="BF1453" s="1">
        <v>26.4</v>
      </c>
      <c r="BG1453" s="1">
        <v>42.6</v>
      </c>
      <c r="BH1453" s="1" t="s">
        <v>2508</v>
      </c>
    </row>
    <row r="1454">
      <c r="A1454" s="1">
        <v>28107.0</v>
      </c>
      <c r="B1454" s="2" t="str">
        <f>IFERROR(__xludf.DUMMYFUNCTION("TO_TEXT(A1454)"),"28107")</f>
        <v>28107</v>
      </c>
      <c r="C1454" s="1">
        <v>34319.0</v>
      </c>
      <c r="D1454" s="1">
        <v>685.142808672614</v>
      </c>
      <c r="E1454" s="1" t="s">
        <v>2509</v>
      </c>
      <c r="F1454" s="1" t="s">
        <v>2510</v>
      </c>
      <c r="G1454" s="1">
        <v>50.090287113265</v>
      </c>
      <c r="H1454" s="1">
        <v>24.302397154</v>
      </c>
      <c r="I1454" s="1">
        <v>4.6921587056</v>
      </c>
      <c r="J1454" s="1">
        <v>11.79138322</v>
      </c>
      <c r="K1454" s="1">
        <v>21.3934589329999</v>
      </c>
      <c r="L1454" s="1">
        <v>33.8</v>
      </c>
      <c r="M1454" s="1">
        <v>5.8</v>
      </c>
      <c r="N1454" s="1">
        <v>40.0</v>
      </c>
      <c r="O1454" s="1">
        <v>18.053994871</v>
      </c>
      <c r="P1454" s="1">
        <v>14.3491280609999</v>
      </c>
      <c r="Q1454" s="1">
        <v>23.53356</v>
      </c>
      <c r="R1454" s="1">
        <v>85.255102041</v>
      </c>
      <c r="S1454" s="1">
        <v>34.4</v>
      </c>
      <c r="T1454" s="1">
        <v>8603.0</v>
      </c>
      <c r="U1454" s="1">
        <v>40.683482506</v>
      </c>
      <c r="V1454" s="1">
        <v>445.52073146</v>
      </c>
      <c r="W1454" s="1">
        <v>13.9515798109999</v>
      </c>
      <c r="X1454" s="1">
        <v>9.7105045492</v>
      </c>
      <c r="Y1454" s="1">
        <v>73.444134225</v>
      </c>
      <c r="Z1454" s="1">
        <v>14.6</v>
      </c>
      <c r="AA1454" s="1">
        <v>11.5182607159999</v>
      </c>
      <c r="AB1454" s="1">
        <v>39198.0</v>
      </c>
      <c r="AC1454" s="1">
        <v>86.702219164</v>
      </c>
      <c r="AD1454" s="1">
        <v>72.820760022</v>
      </c>
      <c r="AE1454" s="1">
        <v>10.82658305</v>
      </c>
      <c r="AF1454" s="1">
        <v>49.53478846</v>
      </c>
      <c r="AG1454" s="1">
        <v>0.2955117327</v>
      </c>
      <c r="AH1454" s="1">
        <v>0.1931066768</v>
      </c>
      <c r="AI1454" s="1">
        <v>0.0058517175</v>
      </c>
      <c r="AJ1454" s="1">
        <v>2.4635730587</v>
      </c>
      <c r="AK1454" s="1">
        <v>46.629410732</v>
      </c>
      <c r="AL1454" s="1">
        <v>0.9535498489</v>
      </c>
      <c r="AM1454" s="1">
        <v>51.948621921</v>
      </c>
      <c r="AN1454" s="1">
        <v>78.940847668</v>
      </c>
      <c r="AO1454" s="1">
        <v>20098.0</v>
      </c>
      <c r="AP1454" s="1">
        <v>22.4</v>
      </c>
      <c r="AQ1454" s="1">
        <v>9.2</v>
      </c>
      <c r="AR1454" s="1">
        <v>20.3</v>
      </c>
      <c r="AS1454" s="1">
        <v>14.2</v>
      </c>
      <c r="AT1454" s="1">
        <v>25.9</v>
      </c>
      <c r="AU1454" s="1">
        <v>15.6</v>
      </c>
      <c r="AV1454" s="1">
        <v>52.5</v>
      </c>
      <c r="AW1454" s="1">
        <v>0.8</v>
      </c>
      <c r="AX1454" s="1">
        <v>0.8707</v>
      </c>
      <c r="AY1454" s="1">
        <v>22.8</v>
      </c>
      <c r="AZ1454" s="1">
        <v>18.5</v>
      </c>
      <c r="BA1454" s="1">
        <v>23.4</v>
      </c>
      <c r="BB1454" s="1">
        <v>3.16</v>
      </c>
      <c r="BC1454" s="1" t="s">
        <v>2437</v>
      </c>
      <c r="BD1454" s="1">
        <v>19.4</v>
      </c>
      <c r="BE1454" s="1">
        <v>36.6</v>
      </c>
      <c r="BF1454" s="1">
        <v>29.1</v>
      </c>
      <c r="BG1454" s="1">
        <v>14.9</v>
      </c>
      <c r="BH1454" s="1" t="s">
        <v>2510</v>
      </c>
    </row>
    <row r="1455">
      <c r="A1455" s="1">
        <v>28109.0</v>
      </c>
      <c r="B1455" s="2" t="str">
        <f>IFERROR(__xludf.DUMMYFUNCTION("TO_TEXT(A1455)"),"28109")</f>
        <v>28109</v>
      </c>
      <c r="C1455" s="1">
        <v>55167.0</v>
      </c>
      <c r="D1455" s="1">
        <v>810.885135817746</v>
      </c>
      <c r="E1455" s="1" t="s">
        <v>2511</v>
      </c>
      <c r="F1455" s="1" t="s">
        <v>2512</v>
      </c>
      <c r="G1455" s="1">
        <v>68.0330635785625</v>
      </c>
      <c r="H1455" s="1">
        <v>19.564104805</v>
      </c>
      <c r="I1455" s="1">
        <v>4.4677403787</v>
      </c>
      <c r="J1455" s="1">
        <v>9.6943430657</v>
      </c>
      <c r="K1455" s="1">
        <v>18.742218106</v>
      </c>
      <c r="L1455" s="1">
        <v>38.2</v>
      </c>
      <c r="M1455" s="1">
        <v>7.5</v>
      </c>
      <c r="N1455" s="1">
        <v>32.3</v>
      </c>
      <c r="O1455" s="1">
        <v>47.9922627789999</v>
      </c>
      <c r="P1455" s="1">
        <v>15.089222635</v>
      </c>
      <c r="Q1455" s="1">
        <v>28.9488</v>
      </c>
      <c r="R1455" s="1">
        <v>85.185758514</v>
      </c>
      <c r="S1455" s="1">
        <v>26.2</v>
      </c>
      <c r="T1455" s="1">
        <v>12454.0</v>
      </c>
      <c r="U1455" s="1">
        <v>31.242974145</v>
      </c>
      <c r="V1455" s="1">
        <v>204.509002055</v>
      </c>
      <c r="W1455" s="1">
        <v>12.1493047079999</v>
      </c>
      <c r="X1455" s="1">
        <v>9.6628082536</v>
      </c>
      <c r="Y1455" s="1">
        <v>74.118208328</v>
      </c>
      <c r="Z1455" s="1">
        <v>15.9</v>
      </c>
      <c r="AA1455" s="1">
        <v>5.806132077</v>
      </c>
      <c r="AB1455" s="1">
        <v>45268.0</v>
      </c>
      <c r="AC1455" s="1">
        <v>85.396861757</v>
      </c>
      <c r="AD1455" s="1">
        <v>77.510601388</v>
      </c>
      <c r="AE1455" s="1">
        <v>10.294492931</v>
      </c>
      <c r="AF1455" s="1">
        <v>12.351273765</v>
      </c>
      <c r="AG1455" s="1">
        <v>0.6896925271</v>
      </c>
      <c r="AH1455" s="1">
        <v>0.4567858884</v>
      </c>
      <c r="AI1455" s="1">
        <v>0.0866629353</v>
      </c>
      <c r="AJ1455" s="1">
        <v>3.1956957409</v>
      </c>
      <c r="AK1455" s="1">
        <v>81.6834275189999</v>
      </c>
      <c r="AL1455" s="1">
        <v>0.324469617</v>
      </c>
      <c r="AM1455" s="1">
        <v>50.775452724</v>
      </c>
      <c r="AN1455" s="1">
        <v>69.925135222</v>
      </c>
      <c r="AO1455" s="1">
        <v>20653.0</v>
      </c>
      <c r="AP1455" s="1">
        <v>20.3</v>
      </c>
      <c r="AQ1455" s="1">
        <v>11.3</v>
      </c>
      <c r="AR1455" s="1">
        <v>16.4</v>
      </c>
      <c r="AS1455" s="1">
        <v>17.2</v>
      </c>
      <c r="AT1455" s="1">
        <v>23.2</v>
      </c>
      <c r="AU1455" s="1">
        <v>19.7</v>
      </c>
      <c r="AV1455" s="1">
        <v>18.0</v>
      </c>
      <c r="AW1455" s="1">
        <v>0.3</v>
      </c>
      <c r="AX1455" s="1">
        <v>0.7997</v>
      </c>
      <c r="AY1455" s="1">
        <v>18.1</v>
      </c>
      <c r="AZ1455" s="1">
        <v>16.1</v>
      </c>
      <c r="BA1455" s="1">
        <v>19.3</v>
      </c>
      <c r="BB1455" s="1">
        <v>3.15</v>
      </c>
      <c r="BC1455" s="1" t="s">
        <v>2437</v>
      </c>
      <c r="BD1455" s="1">
        <v>16.2</v>
      </c>
      <c r="BE1455" s="1">
        <v>30.4</v>
      </c>
      <c r="BF1455" s="1">
        <v>36.7</v>
      </c>
      <c r="BG1455" s="1">
        <v>16.7</v>
      </c>
      <c r="BH1455" s="1" t="s">
        <v>2512</v>
      </c>
    </row>
    <row r="1456">
      <c r="A1456" s="1">
        <v>28111.0</v>
      </c>
      <c r="B1456" s="2" t="str">
        <f>IFERROR(__xludf.DUMMYFUNCTION("TO_TEXT(A1456)"),"28111")</f>
        <v>28111</v>
      </c>
      <c r="C1456" s="1">
        <v>12174.0</v>
      </c>
      <c r="D1456" s="1">
        <v>647.207198751076</v>
      </c>
      <c r="E1456" s="1" t="s">
        <v>164</v>
      </c>
      <c r="F1456" s="1" t="s">
        <v>2513</v>
      </c>
      <c r="G1456" s="1">
        <v>18.8100503571226</v>
      </c>
      <c r="H1456" s="1">
        <v>23.753788648</v>
      </c>
      <c r="I1456" s="1">
        <v>4.7459255668</v>
      </c>
      <c r="J1456" s="1">
        <v>9.0163934426</v>
      </c>
      <c r="K1456" s="1">
        <v>20.469624003</v>
      </c>
      <c r="L1456" s="1">
        <v>33.6</v>
      </c>
      <c r="M1456" s="1">
        <v>7.3</v>
      </c>
      <c r="N1456" s="1">
        <v>32.6</v>
      </c>
      <c r="O1456" s="1">
        <v>55.0285714289999</v>
      </c>
      <c r="P1456" s="1">
        <v>16.785350966</v>
      </c>
      <c r="Q1456" s="1">
        <v>16.6223399999999</v>
      </c>
      <c r="R1456" s="1">
        <v>76.520979021</v>
      </c>
      <c r="S1456" s="1">
        <v>34.3</v>
      </c>
      <c r="T1456" s="1">
        <v>2798.0</v>
      </c>
      <c r="U1456" s="1">
        <v>34.7748391709999</v>
      </c>
      <c r="V1456" s="1">
        <v>204.509002055</v>
      </c>
      <c r="W1456" s="1">
        <v>11.173814898</v>
      </c>
      <c r="X1456" s="1">
        <v>7.53186558519999</v>
      </c>
      <c r="Y1456" s="1">
        <v>76.264353235</v>
      </c>
      <c r="Z1456" s="1">
        <v>15.1</v>
      </c>
      <c r="AA1456" s="1">
        <v>3.9817653453</v>
      </c>
      <c r="AB1456" s="1">
        <v>39687.0</v>
      </c>
      <c r="AC1456" s="1">
        <v>77.978971963</v>
      </c>
      <c r="AD1456" s="1">
        <v>83.366206443</v>
      </c>
      <c r="AE1456" s="1">
        <v>6.7402806533</v>
      </c>
      <c r="AF1456" s="1">
        <v>19.10988182</v>
      </c>
      <c r="AG1456" s="1">
        <v>0.4777470455</v>
      </c>
      <c r="AH1456" s="1">
        <v>0.2430642863</v>
      </c>
      <c r="AI1456" s="1">
        <v>0.0838152711</v>
      </c>
      <c r="AJ1456" s="1">
        <v>1.5757270975</v>
      </c>
      <c r="AK1456" s="1">
        <v>77.420165954</v>
      </c>
      <c r="AL1456" s="1">
        <v>0.0</v>
      </c>
      <c r="AM1456" s="1">
        <v>51.110552343</v>
      </c>
      <c r="AN1456" s="1">
        <v>100.0</v>
      </c>
      <c r="AO1456" s="1">
        <v>18188.0</v>
      </c>
      <c r="AP1456" s="1">
        <v>19.7</v>
      </c>
      <c r="AQ1456" s="1">
        <v>10.4</v>
      </c>
      <c r="AR1456" s="1">
        <v>19.3</v>
      </c>
      <c r="AS1456" s="1">
        <v>17.3</v>
      </c>
      <c r="AT1456" s="1">
        <v>23.6</v>
      </c>
      <c r="AU1456" s="1">
        <v>26.8</v>
      </c>
      <c r="AV1456" s="1">
        <v>22.4</v>
      </c>
      <c r="AW1456" s="1">
        <v>0.0</v>
      </c>
      <c r="AX1456" s="1">
        <v>0.8125</v>
      </c>
      <c r="AY1456" s="1">
        <v>19.9</v>
      </c>
      <c r="AZ1456" s="1">
        <v>18.9</v>
      </c>
      <c r="BA1456" s="1">
        <v>24.4</v>
      </c>
      <c r="BB1456" s="1">
        <v>3.09</v>
      </c>
      <c r="BC1456" s="1" t="s">
        <v>2437</v>
      </c>
      <c r="BD1456" s="1">
        <v>17.0</v>
      </c>
      <c r="BE1456" s="1">
        <v>40.4</v>
      </c>
      <c r="BF1456" s="1">
        <v>31.8</v>
      </c>
      <c r="BG1456" s="1">
        <v>10.7</v>
      </c>
      <c r="BH1456" s="1" t="s">
        <v>2513</v>
      </c>
    </row>
    <row r="1457">
      <c r="A1457" s="1">
        <v>28113.0</v>
      </c>
      <c r="B1457" s="2" t="str">
        <f>IFERROR(__xludf.DUMMYFUNCTION("TO_TEXT(A1457)"),"28113")</f>
        <v>28113</v>
      </c>
      <c r="C1457" s="1">
        <v>39939.0</v>
      </c>
      <c r="D1457" s="1">
        <v>409.017347523203</v>
      </c>
      <c r="E1457" s="1" t="s">
        <v>168</v>
      </c>
      <c r="F1457" s="1" t="s">
        <v>2514</v>
      </c>
      <c r="G1457" s="1">
        <v>97.6462251340921</v>
      </c>
      <c r="H1457" s="1">
        <v>28.268285709</v>
      </c>
      <c r="I1457" s="1">
        <v>5.0453115116</v>
      </c>
      <c r="J1457" s="1">
        <v>12.585212375</v>
      </c>
      <c r="K1457" s="1">
        <v>22.610895758</v>
      </c>
      <c r="L1457" s="1">
        <v>33.7</v>
      </c>
      <c r="M1457" s="1">
        <v>5.4</v>
      </c>
      <c r="N1457" s="1">
        <v>37.1</v>
      </c>
      <c r="O1457" s="1">
        <v>52.3042273039999</v>
      </c>
      <c r="P1457" s="1">
        <v>15.240398204</v>
      </c>
      <c r="Q1457" s="1">
        <v>45.60657</v>
      </c>
      <c r="R1457" s="1">
        <v>80.352539063</v>
      </c>
      <c r="S1457" s="1">
        <v>46.2</v>
      </c>
      <c r="T1457" s="1">
        <v>10314.0</v>
      </c>
      <c r="U1457" s="1">
        <v>60.859026566</v>
      </c>
      <c r="V1457" s="1">
        <v>204.509002055</v>
      </c>
      <c r="W1457" s="1">
        <v>17.431192661</v>
      </c>
      <c r="X1457" s="1">
        <v>15.54770318</v>
      </c>
      <c r="Y1457" s="1">
        <v>72.480763942</v>
      </c>
      <c r="Z1457" s="1">
        <v>16.5</v>
      </c>
      <c r="AA1457" s="1">
        <v>8.92501616299999</v>
      </c>
      <c r="AB1457" s="1">
        <v>33983.0</v>
      </c>
      <c r="AC1457" s="1">
        <v>87.249410377</v>
      </c>
      <c r="AD1457" s="1">
        <v>67.232215863</v>
      </c>
      <c r="AE1457" s="1">
        <v>17.04493872</v>
      </c>
      <c r="AF1457" s="1">
        <v>53.0975911839999</v>
      </c>
      <c r="AG1457" s="1">
        <v>0.4044182696</v>
      </c>
      <c r="AH1457" s="1">
        <v>0.6647625306</v>
      </c>
      <c r="AI1457" s="1">
        <v>0.0353865986</v>
      </c>
      <c r="AJ1457" s="1">
        <v>1.9993428203</v>
      </c>
      <c r="AK1457" s="1">
        <v>43.035159113</v>
      </c>
      <c r="AL1457" s="1">
        <v>1.1611265628</v>
      </c>
      <c r="AM1457" s="1">
        <v>52.852412608</v>
      </c>
      <c r="AN1457" s="1">
        <v>59.43965944</v>
      </c>
      <c r="AO1457" s="1">
        <v>17316.0</v>
      </c>
      <c r="AP1457" s="1">
        <v>31.7</v>
      </c>
      <c r="AQ1457" s="1">
        <v>9.4</v>
      </c>
      <c r="AR1457" s="1">
        <v>20.7</v>
      </c>
      <c r="AS1457" s="1">
        <v>15.5</v>
      </c>
      <c r="AT1457" s="1">
        <v>26.7</v>
      </c>
      <c r="AU1457" s="1">
        <v>19.4</v>
      </c>
      <c r="AV1457" s="1">
        <v>55.6</v>
      </c>
      <c r="AW1457" s="1">
        <v>0.9</v>
      </c>
      <c r="AX1457" s="1">
        <v>0.9815</v>
      </c>
      <c r="AY1457" s="1">
        <v>26.2</v>
      </c>
      <c r="AZ1457" s="1">
        <v>22.6</v>
      </c>
      <c r="BA1457" s="1">
        <v>28.0</v>
      </c>
      <c r="BB1457" s="1">
        <v>2.95</v>
      </c>
      <c r="BC1457" s="1" t="s">
        <v>2437</v>
      </c>
      <c r="BD1457" s="1">
        <v>16.8</v>
      </c>
      <c r="BE1457" s="1">
        <v>35.9</v>
      </c>
      <c r="BF1457" s="1">
        <v>30.7</v>
      </c>
      <c r="BG1457" s="1">
        <v>16.6</v>
      </c>
      <c r="BH1457" s="1" t="s">
        <v>2514</v>
      </c>
    </row>
    <row r="1458">
      <c r="A1458" s="1">
        <v>28115.0</v>
      </c>
      <c r="B1458" s="2" t="str">
        <f>IFERROR(__xludf.DUMMYFUNCTION("TO_TEXT(A1458)"),"28115")</f>
        <v>28115</v>
      </c>
      <c r="C1458" s="1">
        <v>30862.0</v>
      </c>
      <c r="D1458" s="1">
        <v>497.740641937148</v>
      </c>
      <c r="E1458" s="1" t="s">
        <v>2515</v>
      </c>
      <c r="F1458" s="1" t="s">
        <v>2516</v>
      </c>
      <c r="G1458" s="1">
        <v>62.0041792847952</v>
      </c>
      <c r="H1458" s="1">
        <v>20.009609303</v>
      </c>
      <c r="I1458" s="1">
        <v>4.4916692926</v>
      </c>
      <c r="J1458" s="1">
        <v>10.296010296</v>
      </c>
      <c r="K1458" s="1">
        <v>18.313425758</v>
      </c>
      <c r="L1458" s="1">
        <v>35.0</v>
      </c>
      <c r="M1458" s="1">
        <v>7.7</v>
      </c>
      <c r="N1458" s="1">
        <v>31.9</v>
      </c>
      <c r="O1458" s="1">
        <v>29.088359983</v>
      </c>
      <c r="P1458" s="1">
        <v>17.619207397</v>
      </c>
      <c r="Q1458" s="1">
        <v>15.8027799999999</v>
      </c>
      <c r="R1458" s="1">
        <v>81.666233766</v>
      </c>
      <c r="S1458" s="1">
        <v>26.2</v>
      </c>
      <c r="T1458" s="1">
        <v>8269.0</v>
      </c>
      <c r="U1458" s="1">
        <v>41.23836014</v>
      </c>
      <c r="V1458" s="1">
        <v>204.509002055</v>
      </c>
      <c r="W1458" s="1">
        <v>14.351851852</v>
      </c>
      <c r="X1458" s="1">
        <v>9.4677871148</v>
      </c>
      <c r="Y1458" s="1">
        <v>75.972349689</v>
      </c>
      <c r="Z1458" s="1">
        <v>16.1</v>
      </c>
      <c r="AA1458" s="1">
        <v>4.637282992</v>
      </c>
      <c r="AB1458" s="1">
        <v>44297.0</v>
      </c>
      <c r="AC1458" s="1">
        <v>65.085260848</v>
      </c>
      <c r="AD1458" s="1">
        <v>71.700037078</v>
      </c>
      <c r="AE1458" s="1">
        <v>9.3615775088</v>
      </c>
      <c r="AF1458" s="1">
        <v>14.689159049</v>
      </c>
      <c r="AG1458" s="1">
        <v>0.6062890711</v>
      </c>
      <c r="AH1458" s="1">
        <v>0.395815663</v>
      </c>
      <c r="AI1458" s="1">
        <v>0.0534037005999999</v>
      </c>
      <c r="AJ1458" s="1">
        <v>6.98960198539999</v>
      </c>
      <c r="AK1458" s="1">
        <v>76.499230358</v>
      </c>
      <c r="AL1458" s="1">
        <v>1.9257174241</v>
      </c>
      <c r="AM1458" s="1">
        <v>51.082210285</v>
      </c>
      <c r="AN1458" s="1">
        <v>83.953666923</v>
      </c>
      <c r="AO1458" s="1">
        <v>19743.0</v>
      </c>
      <c r="AP1458" s="1">
        <v>18.0</v>
      </c>
      <c r="AQ1458" s="1">
        <v>7.0</v>
      </c>
      <c r="AR1458" s="1">
        <v>23.3</v>
      </c>
      <c r="AS1458" s="1">
        <v>14.2</v>
      </c>
      <c r="AT1458" s="1">
        <v>26.9</v>
      </c>
      <c r="AU1458" s="1">
        <v>19.1</v>
      </c>
      <c r="AV1458" s="1">
        <v>22.6</v>
      </c>
      <c r="AW1458" s="1">
        <v>2.4</v>
      </c>
      <c r="AX1458" s="1">
        <v>0.8052</v>
      </c>
      <c r="AY1458" s="1">
        <v>15.9</v>
      </c>
      <c r="AZ1458" s="1">
        <v>16.7</v>
      </c>
      <c r="BA1458" s="1">
        <v>21.6</v>
      </c>
      <c r="BB1458" s="1">
        <v>3.01</v>
      </c>
      <c r="BC1458" s="1" t="s">
        <v>2437</v>
      </c>
      <c r="BD1458" s="1">
        <v>23.5</v>
      </c>
      <c r="BE1458" s="1">
        <v>29.1</v>
      </c>
      <c r="BF1458" s="1">
        <v>29.3</v>
      </c>
      <c r="BG1458" s="1">
        <v>18.1</v>
      </c>
      <c r="BH1458" s="1" t="s">
        <v>2516</v>
      </c>
    </row>
    <row r="1459">
      <c r="A1459" s="1">
        <v>28117.0</v>
      </c>
      <c r="B1459" s="2" t="str">
        <f>IFERROR(__xludf.DUMMYFUNCTION("TO_TEXT(A1459)"),"28117")</f>
        <v>28117</v>
      </c>
      <c r="C1459" s="1">
        <v>25339.0</v>
      </c>
      <c r="D1459" s="1">
        <v>414.973988251974</v>
      </c>
      <c r="E1459" s="1" t="s">
        <v>2517</v>
      </c>
      <c r="F1459" s="1" t="s">
        <v>2518</v>
      </c>
      <c r="G1459" s="1">
        <v>61.0616586035606</v>
      </c>
      <c r="H1459" s="1">
        <v>24.202854041</v>
      </c>
      <c r="I1459" s="1">
        <v>4.8667898486</v>
      </c>
      <c r="J1459" s="1">
        <v>11.111111111</v>
      </c>
      <c r="K1459" s="1">
        <v>21.142935827</v>
      </c>
      <c r="L1459" s="1">
        <v>32.3</v>
      </c>
      <c r="M1459" s="1">
        <v>7.3</v>
      </c>
      <c r="N1459" s="1">
        <v>42.8</v>
      </c>
      <c r="O1459" s="1">
        <v>57.1095109989999</v>
      </c>
      <c r="P1459" s="1">
        <v>15.521410579</v>
      </c>
      <c r="Q1459" s="1">
        <v>35.62804</v>
      </c>
      <c r="R1459" s="1">
        <v>87.5</v>
      </c>
      <c r="S1459" s="1">
        <v>28.1</v>
      </c>
      <c r="T1459" s="1">
        <v>5611.0</v>
      </c>
      <c r="U1459" s="1">
        <v>31.687756193</v>
      </c>
      <c r="V1459" s="1">
        <v>204.509002055</v>
      </c>
      <c r="W1459" s="1">
        <v>11.494252874</v>
      </c>
      <c r="X1459" s="1">
        <v>9.1443850267</v>
      </c>
      <c r="Y1459" s="1">
        <v>73.823634638</v>
      </c>
      <c r="Z1459" s="1">
        <v>19.0</v>
      </c>
      <c r="AA1459" s="1">
        <v>3.8795514972</v>
      </c>
      <c r="AB1459" s="1">
        <v>41281.0</v>
      </c>
      <c r="AC1459" s="1">
        <v>65.008371203</v>
      </c>
      <c r="AD1459" s="1">
        <v>72.677944462</v>
      </c>
      <c r="AE1459" s="1">
        <v>9.305794607</v>
      </c>
      <c r="AF1459" s="1">
        <v>14.390677464</v>
      </c>
      <c r="AG1459" s="1">
        <v>0.2725656725</v>
      </c>
      <c r="AH1459" s="1">
        <v>0.3199683982</v>
      </c>
      <c r="AI1459" s="1">
        <v>0.0158009086</v>
      </c>
      <c r="AJ1459" s="1">
        <v>1.5129369939</v>
      </c>
      <c r="AK1459" s="1">
        <v>82.441240371</v>
      </c>
      <c r="AL1459" s="1">
        <v>0.2519949601</v>
      </c>
      <c r="AM1459" s="1">
        <v>50.950029627</v>
      </c>
      <c r="AN1459" s="1">
        <v>76.064250673</v>
      </c>
      <c r="AO1459" s="1">
        <v>18313.0</v>
      </c>
      <c r="AP1459" s="1">
        <v>22.7</v>
      </c>
      <c r="AQ1459" s="1">
        <v>9.1</v>
      </c>
      <c r="AR1459" s="1">
        <v>23.6</v>
      </c>
      <c r="AS1459" s="1">
        <v>16.9</v>
      </c>
      <c r="AT1459" s="1">
        <v>23.1</v>
      </c>
      <c r="AU1459" s="1">
        <v>21.1</v>
      </c>
      <c r="AV1459" s="1">
        <v>16.7</v>
      </c>
      <c r="AW1459" s="1">
        <v>0.0</v>
      </c>
      <c r="AX1459" s="1">
        <v>0.800999999999999</v>
      </c>
      <c r="AY1459" s="1">
        <v>15.7</v>
      </c>
      <c r="AZ1459" s="1">
        <v>19.0</v>
      </c>
      <c r="BA1459" s="1">
        <v>25.1</v>
      </c>
      <c r="BB1459" s="1">
        <v>2.92</v>
      </c>
      <c r="BC1459" s="1" t="s">
        <v>2437</v>
      </c>
      <c r="BD1459" s="1">
        <v>19.9</v>
      </c>
      <c r="BE1459" s="1">
        <v>34.5</v>
      </c>
      <c r="BF1459" s="1">
        <v>33.3</v>
      </c>
      <c r="BG1459" s="1">
        <v>12.4</v>
      </c>
      <c r="BH1459" s="1" t="s">
        <v>2518</v>
      </c>
    </row>
    <row r="1460">
      <c r="A1460" s="1">
        <v>28119.0</v>
      </c>
      <c r="B1460" s="2" t="str">
        <f>IFERROR(__xludf.DUMMYFUNCTION("TO_TEXT(A1460)"),"28119")</f>
        <v>28119</v>
      </c>
      <c r="C1460" s="1">
        <v>7634.0</v>
      </c>
      <c r="D1460" s="1">
        <v>405.011554717284</v>
      </c>
      <c r="E1460" s="1" t="s">
        <v>990</v>
      </c>
      <c r="F1460" s="1" t="s">
        <v>2519</v>
      </c>
      <c r="G1460" s="1">
        <v>18.8488449553713</v>
      </c>
      <c r="H1460" s="1">
        <v>36.07843517</v>
      </c>
      <c r="I1460" s="1">
        <v>5.5132627498</v>
      </c>
      <c r="J1460" s="1">
        <v>17.602427921</v>
      </c>
      <c r="K1460" s="1">
        <v>26.004653267</v>
      </c>
      <c r="L1460" s="1">
        <v>42.0</v>
      </c>
      <c r="M1460" s="1">
        <v>3.2</v>
      </c>
      <c r="N1460" s="1">
        <v>40.8</v>
      </c>
      <c r="O1460" s="1">
        <v>17.378085857</v>
      </c>
      <c r="P1460" s="1">
        <v>16.00205374</v>
      </c>
      <c r="Q1460" s="1">
        <v>13.75705</v>
      </c>
      <c r="R1460" s="1">
        <v>82.5</v>
      </c>
      <c r="S1460" s="1">
        <v>55.0</v>
      </c>
      <c r="T1460" s="1">
        <v>1789.0</v>
      </c>
      <c r="U1460" s="1">
        <v>66.349916154</v>
      </c>
      <c r="V1460" s="1">
        <v>204.509002055</v>
      </c>
      <c r="W1460" s="1">
        <v>16.091954023</v>
      </c>
      <c r="X1460" s="1">
        <v>13.536379019</v>
      </c>
      <c r="Y1460" s="1">
        <v>71.673183637</v>
      </c>
      <c r="Z1460" s="1">
        <v>15.2</v>
      </c>
      <c r="AA1460" s="1">
        <v>23.630490179</v>
      </c>
      <c r="AB1460" s="1">
        <v>27767.0</v>
      </c>
      <c r="AC1460" s="1">
        <v>100.0</v>
      </c>
      <c r="AD1460" s="1">
        <v>58.003273322</v>
      </c>
      <c r="AE1460" s="1">
        <v>15.291357059</v>
      </c>
      <c r="AF1460" s="1">
        <v>70.855197844</v>
      </c>
      <c r="AG1460" s="1">
        <v>0.3120124805</v>
      </c>
      <c r="AH1460" s="1">
        <v>0.2552829386</v>
      </c>
      <c r="AI1460" s="1">
        <v>0.0425471564</v>
      </c>
      <c r="AJ1460" s="1">
        <v>1.7160686427</v>
      </c>
      <c r="AK1460" s="1">
        <v>25.6133881719999</v>
      </c>
      <c r="AL1460" s="1">
        <v>0.1893387708</v>
      </c>
      <c r="AM1460" s="1">
        <v>53.524322791</v>
      </c>
      <c r="AN1460" s="1">
        <v>56.9986622889999</v>
      </c>
      <c r="AO1460" s="1">
        <v>14928.0</v>
      </c>
      <c r="AP1460" s="1">
        <v>37.8</v>
      </c>
      <c r="AQ1460" s="1">
        <v>26.1</v>
      </c>
      <c r="AR1460" s="1">
        <v>32.4</v>
      </c>
      <c r="AS1460" s="1">
        <v>15.2</v>
      </c>
      <c r="AT1460" s="1">
        <v>25.0</v>
      </c>
      <c r="AU1460" s="1">
        <v>17.2</v>
      </c>
      <c r="AV1460" s="1">
        <v>72.2</v>
      </c>
      <c r="AW1460" s="1">
        <v>0.9</v>
      </c>
      <c r="AX1460" s="1">
        <v>0.9701</v>
      </c>
      <c r="AY1460" s="1">
        <v>35.0</v>
      </c>
      <c r="AZ1460" s="1">
        <v>25.2</v>
      </c>
      <c r="BA1460" s="1">
        <v>32.6</v>
      </c>
      <c r="BB1460" s="1">
        <v>3.05</v>
      </c>
      <c r="BC1460" s="1" t="s">
        <v>2437</v>
      </c>
      <c r="BD1460" s="1">
        <v>28.7</v>
      </c>
      <c r="BE1460" s="1">
        <v>31.1</v>
      </c>
      <c r="BF1460" s="1">
        <v>30.0</v>
      </c>
      <c r="BG1460" s="1">
        <v>10.3</v>
      </c>
      <c r="BH1460" s="1" t="s">
        <v>2519</v>
      </c>
    </row>
    <row r="1461">
      <c r="A1461" s="1">
        <v>28121.0</v>
      </c>
      <c r="B1461" s="2" t="str">
        <f>IFERROR(__xludf.DUMMYFUNCTION("TO_TEXT(A1461)"),"28121")</f>
        <v>28121</v>
      </c>
      <c r="C1461" s="1">
        <v>147930.0</v>
      </c>
      <c r="D1461" s="1">
        <v>775.417221539317</v>
      </c>
      <c r="E1461" s="1" t="s">
        <v>2520</v>
      </c>
      <c r="F1461" s="1" t="s">
        <v>2521</v>
      </c>
      <c r="G1461" s="1">
        <v>190.774715715415</v>
      </c>
      <c r="H1461" s="1">
        <v>16.966892395</v>
      </c>
      <c r="I1461" s="1">
        <v>3.883603129</v>
      </c>
      <c r="J1461" s="1">
        <v>8.9796878676</v>
      </c>
      <c r="K1461" s="1">
        <v>15.596527157</v>
      </c>
      <c r="L1461" s="1">
        <v>35.4</v>
      </c>
      <c r="M1461" s="1">
        <v>7.6</v>
      </c>
      <c r="N1461" s="1">
        <v>30.2</v>
      </c>
      <c r="O1461" s="1">
        <v>70.142708856</v>
      </c>
      <c r="P1461" s="1">
        <v>10.685509453</v>
      </c>
      <c r="Q1461" s="1">
        <v>64.43977</v>
      </c>
      <c r="R1461" s="1">
        <v>89.210574572</v>
      </c>
      <c r="S1461" s="1">
        <v>12.0</v>
      </c>
      <c r="T1461" s="1">
        <v>35548.0</v>
      </c>
      <c r="U1461" s="1">
        <v>25.5429278719999</v>
      </c>
      <c r="V1461" s="1">
        <v>64.4245753639999</v>
      </c>
      <c r="W1461" s="1">
        <v>10.1517241379999</v>
      </c>
      <c r="X1461" s="1">
        <v>7.3314056525</v>
      </c>
      <c r="Y1461" s="1">
        <v>78.96677932</v>
      </c>
      <c r="Z1461" s="1">
        <v>12.6</v>
      </c>
      <c r="AA1461" s="1">
        <v>9.7931182414</v>
      </c>
      <c r="AB1461" s="1">
        <v>66296.0</v>
      </c>
      <c r="AC1461" s="1">
        <v>46.316504607</v>
      </c>
      <c r="AD1461" s="1">
        <v>76.235272956</v>
      </c>
      <c r="AE1461" s="1">
        <v>6.8504641539</v>
      </c>
      <c r="AF1461" s="1">
        <v>21.058855635</v>
      </c>
      <c r="AG1461" s="1">
        <v>0.2189705137</v>
      </c>
      <c r="AH1461" s="1">
        <v>1.35865680759999</v>
      </c>
      <c r="AI1461" s="1">
        <v>0.0994139127</v>
      </c>
      <c r="AJ1461" s="1">
        <v>2.8381697444</v>
      </c>
      <c r="AK1461" s="1">
        <v>73.455835532</v>
      </c>
      <c r="AL1461" s="1">
        <v>0.6303882346</v>
      </c>
      <c r="AM1461" s="1">
        <v>51.8700211819999</v>
      </c>
      <c r="AN1461" s="1">
        <v>33.9069462</v>
      </c>
      <c r="AO1461" s="1">
        <v>27822.0</v>
      </c>
      <c r="AP1461" s="1">
        <v>9.6</v>
      </c>
      <c r="AQ1461" s="1">
        <v>5.0</v>
      </c>
      <c r="AR1461" s="1">
        <v>10.0</v>
      </c>
      <c r="AS1461" s="1">
        <v>13.2</v>
      </c>
      <c r="AT1461" s="1">
        <v>24.4</v>
      </c>
      <c r="AU1461" s="1">
        <v>13.7</v>
      </c>
      <c r="AV1461" s="1">
        <v>24.8</v>
      </c>
      <c r="AW1461" s="1">
        <v>0.7</v>
      </c>
      <c r="AX1461" s="1">
        <v>0.3368</v>
      </c>
      <c r="AY1461" s="1">
        <v>11.1</v>
      </c>
      <c r="AZ1461" s="1">
        <v>11.7</v>
      </c>
      <c r="BA1461" s="1">
        <v>11.8</v>
      </c>
      <c r="BB1461" s="1">
        <v>3.14</v>
      </c>
      <c r="BC1461" s="1" t="s">
        <v>2437</v>
      </c>
      <c r="BD1461" s="1">
        <v>10.5</v>
      </c>
      <c r="BE1461" s="1">
        <v>26.7</v>
      </c>
      <c r="BF1461" s="1">
        <v>33.8</v>
      </c>
      <c r="BG1461" s="1">
        <v>29.0</v>
      </c>
      <c r="BH1461" s="1" t="s">
        <v>2521</v>
      </c>
    </row>
    <row r="1462">
      <c r="A1462" s="1">
        <v>28123.0</v>
      </c>
      <c r="B1462" s="2" t="str">
        <f>IFERROR(__xludf.DUMMYFUNCTION("TO_TEXT(A1462)"),"28123")</f>
        <v>28123</v>
      </c>
      <c r="C1462" s="1">
        <v>28268.0</v>
      </c>
      <c r="D1462" s="1">
        <v>609.231147733854</v>
      </c>
      <c r="E1462" s="1" t="s">
        <v>394</v>
      </c>
      <c r="F1462" s="1" t="s">
        <v>2522</v>
      </c>
      <c r="G1462" s="1">
        <v>46.39946612242</v>
      </c>
      <c r="H1462" s="1">
        <v>29.396400501</v>
      </c>
      <c r="I1462" s="1">
        <v>4.861248385</v>
      </c>
      <c r="J1462" s="1">
        <v>13.169230769</v>
      </c>
      <c r="K1462" s="1">
        <v>21.472143441</v>
      </c>
      <c r="L1462" s="1">
        <v>48.6</v>
      </c>
      <c r="M1462" s="1">
        <v>6.5</v>
      </c>
      <c r="N1462" s="1">
        <v>37.8</v>
      </c>
      <c r="O1462" s="1">
        <v>68.564251344</v>
      </c>
      <c r="P1462" s="1">
        <v>20.497207408</v>
      </c>
      <c r="Q1462" s="1">
        <v>17.5932399999999</v>
      </c>
      <c r="R1462" s="1">
        <v>83.995481928</v>
      </c>
      <c r="S1462" s="1">
        <v>36.8</v>
      </c>
      <c r="T1462" s="1">
        <v>7525.0</v>
      </c>
      <c r="U1462" s="1">
        <v>54.299003322</v>
      </c>
      <c r="V1462" s="1">
        <v>482.6609307</v>
      </c>
      <c r="W1462" s="1">
        <v>14.21319797</v>
      </c>
      <c r="X1462" s="1">
        <v>8.6694386694</v>
      </c>
      <c r="Y1462" s="1">
        <v>73.237815525</v>
      </c>
      <c r="Z1462" s="1">
        <v>20.9</v>
      </c>
      <c r="AA1462" s="1">
        <v>8.6535640541</v>
      </c>
      <c r="AB1462" s="1">
        <v>38034.0</v>
      </c>
      <c r="AC1462" s="1">
        <v>99.423177766</v>
      </c>
      <c r="AD1462" s="1">
        <v>73.569717298</v>
      </c>
      <c r="AE1462" s="1">
        <v>11.1929460579999</v>
      </c>
      <c r="AF1462" s="1">
        <v>37.285678934</v>
      </c>
      <c r="AG1462" s="1">
        <v>0.7353201117</v>
      </c>
      <c r="AH1462" s="1">
        <v>0.5903772051</v>
      </c>
      <c r="AI1462" s="1">
        <v>0.4418991056</v>
      </c>
      <c r="AJ1462" s="1">
        <v>11.514123095</v>
      </c>
      <c r="AK1462" s="1">
        <v>49.245236328</v>
      </c>
      <c r="AL1462" s="1">
        <v>4.3801463861</v>
      </c>
      <c r="AM1462" s="1">
        <v>50.920917736</v>
      </c>
      <c r="AN1462" s="1">
        <v>72.169544297</v>
      </c>
      <c r="AO1462" s="1">
        <v>17203.0</v>
      </c>
      <c r="AP1462" s="1">
        <v>26.5</v>
      </c>
      <c r="AQ1462" s="1">
        <v>12.0</v>
      </c>
      <c r="AR1462" s="1">
        <v>27.2</v>
      </c>
      <c r="AS1462" s="1">
        <v>13.6</v>
      </c>
      <c r="AT1462" s="1">
        <v>26.7</v>
      </c>
      <c r="AU1462" s="1">
        <v>21.1</v>
      </c>
      <c r="AV1462" s="1">
        <v>49.9</v>
      </c>
      <c r="AW1462" s="1">
        <v>5.0</v>
      </c>
      <c r="AX1462" s="1">
        <v>0.992</v>
      </c>
      <c r="AY1462" s="1">
        <v>19.7</v>
      </c>
      <c r="AZ1462" s="1">
        <v>20.3</v>
      </c>
      <c r="BA1462" s="1">
        <v>25.1</v>
      </c>
      <c r="BB1462" s="1">
        <v>2.74</v>
      </c>
      <c r="BC1462" s="1" t="s">
        <v>2437</v>
      </c>
      <c r="BD1462" s="1">
        <v>26.0</v>
      </c>
      <c r="BE1462" s="1">
        <v>37.5</v>
      </c>
      <c r="BF1462" s="1">
        <v>25.1</v>
      </c>
      <c r="BG1462" s="1">
        <v>11.4</v>
      </c>
      <c r="BH1462" s="1" t="s">
        <v>2522</v>
      </c>
    </row>
    <row r="1463">
      <c r="A1463" s="1">
        <v>28125.0</v>
      </c>
      <c r="B1463" s="2" t="str">
        <f>IFERROR(__xludf.DUMMYFUNCTION("TO_TEXT(A1463)"),"28125")</f>
        <v>28125</v>
      </c>
      <c r="C1463" s="1">
        <v>4662.0</v>
      </c>
      <c r="D1463" s="1">
        <v>431.71982002532</v>
      </c>
      <c r="E1463" s="1" t="s">
        <v>2523</v>
      </c>
      <c r="F1463" s="1" t="s">
        <v>2524</v>
      </c>
      <c r="G1463" s="1">
        <v>10.7986703036395</v>
      </c>
      <c r="H1463" s="1">
        <v>33.152460631</v>
      </c>
      <c r="I1463" s="1">
        <v>5.1830040554</v>
      </c>
      <c r="J1463" s="1">
        <v>15.7043879909999</v>
      </c>
      <c r="K1463" s="1">
        <v>23.516518279</v>
      </c>
      <c r="L1463" s="1">
        <v>49.8</v>
      </c>
      <c r="M1463" s="1">
        <v>4.3</v>
      </c>
      <c r="N1463" s="1">
        <v>29.2</v>
      </c>
      <c r="O1463" s="1">
        <v>1.9934906428</v>
      </c>
      <c r="P1463" s="1">
        <v>16.422535211</v>
      </c>
      <c r="Q1463" s="1">
        <v>45.09583</v>
      </c>
      <c r="R1463" s="1">
        <v>82.5</v>
      </c>
      <c r="S1463" s="1">
        <v>49.1</v>
      </c>
      <c r="T1463" s="1">
        <v>1093.0</v>
      </c>
      <c r="U1463" s="1">
        <v>61.939615737</v>
      </c>
      <c r="V1463" s="1">
        <v>204.509002055</v>
      </c>
      <c r="W1463" s="1">
        <v>11.35734072</v>
      </c>
      <c r="X1463" s="1">
        <v>7.5141242938</v>
      </c>
      <c r="Y1463" s="1">
        <v>70.303176744</v>
      </c>
      <c r="Z1463" s="1">
        <v>13.4</v>
      </c>
      <c r="AA1463" s="1">
        <v>15.84133657</v>
      </c>
      <c r="AB1463" s="1">
        <v>28887.0</v>
      </c>
      <c r="AC1463" s="1">
        <v>100.0</v>
      </c>
      <c r="AD1463" s="1">
        <v>66.324786325</v>
      </c>
      <c r="AE1463" s="1">
        <v>6.068779501</v>
      </c>
      <c r="AF1463" s="1">
        <v>70.2764450539999</v>
      </c>
      <c r="AG1463" s="1">
        <v>0.1827735892</v>
      </c>
      <c r="AH1463" s="1">
        <v>0.7310943569</v>
      </c>
      <c r="AI1463" s="1">
        <v>0.0</v>
      </c>
      <c r="AJ1463" s="1">
        <v>2.1704363719</v>
      </c>
      <c r="AK1463" s="1">
        <v>26.0680831619999</v>
      </c>
      <c r="AL1463" s="1">
        <v>0.0</v>
      </c>
      <c r="AM1463" s="1">
        <v>52.227553119</v>
      </c>
      <c r="AN1463" s="1">
        <v>100.0</v>
      </c>
      <c r="AO1463" s="1">
        <v>15430.0</v>
      </c>
      <c r="AP1463" s="1">
        <v>31.4</v>
      </c>
      <c r="AQ1463" s="1">
        <v>23.2</v>
      </c>
      <c r="AR1463" s="1">
        <v>25.3</v>
      </c>
      <c r="AS1463" s="1">
        <v>15.0</v>
      </c>
      <c r="AT1463" s="1">
        <v>25.1</v>
      </c>
      <c r="AU1463" s="1">
        <v>19.3</v>
      </c>
      <c r="AV1463" s="1">
        <v>74.5</v>
      </c>
      <c r="AW1463" s="1">
        <v>0.1</v>
      </c>
      <c r="AX1463" s="1">
        <v>0.9717</v>
      </c>
      <c r="AY1463" s="1">
        <v>33.4</v>
      </c>
      <c r="AZ1463" s="1">
        <v>22.1</v>
      </c>
      <c r="BA1463" s="1">
        <v>24.9</v>
      </c>
      <c r="BB1463" s="1">
        <v>3.11</v>
      </c>
      <c r="BC1463" s="1" t="s">
        <v>2437</v>
      </c>
      <c r="BD1463" s="1">
        <v>22.5</v>
      </c>
      <c r="BE1463" s="1">
        <v>27.9</v>
      </c>
      <c r="BF1463" s="1">
        <v>30.0</v>
      </c>
      <c r="BG1463" s="1">
        <v>19.5</v>
      </c>
      <c r="BH1463" s="1" t="s">
        <v>2524</v>
      </c>
    </row>
    <row r="1464">
      <c r="A1464" s="1">
        <v>28127.0</v>
      </c>
      <c r="B1464" s="2" t="str">
        <f>IFERROR(__xludf.DUMMYFUNCTION("TO_TEXT(A1464)"),"28127")</f>
        <v>28127</v>
      </c>
      <c r="C1464" s="1">
        <v>27279.0</v>
      </c>
      <c r="D1464" s="1">
        <v>589.164946096864</v>
      </c>
      <c r="E1464" s="1" t="s">
        <v>1917</v>
      </c>
      <c r="F1464" s="1" t="s">
        <v>2525</v>
      </c>
      <c r="G1464" s="1">
        <v>46.3011253142598</v>
      </c>
      <c r="H1464" s="1">
        <v>25.074684893</v>
      </c>
      <c r="I1464" s="1">
        <v>4.7816182525</v>
      </c>
      <c r="J1464" s="1">
        <v>11.562782294</v>
      </c>
      <c r="K1464" s="1">
        <v>20.590207034</v>
      </c>
      <c r="L1464" s="1">
        <v>44.1</v>
      </c>
      <c r="M1464" s="1">
        <v>6.5</v>
      </c>
      <c r="N1464" s="1">
        <v>29.6</v>
      </c>
      <c r="O1464" s="1">
        <v>29.389521143</v>
      </c>
      <c r="P1464" s="1">
        <v>15.423364015</v>
      </c>
      <c r="Q1464" s="1">
        <v>40.82087</v>
      </c>
      <c r="R1464" s="1">
        <v>81.0</v>
      </c>
      <c r="S1464" s="1">
        <v>30.6</v>
      </c>
      <c r="T1464" s="1">
        <v>6344.0</v>
      </c>
      <c r="U1464" s="1">
        <v>41.551071879</v>
      </c>
      <c r="V1464" s="1">
        <v>204.509002055</v>
      </c>
      <c r="W1464" s="1">
        <v>20.382165605</v>
      </c>
      <c r="X1464" s="1">
        <v>13.377192982</v>
      </c>
      <c r="Y1464" s="1">
        <v>74.99302852</v>
      </c>
      <c r="Z1464" s="1">
        <v>22.4</v>
      </c>
      <c r="AA1464" s="1">
        <v>6.3661845891</v>
      </c>
      <c r="AB1464" s="1">
        <v>38173.0</v>
      </c>
      <c r="AC1464" s="1">
        <v>84.552177486</v>
      </c>
      <c r="AD1464" s="1">
        <v>80.504219635</v>
      </c>
      <c r="AE1464" s="1">
        <v>11.202990485</v>
      </c>
      <c r="AF1464" s="1">
        <v>34.871814037</v>
      </c>
      <c r="AG1464" s="1">
        <v>0.3625084087</v>
      </c>
      <c r="AH1464" s="1">
        <v>0.4783616115</v>
      </c>
      <c r="AI1464" s="1">
        <v>0.1420136034</v>
      </c>
      <c r="AJ1464" s="1">
        <v>1.7714328425</v>
      </c>
      <c r="AK1464" s="1">
        <v>61.64885268</v>
      </c>
      <c r="AL1464" s="1">
        <v>0.1215638602</v>
      </c>
      <c r="AM1464" s="1">
        <v>51.468719635</v>
      </c>
      <c r="AN1464" s="1">
        <v>84.838017671</v>
      </c>
      <c r="AO1464" s="1">
        <v>18495.0</v>
      </c>
      <c r="AP1464" s="1">
        <v>27.4</v>
      </c>
      <c r="AQ1464" s="1">
        <v>10.7</v>
      </c>
      <c r="AR1464" s="1">
        <v>19.6</v>
      </c>
      <c r="AS1464" s="1">
        <v>15.7</v>
      </c>
      <c r="AT1464" s="1">
        <v>25.2</v>
      </c>
      <c r="AU1464" s="1">
        <v>17.9</v>
      </c>
      <c r="AV1464" s="1">
        <v>38.4</v>
      </c>
      <c r="AW1464" s="1">
        <v>0.5</v>
      </c>
      <c r="AX1464" s="1">
        <v>0.9309</v>
      </c>
      <c r="AY1464" s="1">
        <v>17.8</v>
      </c>
      <c r="AZ1464" s="1">
        <v>18.5</v>
      </c>
      <c r="BA1464" s="1">
        <v>24.0</v>
      </c>
      <c r="BB1464" s="1">
        <v>2.9</v>
      </c>
      <c r="BC1464" s="1" t="s">
        <v>2437</v>
      </c>
      <c r="BD1464" s="1">
        <v>20.3</v>
      </c>
      <c r="BE1464" s="1">
        <v>30.1</v>
      </c>
      <c r="BF1464" s="1">
        <v>33.4</v>
      </c>
      <c r="BG1464" s="1">
        <v>16.2</v>
      </c>
      <c r="BH1464" s="1" t="s">
        <v>2525</v>
      </c>
    </row>
    <row r="1465">
      <c r="A1465" s="1">
        <v>28129.0</v>
      </c>
      <c r="B1465" s="2" t="str">
        <f>IFERROR(__xludf.DUMMYFUNCTION("TO_TEXT(A1465)"),"28129")</f>
        <v>28129</v>
      </c>
      <c r="C1465" s="1">
        <v>16137.0</v>
      </c>
      <c r="D1465" s="1">
        <v>636.26755727067</v>
      </c>
      <c r="E1465" s="1" t="s">
        <v>1734</v>
      </c>
      <c r="F1465" s="1" t="s">
        <v>2526</v>
      </c>
      <c r="G1465" s="1">
        <v>25.3619720439954</v>
      </c>
      <c r="H1465" s="1">
        <v>22.423572999</v>
      </c>
      <c r="I1465" s="1">
        <v>4.5079729994</v>
      </c>
      <c r="J1465" s="1">
        <v>10.173323286</v>
      </c>
      <c r="K1465" s="1">
        <v>18.239311743</v>
      </c>
      <c r="L1465" s="1">
        <v>37.5</v>
      </c>
      <c r="M1465" s="1">
        <v>7.2</v>
      </c>
      <c r="N1465" s="1">
        <v>32.2</v>
      </c>
      <c r="O1465" s="1">
        <v>46.673943363</v>
      </c>
      <c r="P1465" s="1">
        <v>15.712855272</v>
      </c>
      <c r="Q1465" s="1">
        <v>6.21968</v>
      </c>
      <c r="R1465" s="1">
        <v>87.5</v>
      </c>
      <c r="S1465" s="1">
        <v>24.8</v>
      </c>
      <c r="T1465" s="1">
        <v>3882.0</v>
      </c>
      <c r="U1465" s="1">
        <v>29.495105616</v>
      </c>
      <c r="V1465" s="1">
        <v>204.509002055</v>
      </c>
      <c r="W1465" s="1">
        <v>13.570822731</v>
      </c>
      <c r="X1465" s="1">
        <v>10.324786325</v>
      </c>
      <c r="Y1465" s="1">
        <v>76.2095127389999</v>
      </c>
      <c r="Z1465" s="1">
        <v>12.1</v>
      </c>
      <c r="AA1465" s="1">
        <v>6.8186164124</v>
      </c>
      <c r="AB1465" s="1">
        <v>46764.0</v>
      </c>
      <c r="AC1465" s="1">
        <v>70.315944159</v>
      </c>
      <c r="AD1465" s="1">
        <v>82.970027248</v>
      </c>
      <c r="AE1465" s="1">
        <v>9.9656357388</v>
      </c>
      <c r="AF1465" s="1">
        <v>23.634545682</v>
      </c>
      <c r="AG1465" s="1">
        <v>0.1999750031</v>
      </c>
      <c r="AH1465" s="1">
        <v>0.1499812523</v>
      </c>
      <c r="AI1465" s="1">
        <v>0.0124984377</v>
      </c>
      <c r="AJ1465" s="1">
        <v>1.6935383077</v>
      </c>
      <c r="AK1465" s="1">
        <v>73.703287089</v>
      </c>
      <c r="AL1465" s="1">
        <v>0.1517150396</v>
      </c>
      <c r="AM1465" s="1">
        <v>51.94975628</v>
      </c>
      <c r="AN1465" s="1">
        <v>100.0</v>
      </c>
      <c r="AO1465" s="1">
        <v>22129.0</v>
      </c>
      <c r="AP1465" s="1">
        <v>22.7</v>
      </c>
      <c r="AQ1465" s="1">
        <v>3.9</v>
      </c>
      <c r="AR1465" s="1">
        <v>18.7</v>
      </c>
      <c r="AS1465" s="1">
        <v>17.2</v>
      </c>
      <c r="AT1465" s="1">
        <v>24.2</v>
      </c>
      <c r="AU1465" s="1">
        <v>20.7</v>
      </c>
      <c r="AV1465" s="1">
        <v>25.4</v>
      </c>
      <c r="AW1465" s="1">
        <v>0.1</v>
      </c>
      <c r="AX1465" s="1">
        <v>0.7144</v>
      </c>
      <c r="AY1465" s="1">
        <v>18.9</v>
      </c>
      <c r="AZ1465" s="1">
        <v>15.8</v>
      </c>
      <c r="BA1465" s="1">
        <v>20.0</v>
      </c>
      <c r="BB1465" s="1">
        <v>3.03</v>
      </c>
      <c r="BC1465" s="1" t="s">
        <v>2437</v>
      </c>
      <c r="BD1465" s="1">
        <v>20.8</v>
      </c>
      <c r="BE1465" s="1">
        <v>39.2</v>
      </c>
      <c r="BF1465" s="1">
        <v>27.9</v>
      </c>
      <c r="BG1465" s="1">
        <v>12.2</v>
      </c>
      <c r="BH1465" s="1" t="s">
        <v>2526</v>
      </c>
    </row>
    <row r="1466">
      <c r="A1466" s="1">
        <v>28131.0</v>
      </c>
      <c r="B1466" s="2" t="str">
        <f>IFERROR(__xludf.DUMMYFUNCTION("TO_TEXT(A1466)"),"28131")</f>
        <v>28131</v>
      </c>
      <c r="C1466" s="1">
        <v>17995.0</v>
      </c>
      <c r="D1466" s="1">
        <v>445.484534704443</v>
      </c>
      <c r="E1466" s="1" t="s">
        <v>404</v>
      </c>
      <c r="F1466" s="1" t="s">
        <v>2527</v>
      </c>
      <c r="G1466" s="1">
        <v>40.3942193233234</v>
      </c>
      <c r="H1466" s="1">
        <v>20.369441978</v>
      </c>
      <c r="I1466" s="1">
        <v>4.4061363855</v>
      </c>
      <c r="J1466" s="1">
        <v>11.772665765</v>
      </c>
      <c r="K1466" s="1">
        <v>17.542791708</v>
      </c>
      <c r="L1466" s="1">
        <v>40.9</v>
      </c>
      <c r="M1466" s="1">
        <v>7.1</v>
      </c>
      <c r="N1466" s="1">
        <v>34.7</v>
      </c>
      <c r="O1466" s="1">
        <v>69.256718768</v>
      </c>
      <c r="P1466" s="1">
        <v>13.29616127</v>
      </c>
      <c r="Q1466" s="1">
        <v>27.60601</v>
      </c>
      <c r="R1466" s="1">
        <v>87.5</v>
      </c>
      <c r="S1466" s="1">
        <v>27.9</v>
      </c>
      <c r="T1466" s="1">
        <v>4032.0</v>
      </c>
      <c r="U1466" s="1">
        <v>30.009920635</v>
      </c>
      <c r="V1466" s="1">
        <v>174.59745587</v>
      </c>
      <c r="W1466" s="1">
        <v>13.695090439</v>
      </c>
      <c r="X1466" s="1">
        <v>8.762071993</v>
      </c>
      <c r="Y1466" s="1">
        <v>74.310407966</v>
      </c>
      <c r="Z1466" s="1">
        <v>18.1</v>
      </c>
      <c r="AA1466" s="1">
        <v>8.18342322679999</v>
      </c>
      <c r="AB1466" s="1">
        <v>44622.0</v>
      </c>
      <c r="AC1466" s="1">
        <v>66.74445741</v>
      </c>
      <c r="AD1466" s="1">
        <v>76.316218419</v>
      </c>
      <c r="AE1466" s="1">
        <v>9.652173913</v>
      </c>
      <c r="AF1466" s="1">
        <v>19.677298712</v>
      </c>
      <c r="AG1466" s="1">
        <v>0.5449591281</v>
      </c>
      <c r="AH1466" s="1">
        <v>0.4487898702</v>
      </c>
      <c r="AI1466" s="1">
        <v>0.0480846289</v>
      </c>
      <c r="AJ1466" s="1">
        <v>2.1744937757</v>
      </c>
      <c r="AK1466" s="1">
        <v>75.973713736</v>
      </c>
      <c r="AL1466" s="1">
        <v>0.0574151691</v>
      </c>
      <c r="AM1466" s="1">
        <v>49.484425923</v>
      </c>
      <c r="AN1466" s="1">
        <v>78.814798156</v>
      </c>
      <c r="AO1466" s="1">
        <v>19588.0</v>
      </c>
      <c r="AP1466" s="1">
        <v>20.3</v>
      </c>
      <c r="AQ1466" s="1">
        <v>8.4</v>
      </c>
      <c r="AR1466" s="1">
        <v>17.2</v>
      </c>
      <c r="AS1466" s="1">
        <v>13.8</v>
      </c>
      <c r="AT1466" s="1">
        <v>22.6</v>
      </c>
      <c r="AU1466" s="1">
        <v>19.6</v>
      </c>
      <c r="AV1466" s="1">
        <v>23.0</v>
      </c>
      <c r="AW1466" s="1">
        <v>0.4</v>
      </c>
      <c r="AX1466" s="1">
        <v>0.7695</v>
      </c>
      <c r="AY1466" s="1">
        <v>18.5</v>
      </c>
      <c r="AZ1466" s="1">
        <v>16.6</v>
      </c>
      <c r="BA1466" s="1">
        <v>21.5</v>
      </c>
      <c r="BB1466" s="1">
        <v>3.31</v>
      </c>
      <c r="BC1466" s="1" t="s">
        <v>2437</v>
      </c>
      <c r="BD1466" s="1">
        <v>17.8</v>
      </c>
      <c r="BE1466" s="1">
        <v>35.9</v>
      </c>
      <c r="BF1466" s="1">
        <v>30.6</v>
      </c>
      <c r="BG1466" s="1">
        <v>15.8</v>
      </c>
      <c r="BH1466" s="1" t="s">
        <v>2527</v>
      </c>
    </row>
    <row r="1467">
      <c r="A1467" s="1">
        <v>28133.0</v>
      </c>
      <c r="B1467" s="2" t="str">
        <f>IFERROR(__xludf.DUMMYFUNCTION("TO_TEXT(A1467)"),"28133")</f>
        <v>28133</v>
      </c>
      <c r="C1467" s="1">
        <v>27424.0</v>
      </c>
      <c r="D1467" s="1">
        <v>697.758518548918</v>
      </c>
      <c r="E1467" s="1" t="s">
        <v>2528</v>
      </c>
      <c r="F1467" s="1" t="s">
        <v>2529</v>
      </c>
      <c r="G1467" s="1">
        <v>39.3029956223707</v>
      </c>
      <c r="H1467" s="1">
        <v>31.059274959</v>
      </c>
      <c r="I1467" s="1">
        <v>4.9300927744</v>
      </c>
      <c r="J1467" s="1">
        <v>14.770642202</v>
      </c>
      <c r="K1467" s="1">
        <v>24.506648145</v>
      </c>
      <c r="L1467" s="1">
        <v>50.4</v>
      </c>
      <c r="M1467" s="1">
        <v>3.2</v>
      </c>
      <c r="N1467" s="1">
        <v>32.7</v>
      </c>
      <c r="O1467" s="1">
        <v>27.7792869269999</v>
      </c>
      <c r="P1467" s="1">
        <v>15.1088071709999</v>
      </c>
      <c r="Q1467" s="1">
        <v>26.94277</v>
      </c>
      <c r="R1467" s="1">
        <v>77.0</v>
      </c>
      <c r="S1467" s="1">
        <v>42.3</v>
      </c>
      <c r="T1467" s="1">
        <v>6026.0</v>
      </c>
      <c r="U1467" s="1">
        <v>64.968469963</v>
      </c>
      <c r="V1467" s="1">
        <v>204.509002055</v>
      </c>
      <c r="W1467" s="1">
        <v>22.163433275</v>
      </c>
      <c r="X1467" s="1">
        <v>18.329326923</v>
      </c>
      <c r="Y1467" s="1">
        <v>71.0777561869999</v>
      </c>
      <c r="Z1467" s="1">
        <v>19.5</v>
      </c>
      <c r="AA1467" s="1">
        <v>24.6878139309999</v>
      </c>
      <c r="AB1467" s="1">
        <v>31329.0</v>
      </c>
      <c r="AC1467" s="1">
        <v>100.0</v>
      </c>
      <c r="AD1467" s="1">
        <v>54.893312671</v>
      </c>
      <c r="AE1467" s="1">
        <v>17.300012882</v>
      </c>
      <c r="AF1467" s="1">
        <v>73.168836215</v>
      </c>
      <c r="AG1467" s="1">
        <v>0.3264037303</v>
      </c>
      <c r="AH1467" s="1">
        <v>0.419661939</v>
      </c>
      <c r="AI1467" s="1">
        <v>0.0466291043</v>
      </c>
      <c r="AJ1467" s="1">
        <v>1.8962502429</v>
      </c>
      <c r="AK1467" s="1">
        <v>23.675927725</v>
      </c>
      <c r="AL1467" s="1">
        <v>0.4285485421</v>
      </c>
      <c r="AM1467" s="1">
        <v>46.621332815</v>
      </c>
      <c r="AN1467" s="1">
        <v>45.762308998</v>
      </c>
      <c r="AO1467" s="1">
        <v>14111.0</v>
      </c>
      <c r="AP1467" s="1">
        <v>34.6</v>
      </c>
      <c r="AQ1467" s="1">
        <v>19.7</v>
      </c>
      <c r="AR1467" s="1">
        <v>27.5</v>
      </c>
      <c r="AS1467" s="1">
        <v>11.6</v>
      </c>
      <c r="AT1467" s="1">
        <v>23.5</v>
      </c>
      <c r="AU1467" s="1">
        <v>13.1</v>
      </c>
      <c r="AV1467" s="1">
        <v>75.6</v>
      </c>
      <c r="AW1467" s="1">
        <v>0.4</v>
      </c>
      <c r="AX1467" s="1">
        <v>0.9443</v>
      </c>
      <c r="AY1467" s="1">
        <v>34.0</v>
      </c>
      <c r="AZ1467" s="1">
        <v>23.4</v>
      </c>
      <c r="BA1467" s="1">
        <v>28.4</v>
      </c>
      <c r="BB1467" s="1">
        <v>2.9</v>
      </c>
      <c r="BC1467" s="1" t="s">
        <v>2437</v>
      </c>
      <c r="BD1467" s="1">
        <v>25.1</v>
      </c>
      <c r="BE1467" s="1">
        <v>32.2</v>
      </c>
      <c r="BF1467" s="1">
        <v>27.3</v>
      </c>
      <c r="BG1467" s="1">
        <v>15.4</v>
      </c>
      <c r="BH1467" s="1" t="s">
        <v>2529</v>
      </c>
    </row>
    <row r="1468">
      <c r="A1468" s="1">
        <v>28135.0</v>
      </c>
      <c r="B1468" s="2" t="str">
        <f>IFERROR(__xludf.DUMMYFUNCTION("TO_TEXT(A1468)"),"28135")</f>
        <v>28135</v>
      </c>
      <c r="C1468" s="1">
        <v>14776.0</v>
      </c>
      <c r="D1468" s="1">
        <v>645.218701636104</v>
      </c>
      <c r="E1468" s="1" t="s">
        <v>2530</v>
      </c>
      <c r="F1468" s="1" t="s">
        <v>2531</v>
      </c>
      <c r="G1468" s="1">
        <v>22.9007621176075</v>
      </c>
      <c r="H1468" s="1">
        <v>27.873083191</v>
      </c>
      <c r="I1468" s="1">
        <v>4.611639093</v>
      </c>
      <c r="J1468" s="1">
        <v>15.874439462</v>
      </c>
      <c r="K1468" s="1">
        <v>22.293069549</v>
      </c>
      <c r="L1468" s="1">
        <v>44.1</v>
      </c>
      <c r="M1468" s="1">
        <v>4.4</v>
      </c>
      <c r="N1468" s="1">
        <v>30.4</v>
      </c>
      <c r="O1468" s="1">
        <v>27.4027831969999</v>
      </c>
      <c r="P1468" s="1">
        <v>14.574132492</v>
      </c>
      <c r="Q1468" s="1">
        <v>21.23894</v>
      </c>
      <c r="R1468" s="1">
        <v>89.5</v>
      </c>
      <c r="S1468" s="1">
        <v>40.5</v>
      </c>
      <c r="T1468" s="1">
        <v>2845.0</v>
      </c>
      <c r="U1468" s="1">
        <v>62.3550087869999</v>
      </c>
      <c r="V1468" s="1">
        <v>204.509002055</v>
      </c>
      <c r="W1468" s="1">
        <v>11.587485516</v>
      </c>
      <c r="X1468" s="1">
        <v>7.87234042549999</v>
      </c>
      <c r="Y1468" s="1">
        <v>74.405090879</v>
      </c>
      <c r="Z1468" s="1">
        <v>16.0</v>
      </c>
      <c r="AA1468" s="1">
        <v>30.274899675</v>
      </c>
      <c r="AB1468" s="1">
        <v>32692.0</v>
      </c>
      <c r="AC1468" s="1">
        <v>96.06918239</v>
      </c>
      <c r="AD1468" s="1">
        <v>73.947801552</v>
      </c>
      <c r="AE1468" s="1">
        <v>11.611374408</v>
      </c>
      <c r="AF1468" s="1">
        <v>56.08779581</v>
      </c>
      <c r="AG1468" s="1">
        <v>0.4146707657</v>
      </c>
      <c r="AH1468" s="1">
        <v>0.9794809466</v>
      </c>
      <c r="AI1468" s="1">
        <v>0.1000929434</v>
      </c>
      <c r="AJ1468" s="1">
        <v>7.0065060413</v>
      </c>
      <c r="AK1468" s="1">
        <v>34.6607564169999</v>
      </c>
      <c r="AL1468" s="1">
        <v>1.6534391534</v>
      </c>
      <c r="AM1468" s="1">
        <v>44.405519411</v>
      </c>
      <c r="AN1468" s="1">
        <v>80.946807127</v>
      </c>
      <c r="AO1468" s="1">
        <v>12747.0</v>
      </c>
      <c r="AP1468" s="1">
        <v>28.2</v>
      </c>
      <c r="AQ1468" s="1">
        <v>13.5</v>
      </c>
      <c r="AR1468" s="1">
        <v>32.7</v>
      </c>
      <c r="AS1468" s="1">
        <v>13.4</v>
      </c>
      <c r="AT1468" s="1">
        <v>20.7</v>
      </c>
      <c r="AU1468" s="1">
        <v>20.5</v>
      </c>
      <c r="AV1468" s="1">
        <v>64.2</v>
      </c>
      <c r="AW1468" s="1">
        <v>1.5</v>
      </c>
      <c r="AX1468" s="1">
        <v>0.9854</v>
      </c>
      <c r="AY1468" s="1">
        <v>37.9</v>
      </c>
      <c r="AZ1468" s="1">
        <v>20.4</v>
      </c>
      <c r="BA1468" s="1">
        <v>26.9</v>
      </c>
      <c r="BB1468" s="1">
        <v>3.04</v>
      </c>
      <c r="BC1468" s="1" t="s">
        <v>2437</v>
      </c>
      <c r="BD1468" s="1">
        <v>30.5</v>
      </c>
      <c r="BE1468" s="1">
        <v>28.8</v>
      </c>
      <c r="BF1468" s="1">
        <v>30.5</v>
      </c>
      <c r="BG1468" s="1">
        <v>10.3</v>
      </c>
      <c r="BH1468" s="1" t="s">
        <v>2531</v>
      </c>
    </row>
    <row r="1469">
      <c r="A1469" s="1">
        <v>28137.0</v>
      </c>
      <c r="B1469" s="2" t="str">
        <f>IFERROR(__xludf.DUMMYFUNCTION("TO_TEXT(A1469)"),"28137")</f>
        <v>28137</v>
      </c>
      <c r="C1469" s="1">
        <v>28338.0</v>
      </c>
      <c r="D1469" s="1">
        <v>404.762575298176</v>
      </c>
      <c r="E1469" s="1" t="s">
        <v>2532</v>
      </c>
      <c r="F1469" s="1" t="s">
        <v>2533</v>
      </c>
      <c r="G1469" s="1">
        <v>70.0114134295253</v>
      </c>
      <c r="H1469" s="1">
        <v>20.898861998</v>
      </c>
      <c r="I1469" s="1">
        <v>4.39924522279999</v>
      </c>
      <c r="J1469" s="1">
        <v>10.575692964</v>
      </c>
      <c r="K1469" s="1">
        <v>17.695252082</v>
      </c>
      <c r="L1469" s="1">
        <v>36.8</v>
      </c>
      <c r="M1469" s="1">
        <v>6.2</v>
      </c>
      <c r="N1469" s="1">
        <v>27.2</v>
      </c>
      <c r="O1469" s="1">
        <v>29.162916292</v>
      </c>
      <c r="P1469" s="1">
        <v>15.524691358</v>
      </c>
      <c r="Q1469" s="1">
        <v>21.0963</v>
      </c>
      <c r="R1469" s="1">
        <v>81.565868263</v>
      </c>
      <c r="S1469" s="1">
        <v>25.9</v>
      </c>
      <c r="T1469" s="1">
        <v>6407.0</v>
      </c>
      <c r="U1469" s="1">
        <v>44.3577337289999</v>
      </c>
      <c r="V1469" s="1">
        <v>204.509002055</v>
      </c>
      <c r="W1469" s="1">
        <v>17.137096774</v>
      </c>
      <c r="X1469" s="1">
        <v>11.242299795</v>
      </c>
      <c r="Y1469" s="1">
        <v>74.776223219</v>
      </c>
      <c r="Z1469" s="1">
        <v>14.0</v>
      </c>
      <c r="AA1469" s="1">
        <v>15.193163752</v>
      </c>
      <c r="AB1469" s="1">
        <v>48082.0</v>
      </c>
      <c r="AC1469" s="1">
        <v>74.367462757</v>
      </c>
      <c r="AD1469" s="1">
        <v>75.1071706939999</v>
      </c>
      <c r="AE1469" s="1">
        <v>11.037907967</v>
      </c>
      <c r="AF1469" s="1">
        <v>30.80774714</v>
      </c>
      <c r="AG1469" s="1">
        <v>0.2851281338</v>
      </c>
      <c r="AH1469" s="1">
        <v>0.3581487534</v>
      </c>
      <c r="AI1469" s="1">
        <v>0.0452032407</v>
      </c>
      <c r="AJ1469" s="1">
        <v>2.9521193366</v>
      </c>
      <c r="AK1469" s="1">
        <v>64.473729963</v>
      </c>
      <c r="AL1469" s="1">
        <v>0.9419210722</v>
      </c>
      <c r="AM1469" s="1">
        <v>51.841162766</v>
      </c>
      <c r="AN1469" s="1">
        <v>77.390431351</v>
      </c>
      <c r="AO1469" s="1">
        <v>20948.0</v>
      </c>
      <c r="AP1469" s="1">
        <v>15.7</v>
      </c>
      <c r="AQ1469" s="1">
        <v>8.2</v>
      </c>
      <c r="AR1469" s="1">
        <v>20.2</v>
      </c>
      <c r="AS1469" s="1">
        <v>14.6</v>
      </c>
      <c r="AT1469" s="1">
        <v>24.4</v>
      </c>
      <c r="AU1469" s="1">
        <v>16.5</v>
      </c>
      <c r="AV1469" s="1">
        <v>35.0</v>
      </c>
      <c r="AW1469" s="1">
        <v>1.1</v>
      </c>
      <c r="AX1469" s="1">
        <v>0.8895</v>
      </c>
      <c r="AY1469" s="1">
        <v>15.1</v>
      </c>
      <c r="AZ1469" s="1">
        <v>16.4</v>
      </c>
      <c r="BA1469" s="1">
        <v>21.4</v>
      </c>
      <c r="BB1469" s="1">
        <v>3.06</v>
      </c>
      <c r="BC1469" s="1" t="s">
        <v>2437</v>
      </c>
      <c r="BD1469" s="1">
        <v>17.0</v>
      </c>
      <c r="BE1469" s="1">
        <v>35.4</v>
      </c>
      <c r="BF1469" s="1">
        <v>31.7</v>
      </c>
      <c r="BG1469" s="1">
        <v>15.8</v>
      </c>
      <c r="BH1469" s="1" t="s">
        <v>2533</v>
      </c>
    </row>
    <row r="1470">
      <c r="A1470" s="1">
        <v>28139.0</v>
      </c>
      <c r="B1470" s="2" t="str">
        <f>IFERROR(__xludf.DUMMYFUNCTION("TO_TEXT(A1470)"),"28139")</f>
        <v>28139</v>
      </c>
      <c r="C1470" s="1">
        <v>22061.0</v>
      </c>
      <c r="D1470" s="1">
        <v>457.811016344752</v>
      </c>
      <c r="E1470" s="1" t="s">
        <v>2534</v>
      </c>
      <c r="F1470" s="1" t="s">
        <v>2535</v>
      </c>
      <c r="G1470" s="1">
        <v>48.1880059945676</v>
      </c>
      <c r="H1470" s="1">
        <v>23.159089022</v>
      </c>
      <c r="I1470" s="1">
        <v>4.7645388812</v>
      </c>
      <c r="J1470" s="1">
        <v>10.988433228</v>
      </c>
      <c r="K1470" s="1">
        <v>19.27270167</v>
      </c>
      <c r="L1470" s="1">
        <v>40.0</v>
      </c>
      <c r="M1470" s="1">
        <v>7.2</v>
      </c>
      <c r="N1470" s="1">
        <v>42.5</v>
      </c>
      <c r="O1470" s="1">
        <v>58.321338611</v>
      </c>
      <c r="P1470" s="1">
        <v>15.32709245</v>
      </c>
      <c r="Q1470" s="1">
        <v>18.20747</v>
      </c>
      <c r="R1470" s="1">
        <v>82.920962199</v>
      </c>
      <c r="S1470" s="1">
        <v>23.1</v>
      </c>
      <c r="T1470" s="1">
        <v>5361.0</v>
      </c>
      <c r="U1470" s="1">
        <v>36.429770565</v>
      </c>
      <c r="V1470" s="1">
        <v>204.509002055</v>
      </c>
      <c r="W1470" s="1">
        <v>13.928571429</v>
      </c>
      <c r="X1470" s="1">
        <v>11.501210654</v>
      </c>
      <c r="Y1470" s="1">
        <v>72.735477092</v>
      </c>
      <c r="Z1470" s="1">
        <v>34.1</v>
      </c>
      <c r="AA1470" s="1">
        <v>6.0647992849</v>
      </c>
      <c r="AB1470" s="1">
        <v>39833.0</v>
      </c>
      <c r="AC1470" s="1">
        <v>70.654066153</v>
      </c>
      <c r="AD1470" s="1">
        <v>72.942502818</v>
      </c>
      <c r="AE1470" s="1">
        <v>8.44532279309999</v>
      </c>
      <c r="AF1470" s="1">
        <v>16.617413048</v>
      </c>
      <c r="AG1470" s="1">
        <v>0.4319163446</v>
      </c>
      <c r="AH1470" s="1">
        <v>0.2773357581</v>
      </c>
      <c r="AI1470" s="1">
        <v>0.027278927</v>
      </c>
      <c r="AJ1470" s="1">
        <v>4.7829052057</v>
      </c>
      <c r="AK1470" s="1">
        <v>76.717435781</v>
      </c>
      <c r="AL1470" s="1">
        <v>0.5140390864</v>
      </c>
      <c r="AM1470" s="1">
        <v>51.270743351</v>
      </c>
      <c r="AN1470" s="1">
        <v>83.843109032</v>
      </c>
      <c r="AO1470" s="1">
        <v>19453.0</v>
      </c>
      <c r="AP1470" s="1">
        <v>23.5</v>
      </c>
      <c r="AQ1470" s="1">
        <v>10.6</v>
      </c>
      <c r="AR1470" s="1">
        <v>22.8</v>
      </c>
      <c r="AS1470" s="1">
        <v>16.0</v>
      </c>
      <c r="AT1470" s="1">
        <v>24.8</v>
      </c>
      <c r="AU1470" s="1">
        <v>20.1</v>
      </c>
      <c r="AV1470" s="1">
        <v>22.5</v>
      </c>
      <c r="AW1470" s="1">
        <v>0.9</v>
      </c>
      <c r="AX1470" s="1">
        <v>0.8567</v>
      </c>
      <c r="AY1470" s="1">
        <v>16.2</v>
      </c>
      <c r="AZ1470" s="1">
        <v>17.2</v>
      </c>
      <c r="BA1470" s="1">
        <v>21.3</v>
      </c>
      <c r="BB1470" s="1">
        <v>3.07</v>
      </c>
      <c r="BC1470" s="1" t="s">
        <v>2437</v>
      </c>
      <c r="BD1470" s="1">
        <v>20.1</v>
      </c>
      <c r="BE1470" s="1">
        <v>36.2</v>
      </c>
      <c r="BF1470" s="1">
        <v>28.5</v>
      </c>
      <c r="BG1470" s="1">
        <v>15.2</v>
      </c>
      <c r="BH1470" s="1" t="s">
        <v>2535</v>
      </c>
    </row>
    <row r="1471">
      <c r="A1471" s="1">
        <v>28141.0</v>
      </c>
      <c r="B1471" s="2" t="str">
        <f>IFERROR(__xludf.DUMMYFUNCTION("TO_TEXT(A1471)"),"28141")</f>
        <v>28141</v>
      </c>
      <c r="C1471" s="1">
        <v>19503.0</v>
      </c>
      <c r="D1471" s="1">
        <v>424.302634967562</v>
      </c>
      <c r="E1471" s="1" t="s">
        <v>2536</v>
      </c>
      <c r="F1471" s="1" t="s">
        <v>2537</v>
      </c>
      <c r="G1471" s="1">
        <v>45.9648335709511</v>
      </c>
      <c r="H1471" s="1">
        <v>21.7595112759999</v>
      </c>
      <c r="I1471" s="1">
        <v>4.6861157493</v>
      </c>
      <c r="J1471" s="1">
        <v>10.327635328</v>
      </c>
      <c r="K1471" s="1">
        <v>18.40760414</v>
      </c>
      <c r="L1471" s="1">
        <v>37.7</v>
      </c>
      <c r="M1471" s="1">
        <v>8.2</v>
      </c>
      <c r="N1471" s="1">
        <v>41.5</v>
      </c>
      <c r="O1471" s="1">
        <v>51.181544429</v>
      </c>
      <c r="P1471" s="1">
        <v>17.025275437</v>
      </c>
      <c r="Q1471" s="1">
        <v>30.7031</v>
      </c>
      <c r="R1471" s="1">
        <v>84.0</v>
      </c>
      <c r="S1471" s="1">
        <v>21.5</v>
      </c>
      <c r="T1471" s="1">
        <v>4274.0</v>
      </c>
      <c r="U1471" s="1">
        <v>23.982218063</v>
      </c>
      <c r="V1471" s="1">
        <v>25.648917616</v>
      </c>
      <c r="W1471" s="1">
        <v>10.682110682</v>
      </c>
      <c r="X1471" s="1">
        <v>7.6072821847</v>
      </c>
      <c r="Y1471" s="1">
        <v>72.41880039</v>
      </c>
      <c r="Z1471" s="1">
        <v>19.9</v>
      </c>
      <c r="AA1471" s="1">
        <v>0.0</v>
      </c>
      <c r="AB1471" s="1">
        <v>41455.0</v>
      </c>
      <c r="AC1471" s="1">
        <v>64.433333333</v>
      </c>
      <c r="AD1471" s="1">
        <v>75.481335953</v>
      </c>
      <c r="AE1471" s="1">
        <v>7.8396003885</v>
      </c>
      <c r="AF1471" s="1">
        <v>2.4622185669</v>
      </c>
      <c r="AG1471" s="1">
        <v>0.3855248278</v>
      </c>
      <c r="AH1471" s="1">
        <v>0.1593502622</v>
      </c>
      <c r="AI1471" s="1">
        <v>0.0257016552</v>
      </c>
      <c r="AJ1471" s="1">
        <v>3.6085123882</v>
      </c>
      <c r="AK1471" s="1">
        <v>92.71615092</v>
      </c>
      <c r="AL1471" s="1">
        <v>0.0707021265</v>
      </c>
      <c r="AM1471" s="1">
        <v>51.413591035</v>
      </c>
      <c r="AN1471" s="1">
        <v>100.0</v>
      </c>
      <c r="AO1471" s="1">
        <v>18790.0</v>
      </c>
      <c r="AP1471" s="1">
        <v>18.6</v>
      </c>
      <c r="AQ1471" s="1">
        <v>10.0</v>
      </c>
      <c r="AR1471" s="1">
        <v>21.5</v>
      </c>
      <c r="AS1471" s="1">
        <v>19.5</v>
      </c>
      <c r="AT1471" s="1">
        <v>22.2</v>
      </c>
      <c r="AU1471" s="1">
        <v>22.8</v>
      </c>
      <c r="AV1471" s="1">
        <v>6.4</v>
      </c>
      <c r="AW1471" s="1">
        <v>0.2</v>
      </c>
      <c r="AX1471" s="1">
        <v>0.6644</v>
      </c>
      <c r="AY1471" s="1">
        <v>17.0</v>
      </c>
      <c r="AZ1471" s="1">
        <v>17.4</v>
      </c>
      <c r="BA1471" s="1">
        <v>20.4</v>
      </c>
      <c r="BB1471" s="1">
        <v>2.91</v>
      </c>
      <c r="BC1471" s="1" t="s">
        <v>2437</v>
      </c>
      <c r="BD1471" s="1">
        <v>19.6</v>
      </c>
      <c r="BE1471" s="1">
        <v>38.9</v>
      </c>
      <c r="BF1471" s="1">
        <v>30.1</v>
      </c>
      <c r="BG1471" s="1">
        <v>11.4</v>
      </c>
      <c r="BH1471" s="1" t="s">
        <v>2537</v>
      </c>
    </row>
    <row r="1472">
      <c r="A1472" s="1">
        <v>28143.0</v>
      </c>
      <c r="B1472" s="2" t="str">
        <f>IFERROR(__xludf.DUMMYFUNCTION("TO_TEXT(A1472)"),"28143")</f>
        <v>28143</v>
      </c>
      <c r="C1472" s="1">
        <v>10407.0</v>
      </c>
      <c r="D1472" s="1">
        <v>454.674635667168</v>
      </c>
      <c r="E1472" s="1" t="s">
        <v>2538</v>
      </c>
      <c r="F1472" s="1" t="s">
        <v>2539</v>
      </c>
      <c r="G1472" s="1">
        <v>22.8888950111089</v>
      </c>
      <c r="H1472" s="1">
        <v>30.115663582</v>
      </c>
      <c r="I1472" s="1">
        <v>4.8511612879</v>
      </c>
      <c r="J1472" s="1">
        <v>12.584777694</v>
      </c>
      <c r="K1472" s="1">
        <v>22.476559741</v>
      </c>
      <c r="L1472" s="1">
        <v>40.3</v>
      </c>
      <c r="M1472" s="1">
        <v>4.6</v>
      </c>
      <c r="N1472" s="1">
        <v>30.7</v>
      </c>
      <c r="O1472" s="1">
        <v>56.503989608</v>
      </c>
      <c r="P1472" s="1">
        <v>12.834847426</v>
      </c>
      <c r="Q1472" s="1">
        <v>48.31939</v>
      </c>
      <c r="R1472" s="1">
        <v>87.5</v>
      </c>
      <c r="S1472" s="1">
        <v>43.5</v>
      </c>
      <c r="T1472" s="1">
        <v>3016.0</v>
      </c>
      <c r="U1472" s="1">
        <v>67.871352785</v>
      </c>
      <c r="V1472" s="1">
        <v>429.20524691</v>
      </c>
      <c r="W1472" s="1">
        <v>24.625</v>
      </c>
      <c r="X1472" s="1">
        <v>18.846153846</v>
      </c>
      <c r="Y1472" s="1">
        <v>70.542821496</v>
      </c>
      <c r="Z1472" s="1">
        <v>10.7</v>
      </c>
      <c r="AA1472" s="1">
        <v>9.6318608623</v>
      </c>
      <c r="AB1472" s="1">
        <v>33143.0</v>
      </c>
      <c r="AC1472" s="1">
        <v>100.0</v>
      </c>
      <c r="AD1472" s="1">
        <v>40.527517119</v>
      </c>
      <c r="AE1472" s="1">
        <v>20.77281447</v>
      </c>
      <c r="AF1472" s="1">
        <v>77.001206758</v>
      </c>
      <c r="AG1472" s="1">
        <v>0.2815768302</v>
      </c>
      <c r="AH1472" s="1">
        <v>0.8045052293</v>
      </c>
      <c r="AI1472" s="1">
        <v>0.0804505229</v>
      </c>
      <c r="AJ1472" s="1">
        <v>2.4839098954</v>
      </c>
      <c r="AK1472" s="1">
        <v>18.493563958</v>
      </c>
      <c r="AL1472" s="1">
        <v>1.4031300594</v>
      </c>
      <c r="AM1472" s="1">
        <v>53.238133548</v>
      </c>
      <c r="AN1472" s="1">
        <v>66.023380961</v>
      </c>
      <c r="AO1472" s="1">
        <v>16950.0</v>
      </c>
      <c r="AP1472" s="1">
        <v>28.4</v>
      </c>
      <c r="AQ1472" s="1">
        <v>10.9</v>
      </c>
      <c r="AR1472" s="1">
        <v>21.9</v>
      </c>
      <c r="AS1472" s="1">
        <v>10.5</v>
      </c>
      <c r="AT1472" s="1">
        <v>29.9</v>
      </c>
      <c r="AU1472" s="1">
        <v>14.9</v>
      </c>
      <c r="AV1472" s="1">
        <v>80.2</v>
      </c>
      <c r="AW1472" s="1">
        <v>0.9</v>
      </c>
      <c r="AX1472" s="1">
        <v>0.9784</v>
      </c>
      <c r="AY1472" s="1">
        <v>28.1</v>
      </c>
      <c r="AZ1472" s="1">
        <v>19.8</v>
      </c>
      <c r="BA1472" s="1">
        <v>20.5</v>
      </c>
      <c r="BB1472" s="1">
        <v>3.1</v>
      </c>
      <c r="BC1472" s="1" t="s">
        <v>2437</v>
      </c>
      <c r="BD1472" s="1">
        <v>16.5</v>
      </c>
      <c r="BE1472" s="1">
        <v>33.4</v>
      </c>
      <c r="BF1472" s="1">
        <v>33.2</v>
      </c>
      <c r="BG1472" s="1">
        <v>16.9</v>
      </c>
      <c r="BH1472" s="1" t="s">
        <v>2539</v>
      </c>
    </row>
    <row r="1473">
      <c r="A1473" s="1">
        <v>28145.0</v>
      </c>
      <c r="B1473" s="2" t="str">
        <f>IFERROR(__xludf.DUMMYFUNCTION("TO_TEXT(A1473)"),"28145")</f>
        <v>28145</v>
      </c>
      <c r="C1473" s="1">
        <v>27989.0</v>
      </c>
      <c r="D1473" s="1">
        <v>415.599962297106</v>
      </c>
      <c r="E1473" s="1" t="s">
        <v>406</v>
      </c>
      <c r="F1473" s="1" t="s">
        <v>2540</v>
      </c>
      <c r="G1473" s="1">
        <v>67.3460118843589</v>
      </c>
      <c r="H1473" s="1">
        <v>21.023152103</v>
      </c>
      <c r="I1473" s="1">
        <v>4.4605116167</v>
      </c>
      <c r="J1473" s="1">
        <v>10.446054136</v>
      </c>
      <c r="K1473" s="1">
        <v>17.268685524</v>
      </c>
      <c r="L1473" s="1">
        <v>39.8</v>
      </c>
      <c r="M1473" s="1">
        <v>7.5</v>
      </c>
      <c r="N1473" s="1">
        <v>30.9</v>
      </c>
      <c r="O1473" s="1">
        <v>58.72337289</v>
      </c>
      <c r="P1473" s="1">
        <v>17.540748248</v>
      </c>
      <c r="Q1473" s="1">
        <v>49.02647</v>
      </c>
      <c r="R1473" s="1">
        <v>82.803116147</v>
      </c>
      <c r="S1473" s="1">
        <v>18.8</v>
      </c>
      <c r="T1473" s="1">
        <v>7130.0</v>
      </c>
      <c r="U1473" s="1">
        <v>31.935483871</v>
      </c>
      <c r="V1473" s="1">
        <v>204.509002055</v>
      </c>
      <c r="W1473" s="1">
        <v>13.737864078</v>
      </c>
      <c r="X1473" s="1">
        <v>10.137931034</v>
      </c>
      <c r="Y1473" s="1">
        <v>75.916183325</v>
      </c>
      <c r="Z1473" s="1">
        <v>11.8</v>
      </c>
      <c r="AA1473" s="1">
        <v>6.32019031039999</v>
      </c>
      <c r="AB1473" s="1">
        <v>46600.0</v>
      </c>
      <c r="AC1473" s="1">
        <v>61.92883531</v>
      </c>
      <c r="AD1473" s="1">
        <v>72.294241785</v>
      </c>
      <c r="AE1473" s="1">
        <v>10.949673615</v>
      </c>
      <c r="AF1473" s="1">
        <v>15.038803048</v>
      </c>
      <c r="AG1473" s="1">
        <v>0.3006362302</v>
      </c>
      <c r="AH1473" s="1">
        <v>1.0452352653</v>
      </c>
      <c r="AI1473" s="1">
        <v>0.0559323219</v>
      </c>
      <c r="AJ1473" s="1">
        <v>4.289309935</v>
      </c>
      <c r="AK1473" s="1">
        <v>77.969656715</v>
      </c>
      <c r="AL1473" s="1">
        <v>1.1759401886</v>
      </c>
      <c r="AM1473" s="1">
        <v>51.003286024</v>
      </c>
      <c r="AN1473" s="1">
        <v>75.55834009</v>
      </c>
      <c r="AO1473" s="1">
        <v>19723.0</v>
      </c>
      <c r="AP1473" s="1">
        <v>19.1</v>
      </c>
      <c r="AQ1473" s="1">
        <v>9.0</v>
      </c>
      <c r="AR1473" s="1">
        <v>23.6</v>
      </c>
      <c r="AS1473" s="1">
        <v>15.7</v>
      </c>
      <c r="AT1473" s="1">
        <v>25.4</v>
      </c>
      <c r="AU1473" s="1">
        <v>18.4</v>
      </c>
      <c r="AV1473" s="1">
        <v>21.2</v>
      </c>
      <c r="AW1473" s="1">
        <v>0.9</v>
      </c>
      <c r="AX1473" s="1">
        <v>0.809</v>
      </c>
      <c r="AY1473" s="1">
        <v>13.0</v>
      </c>
      <c r="AZ1473" s="1">
        <v>15.7</v>
      </c>
      <c r="BA1473" s="1">
        <v>17.8</v>
      </c>
      <c r="BB1473" s="1">
        <v>3.05</v>
      </c>
      <c r="BC1473" s="1" t="s">
        <v>2437</v>
      </c>
      <c r="BD1473" s="1">
        <v>21.9</v>
      </c>
      <c r="BE1473" s="1">
        <v>33.7</v>
      </c>
      <c r="BF1473" s="1">
        <v>31.1</v>
      </c>
      <c r="BG1473" s="1">
        <v>13.4</v>
      </c>
      <c r="BH1473" s="1" t="s">
        <v>2540</v>
      </c>
    </row>
    <row r="1474">
      <c r="A1474" s="1">
        <v>28147.0</v>
      </c>
      <c r="B1474" s="2" t="str">
        <f>IFERROR(__xludf.DUMMYFUNCTION("TO_TEXT(A1474)"),"28147")</f>
        <v>28147</v>
      </c>
      <c r="C1474" s="1">
        <v>14812.0</v>
      </c>
      <c r="D1474" s="1">
        <v>403.928048643845</v>
      </c>
      <c r="E1474" s="1" t="s">
        <v>2541</v>
      </c>
      <c r="F1474" s="1" t="s">
        <v>2542</v>
      </c>
      <c r="G1474" s="1">
        <v>36.6698971505693</v>
      </c>
      <c r="H1474" s="1">
        <v>28.739430889</v>
      </c>
      <c r="I1474" s="1">
        <v>5.0700469376</v>
      </c>
      <c r="J1474" s="1">
        <v>11.67218543</v>
      </c>
      <c r="K1474" s="1">
        <v>20.033745132</v>
      </c>
      <c r="L1474" s="1">
        <v>36.6</v>
      </c>
      <c r="M1474" s="1">
        <v>6.4</v>
      </c>
      <c r="N1474" s="1">
        <v>32.7</v>
      </c>
      <c r="O1474" s="1">
        <v>20.540050508</v>
      </c>
      <c r="P1474" s="1">
        <v>18.050168089</v>
      </c>
      <c r="Q1474" s="1">
        <v>41.38216</v>
      </c>
      <c r="R1474" s="1">
        <v>77.5</v>
      </c>
      <c r="S1474" s="1">
        <v>36.8</v>
      </c>
      <c r="T1474" s="1">
        <v>3459.0</v>
      </c>
      <c r="U1474" s="1">
        <v>44.174616941</v>
      </c>
      <c r="V1474" s="1">
        <v>204.509002055</v>
      </c>
      <c r="W1474" s="1">
        <v>18.027210884</v>
      </c>
      <c r="X1474" s="1">
        <v>13.7687555159999</v>
      </c>
      <c r="Y1474" s="1">
        <v>75.488048959</v>
      </c>
      <c r="Z1474" s="1">
        <v>20.3</v>
      </c>
      <c r="AA1474" s="1">
        <v>5.9097438213</v>
      </c>
      <c r="AB1474" s="1">
        <v>33566.0</v>
      </c>
      <c r="AC1474" s="1">
        <v>86.802575107</v>
      </c>
      <c r="AD1474" s="1">
        <v>89.195847264</v>
      </c>
      <c r="AE1474" s="1">
        <v>17.65704584</v>
      </c>
      <c r="AF1474" s="1">
        <v>43.06947805</v>
      </c>
      <c r="AG1474" s="1">
        <v>0.4770134808</v>
      </c>
      <c r="AH1474" s="1">
        <v>0.4562737643</v>
      </c>
      <c r="AI1474" s="1">
        <v>0.1106118216</v>
      </c>
      <c r="AJ1474" s="1">
        <v>2.0877981334</v>
      </c>
      <c r="AK1474" s="1">
        <v>52.671966816</v>
      </c>
      <c r="AL1474" s="1">
        <v>0.4300605</v>
      </c>
      <c r="AM1474" s="1">
        <v>51.828551676</v>
      </c>
      <c r="AN1474" s="1">
        <v>100.0</v>
      </c>
      <c r="AO1474" s="1">
        <v>18255.0</v>
      </c>
      <c r="AP1474" s="1">
        <v>25.9</v>
      </c>
      <c r="AQ1474" s="1">
        <v>8.5</v>
      </c>
      <c r="AR1474" s="1">
        <v>22.7</v>
      </c>
      <c r="AS1474" s="1">
        <v>17.8</v>
      </c>
      <c r="AT1474" s="1">
        <v>24.5</v>
      </c>
      <c r="AU1474" s="1">
        <v>21.2</v>
      </c>
      <c r="AV1474" s="1">
        <v>47.3</v>
      </c>
      <c r="AW1474" s="1">
        <v>0.2</v>
      </c>
      <c r="AX1474" s="1">
        <v>0.8446</v>
      </c>
      <c r="AY1474" s="1">
        <v>21.7</v>
      </c>
      <c r="AZ1474" s="1">
        <v>21.0</v>
      </c>
      <c r="BA1474" s="1">
        <v>26.8</v>
      </c>
      <c r="BB1474" s="1">
        <v>3.01</v>
      </c>
      <c r="BC1474" s="1" t="s">
        <v>2437</v>
      </c>
      <c r="BD1474" s="1">
        <v>18.3</v>
      </c>
      <c r="BE1474" s="1">
        <v>43.8</v>
      </c>
      <c r="BF1474" s="1">
        <v>23.5</v>
      </c>
      <c r="BG1474" s="1">
        <v>14.4</v>
      </c>
      <c r="BH1474" s="1" t="s">
        <v>2542</v>
      </c>
    </row>
    <row r="1475">
      <c r="A1475" s="1">
        <v>28149.0</v>
      </c>
      <c r="B1475" s="2" t="str">
        <f>IFERROR(__xludf.DUMMYFUNCTION("TO_TEXT(A1475)"),"28149")</f>
        <v>28149</v>
      </c>
      <c r="C1475" s="1">
        <v>47834.0</v>
      </c>
      <c r="D1475" s="1">
        <v>588.514203994534</v>
      </c>
      <c r="E1475" s="1" t="s">
        <v>1045</v>
      </c>
      <c r="F1475" s="1" t="s">
        <v>2543</v>
      </c>
      <c r="G1475" s="1">
        <v>81.2792616989144</v>
      </c>
      <c r="H1475" s="1">
        <v>24.612601203</v>
      </c>
      <c r="I1475" s="1">
        <v>4.5416987164</v>
      </c>
      <c r="J1475" s="1">
        <v>12.900992384</v>
      </c>
      <c r="K1475" s="1">
        <v>20.433171409</v>
      </c>
      <c r="L1475" s="1">
        <v>35.8</v>
      </c>
      <c r="M1475" s="1">
        <v>5.7</v>
      </c>
      <c r="N1475" s="1">
        <v>35.3</v>
      </c>
      <c r="O1475" s="1">
        <v>54.65113895</v>
      </c>
      <c r="P1475" s="1">
        <v>14.14349822</v>
      </c>
      <c r="Q1475" s="1">
        <v>55.5935699999999</v>
      </c>
      <c r="R1475" s="1">
        <v>72.0</v>
      </c>
      <c r="S1475" s="1">
        <v>31.0</v>
      </c>
      <c r="T1475" s="1">
        <v>11463.0</v>
      </c>
      <c r="U1475" s="1">
        <v>44.8137485819999</v>
      </c>
      <c r="V1475" s="1">
        <v>343.80881286</v>
      </c>
      <c r="W1475" s="1">
        <v>18.349120433</v>
      </c>
      <c r="X1475" s="1">
        <v>16.057585825</v>
      </c>
      <c r="Y1475" s="1">
        <v>73.575561907</v>
      </c>
      <c r="Z1475" s="1">
        <v>18.4</v>
      </c>
      <c r="AA1475" s="1">
        <v>11.272637194</v>
      </c>
      <c r="AB1475" s="1">
        <v>46049.0</v>
      </c>
      <c r="AC1475" s="1">
        <v>99.987619166</v>
      </c>
      <c r="AD1475" s="1">
        <v>64.414366407</v>
      </c>
      <c r="AE1475" s="1">
        <v>17.035987532</v>
      </c>
      <c r="AF1475" s="1">
        <v>48.889033264</v>
      </c>
      <c r="AG1475" s="1">
        <v>0.3421690922</v>
      </c>
      <c r="AH1475" s="1">
        <v>0.8857415107</v>
      </c>
      <c r="AI1475" s="1">
        <v>0.0281531532</v>
      </c>
      <c r="AJ1475" s="1">
        <v>2.380024255</v>
      </c>
      <c r="AK1475" s="1">
        <v>46.779712405</v>
      </c>
      <c r="AL1475" s="1">
        <v>0.4558546708</v>
      </c>
      <c r="AM1475" s="1">
        <v>52.377858628</v>
      </c>
      <c r="AN1475" s="1">
        <v>40.893527156</v>
      </c>
      <c r="AO1475" s="1">
        <v>22110.0</v>
      </c>
      <c r="AP1475" s="1">
        <v>23.7</v>
      </c>
      <c r="AQ1475" s="1">
        <v>7.2</v>
      </c>
      <c r="AR1475" s="1">
        <v>13.3</v>
      </c>
      <c r="AS1475" s="1">
        <v>14.6</v>
      </c>
      <c r="AT1475" s="1">
        <v>25.1</v>
      </c>
      <c r="AU1475" s="1">
        <v>13.2</v>
      </c>
      <c r="AV1475" s="1">
        <v>52.0</v>
      </c>
      <c r="AW1475" s="1">
        <v>0.5</v>
      </c>
      <c r="AX1475" s="1">
        <v>0.8077</v>
      </c>
      <c r="AY1475" s="1">
        <v>20.1</v>
      </c>
      <c r="AZ1475" s="1">
        <v>18.2</v>
      </c>
      <c r="BA1475" s="1">
        <v>21.7</v>
      </c>
      <c r="BB1475" s="1">
        <v>3.2</v>
      </c>
      <c r="BC1475" s="1" t="s">
        <v>2437</v>
      </c>
      <c r="BD1475" s="1">
        <v>12.9</v>
      </c>
      <c r="BE1475" s="1">
        <v>30.5</v>
      </c>
      <c r="BF1475" s="1">
        <v>34.2</v>
      </c>
      <c r="BG1475" s="1">
        <v>22.4</v>
      </c>
      <c r="BH1475" s="1" t="s">
        <v>2543</v>
      </c>
    </row>
    <row r="1476">
      <c r="A1476" s="1">
        <v>28151.0</v>
      </c>
      <c r="B1476" s="2" t="str">
        <f>IFERROR(__xludf.DUMMYFUNCTION("TO_TEXT(A1476)"),"28151")</f>
        <v>28151</v>
      </c>
      <c r="C1476" s="1">
        <v>48824.0</v>
      </c>
      <c r="D1476" s="1">
        <v>724.74044446031</v>
      </c>
      <c r="E1476" s="1" t="s">
        <v>188</v>
      </c>
      <c r="F1476" s="1" t="s">
        <v>2544</v>
      </c>
      <c r="G1476" s="1">
        <v>67.3675663793782</v>
      </c>
      <c r="H1476" s="1">
        <v>29.40780581</v>
      </c>
      <c r="I1476" s="1">
        <v>4.8535520269</v>
      </c>
      <c r="J1476" s="1">
        <v>13.858585859</v>
      </c>
      <c r="K1476" s="1">
        <v>20.515537571</v>
      </c>
      <c r="L1476" s="1">
        <v>43.4</v>
      </c>
      <c r="M1476" s="1">
        <v>3.7</v>
      </c>
      <c r="N1476" s="1">
        <v>35.9</v>
      </c>
      <c r="O1476" s="1">
        <v>77.290415941</v>
      </c>
      <c r="P1476" s="1">
        <v>16.196222455</v>
      </c>
      <c r="Q1476" s="1">
        <v>43.27037</v>
      </c>
      <c r="R1476" s="1">
        <v>77.141791045</v>
      </c>
      <c r="S1476" s="1">
        <v>52.0</v>
      </c>
      <c r="T1476" s="1">
        <v>12311.0</v>
      </c>
      <c r="U1476" s="1">
        <v>67.143205264</v>
      </c>
      <c r="V1476" s="1">
        <v>282.69762063</v>
      </c>
      <c r="W1476" s="1">
        <v>19.338842975</v>
      </c>
      <c r="X1476" s="1">
        <v>17.416050085</v>
      </c>
      <c r="Y1476" s="1">
        <v>71.235141738</v>
      </c>
      <c r="Z1476" s="1">
        <v>15.4</v>
      </c>
      <c r="AA1476" s="1">
        <v>18.82903914</v>
      </c>
      <c r="AB1476" s="1">
        <v>33991.0</v>
      </c>
      <c r="AC1476" s="1">
        <v>100.0</v>
      </c>
      <c r="AD1476" s="1">
        <v>54.035739658</v>
      </c>
      <c r="AE1476" s="1">
        <v>19.684280292</v>
      </c>
      <c r="AF1476" s="1">
        <v>71.892683576</v>
      </c>
      <c r="AG1476" s="1">
        <v>0.2662938553</v>
      </c>
      <c r="AH1476" s="1">
        <v>0.7189934092</v>
      </c>
      <c r="AI1476" s="1">
        <v>0.0510396556</v>
      </c>
      <c r="AJ1476" s="1">
        <v>1.7198144819</v>
      </c>
      <c r="AK1476" s="1">
        <v>24.905132814</v>
      </c>
      <c r="AL1476" s="1">
        <v>0.7016010305</v>
      </c>
      <c r="AM1476" s="1">
        <v>53.644897144</v>
      </c>
      <c r="AN1476" s="1">
        <v>17.523515263</v>
      </c>
      <c r="AO1476" s="1">
        <v>17800.0</v>
      </c>
      <c r="AP1476" s="1">
        <v>34.9</v>
      </c>
      <c r="AQ1476" s="1">
        <v>19.7</v>
      </c>
      <c r="AR1476" s="1">
        <v>23.1</v>
      </c>
      <c r="AS1476" s="1">
        <v>13.6</v>
      </c>
      <c r="AT1476" s="1">
        <v>26.6</v>
      </c>
      <c r="AU1476" s="1">
        <v>18.5</v>
      </c>
      <c r="AV1476" s="1">
        <v>74.2</v>
      </c>
      <c r="AW1476" s="1">
        <v>0.4</v>
      </c>
      <c r="AX1476" s="1">
        <v>0.9542</v>
      </c>
      <c r="AY1476" s="1">
        <v>33.7</v>
      </c>
      <c r="AZ1476" s="1">
        <v>24.5</v>
      </c>
      <c r="BA1476" s="1">
        <v>30.5</v>
      </c>
      <c r="BB1476" s="1">
        <v>3.12</v>
      </c>
      <c r="BC1476" s="1" t="s">
        <v>2437</v>
      </c>
      <c r="BD1476" s="1">
        <v>21.2</v>
      </c>
      <c r="BE1476" s="1">
        <v>32.3</v>
      </c>
      <c r="BF1476" s="1">
        <v>28.6</v>
      </c>
      <c r="BG1476" s="1">
        <v>17.9</v>
      </c>
      <c r="BH1476" s="1" t="s">
        <v>2544</v>
      </c>
    </row>
    <row r="1477">
      <c r="A1477" s="1">
        <v>28153.0</v>
      </c>
      <c r="B1477" s="2" t="str">
        <f>IFERROR(__xludf.DUMMYFUNCTION("TO_TEXT(A1477)"),"28153")</f>
        <v>28153</v>
      </c>
      <c r="C1477" s="1">
        <v>20517.0</v>
      </c>
      <c r="D1477" s="1">
        <v>810.715967156956</v>
      </c>
      <c r="E1477" s="1" t="s">
        <v>1048</v>
      </c>
      <c r="F1477" s="1" t="s">
        <v>2545</v>
      </c>
      <c r="G1477" s="1">
        <v>25.3072602874095</v>
      </c>
      <c r="H1477" s="1">
        <v>24.601374469</v>
      </c>
      <c r="I1477" s="1">
        <v>4.563633754</v>
      </c>
      <c r="J1477" s="1">
        <v>12.8834355829999</v>
      </c>
      <c r="K1477" s="1">
        <v>19.187125624</v>
      </c>
      <c r="L1477" s="1">
        <v>42.4</v>
      </c>
      <c r="M1477" s="1">
        <v>6.9</v>
      </c>
      <c r="N1477" s="1">
        <v>40.4</v>
      </c>
      <c r="O1477" s="1">
        <v>7.68303851159999</v>
      </c>
      <c r="P1477" s="1">
        <v>16.36051197</v>
      </c>
      <c r="Q1477" s="1">
        <v>29.34559</v>
      </c>
      <c r="R1477" s="1">
        <v>79.0</v>
      </c>
      <c r="S1477" s="1">
        <v>32.8</v>
      </c>
      <c r="T1477" s="1">
        <v>5046.0</v>
      </c>
      <c r="U1477" s="1">
        <v>36.781609195</v>
      </c>
      <c r="V1477" s="1">
        <v>204.509002055</v>
      </c>
      <c r="W1477" s="1">
        <v>12.008005337</v>
      </c>
      <c r="X1477" s="1">
        <v>10.21131561</v>
      </c>
      <c r="Y1477" s="1">
        <v>75.3178904889999</v>
      </c>
      <c r="Z1477" s="1">
        <v>15.4</v>
      </c>
      <c r="AA1477" s="1">
        <v>0.7102030536</v>
      </c>
      <c r="AB1477" s="1">
        <v>37401.0</v>
      </c>
      <c r="AC1477" s="1">
        <v>100.0</v>
      </c>
      <c r="AD1477" s="1">
        <v>81.600724076</v>
      </c>
      <c r="AE1477" s="1">
        <v>10.0110162489999</v>
      </c>
      <c r="AF1477" s="1">
        <v>39.678786087</v>
      </c>
      <c r="AG1477" s="1">
        <v>0.320228594</v>
      </c>
      <c r="AH1477" s="1">
        <v>0.2512562814</v>
      </c>
      <c r="AI1477" s="1">
        <v>0.0295595625</v>
      </c>
      <c r="AJ1477" s="1">
        <v>1.5863631885</v>
      </c>
      <c r="AK1477" s="1">
        <v>57.251946005</v>
      </c>
      <c r="AL1477" s="1">
        <v>0.289214913</v>
      </c>
      <c r="AM1477" s="1">
        <v>51.970637501</v>
      </c>
      <c r="AN1477" s="1">
        <v>79.640429942</v>
      </c>
      <c r="AO1477" s="1">
        <v>20460.0</v>
      </c>
      <c r="AP1477" s="1">
        <v>25.5</v>
      </c>
      <c r="AQ1477" s="1">
        <v>9.8</v>
      </c>
      <c r="AR1477" s="1">
        <v>24.4</v>
      </c>
      <c r="AS1477" s="1">
        <v>15.7</v>
      </c>
      <c r="AT1477" s="1">
        <v>25.3</v>
      </c>
      <c r="AU1477" s="1">
        <v>23.2</v>
      </c>
      <c r="AV1477" s="1">
        <v>41.7</v>
      </c>
      <c r="AW1477" s="1">
        <v>0.3</v>
      </c>
      <c r="AX1477" s="1">
        <v>0.8669</v>
      </c>
      <c r="AY1477" s="1">
        <v>22.2</v>
      </c>
      <c r="AZ1477" s="1">
        <v>19.3</v>
      </c>
      <c r="BA1477" s="1">
        <v>23.7</v>
      </c>
      <c r="BB1477" s="1">
        <v>3.1</v>
      </c>
      <c r="BC1477" s="1" t="s">
        <v>2437</v>
      </c>
      <c r="BD1477" s="1">
        <v>20.7</v>
      </c>
      <c r="BE1477" s="1">
        <v>38.4</v>
      </c>
      <c r="BF1477" s="1">
        <v>25.6</v>
      </c>
      <c r="BG1477" s="1">
        <v>15.3</v>
      </c>
      <c r="BH1477" s="1" t="s">
        <v>2545</v>
      </c>
    </row>
    <row r="1478">
      <c r="A1478" s="1">
        <v>28155.0</v>
      </c>
      <c r="B1478" s="2" t="str">
        <f>IFERROR(__xludf.DUMMYFUNCTION("TO_TEXT(A1478)"),"28155")</f>
        <v>28155</v>
      </c>
      <c r="C1478" s="1">
        <v>9922.0</v>
      </c>
      <c r="D1478" s="1">
        <v>420.937402368129</v>
      </c>
      <c r="E1478" s="1" t="s">
        <v>1050</v>
      </c>
      <c r="F1478" s="1" t="s">
        <v>2546</v>
      </c>
      <c r="G1478" s="1">
        <v>23.5712007157841</v>
      </c>
      <c r="H1478" s="1">
        <v>22.844579077</v>
      </c>
      <c r="I1478" s="1">
        <v>4.7398231916</v>
      </c>
      <c r="J1478" s="1">
        <v>10.650887574</v>
      </c>
      <c r="K1478" s="1">
        <v>19.125238184</v>
      </c>
      <c r="L1478" s="1">
        <v>33.4</v>
      </c>
      <c r="M1478" s="1">
        <v>7.0</v>
      </c>
      <c r="N1478" s="1">
        <v>27.8</v>
      </c>
      <c r="O1478" s="1">
        <v>0.0</v>
      </c>
      <c r="P1478" s="1">
        <v>13.989507869</v>
      </c>
      <c r="Q1478" s="1">
        <v>30.72197</v>
      </c>
      <c r="R1478" s="1">
        <v>87.5</v>
      </c>
      <c r="S1478" s="1">
        <v>25.9</v>
      </c>
      <c r="T1478" s="1">
        <v>2348.0</v>
      </c>
      <c r="U1478" s="1">
        <v>28.577512777</v>
      </c>
      <c r="V1478" s="1">
        <v>204.509002055</v>
      </c>
      <c r="W1478" s="1">
        <v>16.835443038</v>
      </c>
      <c r="X1478" s="1">
        <v>13.19534282</v>
      </c>
      <c r="Y1478" s="1">
        <v>73.854436295</v>
      </c>
      <c r="Z1478" s="1">
        <v>12.4</v>
      </c>
      <c r="AA1478" s="1">
        <v>5.194209051</v>
      </c>
      <c r="AB1478" s="1">
        <v>43349.0</v>
      </c>
      <c r="AC1478" s="1">
        <v>58.561460011</v>
      </c>
      <c r="AD1478" s="1">
        <v>73.884341167</v>
      </c>
      <c r="AE1478" s="1">
        <v>13.925127623</v>
      </c>
      <c r="AF1478" s="1">
        <v>19.064160196</v>
      </c>
      <c r="AG1478" s="1">
        <v>0.3167143441</v>
      </c>
      <c r="AH1478" s="1">
        <v>0.1634654679</v>
      </c>
      <c r="AI1478" s="1">
        <v>0.0204331835</v>
      </c>
      <c r="AJ1478" s="1">
        <v>1.4201062526</v>
      </c>
      <c r="AK1478" s="1">
        <v>78.10584389</v>
      </c>
      <c r="AL1478" s="1">
        <v>0.1192282679</v>
      </c>
      <c r="AM1478" s="1">
        <v>51.174908051</v>
      </c>
      <c r="AN1478" s="1">
        <v>100.0</v>
      </c>
      <c r="AO1478" s="1">
        <v>20722.0</v>
      </c>
      <c r="AP1478" s="1">
        <v>21.5</v>
      </c>
      <c r="AQ1478" s="1">
        <v>10.0</v>
      </c>
      <c r="AR1478" s="1">
        <v>14.8</v>
      </c>
      <c r="AS1478" s="1">
        <v>16.5</v>
      </c>
      <c r="AT1478" s="1">
        <v>24.1</v>
      </c>
      <c r="AU1478" s="1">
        <v>20.5</v>
      </c>
      <c r="AV1478" s="1">
        <v>22.0</v>
      </c>
      <c r="AW1478" s="1">
        <v>0.1</v>
      </c>
      <c r="AX1478" s="1">
        <v>0.7243</v>
      </c>
      <c r="AY1478" s="1">
        <v>17.0</v>
      </c>
      <c r="AZ1478" s="1">
        <v>19.6</v>
      </c>
      <c r="BA1478" s="1">
        <v>27.8</v>
      </c>
      <c r="BB1478" s="1">
        <v>3.19</v>
      </c>
      <c r="BC1478" s="1" t="s">
        <v>2437</v>
      </c>
      <c r="BD1478" s="1">
        <v>15.1</v>
      </c>
      <c r="BE1478" s="1">
        <v>36.6</v>
      </c>
      <c r="BF1478" s="1">
        <v>29.7</v>
      </c>
      <c r="BG1478" s="1">
        <v>18.5</v>
      </c>
      <c r="BH1478" s="1" t="s">
        <v>2546</v>
      </c>
    </row>
    <row r="1479">
      <c r="A1479" s="1">
        <v>28157.0</v>
      </c>
      <c r="B1479" s="2" t="str">
        <f>IFERROR(__xludf.DUMMYFUNCTION("TO_TEXT(A1479)"),"28157")</f>
        <v>28157</v>
      </c>
      <c r="C1479" s="1">
        <v>9233.0</v>
      </c>
      <c r="D1479" s="1">
        <v>678.1059811893</v>
      </c>
      <c r="E1479" s="1" t="s">
        <v>1060</v>
      </c>
      <c r="F1479" s="1" t="s">
        <v>2547</v>
      </c>
      <c r="G1479" s="1">
        <v>13.6158657438866</v>
      </c>
      <c r="H1479" s="1">
        <v>31.84848897</v>
      </c>
      <c r="I1479" s="1">
        <v>5.0875335152</v>
      </c>
      <c r="J1479" s="1">
        <v>12.100139082</v>
      </c>
      <c r="K1479" s="1">
        <v>24.531975615</v>
      </c>
      <c r="L1479" s="1">
        <v>37.6</v>
      </c>
      <c r="M1479" s="1">
        <v>4.7</v>
      </c>
      <c r="N1479" s="1">
        <v>33.4</v>
      </c>
      <c r="O1479" s="1">
        <v>10.973881353</v>
      </c>
      <c r="P1479" s="1">
        <v>16.151866152</v>
      </c>
      <c r="Q1479" s="1">
        <v>34.07542</v>
      </c>
      <c r="R1479" s="1">
        <v>77.5</v>
      </c>
      <c r="S1479" s="1">
        <v>38.7</v>
      </c>
      <c r="T1479" s="1">
        <v>1926.0</v>
      </c>
      <c r="U1479" s="1">
        <v>61.318795431</v>
      </c>
      <c r="V1479" s="1">
        <v>204.509002055</v>
      </c>
      <c r="W1479" s="1">
        <v>17.5652173909999</v>
      </c>
      <c r="X1479" s="1">
        <v>16.819012797</v>
      </c>
      <c r="Y1479" s="1">
        <v>70.818452115</v>
      </c>
      <c r="Z1479" s="1">
        <v>13.1</v>
      </c>
      <c r="AA1479" s="1">
        <v>8.21570696549999</v>
      </c>
      <c r="AB1479" s="1">
        <v>29900.0</v>
      </c>
      <c r="AC1479" s="1">
        <v>100.0</v>
      </c>
      <c r="AD1479" s="1">
        <v>80.986887509</v>
      </c>
      <c r="AE1479" s="1">
        <v>17.324645458</v>
      </c>
      <c r="AF1479" s="1">
        <v>70.257051865</v>
      </c>
      <c r="AG1479" s="1">
        <v>0.2616014559</v>
      </c>
      <c r="AH1479" s="1">
        <v>0.0909918107</v>
      </c>
      <c r="AI1479" s="1">
        <v>0.0227479527</v>
      </c>
      <c r="AJ1479" s="1">
        <v>0.9326660601</v>
      </c>
      <c r="AK1479" s="1">
        <v>27.763876251</v>
      </c>
      <c r="AL1479" s="1">
        <v>0.0592487262</v>
      </c>
      <c r="AM1479" s="1">
        <v>46.383075523</v>
      </c>
      <c r="AN1479" s="1">
        <v>100.0</v>
      </c>
      <c r="AO1479" s="1">
        <v>14183.0</v>
      </c>
      <c r="AP1479" s="1">
        <v>35.6</v>
      </c>
      <c r="AQ1479" s="1">
        <v>9.8</v>
      </c>
      <c r="AR1479" s="1">
        <v>30.6</v>
      </c>
      <c r="AS1479" s="1">
        <v>15.5</v>
      </c>
      <c r="AT1479" s="1">
        <v>22.0</v>
      </c>
      <c r="AU1479" s="1">
        <v>24.8</v>
      </c>
      <c r="AV1479" s="1">
        <v>72.0</v>
      </c>
      <c r="AW1479" s="1">
        <v>0.3</v>
      </c>
      <c r="AX1479" s="1">
        <v>0.9564</v>
      </c>
      <c r="AY1479" s="1">
        <v>31.2</v>
      </c>
      <c r="AZ1479" s="1">
        <v>24.8</v>
      </c>
      <c r="BA1479" s="1">
        <v>33.9</v>
      </c>
      <c r="BB1479" s="1">
        <v>3.12</v>
      </c>
      <c r="BC1479" s="1" t="s">
        <v>2437</v>
      </c>
      <c r="BD1479" s="1">
        <v>25.2</v>
      </c>
      <c r="BE1479" s="1">
        <v>40.6</v>
      </c>
      <c r="BF1479" s="1">
        <v>20.5</v>
      </c>
      <c r="BG1479" s="1">
        <v>13.7</v>
      </c>
      <c r="BH1479" s="1" t="s">
        <v>2547</v>
      </c>
    </row>
    <row r="1480">
      <c r="A1480" s="1">
        <v>28159.0</v>
      </c>
      <c r="B1480" s="2" t="str">
        <f>IFERROR(__xludf.DUMMYFUNCTION("TO_TEXT(A1480)"),"28159")</f>
        <v>28159</v>
      </c>
      <c r="C1480" s="1">
        <v>18519.0</v>
      </c>
      <c r="D1480" s="1">
        <v>607.226455570492</v>
      </c>
      <c r="E1480" s="1" t="s">
        <v>192</v>
      </c>
      <c r="F1480" s="1" t="s">
        <v>2548</v>
      </c>
      <c r="G1480" s="1">
        <v>30.4976830803614</v>
      </c>
      <c r="H1480" s="1">
        <v>25.214359304</v>
      </c>
      <c r="I1480" s="1">
        <v>4.802208736</v>
      </c>
      <c r="J1480" s="1">
        <v>13.919413919</v>
      </c>
      <c r="K1480" s="1">
        <v>20.296979972</v>
      </c>
      <c r="L1480" s="1">
        <v>39.1</v>
      </c>
      <c r="M1480" s="1">
        <v>6.1</v>
      </c>
      <c r="N1480" s="1">
        <v>39.3</v>
      </c>
      <c r="O1480" s="1">
        <v>28.904052505</v>
      </c>
      <c r="P1480" s="1">
        <v>16.772688719</v>
      </c>
      <c r="Q1480" s="1">
        <v>38.36457</v>
      </c>
      <c r="R1480" s="1">
        <v>82.5</v>
      </c>
      <c r="S1480" s="1">
        <v>32.1</v>
      </c>
      <c r="T1480" s="1">
        <v>4180.0</v>
      </c>
      <c r="U1480" s="1">
        <v>47.9425837319999</v>
      </c>
      <c r="V1480" s="1">
        <v>204.509002055</v>
      </c>
      <c r="W1480" s="1">
        <v>17.092337917</v>
      </c>
      <c r="X1480" s="1">
        <v>14.590273151</v>
      </c>
      <c r="Y1480" s="1">
        <v>74.350422719</v>
      </c>
      <c r="Z1480" s="1">
        <v>12.7</v>
      </c>
      <c r="AA1480" s="1">
        <v>7.3166741114</v>
      </c>
      <c r="AB1480" s="1">
        <v>39498.0</v>
      </c>
      <c r="AC1480" s="1">
        <v>99.7908678979999</v>
      </c>
      <c r="AD1480" s="1">
        <v>72.309356409</v>
      </c>
      <c r="AE1480" s="1">
        <v>12.898994316</v>
      </c>
      <c r="AF1480" s="1">
        <v>46.611615745</v>
      </c>
      <c r="AG1480" s="1">
        <v>1.2331406551</v>
      </c>
      <c r="AH1480" s="1">
        <v>0.313790256</v>
      </c>
      <c r="AI1480" s="1">
        <v>0.0385356455</v>
      </c>
      <c r="AJ1480" s="1">
        <v>1.3432424993</v>
      </c>
      <c r="AK1480" s="1">
        <v>49.672447013</v>
      </c>
      <c r="AL1480" s="1">
        <v>0.667702757199999</v>
      </c>
      <c r="AM1480" s="1">
        <v>51.186347371</v>
      </c>
      <c r="AN1480" s="1">
        <v>75.914157725</v>
      </c>
      <c r="AO1480" s="1">
        <v>21943.0</v>
      </c>
      <c r="AP1480" s="1">
        <v>28.3</v>
      </c>
      <c r="AQ1480" s="1">
        <v>11.4</v>
      </c>
      <c r="AR1480" s="1">
        <v>22.0</v>
      </c>
      <c r="AS1480" s="1">
        <v>17.7</v>
      </c>
      <c r="AT1480" s="1">
        <v>23.7</v>
      </c>
      <c r="AU1480" s="1">
        <v>18.7</v>
      </c>
      <c r="AV1480" s="1">
        <v>49.5</v>
      </c>
      <c r="AW1480" s="1">
        <v>0.4</v>
      </c>
      <c r="AX1480" s="1">
        <v>0.9452</v>
      </c>
      <c r="AY1480" s="1">
        <v>25.4</v>
      </c>
      <c r="AZ1480" s="1">
        <v>19.3</v>
      </c>
      <c r="BA1480" s="1">
        <v>25.8</v>
      </c>
      <c r="BB1480" s="1">
        <v>3.14</v>
      </c>
      <c r="BC1480" s="1" t="s">
        <v>2437</v>
      </c>
      <c r="BD1480" s="1">
        <v>18.3</v>
      </c>
      <c r="BE1480" s="1">
        <v>35.7</v>
      </c>
      <c r="BF1480" s="1">
        <v>31.2</v>
      </c>
      <c r="BG1480" s="1">
        <v>14.7</v>
      </c>
      <c r="BH1480" s="1" t="s">
        <v>2548</v>
      </c>
    </row>
    <row r="1481">
      <c r="A1481" s="1">
        <v>28161.0</v>
      </c>
      <c r="B1481" s="2" t="str">
        <f>IFERROR(__xludf.DUMMYFUNCTION("TO_TEXT(A1481)"),"28161")</f>
        <v>28161</v>
      </c>
      <c r="C1481" s="1">
        <v>12380.0</v>
      </c>
      <c r="D1481" s="1">
        <v>467.128648728586</v>
      </c>
      <c r="E1481" s="1" t="s">
        <v>2549</v>
      </c>
      <c r="F1481" s="1" t="s">
        <v>2550</v>
      </c>
      <c r="G1481" s="1">
        <v>26.5023351355038</v>
      </c>
      <c r="H1481" s="1">
        <v>25.422549579</v>
      </c>
      <c r="I1481" s="1">
        <v>4.7335249341</v>
      </c>
      <c r="J1481" s="1">
        <v>11.559633028</v>
      </c>
      <c r="K1481" s="1">
        <v>20.193569001</v>
      </c>
      <c r="L1481" s="1">
        <v>33.2</v>
      </c>
      <c r="M1481" s="1">
        <v>6.8</v>
      </c>
      <c r="N1481" s="1">
        <v>32.9</v>
      </c>
      <c r="O1481" s="1">
        <v>34.51648525</v>
      </c>
      <c r="P1481" s="1">
        <v>14.302981467</v>
      </c>
      <c r="Q1481" s="1">
        <v>8.00192</v>
      </c>
      <c r="R1481" s="1">
        <v>86.710526316</v>
      </c>
      <c r="S1481" s="1">
        <v>30.8</v>
      </c>
      <c r="T1481" s="1">
        <v>2796.0</v>
      </c>
      <c r="U1481" s="1">
        <v>42.417739628</v>
      </c>
      <c r="V1481" s="1">
        <v>204.509002055</v>
      </c>
      <c r="W1481" s="1">
        <v>14.3828960159999</v>
      </c>
      <c r="X1481" s="1">
        <v>11.6518298709999</v>
      </c>
      <c r="Y1481" s="1">
        <v>73.212283997</v>
      </c>
      <c r="Z1481" s="1">
        <v>15.3</v>
      </c>
      <c r="AA1481" s="1">
        <v>3.9699184003</v>
      </c>
      <c r="AB1481" s="1">
        <v>39551.0</v>
      </c>
      <c r="AC1481" s="1">
        <v>77.6674937969999</v>
      </c>
      <c r="AD1481" s="1">
        <v>73.280372021</v>
      </c>
      <c r="AE1481" s="1">
        <v>10.555203715</v>
      </c>
      <c r="AF1481" s="1">
        <v>38.419948354</v>
      </c>
      <c r="AG1481" s="1">
        <v>0.3712072305</v>
      </c>
      <c r="AH1481" s="1">
        <v>0.2259522272</v>
      </c>
      <c r="AI1481" s="1">
        <v>0.0080697224</v>
      </c>
      <c r="AJ1481" s="1">
        <v>1.8076178179</v>
      </c>
      <c r="AK1481" s="1">
        <v>57.989025178</v>
      </c>
      <c r="AL1481" s="1">
        <v>0.0</v>
      </c>
      <c r="AM1481" s="1">
        <v>52.1142672689999</v>
      </c>
      <c r="AN1481" s="1">
        <v>79.318504496</v>
      </c>
      <c r="AO1481" s="1">
        <v>18802.0</v>
      </c>
      <c r="AP1481" s="1">
        <v>21.6</v>
      </c>
      <c r="AQ1481" s="1">
        <v>5.2</v>
      </c>
      <c r="AR1481" s="1">
        <v>21.6</v>
      </c>
      <c r="AS1481" s="1">
        <v>18.3</v>
      </c>
      <c r="AT1481" s="1">
        <v>23.3</v>
      </c>
      <c r="AU1481" s="1">
        <v>19.4</v>
      </c>
      <c r="AV1481" s="1">
        <v>41.6</v>
      </c>
      <c r="AW1481" s="1">
        <v>0.0</v>
      </c>
      <c r="AX1481" s="1">
        <v>0.845</v>
      </c>
      <c r="AY1481" s="1">
        <v>24.4</v>
      </c>
      <c r="AZ1481" s="1">
        <v>16.3</v>
      </c>
      <c r="BA1481" s="1">
        <v>19.1</v>
      </c>
      <c r="BB1481" s="1">
        <v>3.33</v>
      </c>
      <c r="BC1481" s="1" t="s">
        <v>2437</v>
      </c>
      <c r="BD1481" s="1">
        <v>16.7</v>
      </c>
      <c r="BE1481" s="1">
        <v>40.2</v>
      </c>
      <c r="BF1481" s="1">
        <v>29.3</v>
      </c>
      <c r="BG1481" s="1">
        <v>13.8</v>
      </c>
      <c r="BH1481" s="1" t="s">
        <v>2550</v>
      </c>
    </row>
    <row r="1482">
      <c r="A1482" s="1">
        <v>28163.0</v>
      </c>
      <c r="B1482" s="2" t="str">
        <f>IFERROR(__xludf.DUMMYFUNCTION("TO_TEXT(A1482)"),"28163")</f>
        <v>28163</v>
      </c>
      <c r="C1482" s="1">
        <v>27719.0</v>
      </c>
      <c r="D1482" s="1">
        <v>922.158227578252</v>
      </c>
      <c r="E1482" s="1" t="s">
        <v>2551</v>
      </c>
      <c r="F1482" s="1" t="s">
        <v>2552</v>
      </c>
      <c r="G1482" s="1">
        <v>30.0588328239448</v>
      </c>
      <c r="H1482" s="1">
        <v>30.582235559</v>
      </c>
      <c r="I1482" s="1">
        <v>4.9029090238</v>
      </c>
      <c r="J1482" s="1">
        <v>13.24278438</v>
      </c>
      <c r="K1482" s="1">
        <v>24.5096454569999</v>
      </c>
      <c r="L1482" s="1">
        <v>41.2</v>
      </c>
      <c r="M1482" s="1">
        <v>4.1</v>
      </c>
      <c r="N1482" s="1">
        <v>36.7</v>
      </c>
      <c r="O1482" s="1">
        <v>29.36753964</v>
      </c>
      <c r="P1482" s="1">
        <v>14.685387415</v>
      </c>
      <c r="Q1482" s="1">
        <v>25.87131</v>
      </c>
      <c r="R1482" s="1">
        <v>74.718045113</v>
      </c>
      <c r="S1482" s="1">
        <v>41.2</v>
      </c>
      <c r="T1482" s="1">
        <v>6676.0</v>
      </c>
      <c r="U1482" s="1">
        <v>64.904134212</v>
      </c>
      <c r="V1482" s="1">
        <v>204.509002055</v>
      </c>
      <c r="W1482" s="1">
        <v>18.960593946</v>
      </c>
      <c r="X1482" s="1">
        <v>15.332512315</v>
      </c>
      <c r="Y1482" s="1">
        <v>73.001803228</v>
      </c>
      <c r="Z1482" s="1">
        <v>17.8</v>
      </c>
      <c r="AA1482" s="1">
        <v>20.815691754</v>
      </c>
      <c r="AB1482" s="1">
        <v>33111.0</v>
      </c>
      <c r="AC1482" s="1">
        <v>100.0</v>
      </c>
      <c r="AD1482" s="1">
        <v>62.8380711239999</v>
      </c>
      <c r="AE1482" s="1">
        <v>13.045851528</v>
      </c>
      <c r="AF1482" s="1">
        <v>56.655338431</v>
      </c>
      <c r="AG1482" s="1">
        <v>0.502690456</v>
      </c>
      <c r="AH1482" s="1">
        <v>0.5557915605</v>
      </c>
      <c r="AI1482" s="1">
        <v>0.0212404418</v>
      </c>
      <c r="AJ1482" s="1">
        <v>7.4837156613</v>
      </c>
      <c r="AK1482" s="1">
        <v>34.2572925519999</v>
      </c>
      <c r="AL1482" s="1">
        <v>2.8767070885</v>
      </c>
      <c r="AM1482" s="1">
        <v>42.434862645</v>
      </c>
      <c r="AN1482" s="1">
        <v>44.607161945</v>
      </c>
      <c r="AO1482" s="1">
        <v>16756.0</v>
      </c>
      <c r="AP1482" s="1">
        <v>34.5</v>
      </c>
      <c r="AQ1482" s="1">
        <v>17.9</v>
      </c>
      <c r="AR1482" s="1">
        <v>23.4</v>
      </c>
      <c r="AS1482" s="1">
        <v>12.5</v>
      </c>
      <c r="AT1482" s="1">
        <v>24.3</v>
      </c>
      <c r="AU1482" s="1">
        <v>17.3</v>
      </c>
      <c r="AV1482" s="1">
        <v>64.0</v>
      </c>
      <c r="AW1482" s="1">
        <v>1.6</v>
      </c>
      <c r="AX1482" s="1">
        <v>0.9914</v>
      </c>
      <c r="AY1482" s="1">
        <v>36.4</v>
      </c>
      <c r="AZ1482" s="1">
        <v>23.1</v>
      </c>
      <c r="BA1482" s="1">
        <v>28.1</v>
      </c>
      <c r="BB1482" s="1">
        <v>3.13</v>
      </c>
      <c r="BC1482" s="1" t="s">
        <v>2437</v>
      </c>
      <c r="BD1482" s="1">
        <v>21.1</v>
      </c>
      <c r="BE1482" s="1">
        <v>38.6</v>
      </c>
      <c r="BF1482" s="1">
        <v>26.8</v>
      </c>
      <c r="BG1482" s="1">
        <v>13.4</v>
      </c>
      <c r="BH1482" s="1" t="s">
        <v>2552</v>
      </c>
    </row>
    <row r="1483">
      <c r="A1483" s="1">
        <v>29001.0</v>
      </c>
      <c r="B1483" s="2" t="str">
        <f>IFERROR(__xludf.DUMMYFUNCTION("TO_TEXT(A1483)"),"29001")</f>
        <v>29001</v>
      </c>
      <c r="C1483" s="1">
        <v>25547.0</v>
      </c>
      <c r="D1483" s="1">
        <v>567.323627387406</v>
      </c>
      <c r="E1483" s="1" t="s">
        <v>1442</v>
      </c>
      <c r="F1483" s="1" t="s">
        <v>2553</v>
      </c>
      <c r="G1483" s="1">
        <v>45.030735133749</v>
      </c>
      <c r="H1483" s="1">
        <v>21.401499805</v>
      </c>
      <c r="I1483" s="1">
        <v>4.8216125407</v>
      </c>
      <c r="J1483" s="1">
        <v>8.3557951482</v>
      </c>
      <c r="K1483" s="1">
        <v>20.528843188</v>
      </c>
      <c r="L1483" s="1">
        <v>27.9</v>
      </c>
      <c r="M1483" s="1">
        <v>6.6</v>
      </c>
      <c r="N1483" s="1">
        <v>31.7</v>
      </c>
      <c r="O1483" s="1">
        <v>78.318428555</v>
      </c>
      <c r="P1483" s="1">
        <v>10.602460531</v>
      </c>
      <c r="Q1483" s="1">
        <v>102.45498</v>
      </c>
      <c r="R1483" s="1">
        <v>92.340425532</v>
      </c>
      <c r="S1483" s="1">
        <v>19.9</v>
      </c>
      <c r="T1483" s="1">
        <v>4479.0</v>
      </c>
      <c r="U1483" s="1">
        <v>29.5155168559999</v>
      </c>
      <c r="V1483" s="1">
        <v>247.60744394</v>
      </c>
      <c r="W1483" s="1">
        <v>17.970401691</v>
      </c>
      <c r="X1483" s="1">
        <v>17.076923077</v>
      </c>
      <c r="Y1483" s="1">
        <v>77.531515136</v>
      </c>
      <c r="Z1483" s="1">
        <v>8.4</v>
      </c>
      <c r="AA1483" s="1">
        <v>9.1035489502</v>
      </c>
      <c r="AB1483" s="1">
        <v>40395.0</v>
      </c>
      <c r="AC1483" s="1">
        <v>50.9692513369999</v>
      </c>
      <c r="AD1483" s="1">
        <v>60.04415011</v>
      </c>
      <c r="AE1483" s="1">
        <v>15.520739405</v>
      </c>
      <c r="AF1483" s="1">
        <v>2.8493626426</v>
      </c>
      <c r="AG1483" s="1">
        <v>0.3275583093</v>
      </c>
      <c r="AH1483" s="1">
        <v>2.2810687083</v>
      </c>
      <c r="AI1483" s="1">
        <v>0.0670902561</v>
      </c>
      <c r="AJ1483" s="1">
        <v>2.5652156754</v>
      </c>
      <c r="AK1483" s="1">
        <v>90.1377323489999</v>
      </c>
      <c r="AL1483" s="1">
        <v>2.1524141943</v>
      </c>
      <c r="AM1483" s="1">
        <v>51.8765539289999</v>
      </c>
      <c r="AN1483" s="1">
        <v>37.852930839</v>
      </c>
      <c r="AO1483" s="1">
        <v>19804.0</v>
      </c>
      <c r="AP1483" s="1">
        <v>26.0</v>
      </c>
      <c r="AQ1483" s="1">
        <v>6.5</v>
      </c>
      <c r="AR1483" s="1">
        <v>10.1</v>
      </c>
      <c r="AS1483" s="1">
        <v>14.0</v>
      </c>
      <c r="AT1483" s="1">
        <v>18.5</v>
      </c>
      <c r="AU1483" s="1">
        <v>12.1</v>
      </c>
      <c r="AV1483" s="1">
        <v>9.2</v>
      </c>
      <c r="AW1483" s="1">
        <v>0.7</v>
      </c>
      <c r="AX1483" s="1">
        <v>0.3792</v>
      </c>
      <c r="AY1483" s="1">
        <v>19.2</v>
      </c>
      <c r="AZ1483" s="1">
        <v>14.3</v>
      </c>
      <c r="BA1483" s="1">
        <v>14.9</v>
      </c>
      <c r="BB1483" s="1">
        <v>2.68</v>
      </c>
      <c r="BC1483" s="1" t="s">
        <v>2554</v>
      </c>
      <c r="BD1483" s="1">
        <v>9.9</v>
      </c>
      <c r="BE1483" s="1">
        <v>34.4</v>
      </c>
      <c r="BF1483" s="1">
        <v>24.6</v>
      </c>
      <c r="BG1483" s="1">
        <v>31.0</v>
      </c>
      <c r="BH1483" s="1" t="s">
        <v>2553</v>
      </c>
    </row>
    <row r="1484">
      <c r="A1484" s="1">
        <v>29003.0</v>
      </c>
      <c r="B1484" s="2" t="str">
        <f>IFERROR(__xludf.DUMMYFUNCTION("TO_TEXT(A1484)"),"29003")</f>
        <v>29003</v>
      </c>
      <c r="C1484" s="1">
        <v>17347.0</v>
      </c>
      <c r="D1484" s="1">
        <v>432.703181664711</v>
      </c>
      <c r="E1484" s="1" t="s">
        <v>2555</v>
      </c>
      <c r="F1484" s="1" t="s">
        <v>2556</v>
      </c>
      <c r="G1484" s="1">
        <v>40.089836948418</v>
      </c>
      <c r="H1484" s="1">
        <v>16.336582174</v>
      </c>
      <c r="I1484" s="1">
        <v>4.1971850483</v>
      </c>
      <c r="J1484" s="1">
        <v>6.631097561</v>
      </c>
      <c r="K1484" s="1">
        <v>18.23372316</v>
      </c>
      <c r="L1484" s="1">
        <v>31.9</v>
      </c>
      <c r="M1484" s="1">
        <v>8.5</v>
      </c>
      <c r="N1484" s="1">
        <v>21.6</v>
      </c>
      <c r="O1484" s="1">
        <v>64.322479903</v>
      </c>
      <c r="P1484" s="1">
        <v>9.3614035088</v>
      </c>
      <c r="Q1484" s="1">
        <v>11.39277</v>
      </c>
      <c r="R1484" s="1">
        <v>93.421052632</v>
      </c>
      <c r="S1484" s="1">
        <v>11.4</v>
      </c>
      <c r="T1484" s="1">
        <v>3905.0</v>
      </c>
      <c r="U1484" s="1">
        <v>24.507042254</v>
      </c>
      <c r="V1484" s="1">
        <v>184.17796196</v>
      </c>
      <c r="W1484" s="1">
        <v>10.972933431</v>
      </c>
      <c r="X1484" s="1">
        <v>8.5799701046</v>
      </c>
      <c r="Y1484" s="1">
        <v>79.6810763289999</v>
      </c>
      <c r="Z1484" s="1">
        <v>12.1</v>
      </c>
      <c r="AA1484" s="1">
        <v>2.7843621643</v>
      </c>
      <c r="AB1484" s="1">
        <v>57459.0</v>
      </c>
      <c r="AC1484" s="1">
        <v>35.464709993</v>
      </c>
      <c r="AD1484" s="1">
        <v>78.198912884</v>
      </c>
      <c r="AE1484" s="1">
        <v>7.6509448456</v>
      </c>
      <c r="AF1484" s="1">
        <v>1.0336797864</v>
      </c>
      <c r="AG1484" s="1">
        <v>0.3918895894</v>
      </c>
      <c r="AH1484" s="1">
        <v>0.596353723</v>
      </c>
      <c r="AI1484" s="1">
        <v>0.0340773556</v>
      </c>
      <c r="AJ1484" s="1">
        <v>2.646674618</v>
      </c>
      <c r="AK1484" s="1">
        <v>94.144374397</v>
      </c>
      <c r="AL1484" s="1">
        <v>0.0182548375</v>
      </c>
      <c r="AM1484" s="1">
        <v>50.326574658</v>
      </c>
      <c r="AN1484" s="1">
        <v>61.280434908</v>
      </c>
      <c r="AO1484" s="1">
        <v>26661.0</v>
      </c>
      <c r="AP1484" s="1">
        <v>9.2</v>
      </c>
      <c r="AQ1484" s="1">
        <v>4.4</v>
      </c>
      <c r="AR1484" s="1">
        <v>9.4</v>
      </c>
      <c r="AS1484" s="1">
        <v>17.4</v>
      </c>
      <c r="AT1484" s="1">
        <v>23.0</v>
      </c>
      <c r="AU1484" s="1">
        <v>14.2</v>
      </c>
      <c r="AV1484" s="1">
        <v>4.9</v>
      </c>
      <c r="AW1484" s="1">
        <v>0.0</v>
      </c>
      <c r="AX1484" s="1">
        <v>0.0462</v>
      </c>
      <c r="AY1484" s="1">
        <v>8.9</v>
      </c>
      <c r="AZ1484" s="1">
        <v>10.4</v>
      </c>
      <c r="BA1484" s="1">
        <v>10.8</v>
      </c>
      <c r="BB1484" s="1">
        <v>2.86</v>
      </c>
      <c r="BC1484" s="1" t="s">
        <v>2554</v>
      </c>
      <c r="BD1484" s="1">
        <v>8.3</v>
      </c>
      <c r="BE1484" s="1">
        <v>37.4</v>
      </c>
      <c r="BF1484" s="1">
        <v>29.5</v>
      </c>
      <c r="BG1484" s="1">
        <v>24.9</v>
      </c>
      <c r="BH1484" s="1" t="s">
        <v>2556</v>
      </c>
    </row>
    <row r="1485">
      <c r="A1485" s="1">
        <v>29005.0</v>
      </c>
      <c r="B1485" s="2" t="str">
        <f>IFERROR(__xludf.DUMMYFUNCTION("TO_TEXT(A1485)"),"29005")</f>
        <v>29005</v>
      </c>
      <c r="C1485" s="1">
        <v>5380.0</v>
      </c>
      <c r="D1485" s="1">
        <v>547.285157140464</v>
      </c>
      <c r="E1485" s="1" t="s">
        <v>1591</v>
      </c>
      <c r="F1485" s="1" t="s">
        <v>2557</v>
      </c>
      <c r="G1485" s="1">
        <v>9.83034151357259</v>
      </c>
      <c r="H1485" s="1">
        <v>17.396007513</v>
      </c>
      <c r="I1485" s="1">
        <v>4.2710256308</v>
      </c>
      <c r="J1485" s="1">
        <v>4.6575342466</v>
      </c>
      <c r="K1485" s="1">
        <v>17.924706355</v>
      </c>
      <c r="L1485" s="1">
        <v>39.0</v>
      </c>
      <c r="M1485" s="1">
        <v>8.0</v>
      </c>
      <c r="N1485" s="1">
        <v>23.8</v>
      </c>
      <c r="O1485" s="1">
        <v>76.481970097</v>
      </c>
      <c r="P1485" s="1">
        <v>11.997966446</v>
      </c>
      <c r="Q1485" s="1">
        <v>37.91469</v>
      </c>
      <c r="R1485" s="1">
        <v>95.833333333</v>
      </c>
      <c r="S1485" s="1">
        <v>16.0</v>
      </c>
      <c r="T1485" s="1">
        <v>1000.0</v>
      </c>
      <c r="U1485" s="1">
        <v>22.5</v>
      </c>
      <c r="V1485" s="1">
        <v>103.41261634</v>
      </c>
      <c r="W1485" s="1">
        <v>8.6172344689</v>
      </c>
      <c r="X1485" s="1">
        <v>7.9806529625</v>
      </c>
      <c r="Y1485" s="1">
        <v>78.241482526</v>
      </c>
      <c r="Z1485" s="1">
        <v>22.6</v>
      </c>
      <c r="AA1485" s="1">
        <v>4.9144989038</v>
      </c>
      <c r="AB1485" s="1">
        <v>49122.0</v>
      </c>
      <c r="AC1485" s="1">
        <v>43.3939393939999</v>
      </c>
      <c r="AD1485" s="1">
        <v>70.339321357</v>
      </c>
      <c r="AE1485" s="1">
        <v>7.9464659138</v>
      </c>
      <c r="AF1485" s="1">
        <v>0.4447882421</v>
      </c>
      <c r="AG1485" s="1">
        <v>0.4061110037</v>
      </c>
      <c r="AH1485" s="1">
        <v>0.2707406691</v>
      </c>
      <c r="AI1485" s="1">
        <v>0.0580158576999999</v>
      </c>
      <c r="AJ1485" s="1">
        <v>1.2763488687</v>
      </c>
      <c r="AK1485" s="1">
        <v>96.499709921</v>
      </c>
      <c r="AL1485" s="1">
        <v>0.1399720056</v>
      </c>
      <c r="AM1485" s="1">
        <v>50.26107136</v>
      </c>
      <c r="AN1485" s="1">
        <v>100.0</v>
      </c>
      <c r="AO1485" s="1">
        <v>26710.0</v>
      </c>
      <c r="AP1485" s="1">
        <v>12.0</v>
      </c>
      <c r="AQ1485" s="1">
        <v>3.9</v>
      </c>
      <c r="AR1485" s="1">
        <v>10.0</v>
      </c>
      <c r="AS1485" s="1">
        <v>24.4</v>
      </c>
      <c r="AT1485" s="1">
        <v>19.3</v>
      </c>
      <c r="AU1485" s="1">
        <v>18.2</v>
      </c>
      <c r="AV1485" s="1">
        <v>3.3</v>
      </c>
      <c r="AW1485" s="1">
        <v>0.2</v>
      </c>
      <c r="AX1485" s="1">
        <v>0.106</v>
      </c>
      <c r="AY1485" s="1">
        <v>12.9</v>
      </c>
      <c r="AZ1485" s="1">
        <v>12.1</v>
      </c>
      <c r="BA1485" s="1">
        <v>13.7</v>
      </c>
      <c r="BB1485" s="1">
        <v>3.14</v>
      </c>
      <c r="BC1485" s="1" t="s">
        <v>2554</v>
      </c>
      <c r="BD1485" s="1">
        <v>8.5</v>
      </c>
      <c r="BE1485" s="1">
        <v>39.0</v>
      </c>
      <c r="BF1485" s="1">
        <v>29.5</v>
      </c>
      <c r="BG1485" s="1">
        <v>23.1</v>
      </c>
      <c r="BH1485" s="1" t="s">
        <v>2557</v>
      </c>
    </row>
    <row r="1486">
      <c r="A1486" s="1">
        <v>29007.0</v>
      </c>
      <c r="B1486" s="2" t="str">
        <f>IFERROR(__xludf.DUMMYFUNCTION("TO_TEXT(A1486)"),"29007")</f>
        <v>29007</v>
      </c>
      <c r="C1486" s="1">
        <v>25868.0</v>
      </c>
      <c r="D1486" s="1">
        <v>692.234641405154</v>
      </c>
      <c r="E1486" s="1" t="s">
        <v>2558</v>
      </c>
      <c r="F1486" s="1" t="s">
        <v>2559</v>
      </c>
      <c r="G1486" s="1">
        <v>37.3688319721923</v>
      </c>
      <c r="H1486" s="1">
        <v>19.399256445</v>
      </c>
      <c r="I1486" s="1">
        <v>4.6448310863</v>
      </c>
      <c r="J1486" s="1">
        <v>9.2735042735</v>
      </c>
      <c r="K1486" s="1">
        <v>20.665544602</v>
      </c>
      <c r="L1486" s="1">
        <v>35.1</v>
      </c>
      <c r="M1486" s="1">
        <v>7.5</v>
      </c>
      <c r="N1486" s="1">
        <v>31.6</v>
      </c>
      <c r="O1486" s="1">
        <v>72.94841161</v>
      </c>
      <c r="P1486" s="1">
        <v>12.2977007279999</v>
      </c>
      <c r="Q1486" s="1">
        <v>50.70005</v>
      </c>
      <c r="R1486" s="1">
        <v>87.0129870129999</v>
      </c>
      <c r="S1486" s="1">
        <v>25.6</v>
      </c>
      <c r="T1486" s="1">
        <v>5677.0</v>
      </c>
      <c r="U1486" s="1">
        <v>33.345076625</v>
      </c>
      <c r="V1486" s="1">
        <v>182.94561701</v>
      </c>
      <c r="W1486" s="1">
        <v>10.102647218</v>
      </c>
      <c r="X1486" s="1">
        <v>8.5840220386</v>
      </c>
      <c r="Y1486" s="1">
        <v>75.890456661</v>
      </c>
      <c r="Z1486" s="1">
        <v>15.7</v>
      </c>
      <c r="AA1486" s="1">
        <v>6.2112243209</v>
      </c>
      <c r="AB1486" s="1">
        <v>44340.0</v>
      </c>
      <c r="AC1486" s="1">
        <v>74.518652226</v>
      </c>
      <c r="AD1486" s="1">
        <v>66.305746141</v>
      </c>
      <c r="AE1486" s="1">
        <v>8.0564406008</v>
      </c>
      <c r="AF1486" s="1">
        <v>6.85824206019999</v>
      </c>
      <c r="AG1486" s="1">
        <v>0.5692301653</v>
      </c>
      <c r="AH1486" s="1">
        <v>0.5142700114</v>
      </c>
      <c r="AI1486" s="1">
        <v>0.0942174067</v>
      </c>
      <c r="AJ1486" s="1">
        <v>3.0620657166</v>
      </c>
      <c r="AK1486" s="1">
        <v>87.35523888</v>
      </c>
      <c r="AL1486" s="1">
        <v>0.6921132248</v>
      </c>
      <c r="AM1486" s="1">
        <v>54.1200486789999</v>
      </c>
      <c r="AN1486" s="1">
        <v>41.196286576</v>
      </c>
      <c r="AO1486" s="1">
        <v>19692.0</v>
      </c>
      <c r="AP1486" s="1">
        <v>17.7</v>
      </c>
      <c r="AQ1486" s="1">
        <v>7.9</v>
      </c>
      <c r="AR1486" s="1">
        <v>15.5</v>
      </c>
      <c r="AS1486" s="1">
        <v>16.9</v>
      </c>
      <c r="AT1486" s="1">
        <v>23.2</v>
      </c>
      <c r="AU1486" s="1">
        <v>14.9</v>
      </c>
      <c r="AV1486" s="1">
        <v>12.8</v>
      </c>
      <c r="AW1486" s="1">
        <v>0.6</v>
      </c>
      <c r="AX1486" s="1">
        <v>0.6122</v>
      </c>
      <c r="AY1486" s="1">
        <v>16.3</v>
      </c>
      <c r="AZ1486" s="1">
        <v>13.7</v>
      </c>
      <c r="BA1486" s="1">
        <v>15.8</v>
      </c>
      <c r="BB1486" s="1">
        <v>2.63</v>
      </c>
      <c r="BC1486" s="1" t="s">
        <v>2554</v>
      </c>
      <c r="BD1486" s="1">
        <v>13.8</v>
      </c>
      <c r="BE1486" s="1">
        <v>45.8</v>
      </c>
      <c r="BF1486" s="1">
        <v>25.7</v>
      </c>
      <c r="BG1486" s="1">
        <v>14.7</v>
      </c>
      <c r="BH1486" s="1" t="s">
        <v>2559</v>
      </c>
    </row>
    <row r="1487">
      <c r="A1487" s="1">
        <v>29009.0</v>
      </c>
      <c r="B1487" s="2" t="str">
        <f>IFERROR(__xludf.DUMMYFUNCTION("TO_TEXT(A1487)"),"29009")</f>
        <v>29009</v>
      </c>
      <c r="C1487" s="1">
        <v>35716.0</v>
      </c>
      <c r="D1487" s="1">
        <v>778.25005422993</v>
      </c>
      <c r="E1487" s="1" t="s">
        <v>2156</v>
      </c>
      <c r="F1487" s="1" t="s">
        <v>2560</v>
      </c>
      <c r="G1487" s="1">
        <v>45.8927048008247</v>
      </c>
      <c r="H1487" s="1">
        <v>21.362587987</v>
      </c>
      <c r="I1487" s="1">
        <v>4.6102248625</v>
      </c>
      <c r="J1487" s="1">
        <v>7.5824549473</v>
      </c>
      <c r="K1487" s="1">
        <v>21.5144339419999</v>
      </c>
      <c r="L1487" s="1">
        <v>38.1</v>
      </c>
      <c r="M1487" s="1">
        <v>7.8</v>
      </c>
      <c r="N1487" s="1">
        <v>28.0</v>
      </c>
      <c r="O1487" s="1">
        <v>49.085597101</v>
      </c>
      <c r="P1487" s="1">
        <v>17.474758286</v>
      </c>
      <c r="Q1487" s="1">
        <v>64.48357</v>
      </c>
      <c r="R1487" s="1">
        <v>96.167247387</v>
      </c>
      <c r="S1487" s="1">
        <v>26.9</v>
      </c>
      <c r="T1487" s="1">
        <v>7990.0</v>
      </c>
      <c r="U1487" s="1">
        <v>33.0538172719999</v>
      </c>
      <c r="V1487" s="1">
        <v>242.19313614</v>
      </c>
      <c r="W1487" s="1">
        <v>13.6981132079999</v>
      </c>
      <c r="X1487" s="1">
        <v>10.652920962</v>
      </c>
      <c r="Y1487" s="1">
        <v>75.943556245</v>
      </c>
      <c r="Z1487" s="1">
        <v>12.8</v>
      </c>
      <c r="AA1487" s="1">
        <v>5.4757562812</v>
      </c>
      <c r="AB1487" s="1">
        <v>42457.0</v>
      </c>
      <c r="AC1487" s="1">
        <v>63.994115484</v>
      </c>
      <c r="AD1487" s="1">
        <v>73.620467792</v>
      </c>
      <c r="AE1487" s="1">
        <v>12.0886126379999</v>
      </c>
      <c r="AF1487" s="1">
        <v>0.4542161289</v>
      </c>
      <c r="AG1487" s="1">
        <v>1.3236359583</v>
      </c>
      <c r="AH1487" s="1">
        <v>2.1401103494</v>
      </c>
      <c r="AI1487" s="1">
        <v>0.1755559271</v>
      </c>
      <c r="AJ1487" s="1">
        <v>9.98996823269999</v>
      </c>
      <c r="AK1487" s="1">
        <v>84.907763473</v>
      </c>
      <c r="AL1487" s="1">
        <v>3.0959567283</v>
      </c>
      <c r="AM1487" s="1">
        <v>49.431533188</v>
      </c>
      <c r="AN1487" s="1">
        <v>73.26460095</v>
      </c>
      <c r="AO1487" s="1">
        <v>19431.0</v>
      </c>
      <c r="AP1487" s="1">
        <v>22.3</v>
      </c>
      <c r="AQ1487" s="1">
        <v>10.7</v>
      </c>
      <c r="AR1487" s="1">
        <v>18.0</v>
      </c>
      <c r="AS1487" s="1">
        <v>19.7</v>
      </c>
      <c r="AT1487" s="1">
        <v>22.9</v>
      </c>
      <c r="AU1487" s="1">
        <v>17.1</v>
      </c>
      <c r="AV1487" s="1">
        <v>13.0</v>
      </c>
      <c r="AW1487" s="1">
        <v>3.6</v>
      </c>
      <c r="AX1487" s="1">
        <v>0.7046</v>
      </c>
      <c r="AY1487" s="1">
        <v>18.6</v>
      </c>
      <c r="AZ1487" s="1">
        <v>14.9</v>
      </c>
      <c r="BA1487" s="1">
        <v>19.3</v>
      </c>
      <c r="BB1487" s="1">
        <v>2.97</v>
      </c>
      <c r="BC1487" s="1" t="s">
        <v>2554</v>
      </c>
      <c r="BD1487" s="1">
        <v>16.4</v>
      </c>
      <c r="BE1487" s="1">
        <v>41.3</v>
      </c>
      <c r="BF1487" s="1">
        <v>27.7</v>
      </c>
      <c r="BG1487" s="1">
        <v>14.6</v>
      </c>
      <c r="BH1487" s="1" t="s">
        <v>2560</v>
      </c>
    </row>
    <row r="1488">
      <c r="A1488" s="1">
        <v>29011.0</v>
      </c>
      <c r="B1488" s="2" t="str">
        <f>IFERROR(__xludf.DUMMYFUNCTION("TO_TEXT(A1488)"),"29011")</f>
        <v>29011</v>
      </c>
      <c r="C1488" s="1">
        <v>12075.0</v>
      </c>
      <c r="D1488" s="1">
        <v>591.920571514944</v>
      </c>
      <c r="E1488" s="1" t="s">
        <v>1595</v>
      </c>
      <c r="F1488" s="1" t="s">
        <v>2561</v>
      </c>
      <c r="G1488" s="1">
        <v>20.3996964813972</v>
      </c>
      <c r="H1488" s="1">
        <v>20.851428616</v>
      </c>
      <c r="I1488" s="1">
        <v>4.66589315839999</v>
      </c>
      <c r="J1488" s="1">
        <v>8.1632653061</v>
      </c>
      <c r="K1488" s="1">
        <v>20.395320801</v>
      </c>
      <c r="L1488" s="1">
        <v>25.9</v>
      </c>
      <c r="M1488" s="1">
        <v>6.9</v>
      </c>
      <c r="N1488" s="1">
        <v>30.2</v>
      </c>
      <c r="O1488" s="1">
        <v>34.825028221</v>
      </c>
      <c r="P1488" s="1">
        <v>14.373738447</v>
      </c>
      <c r="Q1488" s="1">
        <v>33.75527</v>
      </c>
      <c r="R1488" s="1">
        <v>87.341772152</v>
      </c>
      <c r="S1488" s="1">
        <v>23.9</v>
      </c>
      <c r="T1488" s="1">
        <v>2842.0</v>
      </c>
      <c r="U1488" s="1">
        <v>33.391977481</v>
      </c>
      <c r="V1488" s="1">
        <v>282.97960882</v>
      </c>
      <c r="W1488" s="1">
        <v>11.710794297</v>
      </c>
      <c r="X1488" s="1">
        <v>9.0322580645</v>
      </c>
      <c r="Y1488" s="1">
        <v>78.690109407</v>
      </c>
      <c r="Z1488" s="1">
        <v>15.1</v>
      </c>
      <c r="AA1488" s="1">
        <v>11.039141514</v>
      </c>
      <c r="AB1488" s="1">
        <v>41583.0</v>
      </c>
      <c r="AC1488" s="1">
        <v>53.896457766</v>
      </c>
      <c r="AD1488" s="1">
        <v>70.229162442</v>
      </c>
      <c r="AE1488" s="1">
        <v>13.361976369</v>
      </c>
      <c r="AF1488" s="1">
        <v>0.6357009663</v>
      </c>
      <c r="AG1488" s="1">
        <v>1.457874216</v>
      </c>
      <c r="AH1488" s="1">
        <v>0.5594168503</v>
      </c>
      <c r="AI1488" s="1">
        <v>0.0593320901999999</v>
      </c>
      <c r="AJ1488" s="1">
        <v>2.7292761485</v>
      </c>
      <c r="AK1488" s="1">
        <v>92.507204611</v>
      </c>
      <c r="AL1488" s="1">
        <v>0.0895415473</v>
      </c>
      <c r="AM1488" s="1">
        <v>50.779793185</v>
      </c>
      <c r="AN1488" s="1">
        <v>63.9574262219999</v>
      </c>
      <c r="AO1488" s="1">
        <v>22513.0</v>
      </c>
      <c r="AP1488" s="1">
        <v>22.9</v>
      </c>
      <c r="AQ1488" s="1">
        <v>5.7</v>
      </c>
      <c r="AR1488" s="1">
        <v>13.6</v>
      </c>
      <c r="AS1488" s="1">
        <v>18.7</v>
      </c>
      <c r="AT1488" s="1">
        <v>24.8</v>
      </c>
      <c r="AU1488" s="1">
        <v>19.9</v>
      </c>
      <c r="AV1488" s="1">
        <v>7.0</v>
      </c>
      <c r="AW1488" s="1">
        <v>0.6</v>
      </c>
      <c r="AX1488" s="1">
        <v>0.6285</v>
      </c>
      <c r="AY1488" s="1">
        <v>15.0</v>
      </c>
      <c r="AZ1488" s="1">
        <v>15.6</v>
      </c>
      <c r="BA1488" s="1">
        <v>19.1</v>
      </c>
      <c r="BB1488" s="1">
        <v>2.77</v>
      </c>
      <c r="BC1488" s="1" t="s">
        <v>2554</v>
      </c>
      <c r="BD1488" s="1">
        <v>12.8</v>
      </c>
      <c r="BE1488" s="1">
        <v>41.1</v>
      </c>
      <c r="BF1488" s="1">
        <v>26.2</v>
      </c>
      <c r="BG1488" s="1">
        <v>19.9</v>
      </c>
      <c r="BH1488" s="1" t="s">
        <v>2561</v>
      </c>
    </row>
    <row r="1489">
      <c r="A1489" s="1">
        <v>29013.0</v>
      </c>
      <c r="B1489" s="2" t="str">
        <f>IFERROR(__xludf.DUMMYFUNCTION("TO_TEXT(A1489)"),"29013")</f>
        <v>29013</v>
      </c>
      <c r="C1489" s="1">
        <v>16513.0</v>
      </c>
      <c r="D1489" s="1">
        <v>836.688338655378</v>
      </c>
      <c r="E1489" s="1" t="s">
        <v>2562</v>
      </c>
      <c r="F1489" s="1" t="s">
        <v>2563</v>
      </c>
      <c r="G1489" s="1">
        <v>19.7361421655974</v>
      </c>
      <c r="H1489" s="1">
        <v>19.50929522</v>
      </c>
      <c r="I1489" s="1">
        <v>4.4427351676</v>
      </c>
      <c r="J1489" s="1">
        <v>7.0714834743</v>
      </c>
      <c r="K1489" s="1">
        <v>19.9353647009999</v>
      </c>
      <c r="L1489" s="1">
        <v>36.5</v>
      </c>
      <c r="M1489" s="1">
        <v>8.2</v>
      </c>
      <c r="N1489" s="1">
        <v>27.4</v>
      </c>
      <c r="O1489" s="1">
        <v>36.670772479</v>
      </c>
      <c r="P1489" s="1">
        <v>12.817943579</v>
      </c>
      <c r="Q1489" s="1">
        <v>24.4888</v>
      </c>
      <c r="R1489" s="1">
        <v>94.594594595</v>
      </c>
      <c r="S1489" s="1">
        <v>20.3</v>
      </c>
      <c r="T1489" s="1">
        <v>3853.0</v>
      </c>
      <c r="U1489" s="1">
        <v>30.6514404359999</v>
      </c>
      <c r="V1489" s="1">
        <v>473.24913186</v>
      </c>
      <c r="W1489" s="1">
        <v>10.733182162</v>
      </c>
      <c r="X1489" s="1">
        <v>8.358662614</v>
      </c>
      <c r="Y1489" s="1">
        <v>76.062471188</v>
      </c>
      <c r="Z1489" s="1">
        <v>11.4</v>
      </c>
      <c r="AA1489" s="1">
        <v>1.32023944</v>
      </c>
      <c r="AB1489" s="1">
        <v>45955.0</v>
      </c>
      <c r="AC1489" s="1">
        <v>52.4148851939999</v>
      </c>
      <c r="AD1489" s="1">
        <v>72.71100507</v>
      </c>
      <c r="AE1489" s="1">
        <v>8.5570733239</v>
      </c>
      <c r="AF1489" s="1">
        <v>1.1274509804</v>
      </c>
      <c r="AG1489" s="1">
        <v>0.8210784314</v>
      </c>
      <c r="AH1489" s="1">
        <v>0.2389705882</v>
      </c>
      <c r="AI1489" s="1">
        <v>0.0490196078</v>
      </c>
      <c r="AJ1489" s="1">
        <v>2.1507352941</v>
      </c>
      <c r="AK1489" s="1">
        <v>94.12377451</v>
      </c>
      <c r="AL1489" s="1">
        <v>0.136567600999999</v>
      </c>
      <c r="AM1489" s="1">
        <v>50.557598039</v>
      </c>
      <c r="AN1489" s="1">
        <v>77.271394217</v>
      </c>
      <c r="AO1489" s="1">
        <v>22250.0</v>
      </c>
      <c r="AP1489" s="1">
        <v>16.3</v>
      </c>
      <c r="AQ1489" s="1">
        <v>5.6</v>
      </c>
      <c r="AR1489" s="1">
        <v>14.7</v>
      </c>
      <c r="AS1489" s="1">
        <v>18.9</v>
      </c>
      <c r="AT1489" s="1">
        <v>24.3</v>
      </c>
      <c r="AU1489" s="1">
        <v>18.4</v>
      </c>
      <c r="AV1489" s="1">
        <v>5.2</v>
      </c>
      <c r="AW1489" s="1">
        <v>0.2</v>
      </c>
      <c r="AX1489" s="1">
        <v>0.4629</v>
      </c>
      <c r="AY1489" s="1">
        <v>16.9</v>
      </c>
      <c r="AZ1489" s="1">
        <v>12.9</v>
      </c>
      <c r="BA1489" s="1">
        <v>15.8</v>
      </c>
      <c r="BB1489" s="1">
        <v>2.93</v>
      </c>
      <c r="BC1489" s="1" t="s">
        <v>2554</v>
      </c>
      <c r="BD1489" s="1">
        <v>12.6</v>
      </c>
      <c r="BE1489" s="1">
        <v>44.2</v>
      </c>
      <c r="BF1489" s="1">
        <v>27.1</v>
      </c>
      <c r="BG1489" s="1">
        <v>16.1</v>
      </c>
      <c r="BH1489" s="1" t="s">
        <v>2563</v>
      </c>
    </row>
    <row r="1490">
      <c r="A1490" s="1">
        <v>29015.0</v>
      </c>
      <c r="B1490" s="2" t="str">
        <f>IFERROR(__xludf.DUMMYFUNCTION("TO_TEXT(A1490)"),"29015")</f>
        <v>29015</v>
      </c>
      <c r="C1490" s="1">
        <v>18825.0</v>
      </c>
      <c r="D1490" s="1">
        <v>704.042922809895</v>
      </c>
      <c r="E1490" s="1" t="s">
        <v>291</v>
      </c>
      <c r="F1490" s="1" t="s">
        <v>2564</v>
      </c>
      <c r="G1490" s="1">
        <v>26.7384265789758</v>
      </c>
      <c r="H1490" s="1">
        <v>20.32595055</v>
      </c>
      <c r="I1490" s="1">
        <v>4.5633141385</v>
      </c>
      <c r="J1490" s="1">
        <v>7.9350766456</v>
      </c>
      <c r="K1490" s="1">
        <v>19.500435295</v>
      </c>
      <c r="L1490" s="1">
        <v>33.5</v>
      </c>
      <c r="M1490" s="1">
        <v>7.7</v>
      </c>
      <c r="N1490" s="1">
        <v>31.6</v>
      </c>
      <c r="O1490" s="1">
        <v>31.108312343</v>
      </c>
      <c r="P1490" s="1">
        <v>14.879448909</v>
      </c>
      <c r="Q1490" s="1">
        <v>26.21369</v>
      </c>
      <c r="R1490" s="1">
        <v>90.0</v>
      </c>
      <c r="S1490" s="1">
        <v>33.7</v>
      </c>
      <c r="T1490" s="1">
        <v>3301.0</v>
      </c>
      <c r="U1490" s="1">
        <v>28.567100879</v>
      </c>
      <c r="V1490" s="1">
        <v>435.08434764</v>
      </c>
      <c r="W1490" s="1">
        <v>15.313653137</v>
      </c>
      <c r="X1490" s="1">
        <v>12.861655085</v>
      </c>
      <c r="Y1490" s="1">
        <v>75.656755528</v>
      </c>
      <c r="Z1490" s="1">
        <v>11.7</v>
      </c>
      <c r="AA1490" s="1">
        <v>4.70773342</v>
      </c>
      <c r="AB1490" s="1">
        <v>40025.0</v>
      </c>
      <c r="AC1490" s="1">
        <v>79.062114356</v>
      </c>
      <c r="AD1490" s="1">
        <v>83.125707814</v>
      </c>
      <c r="AE1490" s="1">
        <v>11.571540266</v>
      </c>
      <c r="AF1490" s="1">
        <v>0.5135387488</v>
      </c>
      <c r="AG1490" s="1">
        <v>0.7936507937</v>
      </c>
      <c r="AH1490" s="1">
        <v>0.4461043677</v>
      </c>
      <c r="AI1490" s="1">
        <v>0.0622471211</v>
      </c>
      <c r="AJ1490" s="1">
        <v>2.0749040357</v>
      </c>
      <c r="AK1490" s="1">
        <v>94.620811287</v>
      </c>
      <c r="AL1490" s="1">
        <v>0.164789892899999</v>
      </c>
      <c r="AM1490" s="1">
        <v>49.875505758</v>
      </c>
      <c r="AN1490" s="1">
        <v>86.539672544</v>
      </c>
      <c r="AO1490" s="1">
        <v>19487.0</v>
      </c>
      <c r="AP1490" s="1">
        <v>19.3</v>
      </c>
      <c r="AQ1490" s="1">
        <v>9.8</v>
      </c>
      <c r="AR1490" s="1">
        <v>14.8</v>
      </c>
      <c r="AS1490" s="1">
        <v>28.1</v>
      </c>
      <c r="AT1490" s="1">
        <v>17.7</v>
      </c>
      <c r="AU1490" s="1">
        <v>25.0</v>
      </c>
      <c r="AV1490" s="1">
        <v>4.7</v>
      </c>
      <c r="AW1490" s="1">
        <v>0.0</v>
      </c>
      <c r="AX1490" s="1">
        <v>0.5365</v>
      </c>
      <c r="AY1490" s="1">
        <v>16.7</v>
      </c>
      <c r="AZ1490" s="1">
        <v>16.5</v>
      </c>
      <c r="BA1490" s="1">
        <v>23.9</v>
      </c>
      <c r="BB1490" s="1">
        <v>2.88</v>
      </c>
      <c r="BC1490" s="1" t="s">
        <v>2554</v>
      </c>
      <c r="BD1490" s="1">
        <v>15.5</v>
      </c>
      <c r="BE1490" s="1">
        <v>40.3</v>
      </c>
      <c r="BF1490" s="1">
        <v>31.2</v>
      </c>
      <c r="BG1490" s="1">
        <v>13.0</v>
      </c>
      <c r="BH1490" s="1" t="s">
        <v>2564</v>
      </c>
    </row>
    <row r="1491">
      <c r="A1491" s="1">
        <v>29017.0</v>
      </c>
      <c r="B1491" s="2" t="str">
        <f>IFERROR(__xludf.DUMMYFUNCTION("TO_TEXT(A1491)"),"29017")</f>
        <v>29017</v>
      </c>
      <c r="C1491" s="1">
        <v>12282.0</v>
      </c>
      <c r="D1491" s="1">
        <v>617.904870090248</v>
      </c>
      <c r="E1491" s="1" t="s">
        <v>2565</v>
      </c>
      <c r="F1491" s="1" t="s">
        <v>2566</v>
      </c>
      <c r="G1491" s="1">
        <v>19.8768460883083</v>
      </c>
      <c r="H1491" s="1">
        <v>20.706786694</v>
      </c>
      <c r="I1491" s="1">
        <v>4.6326292864</v>
      </c>
      <c r="J1491" s="1">
        <v>7.12742980559999</v>
      </c>
      <c r="K1491" s="1">
        <v>20.670419815</v>
      </c>
      <c r="L1491" s="1">
        <v>32.4</v>
      </c>
      <c r="M1491" s="1">
        <v>7.1</v>
      </c>
      <c r="N1491" s="1">
        <v>32.6</v>
      </c>
      <c r="O1491" s="1">
        <v>26.102078783</v>
      </c>
      <c r="P1491" s="1">
        <v>14.24027906</v>
      </c>
      <c r="Q1491" s="1">
        <v>8.12612</v>
      </c>
      <c r="R1491" s="1">
        <v>95.774647887</v>
      </c>
      <c r="S1491" s="1">
        <v>21.9</v>
      </c>
      <c r="T1491" s="1">
        <v>2702.0</v>
      </c>
      <c r="U1491" s="1">
        <v>21.058475204</v>
      </c>
      <c r="V1491" s="1">
        <v>437.72544887</v>
      </c>
      <c r="W1491" s="1">
        <v>12.799167534</v>
      </c>
      <c r="X1491" s="1">
        <v>10.20452099</v>
      </c>
      <c r="Y1491" s="1">
        <v>75.959609829</v>
      </c>
      <c r="Z1491" s="1">
        <v>23.5</v>
      </c>
      <c r="AA1491" s="1">
        <v>10.862633789</v>
      </c>
      <c r="AB1491" s="1">
        <v>44233.0</v>
      </c>
      <c r="AC1491" s="1">
        <v>57.848232848</v>
      </c>
      <c r="AD1491" s="1">
        <v>80.87384879</v>
      </c>
      <c r="AE1491" s="1">
        <v>11.038669065</v>
      </c>
      <c r="AF1491" s="1">
        <v>0.5505793409</v>
      </c>
      <c r="AG1491" s="1">
        <v>0.797107404099999</v>
      </c>
      <c r="AH1491" s="1">
        <v>0.238310461</v>
      </c>
      <c r="AI1491" s="1">
        <v>0.0246528063</v>
      </c>
      <c r="AJ1491" s="1">
        <v>1.3887747555</v>
      </c>
      <c r="AK1491" s="1">
        <v>95.924069357</v>
      </c>
      <c r="AL1491" s="1">
        <v>0.1975266232</v>
      </c>
      <c r="AM1491" s="1">
        <v>49.708275125</v>
      </c>
      <c r="AN1491" s="1">
        <v>100.0</v>
      </c>
      <c r="AO1491" s="1">
        <v>19987.0</v>
      </c>
      <c r="AP1491" s="1">
        <v>23.7</v>
      </c>
      <c r="AQ1491" s="1">
        <v>4.4</v>
      </c>
      <c r="AR1491" s="1">
        <v>21.2</v>
      </c>
      <c r="AS1491" s="1">
        <v>17.8</v>
      </c>
      <c r="AT1491" s="1">
        <v>22.2</v>
      </c>
      <c r="AU1491" s="1">
        <v>24.5</v>
      </c>
      <c r="AV1491" s="1">
        <v>3.3</v>
      </c>
      <c r="AW1491" s="1">
        <v>0.2</v>
      </c>
      <c r="AX1491" s="1">
        <v>0.5024</v>
      </c>
      <c r="AY1491" s="1">
        <v>14.5</v>
      </c>
      <c r="AZ1491" s="1">
        <v>15.2</v>
      </c>
      <c r="BA1491" s="1">
        <v>19.4</v>
      </c>
      <c r="BB1491" s="1">
        <v>2.89</v>
      </c>
      <c r="BC1491" s="1" t="s">
        <v>2554</v>
      </c>
      <c r="BD1491" s="1">
        <v>20.2</v>
      </c>
      <c r="BE1491" s="1">
        <v>47.3</v>
      </c>
      <c r="BF1491" s="1">
        <v>23.6</v>
      </c>
      <c r="BG1491" s="1">
        <v>8.9</v>
      </c>
      <c r="BH1491" s="1" t="s">
        <v>2566</v>
      </c>
    </row>
    <row r="1492">
      <c r="A1492" s="1">
        <v>29019.0</v>
      </c>
      <c r="B1492" s="2" t="str">
        <f>IFERROR(__xludf.DUMMYFUNCTION("TO_TEXT(A1492)"),"29019")</f>
        <v>29019</v>
      </c>
      <c r="C1492" s="1">
        <v>172773.0</v>
      </c>
      <c r="D1492" s="1">
        <v>685.555298813804</v>
      </c>
      <c r="E1492" s="1" t="s">
        <v>293</v>
      </c>
      <c r="F1492" s="1" t="s">
        <v>2567</v>
      </c>
      <c r="G1492" s="1">
        <v>252.019057104429</v>
      </c>
      <c r="H1492" s="1">
        <v>16.689828494</v>
      </c>
      <c r="I1492" s="1">
        <v>4.2957372623</v>
      </c>
      <c r="J1492" s="1">
        <v>8.0328648061</v>
      </c>
      <c r="K1492" s="1">
        <v>18.520999173</v>
      </c>
      <c r="L1492" s="1">
        <v>26.0</v>
      </c>
      <c r="M1492" s="1">
        <v>7.1</v>
      </c>
      <c r="N1492" s="1">
        <v>22.8</v>
      </c>
      <c r="O1492" s="1">
        <v>82.7215602369999</v>
      </c>
      <c r="P1492" s="1">
        <v>10.060318973</v>
      </c>
      <c r="Q1492" s="1">
        <v>112.74969</v>
      </c>
      <c r="R1492" s="1">
        <v>89.880613985</v>
      </c>
      <c r="S1492" s="1">
        <v>13.2</v>
      </c>
      <c r="T1492" s="1">
        <v>35569.0</v>
      </c>
      <c r="U1492" s="1">
        <v>28.845342855</v>
      </c>
      <c r="V1492" s="1">
        <v>361.89453359</v>
      </c>
      <c r="W1492" s="1">
        <v>17.129800251</v>
      </c>
      <c r="X1492" s="1">
        <v>15.96912132</v>
      </c>
      <c r="Y1492" s="1">
        <v>80.181556209</v>
      </c>
      <c r="Z1492" s="1">
        <v>7.3</v>
      </c>
      <c r="AA1492" s="1">
        <v>8.4012442058</v>
      </c>
      <c r="AB1492" s="1">
        <v>55136.0</v>
      </c>
      <c r="AC1492" s="1">
        <v>41.155645467</v>
      </c>
      <c r="AD1492" s="1">
        <v>55.299684092</v>
      </c>
      <c r="AE1492" s="1">
        <v>15.187645153</v>
      </c>
      <c r="AF1492" s="1">
        <v>9.5136246215</v>
      </c>
      <c r="AG1492" s="1">
        <v>0.439432238</v>
      </c>
      <c r="AH1492" s="1">
        <v>5.3326296492</v>
      </c>
      <c r="AI1492" s="1">
        <v>0.0911085803</v>
      </c>
      <c r="AJ1492" s="1">
        <v>3.5310130274</v>
      </c>
      <c r="AK1492" s="1">
        <v>78.318935585</v>
      </c>
      <c r="AL1492" s="1">
        <v>1.2152234132</v>
      </c>
      <c r="AM1492" s="1">
        <v>51.530790811</v>
      </c>
      <c r="AN1492" s="1">
        <v>18.786045425</v>
      </c>
      <c r="AO1492" s="1">
        <v>27689.0</v>
      </c>
      <c r="AP1492" s="1">
        <v>19.3</v>
      </c>
      <c r="AQ1492" s="1">
        <v>4.6</v>
      </c>
      <c r="AR1492" s="1">
        <v>6.3</v>
      </c>
      <c r="AS1492" s="1">
        <v>10.5</v>
      </c>
      <c r="AT1492" s="1">
        <v>20.5</v>
      </c>
      <c r="AU1492" s="1">
        <v>10.2</v>
      </c>
      <c r="AV1492" s="1">
        <v>20.1</v>
      </c>
      <c r="AW1492" s="1">
        <v>1.1</v>
      </c>
      <c r="AX1492" s="1">
        <v>0.2346</v>
      </c>
      <c r="AY1492" s="1">
        <v>17.2</v>
      </c>
      <c r="AZ1492" s="1">
        <v>12.1</v>
      </c>
      <c r="BA1492" s="1">
        <v>11.6</v>
      </c>
      <c r="BB1492" s="1">
        <v>3.1</v>
      </c>
      <c r="BC1492" s="1" t="s">
        <v>2554</v>
      </c>
      <c r="BD1492" s="1">
        <v>5.5</v>
      </c>
      <c r="BE1492" s="1">
        <v>21.3</v>
      </c>
      <c r="BF1492" s="1">
        <v>27.1</v>
      </c>
      <c r="BG1492" s="1">
        <v>46.1</v>
      </c>
      <c r="BH1492" s="1" t="s">
        <v>2567</v>
      </c>
    </row>
    <row r="1493">
      <c r="A1493" s="1">
        <v>29021.0</v>
      </c>
      <c r="B1493" s="2" t="str">
        <f>IFERROR(__xludf.DUMMYFUNCTION("TO_TEXT(A1493)"),"29021")</f>
        <v>29021</v>
      </c>
      <c r="C1493" s="1">
        <v>89415.0</v>
      </c>
      <c r="D1493" s="1">
        <v>408.025678127078</v>
      </c>
      <c r="E1493" s="1" t="s">
        <v>1458</v>
      </c>
      <c r="F1493" s="1" t="s">
        <v>2568</v>
      </c>
      <c r="G1493" s="1">
        <v>219.140619802247</v>
      </c>
      <c r="H1493" s="1">
        <v>21.128093048</v>
      </c>
      <c r="I1493" s="1">
        <v>4.6507773958</v>
      </c>
      <c r="J1493" s="1">
        <v>8.2669322709</v>
      </c>
      <c r="K1493" s="1">
        <v>21.826876691</v>
      </c>
      <c r="L1493" s="1">
        <v>38.3</v>
      </c>
      <c r="M1493" s="1">
        <v>7.5</v>
      </c>
      <c r="N1493" s="1">
        <v>32.2</v>
      </c>
      <c r="O1493" s="1">
        <v>82.650418717</v>
      </c>
      <c r="P1493" s="1">
        <v>11.493429919</v>
      </c>
      <c r="Q1493" s="1">
        <v>63.9982</v>
      </c>
      <c r="R1493" s="1">
        <v>82.077625571</v>
      </c>
      <c r="S1493" s="1">
        <v>22.4</v>
      </c>
      <c r="T1493" s="1">
        <v>20129.0</v>
      </c>
      <c r="U1493" s="1">
        <v>40.15599384</v>
      </c>
      <c r="V1493" s="1">
        <v>462.95002041</v>
      </c>
      <c r="W1493" s="1">
        <v>14.761476148</v>
      </c>
      <c r="X1493" s="1">
        <v>12.564727383</v>
      </c>
      <c r="Y1493" s="1">
        <v>76.342799715</v>
      </c>
      <c r="Z1493" s="1">
        <v>12.0</v>
      </c>
      <c r="AA1493" s="1">
        <v>6.7986508259</v>
      </c>
      <c r="AB1493" s="1">
        <v>52506.0</v>
      </c>
      <c r="AC1493" s="1">
        <v>55.842852732</v>
      </c>
      <c r="AD1493" s="1">
        <v>63.469131371</v>
      </c>
      <c r="AE1493" s="1">
        <v>10.9938680859999</v>
      </c>
      <c r="AF1493" s="1">
        <v>5.6666403225</v>
      </c>
      <c r="AG1493" s="1">
        <v>0.7350035565</v>
      </c>
      <c r="AH1493" s="1">
        <v>1.6179110544</v>
      </c>
      <c r="AI1493" s="1">
        <v>0.4188729945</v>
      </c>
      <c r="AJ1493" s="1">
        <v>6.8860010613</v>
      </c>
      <c r="AK1493" s="1">
        <v>82.610561019</v>
      </c>
      <c r="AL1493" s="1">
        <v>1.2980157873</v>
      </c>
      <c r="AM1493" s="1">
        <v>49.526368676</v>
      </c>
      <c r="AN1493" s="1">
        <v>13.372047399</v>
      </c>
      <c r="AO1493" s="1">
        <v>23189.0</v>
      </c>
      <c r="AP1493" s="1">
        <v>18.4</v>
      </c>
      <c r="AQ1493" s="1">
        <v>6.5</v>
      </c>
      <c r="AR1493" s="1">
        <v>12.8</v>
      </c>
      <c r="AS1493" s="1">
        <v>14.6</v>
      </c>
      <c r="AT1493" s="1">
        <v>23.0</v>
      </c>
      <c r="AU1493" s="1">
        <v>15.6</v>
      </c>
      <c r="AV1493" s="1">
        <v>15.6</v>
      </c>
      <c r="AW1493" s="1">
        <v>1.5</v>
      </c>
      <c r="AX1493" s="1">
        <v>0.7084</v>
      </c>
      <c r="AY1493" s="1">
        <v>15.8</v>
      </c>
      <c r="AZ1493" s="1">
        <v>14.0</v>
      </c>
      <c r="BA1493" s="1">
        <v>17.2</v>
      </c>
      <c r="BB1493" s="1">
        <v>2.8</v>
      </c>
      <c r="BC1493" s="1" t="s">
        <v>2554</v>
      </c>
      <c r="BD1493" s="1">
        <v>11.7</v>
      </c>
      <c r="BE1493" s="1">
        <v>37.8</v>
      </c>
      <c r="BF1493" s="1">
        <v>29.4</v>
      </c>
      <c r="BG1493" s="1">
        <v>21.1</v>
      </c>
      <c r="BH1493" s="1" t="s">
        <v>2568</v>
      </c>
    </row>
    <row r="1494">
      <c r="A1494" s="1">
        <v>29023.0</v>
      </c>
      <c r="B1494" s="2" t="str">
        <f>IFERROR(__xludf.DUMMYFUNCTION("TO_TEXT(A1494)"),"29023")</f>
        <v>29023</v>
      </c>
      <c r="C1494" s="1">
        <v>42887.0</v>
      </c>
      <c r="D1494" s="1">
        <v>694.668934978141</v>
      </c>
      <c r="E1494" s="1" t="s">
        <v>72</v>
      </c>
      <c r="F1494" s="1" t="s">
        <v>2569</v>
      </c>
      <c r="G1494" s="1">
        <v>61.7373223999852</v>
      </c>
      <c r="H1494" s="1">
        <v>23.178453518</v>
      </c>
      <c r="I1494" s="1">
        <v>4.9923828873</v>
      </c>
      <c r="J1494" s="1">
        <v>10.9109892979999</v>
      </c>
      <c r="K1494" s="1">
        <v>22.4043050059999</v>
      </c>
      <c r="L1494" s="1">
        <v>37.5</v>
      </c>
      <c r="M1494" s="1">
        <v>6.9</v>
      </c>
      <c r="N1494" s="1">
        <v>39.7</v>
      </c>
      <c r="O1494" s="1">
        <v>68.518951255</v>
      </c>
      <c r="P1494" s="1">
        <v>12.835091027</v>
      </c>
      <c r="Q1494" s="1">
        <v>98.43904</v>
      </c>
      <c r="R1494" s="1">
        <v>91.355599214</v>
      </c>
      <c r="S1494" s="1">
        <v>30.2</v>
      </c>
      <c r="T1494" s="1">
        <v>9688.0</v>
      </c>
      <c r="U1494" s="1">
        <v>43.52807597</v>
      </c>
      <c r="V1494" s="1">
        <v>502.7868091</v>
      </c>
      <c r="W1494" s="1">
        <v>13.210953957</v>
      </c>
      <c r="X1494" s="1">
        <v>11.775472849</v>
      </c>
      <c r="Y1494" s="1">
        <v>74.277865407</v>
      </c>
      <c r="Z1494" s="1">
        <v>15.7</v>
      </c>
      <c r="AA1494" s="1">
        <v>7.9208346853</v>
      </c>
      <c r="AB1494" s="1">
        <v>38067.0</v>
      </c>
      <c r="AC1494" s="1">
        <v>73.728445153</v>
      </c>
      <c r="AD1494" s="1">
        <v>63.734181085</v>
      </c>
      <c r="AE1494" s="1">
        <v>12.31281198</v>
      </c>
      <c r="AF1494" s="1">
        <v>5.4457187082</v>
      </c>
      <c r="AG1494" s="1">
        <v>0.7364150191</v>
      </c>
      <c r="AH1494" s="1">
        <v>0.792701517399999</v>
      </c>
      <c r="AI1494" s="1">
        <v>0.0351790614</v>
      </c>
      <c r="AJ1494" s="1">
        <v>2.2068997866</v>
      </c>
      <c r="AK1494" s="1">
        <v>88.529280705</v>
      </c>
      <c r="AL1494" s="1">
        <v>0.0872404596</v>
      </c>
      <c r="AM1494" s="1">
        <v>51.417716175</v>
      </c>
      <c r="AN1494" s="1">
        <v>52.182548955</v>
      </c>
      <c r="AO1494" s="1">
        <v>20042.0</v>
      </c>
      <c r="AP1494" s="1">
        <v>21.6</v>
      </c>
      <c r="AQ1494" s="1">
        <v>9.6</v>
      </c>
      <c r="AR1494" s="1">
        <v>16.8</v>
      </c>
      <c r="AS1494" s="1">
        <v>17.4</v>
      </c>
      <c r="AT1494" s="1">
        <v>23.4</v>
      </c>
      <c r="AU1494" s="1">
        <v>24.7</v>
      </c>
      <c r="AV1494" s="1">
        <v>10.8</v>
      </c>
      <c r="AW1494" s="1">
        <v>0.1</v>
      </c>
      <c r="AX1494" s="1">
        <v>0.8071</v>
      </c>
      <c r="AY1494" s="1">
        <v>22.5</v>
      </c>
      <c r="AZ1494" s="1">
        <v>18.2</v>
      </c>
      <c r="BA1494" s="1">
        <v>23.3</v>
      </c>
      <c r="BB1494" s="1">
        <v>2.6</v>
      </c>
      <c r="BC1494" s="1" t="s">
        <v>2554</v>
      </c>
      <c r="BD1494" s="1">
        <v>17.0</v>
      </c>
      <c r="BE1494" s="1">
        <v>37.3</v>
      </c>
      <c r="BF1494" s="1">
        <v>32.3</v>
      </c>
      <c r="BG1494" s="1">
        <v>13.3</v>
      </c>
      <c r="BH1494" s="1" t="s">
        <v>2569</v>
      </c>
    </row>
    <row r="1495">
      <c r="A1495" s="1">
        <v>29025.0</v>
      </c>
      <c r="B1495" s="2" t="str">
        <f>IFERROR(__xludf.DUMMYFUNCTION("TO_TEXT(A1495)"),"29025")</f>
        <v>29025</v>
      </c>
      <c r="C1495" s="1">
        <v>9057.0</v>
      </c>
      <c r="D1495" s="1">
        <v>426.391954897794</v>
      </c>
      <c r="E1495" s="1" t="s">
        <v>1787</v>
      </c>
      <c r="F1495" s="1" t="s">
        <v>2570</v>
      </c>
      <c r="G1495" s="1">
        <v>21.2410199019138</v>
      </c>
      <c r="H1495" s="1">
        <v>19.560283836</v>
      </c>
      <c r="I1495" s="1">
        <v>4.5791039993</v>
      </c>
      <c r="J1495" s="1">
        <v>7.796101949</v>
      </c>
      <c r="K1495" s="1">
        <v>20.474105068</v>
      </c>
      <c r="L1495" s="1">
        <v>32.7</v>
      </c>
      <c r="M1495" s="1">
        <v>7.7</v>
      </c>
      <c r="N1495" s="1">
        <v>29.0</v>
      </c>
      <c r="O1495" s="1">
        <v>45.055178268</v>
      </c>
      <c r="P1495" s="1">
        <v>12.4127338729999</v>
      </c>
      <c r="Q1495" s="1">
        <v>48.31939</v>
      </c>
      <c r="R1495" s="1">
        <v>95.7983193279999</v>
      </c>
      <c r="S1495" s="1">
        <v>19.6</v>
      </c>
      <c r="T1495" s="1">
        <v>2135.0</v>
      </c>
      <c r="U1495" s="1">
        <v>22.903981265</v>
      </c>
      <c r="V1495" s="1">
        <v>189.5206243</v>
      </c>
      <c r="W1495" s="1">
        <v>14.037433155</v>
      </c>
      <c r="X1495" s="1">
        <v>10.02688172</v>
      </c>
      <c r="Y1495" s="1">
        <v>77.390197809</v>
      </c>
      <c r="Z1495" s="1">
        <v>19.5</v>
      </c>
      <c r="AA1495" s="1">
        <v>8.0629407977</v>
      </c>
      <c r="AB1495" s="1">
        <v>47591.0</v>
      </c>
      <c r="AC1495" s="1">
        <v>49.9090357789999</v>
      </c>
      <c r="AD1495" s="1">
        <v>74.606192287</v>
      </c>
      <c r="AE1495" s="1">
        <v>10.806997743</v>
      </c>
      <c r="AF1495" s="1">
        <v>0.6148440931</v>
      </c>
      <c r="AG1495" s="1">
        <v>0.7246376812</v>
      </c>
      <c r="AH1495" s="1">
        <v>0.3184014054</v>
      </c>
      <c r="AI1495" s="1">
        <v>0.0439174351999999</v>
      </c>
      <c r="AJ1495" s="1">
        <v>2.1299956083</v>
      </c>
      <c r="AK1495" s="1">
        <v>94.400527009</v>
      </c>
      <c r="AL1495" s="1">
        <v>0.446953658</v>
      </c>
      <c r="AM1495" s="1">
        <v>49.2753623189999</v>
      </c>
      <c r="AN1495" s="1">
        <v>100.0</v>
      </c>
      <c r="AO1495" s="1">
        <v>23273.0</v>
      </c>
      <c r="AP1495" s="1">
        <v>13.2</v>
      </c>
      <c r="AQ1495" s="1">
        <v>4.4</v>
      </c>
      <c r="AR1495" s="1">
        <v>10.0</v>
      </c>
      <c r="AS1495" s="1">
        <v>18.8</v>
      </c>
      <c r="AT1495" s="1">
        <v>24.2</v>
      </c>
      <c r="AU1495" s="1">
        <v>17.9</v>
      </c>
      <c r="AV1495" s="1">
        <v>5.1</v>
      </c>
      <c r="AW1495" s="1">
        <v>0.4</v>
      </c>
      <c r="AX1495" s="1">
        <v>0.3426</v>
      </c>
      <c r="AY1495" s="1">
        <v>13.6</v>
      </c>
      <c r="AZ1495" s="1">
        <v>13.4</v>
      </c>
      <c r="BA1495" s="1">
        <v>16.3</v>
      </c>
      <c r="BB1495" s="1">
        <v>3.05</v>
      </c>
      <c r="BC1495" s="1" t="s">
        <v>2554</v>
      </c>
      <c r="BD1495" s="1">
        <v>10.2</v>
      </c>
      <c r="BE1495" s="1">
        <v>43.7</v>
      </c>
      <c r="BF1495" s="1">
        <v>27.9</v>
      </c>
      <c r="BG1495" s="1">
        <v>18.1</v>
      </c>
      <c r="BH1495" s="1" t="s">
        <v>2570</v>
      </c>
    </row>
    <row r="1496">
      <c r="A1496" s="1">
        <v>29027.0</v>
      </c>
      <c r="B1496" s="2" t="str">
        <f>IFERROR(__xludf.DUMMYFUNCTION("TO_TEXT(A1496)"),"29027")</f>
        <v>29027</v>
      </c>
      <c r="C1496" s="1">
        <v>44693.0</v>
      </c>
      <c r="D1496" s="1">
        <v>834.577432148428</v>
      </c>
      <c r="E1496" s="1" t="s">
        <v>2571</v>
      </c>
      <c r="F1496" s="1" t="s">
        <v>2572</v>
      </c>
      <c r="G1496" s="1">
        <v>53.5516517442224</v>
      </c>
      <c r="H1496" s="1">
        <v>18.057466494</v>
      </c>
      <c r="I1496" s="1">
        <v>4.1681136356</v>
      </c>
      <c r="J1496" s="1">
        <v>8.5034013605</v>
      </c>
      <c r="K1496" s="1">
        <v>18.171042767</v>
      </c>
      <c r="L1496" s="1">
        <v>37.2</v>
      </c>
      <c r="M1496" s="1">
        <v>7.8</v>
      </c>
      <c r="N1496" s="1">
        <v>28.0</v>
      </c>
      <c r="O1496" s="1">
        <v>67.998285663</v>
      </c>
      <c r="P1496" s="1">
        <v>10.604822231</v>
      </c>
      <c r="Q1496" s="1">
        <v>37.75093</v>
      </c>
      <c r="R1496" s="1">
        <v>90.57591623</v>
      </c>
      <c r="S1496" s="1">
        <v>17.5</v>
      </c>
      <c r="T1496" s="1">
        <v>9307.0</v>
      </c>
      <c r="U1496" s="1">
        <v>35.833243795</v>
      </c>
      <c r="V1496" s="1">
        <v>367.53994756</v>
      </c>
      <c r="W1496" s="1">
        <v>11.95380774</v>
      </c>
      <c r="X1496" s="1">
        <v>9.4620253165</v>
      </c>
      <c r="Y1496" s="1">
        <v>77.898298231</v>
      </c>
      <c r="Z1496" s="1">
        <v>16.9</v>
      </c>
      <c r="AA1496" s="1">
        <v>6.4107015392</v>
      </c>
      <c r="AB1496" s="1">
        <v>53970.0</v>
      </c>
      <c r="AC1496" s="1">
        <v>50.424830935</v>
      </c>
      <c r="AD1496" s="1">
        <v>72.858211747</v>
      </c>
      <c r="AE1496" s="1">
        <v>8.4723755113</v>
      </c>
      <c r="AF1496" s="1">
        <v>4.3707812604</v>
      </c>
      <c r="AG1496" s="1">
        <v>0.5702956181</v>
      </c>
      <c r="AH1496" s="1">
        <v>0.7975227784</v>
      </c>
      <c r="AI1496" s="1">
        <v>0.0556929315</v>
      </c>
      <c r="AJ1496" s="1">
        <v>2.200984651</v>
      </c>
      <c r="AK1496" s="1">
        <v>90.07997505</v>
      </c>
      <c r="AL1496" s="1">
        <v>0.2524239779</v>
      </c>
      <c r="AM1496" s="1">
        <v>48.876116643</v>
      </c>
      <c r="AN1496" s="1">
        <v>62.027429396</v>
      </c>
      <c r="AO1496" s="1">
        <v>23475.0</v>
      </c>
      <c r="AP1496" s="1">
        <v>13.1</v>
      </c>
      <c r="AQ1496" s="1">
        <v>5.6</v>
      </c>
      <c r="AR1496" s="1">
        <v>14.3</v>
      </c>
      <c r="AS1496" s="1">
        <v>14.3</v>
      </c>
      <c r="AT1496" s="1">
        <v>21.6</v>
      </c>
      <c r="AU1496" s="1">
        <v>15.7</v>
      </c>
      <c r="AV1496" s="1">
        <v>9.7</v>
      </c>
      <c r="AW1496" s="1">
        <v>0.3</v>
      </c>
      <c r="AX1496" s="1">
        <v>0.3699</v>
      </c>
      <c r="AY1496" s="1">
        <v>11.6</v>
      </c>
      <c r="AZ1496" s="1">
        <v>11.7</v>
      </c>
      <c r="BA1496" s="1">
        <v>15.1</v>
      </c>
      <c r="BB1496" s="1">
        <v>3.07</v>
      </c>
      <c r="BC1496" s="1" t="s">
        <v>2554</v>
      </c>
      <c r="BD1496" s="1">
        <v>13.8</v>
      </c>
      <c r="BE1496" s="1">
        <v>36.1</v>
      </c>
      <c r="BF1496" s="1">
        <v>27.0</v>
      </c>
      <c r="BG1496" s="1">
        <v>23.1</v>
      </c>
      <c r="BH1496" s="1" t="s">
        <v>2572</v>
      </c>
    </row>
    <row r="1497">
      <c r="A1497" s="1">
        <v>29029.0</v>
      </c>
      <c r="B1497" s="2" t="str">
        <f>IFERROR(__xludf.DUMMYFUNCTION("TO_TEXT(A1497)"),"29029")</f>
        <v>29029</v>
      </c>
      <c r="C1497" s="1">
        <v>44152.0</v>
      </c>
      <c r="D1497" s="1">
        <v>655.998393413174</v>
      </c>
      <c r="E1497" s="1" t="s">
        <v>831</v>
      </c>
      <c r="F1497" s="1" t="s">
        <v>2573</v>
      </c>
      <c r="G1497" s="1">
        <v>67.3050428832244</v>
      </c>
      <c r="H1497" s="1">
        <v>17.589149053</v>
      </c>
      <c r="I1497" s="1">
        <v>4.4046093701</v>
      </c>
      <c r="J1497" s="1">
        <v>6.4851307775</v>
      </c>
      <c r="K1497" s="1">
        <v>17.650219832</v>
      </c>
      <c r="L1497" s="1">
        <v>23.3</v>
      </c>
      <c r="M1497" s="1">
        <v>7.7</v>
      </c>
      <c r="N1497" s="1">
        <v>27.4</v>
      </c>
      <c r="O1497" s="1">
        <v>69.162765329</v>
      </c>
      <c r="P1497" s="1">
        <v>14.253795299</v>
      </c>
      <c r="Q1497" s="1">
        <v>76.70056</v>
      </c>
      <c r="R1497" s="1">
        <v>91.346153846</v>
      </c>
      <c r="S1497" s="1">
        <v>22.9</v>
      </c>
      <c r="T1497" s="1">
        <v>7774.0</v>
      </c>
      <c r="U1497" s="1">
        <v>23.591458709</v>
      </c>
      <c r="V1497" s="1">
        <v>262.62003448</v>
      </c>
      <c r="W1497" s="1">
        <v>13.544844417</v>
      </c>
      <c r="X1497" s="1">
        <v>11.6897506929999</v>
      </c>
      <c r="Y1497" s="1">
        <v>79.386717855</v>
      </c>
      <c r="Z1497" s="1">
        <v>11.8</v>
      </c>
      <c r="AA1497" s="1">
        <v>5.9889567222</v>
      </c>
      <c r="AB1497" s="1">
        <v>48580.0</v>
      </c>
      <c r="AC1497" s="1">
        <v>62.1157151039999</v>
      </c>
      <c r="AD1497" s="1">
        <v>80.200049702</v>
      </c>
      <c r="AE1497" s="1">
        <v>12.518409426</v>
      </c>
      <c r="AF1497" s="1">
        <v>0.678816981299999</v>
      </c>
      <c r="AG1497" s="1">
        <v>0.6613554513</v>
      </c>
      <c r="AH1497" s="1">
        <v>0.650441995</v>
      </c>
      <c r="AI1497" s="1">
        <v>0.058932664</v>
      </c>
      <c r="AJ1497" s="1">
        <v>2.881152461</v>
      </c>
      <c r="AK1497" s="1">
        <v>93.9692240529999</v>
      </c>
      <c r="AL1497" s="1">
        <v>0.3664532888</v>
      </c>
      <c r="AM1497" s="1">
        <v>50.25210084</v>
      </c>
      <c r="AN1497" s="1">
        <v>74.228444162</v>
      </c>
      <c r="AO1497" s="1">
        <v>24484.0</v>
      </c>
      <c r="AP1497" s="1">
        <v>18.2</v>
      </c>
      <c r="AQ1497" s="1">
        <v>8.8</v>
      </c>
      <c r="AR1497" s="1">
        <v>11.8</v>
      </c>
      <c r="AS1497" s="1">
        <v>24.8</v>
      </c>
      <c r="AT1497" s="1">
        <v>18.6</v>
      </c>
      <c r="AU1497" s="1">
        <v>17.2</v>
      </c>
      <c r="AV1497" s="1">
        <v>5.4</v>
      </c>
      <c r="AW1497" s="1">
        <v>0.6</v>
      </c>
      <c r="AX1497" s="1">
        <v>0.3926</v>
      </c>
      <c r="AY1497" s="1">
        <v>13.5</v>
      </c>
      <c r="AZ1497" s="1">
        <v>14.1</v>
      </c>
      <c r="BA1497" s="1">
        <v>19.2</v>
      </c>
      <c r="BB1497" s="1">
        <v>3.19</v>
      </c>
      <c r="BC1497" s="1" t="s">
        <v>2554</v>
      </c>
      <c r="BD1497" s="1">
        <v>9.6</v>
      </c>
      <c r="BE1497" s="1">
        <v>37.9</v>
      </c>
      <c r="BF1497" s="1">
        <v>31.4</v>
      </c>
      <c r="BG1497" s="1">
        <v>21.1</v>
      </c>
      <c r="BH1497" s="1" t="s">
        <v>2573</v>
      </c>
    </row>
    <row r="1498">
      <c r="A1498" s="1">
        <v>29031.0</v>
      </c>
      <c r="B1498" s="2" t="str">
        <f>IFERROR(__xludf.DUMMYFUNCTION("TO_TEXT(A1498)"),"29031")</f>
        <v>29031</v>
      </c>
      <c r="C1498" s="1">
        <v>78089.0</v>
      </c>
      <c r="D1498" s="1">
        <v>578.534567685234</v>
      </c>
      <c r="E1498" s="1" t="s">
        <v>2574</v>
      </c>
      <c r="F1498" s="1" t="s">
        <v>2575</v>
      </c>
      <c r="G1498" s="1">
        <v>134.9772413988</v>
      </c>
      <c r="H1498" s="1">
        <v>19.157647899</v>
      </c>
      <c r="I1498" s="1">
        <v>4.4713597854</v>
      </c>
      <c r="J1498" s="1">
        <v>8.5991244528</v>
      </c>
      <c r="K1498" s="1">
        <v>18.286987031</v>
      </c>
      <c r="L1498" s="1">
        <v>31.9</v>
      </c>
      <c r="M1498" s="1">
        <v>7.3</v>
      </c>
      <c r="N1498" s="1">
        <v>29.0</v>
      </c>
      <c r="O1498" s="1">
        <v>75.884716019</v>
      </c>
      <c r="P1498" s="1">
        <v>10.359289135</v>
      </c>
      <c r="Q1498" s="1">
        <v>93.39696</v>
      </c>
      <c r="R1498" s="1">
        <v>91.919191919</v>
      </c>
      <c r="S1498" s="1">
        <v>17.2</v>
      </c>
      <c r="T1498" s="1">
        <v>16532.0</v>
      </c>
      <c r="U1498" s="1">
        <v>31.5388337769999</v>
      </c>
      <c r="V1498" s="1">
        <v>362.2795548</v>
      </c>
      <c r="W1498" s="1">
        <v>13.291987932</v>
      </c>
      <c r="X1498" s="1">
        <v>11.658119658</v>
      </c>
      <c r="Y1498" s="1">
        <v>77.537984509</v>
      </c>
      <c r="Z1498" s="1">
        <v>13.3</v>
      </c>
      <c r="AA1498" s="1">
        <v>7.51270379799999</v>
      </c>
      <c r="AB1498" s="1">
        <v>51962.0</v>
      </c>
      <c r="AC1498" s="1">
        <v>46.9504629189999</v>
      </c>
      <c r="AD1498" s="1">
        <v>65.514540625</v>
      </c>
      <c r="AE1498" s="1">
        <v>12.329059829</v>
      </c>
      <c r="AF1498" s="1">
        <v>7.614948002</v>
      </c>
      <c r="AG1498" s="1">
        <v>0.3669701472</v>
      </c>
      <c r="AH1498" s="1">
        <v>1.8411997003</v>
      </c>
      <c r="AI1498" s="1">
        <v>0.0507917159</v>
      </c>
      <c r="AJ1498" s="1">
        <v>2.3732429241</v>
      </c>
      <c r="AK1498" s="1">
        <v>85.834190444</v>
      </c>
      <c r="AL1498" s="1">
        <v>0.5062537225</v>
      </c>
      <c r="AM1498" s="1">
        <v>51.5053394789999</v>
      </c>
      <c r="AN1498" s="1">
        <v>30.503211143</v>
      </c>
      <c r="AO1498" s="1">
        <v>25348.0</v>
      </c>
      <c r="AP1498" s="1">
        <v>17.7</v>
      </c>
      <c r="AQ1498" s="1">
        <v>5.9</v>
      </c>
      <c r="AR1498" s="1">
        <v>9.8</v>
      </c>
      <c r="AS1498" s="1">
        <v>15.5</v>
      </c>
      <c r="AT1498" s="1">
        <v>21.4</v>
      </c>
      <c r="AU1498" s="1">
        <v>13.6</v>
      </c>
      <c r="AV1498" s="1">
        <v>13.3</v>
      </c>
      <c r="AW1498" s="1">
        <v>0.4</v>
      </c>
      <c r="AX1498" s="1">
        <v>0.3477</v>
      </c>
      <c r="AY1498" s="1">
        <v>14.6</v>
      </c>
      <c r="AZ1498" s="1">
        <v>12.4</v>
      </c>
      <c r="BA1498" s="1">
        <v>14.2</v>
      </c>
      <c r="BB1498" s="1">
        <v>2.86</v>
      </c>
      <c r="BC1498" s="1" t="s">
        <v>2554</v>
      </c>
      <c r="BD1498" s="1">
        <v>9.0</v>
      </c>
      <c r="BE1498" s="1">
        <v>31.2</v>
      </c>
      <c r="BF1498" s="1">
        <v>28.3</v>
      </c>
      <c r="BG1498" s="1">
        <v>31.5</v>
      </c>
      <c r="BH1498" s="1" t="s">
        <v>2575</v>
      </c>
    </row>
    <row r="1499">
      <c r="A1499" s="1">
        <v>29033.0</v>
      </c>
      <c r="B1499" s="2" t="str">
        <f>IFERROR(__xludf.DUMMYFUNCTION("TO_TEXT(A1499)"),"29033")</f>
        <v>29033</v>
      </c>
      <c r="C1499" s="1">
        <v>9009.0</v>
      </c>
      <c r="D1499" s="1">
        <v>694.621349451049</v>
      </c>
      <c r="E1499" s="1" t="s">
        <v>298</v>
      </c>
      <c r="F1499" s="1" t="s">
        <v>2576</v>
      </c>
      <c r="G1499" s="1">
        <v>12.9696560681869</v>
      </c>
      <c r="H1499" s="1">
        <v>19.312509749</v>
      </c>
      <c r="I1499" s="1">
        <v>4.5864587149</v>
      </c>
      <c r="J1499" s="1">
        <v>7.64790764789999</v>
      </c>
      <c r="K1499" s="1">
        <v>19.857264146</v>
      </c>
      <c r="L1499" s="1">
        <v>37.6</v>
      </c>
      <c r="M1499" s="1">
        <v>7.5</v>
      </c>
      <c r="N1499" s="1">
        <v>28.0</v>
      </c>
      <c r="O1499" s="1">
        <v>47.993544917</v>
      </c>
      <c r="P1499" s="1">
        <v>13.249854397</v>
      </c>
      <c r="Q1499" s="1">
        <v>34.10641</v>
      </c>
      <c r="R1499" s="1">
        <v>100.0</v>
      </c>
      <c r="S1499" s="1">
        <v>20.8</v>
      </c>
      <c r="T1499" s="1">
        <v>2005.0</v>
      </c>
      <c r="U1499" s="1">
        <v>31.87032419</v>
      </c>
      <c r="V1499" s="1">
        <v>155.35704378</v>
      </c>
      <c r="W1499" s="1">
        <v>10.661268556</v>
      </c>
      <c r="X1499" s="1">
        <v>7.3963695475</v>
      </c>
      <c r="Y1499" s="1">
        <v>76.492196467</v>
      </c>
      <c r="Z1499" s="1">
        <v>20.5</v>
      </c>
      <c r="AA1499" s="1">
        <v>6.13174192429999</v>
      </c>
      <c r="AB1499" s="1">
        <v>47049.0</v>
      </c>
      <c r="AC1499" s="1">
        <v>48.56527977</v>
      </c>
      <c r="AD1499" s="1">
        <v>72.32545045</v>
      </c>
      <c r="AE1499" s="1">
        <v>7.58620689659999</v>
      </c>
      <c r="AF1499" s="1">
        <v>1.7042205193</v>
      </c>
      <c r="AG1499" s="1">
        <v>0.2973807618</v>
      </c>
      <c r="AH1499" s="1">
        <v>0.1830035457</v>
      </c>
      <c r="AI1499" s="1">
        <v>0.1372526593</v>
      </c>
      <c r="AJ1499" s="1">
        <v>1.56696786</v>
      </c>
      <c r="AK1499" s="1">
        <v>94.65858401</v>
      </c>
      <c r="AL1499" s="1">
        <v>0.253929867</v>
      </c>
      <c r="AM1499" s="1">
        <v>51.42399634</v>
      </c>
      <c r="AN1499" s="1">
        <v>64.540075309</v>
      </c>
      <c r="AO1499" s="1">
        <v>24484.0</v>
      </c>
      <c r="AP1499" s="1">
        <v>18.5</v>
      </c>
      <c r="AQ1499" s="1">
        <v>8.6</v>
      </c>
      <c r="AR1499" s="1">
        <v>14.1</v>
      </c>
      <c r="AS1499" s="1">
        <v>20.5</v>
      </c>
      <c r="AT1499" s="1">
        <v>22.9</v>
      </c>
      <c r="AU1499" s="1">
        <v>16.6</v>
      </c>
      <c r="AV1499" s="1">
        <v>5.0</v>
      </c>
      <c r="AW1499" s="1">
        <v>0.2</v>
      </c>
      <c r="AX1499" s="1">
        <v>0.5336</v>
      </c>
      <c r="AY1499" s="1">
        <v>13.8</v>
      </c>
      <c r="AZ1499" s="1">
        <v>13.6</v>
      </c>
      <c r="BA1499" s="1">
        <v>16.4</v>
      </c>
      <c r="BB1499" s="1">
        <v>2.84</v>
      </c>
      <c r="BC1499" s="1" t="s">
        <v>2554</v>
      </c>
      <c r="BD1499" s="1">
        <v>14.2</v>
      </c>
      <c r="BE1499" s="1">
        <v>44.3</v>
      </c>
      <c r="BF1499" s="1">
        <v>24.9</v>
      </c>
      <c r="BG1499" s="1">
        <v>16.7</v>
      </c>
      <c r="BH1499" s="1" t="s">
        <v>2576</v>
      </c>
    </row>
    <row r="1500">
      <c r="A1500" s="1">
        <v>29035.0</v>
      </c>
      <c r="B1500" s="2" t="str">
        <f>IFERROR(__xludf.DUMMYFUNCTION("TO_TEXT(A1500)"),"29035")</f>
        <v>29035</v>
      </c>
      <c r="C1500" s="1">
        <v>6249.0</v>
      </c>
      <c r="D1500" s="1">
        <v>507.358179435584</v>
      </c>
      <c r="E1500" s="1" t="s">
        <v>1796</v>
      </c>
      <c r="F1500" s="1" t="s">
        <v>2577</v>
      </c>
      <c r="G1500" s="1">
        <v>12.3167423987365</v>
      </c>
      <c r="H1500" s="1">
        <v>20.33487026</v>
      </c>
      <c r="I1500" s="1">
        <v>4.6397107793</v>
      </c>
      <c r="J1500" s="1">
        <v>7.46003552399999</v>
      </c>
      <c r="K1500" s="1">
        <v>20.822800515</v>
      </c>
      <c r="L1500" s="1">
        <v>27.8</v>
      </c>
      <c r="M1500" s="1">
        <v>5.6</v>
      </c>
      <c r="N1500" s="1">
        <v>36.9</v>
      </c>
      <c r="O1500" s="1">
        <v>76.536312849</v>
      </c>
      <c r="P1500" s="1">
        <v>15.978749489</v>
      </c>
      <c r="Q1500" s="1">
        <v>16.2100799999999</v>
      </c>
      <c r="R1500" s="1">
        <v>94.1176470589999</v>
      </c>
      <c r="S1500" s="1">
        <v>35.3</v>
      </c>
      <c r="T1500" s="1">
        <v>1523.0</v>
      </c>
      <c r="U1500" s="1">
        <v>33.880499015</v>
      </c>
      <c r="V1500" s="1">
        <v>430.48469388</v>
      </c>
      <c r="W1500" s="1">
        <v>14.919354839</v>
      </c>
      <c r="X1500" s="1">
        <v>10.634789777</v>
      </c>
      <c r="Y1500" s="1">
        <v>72.772589606</v>
      </c>
      <c r="Z1500" s="1">
        <v>9.8</v>
      </c>
      <c r="AA1500" s="1">
        <v>27.699719604</v>
      </c>
      <c r="AB1500" s="1">
        <v>34134.0</v>
      </c>
      <c r="AC1500" s="1">
        <v>67.630057803</v>
      </c>
      <c r="AD1500" s="1">
        <v>76.120033812</v>
      </c>
      <c r="AE1500" s="1">
        <v>10.234824989</v>
      </c>
      <c r="AF1500" s="1">
        <v>0.2973240833</v>
      </c>
      <c r="AG1500" s="1">
        <v>1.2553683515</v>
      </c>
      <c r="AH1500" s="1">
        <v>0.132144037</v>
      </c>
      <c r="AI1500" s="1">
        <v>0.0165180046</v>
      </c>
      <c r="AJ1500" s="1">
        <v>2.7585067724</v>
      </c>
      <c r="AK1500" s="1">
        <v>93.855302279</v>
      </c>
      <c r="AL1500" s="1">
        <v>0.0</v>
      </c>
      <c r="AM1500" s="1">
        <v>51.668318467</v>
      </c>
      <c r="AN1500" s="1">
        <v>100.0</v>
      </c>
      <c r="AO1500" s="1">
        <v>21296.0</v>
      </c>
      <c r="AP1500" s="1">
        <v>20.6</v>
      </c>
      <c r="AQ1500" s="1">
        <v>9.5</v>
      </c>
      <c r="AR1500" s="1">
        <v>20.1</v>
      </c>
      <c r="AS1500" s="1">
        <v>18.1</v>
      </c>
      <c r="AT1500" s="1">
        <v>24.2</v>
      </c>
      <c r="AU1500" s="1">
        <v>22.5</v>
      </c>
      <c r="AV1500" s="1">
        <v>5.5</v>
      </c>
      <c r="AW1500" s="1">
        <v>0.0</v>
      </c>
      <c r="AX1500" s="1">
        <v>0.7494</v>
      </c>
      <c r="AY1500" s="1">
        <v>19.8</v>
      </c>
      <c r="AZ1500" s="1">
        <v>16.6</v>
      </c>
      <c r="BA1500" s="1">
        <v>19.3</v>
      </c>
      <c r="BB1500" s="1">
        <v>2.69</v>
      </c>
      <c r="BC1500" s="1" t="s">
        <v>2554</v>
      </c>
      <c r="BD1500" s="1">
        <v>15.2</v>
      </c>
      <c r="BE1500" s="1">
        <v>43.2</v>
      </c>
      <c r="BF1500" s="1">
        <v>26.2</v>
      </c>
      <c r="BG1500" s="1">
        <v>15.5</v>
      </c>
      <c r="BH1500" s="1" t="s">
        <v>2577</v>
      </c>
    </row>
    <row r="1501">
      <c r="A1501" s="1">
        <v>29037.0</v>
      </c>
      <c r="B1501" s="2" t="str">
        <f>IFERROR(__xludf.DUMMYFUNCTION("TO_TEXT(A1501)"),"29037")</f>
        <v>29037</v>
      </c>
      <c r="C1501" s="1">
        <v>101324.0</v>
      </c>
      <c r="D1501" s="1">
        <v>696.582769232762</v>
      </c>
      <c r="E1501" s="1" t="s">
        <v>1164</v>
      </c>
      <c r="F1501" s="1" t="s">
        <v>2578</v>
      </c>
      <c r="G1501" s="1">
        <v>145.458665467137</v>
      </c>
      <c r="H1501" s="1">
        <v>16.918023134</v>
      </c>
      <c r="I1501" s="1">
        <v>3.9999085536</v>
      </c>
      <c r="J1501" s="1">
        <v>7.0774862721</v>
      </c>
      <c r="K1501" s="1">
        <v>16.859062744</v>
      </c>
      <c r="L1501" s="1">
        <v>36.6</v>
      </c>
      <c r="M1501" s="1">
        <v>7.9</v>
      </c>
      <c r="N1501" s="1">
        <v>26.0</v>
      </c>
      <c r="O1501" s="1">
        <v>69.2605400189999</v>
      </c>
      <c r="P1501" s="1">
        <v>8.8401500764</v>
      </c>
      <c r="Q1501" s="1">
        <v>23.13833</v>
      </c>
      <c r="R1501" s="1">
        <v>92.284644195</v>
      </c>
      <c r="S1501" s="1">
        <v>10.8</v>
      </c>
      <c r="T1501" s="1">
        <v>24912.0</v>
      </c>
      <c r="U1501" s="1">
        <v>25.2729608219999</v>
      </c>
      <c r="V1501" s="1">
        <v>185.18974561</v>
      </c>
      <c r="W1501" s="1">
        <v>11.407543698</v>
      </c>
      <c r="X1501" s="1">
        <v>9.4722955145</v>
      </c>
      <c r="Y1501" s="1">
        <v>78.758399082</v>
      </c>
      <c r="Z1501" s="1">
        <v>10.8</v>
      </c>
      <c r="AA1501" s="1">
        <v>8.9616371423</v>
      </c>
      <c r="AB1501" s="1">
        <v>71374.0</v>
      </c>
      <c r="AC1501" s="1">
        <v>38.304327914</v>
      </c>
      <c r="AD1501" s="1">
        <v>76.189027482</v>
      </c>
      <c r="AE1501" s="1">
        <v>9.0585320533</v>
      </c>
      <c r="AF1501" s="1">
        <v>4.1208529451</v>
      </c>
      <c r="AG1501" s="1">
        <v>0.7098347848</v>
      </c>
      <c r="AH1501" s="1">
        <v>0.870857709099999</v>
      </c>
      <c r="AI1501" s="1">
        <v>0.1124302075</v>
      </c>
      <c r="AJ1501" s="1">
        <v>4.5505650094</v>
      </c>
      <c r="AK1501" s="1">
        <v>87.562170094</v>
      </c>
      <c r="AL1501" s="1">
        <v>0.624695681</v>
      </c>
      <c r="AM1501" s="1">
        <v>51.253882653</v>
      </c>
      <c r="AN1501" s="1">
        <v>32.402139166</v>
      </c>
      <c r="AO1501" s="1">
        <v>29197.0</v>
      </c>
      <c r="AP1501" s="1">
        <v>9.3</v>
      </c>
      <c r="AQ1501" s="1">
        <v>5.7</v>
      </c>
      <c r="AR1501" s="1">
        <v>7.5</v>
      </c>
      <c r="AS1501" s="1">
        <v>15.4</v>
      </c>
      <c r="AT1501" s="1">
        <v>25.1</v>
      </c>
      <c r="AU1501" s="1">
        <v>13.1</v>
      </c>
      <c r="AV1501" s="1">
        <v>11.3</v>
      </c>
      <c r="AW1501" s="1">
        <v>0.6</v>
      </c>
      <c r="AX1501" s="1">
        <v>0.1223</v>
      </c>
      <c r="AY1501" s="1">
        <v>7.9</v>
      </c>
      <c r="AZ1501" s="1">
        <v>10.6</v>
      </c>
      <c r="BA1501" s="1">
        <v>12.4</v>
      </c>
      <c r="BB1501" s="1">
        <v>2.98</v>
      </c>
      <c r="BC1501" s="1" t="s">
        <v>2554</v>
      </c>
      <c r="BD1501" s="1">
        <v>7.6</v>
      </c>
      <c r="BE1501" s="1">
        <v>33.9</v>
      </c>
      <c r="BF1501" s="1">
        <v>32.2</v>
      </c>
      <c r="BG1501" s="1">
        <v>26.3</v>
      </c>
      <c r="BH1501" s="1" t="s">
        <v>2578</v>
      </c>
    </row>
    <row r="1502">
      <c r="A1502" s="1">
        <v>29039.0</v>
      </c>
      <c r="B1502" s="2" t="str">
        <f>IFERROR(__xludf.DUMMYFUNCTION("TO_TEXT(A1502)"),"29039")</f>
        <v>29039</v>
      </c>
      <c r="C1502" s="1">
        <v>13932.0</v>
      </c>
      <c r="D1502" s="1">
        <v>474.482754372093</v>
      </c>
      <c r="E1502" s="1" t="s">
        <v>1466</v>
      </c>
      <c r="F1502" s="1" t="s">
        <v>2579</v>
      </c>
      <c r="G1502" s="1">
        <v>29.3625002629166</v>
      </c>
      <c r="H1502" s="1">
        <v>21.554488085</v>
      </c>
      <c r="I1502" s="1">
        <v>4.8511592196</v>
      </c>
      <c r="J1502" s="1">
        <v>6.42129992169999</v>
      </c>
      <c r="K1502" s="1">
        <v>22.519250331</v>
      </c>
      <c r="L1502" s="1">
        <v>33.8</v>
      </c>
      <c r="M1502" s="1">
        <v>7.3</v>
      </c>
      <c r="N1502" s="1">
        <v>29.8</v>
      </c>
      <c r="O1502" s="1">
        <v>57.58832785</v>
      </c>
      <c r="P1502" s="1">
        <v>14.5731478</v>
      </c>
      <c r="Q1502" s="1">
        <v>28.42322</v>
      </c>
      <c r="R1502" s="1">
        <v>92.09039548</v>
      </c>
      <c r="S1502" s="1">
        <v>30.2</v>
      </c>
      <c r="T1502" s="1">
        <v>3352.0</v>
      </c>
      <c r="U1502" s="1">
        <v>33.383054893</v>
      </c>
      <c r="V1502" s="1">
        <v>370.30379292</v>
      </c>
      <c r="W1502" s="1">
        <v>10.365335599</v>
      </c>
      <c r="X1502" s="1">
        <v>8.9804994868</v>
      </c>
      <c r="Y1502" s="1">
        <v>75.695815093</v>
      </c>
      <c r="Z1502" s="1">
        <v>7.7</v>
      </c>
      <c r="AA1502" s="1">
        <v>6.2895200202</v>
      </c>
      <c r="AB1502" s="1">
        <v>37288.0</v>
      </c>
      <c r="AC1502" s="1">
        <v>81.946403385</v>
      </c>
      <c r="AD1502" s="1">
        <v>72.376836646</v>
      </c>
      <c r="AE1502" s="1">
        <v>8.3724287261</v>
      </c>
      <c r="AF1502" s="1">
        <v>0.3388633957</v>
      </c>
      <c r="AG1502" s="1">
        <v>0.882456759599999</v>
      </c>
      <c r="AH1502" s="1">
        <v>0.4376985528</v>
      </c>
      <c r="AI1502" s="1">
        <v>0.0352982704</v>
      </c>
      <c r="AJ1502" s="1">
        <v>2.4214613484</v>
      </c>
      <c r="AK1502" s="1">
        <v>94.479350512</v>
      </c>
      <c r="AL1502" s="1">
        <v>0.0</v>
      </c>
      <c r="AM1502" s="1">
        <v>50.052947406</v>
      </c>
      <c r="AN1502" s="1">
        <v>75.296810185</v>
      </c>
      <c r="AO1502" s="1">
        <v>18932.0</v>
      </c>
      <c r="AP1502" s="1">
        <v>23.3</v>
      </c>
      <c r="AQ1502" s="1">
        <v>10.0</v>
      </c>
      <c r="AR1502" s="1">
        <v>15.6</v>
      </c>
      <c r="AS1502" s="1">
        <v>23.3</v>
      </c>
      <c r="AT1502" s="1">
        <v>23.9</v>
      </c>
      <c r="AU1502" s="1">
        <v>22.0</v>
      </c>
      <c r="AV1502" s="1">
        <v>4.9</v>
      </c>
      <c r="AW1502" s="1">
        <v>0.0</v>
      </c>
      <c r="AX1502" s="1">
        <v>0.497</v>
      </c>
      <c r="AY1502" s="1">
        <v>17.9</v>
      </c>
      <c r="AZ1502" s="1">
        <v>15.5</v>
      </c>
      <c r="BA1502" s="1">
        <v>19.0</v>
      </c>
      <c r="BB1502" s="1">
        <v>2.81</v>
      </c>
      <c r="BC1502" s="1" t="s">
        <v>2554</v>
      </c>
      <c r="BD1502" s="1">
        <v>12.3</v>
      </c>
      <c r="BE1502" s="1">
        <v>41.2</v>
      </c>
      <c r="BF1502" s="1">
        <v>32.9</v>
      </c>
      <c r="BG1502" s="1">
        <v>13.6</v>
      </c>
      <c r="BH1502" s="1" t="s">
        <v>2579</v>
      </c>
    </row>
    <row r="1503">
      <c r="A1503" s="1">
        <v>29041.0</v>
      </c>
      <c r="B1503" s="2" t="str">
        <f>IFERROR(__xludf.DUMMYFUNCTION("TO_TEXT(A1503)"),"29041")</f>
        <v>29041</v>
      </c>
      <c r="C1503" s="1">
        <v>7615.0</v>
      </c>
      <c r="D1503" s="1">
        <v>751.17678276297</v>
      </c>
      <c r="E1503" s="1" t="s">
        <v>2580</v>
      </c>
      <c r="F1503" s="1" t="s">
        <v>2581</v>
      </c>
      <c r="G1503" s="1">
        <v>10.1374272671083</v>
      </c>
      <c r="H1503" s="1">
        <v>19.463293773</v>
      </c>
      <c r="I1503" s="1">
        <v>4.4582244917</v>
      </c>
      <c r="J1503" s="1">
        <v>6.6884176183</v>
      </c>
      <c r="K1503" s="1">
        <v>19.429229646</v>
      </c>
      <c r="L1503" s="1">
        <v>29.4</v>
      </c>
      <c r="M1503" s="1">
        <v>8.0</v>
      </c>
      <c r="N1503" s="1">
        <v>28.8</v>
      </c>
      <c r="O1503" s="1">
        <v>33.507853403</v>
      </c>
      <c r="P1503" s="1">
        <v>12.021371327</v>
      </c>
      <c r="Q1503" s="1">
        <v>13.36898</v>
      </c>
      <c r="R1503" s="1">
        <v>100.0</v>
      </c>
      <c r="S1503" s="1">
        <v>19.3</v>
      </c>
      <c r="T1503" s="1">
        <v>1711.0</v>
      </c>
      <c r="U1503" s="1">
        <v>20.046756283</v>
      </c>
      <c r="V1503" s="1">
        <v>438.74227215</v>
      </c>
      <c r="W1503" s="1">
        <v>9.982788296</v>
      </c>
      <c r="X1503" s="1">
        <v>8.3708059495</v>
      </c>
      <c r="Y1503" s="1">
        <v>79.380514547</v>
      </c>
      <c r="Z1503" s="1">
        <v>14.4</v>
      </c>
      <c r="AA1503" s="1">
        <v>3.7775303273</v>
      </c>
      <c r="AB1503" s="1">
        <v>48421.0</v>
      </c>
      <c r="AC1503" s="1">
        <v>46.040515654</v>
      </c>
      <c r="AD1503" s="1">
        <v>81.0363440089999</v>
      </c>
      <c r="AE1503" s="1">
        <v>8.8399850802</v>
      </c>
      <c r="AF1503" s="1">
        <v>2.3755200644</v>
      </c>
      <c r="AG1503" s="1">
        <v>0.429472554</v>
      </c>
      <c r="AH1503" s="1">
        <v>0.3086833982</v>
      </c>
      <c r="AI1503" s="1">
        <v>0.0</v>
      </c>
      <c r="AJ1503" s="1">
        <v>0.9931552812</v>
      </c>
      <c r="AK1503" s="1">
        <v>94.752382231</v>
      </c>
      <c r="AL1503" s="1">
        <v>0.0</v>
      </c>
      <c r="AM1503" s="1">
        <v>50.3556569589999</v>
      </c>
      <c r="AN1503" s="1">
        <v>100.0</v>
      </c>
      <c r="AO1503" s="1">
        <v>23029.0</v>
      </c>
      <c r="AP1503" s="1">
        <v>15.4</v>
      </c>
      <c r="AQ1503" s="1">
        <v>3.7</v>
      </c>
      <c r="AR1503" s="1">
        <v>12.3</v>
      </c>
      <c r="AS1503" s="1">
        <v>22.7</v>
      </c>
      <c r="AT1503" s="1">
        <v>22.7</v>
      </c>
      <c r="AU1503" s="1">
        <v>18.3</v>
      </c>
      <c r="AV1503" s="1">
        <v>4.5</v>
      </c>
      <c r="AW1503" s="1">
        <v>0.0</v>
      </c>
      <c r="AX1503" s="1">
        <v>0.2174</v>
      </c>
      <c r="AY1503" s="1">
        <v>12.5</v>
      </c>
      <c r="AZ1503" s="1">
        <v>12.3</v>
      </c>
      <c r="BA1503" s="1">
        <v>13.9</v>
      </c>
      <c r="BB1503" s="1">
        <v>2.76</v>
      </c>
      <c r="BC1503" s="1" t="s">
        <v>2554</v>
      </c>
      <c r="BD1503" s="1">
        <v>9.3</v>
      </c>
      <c r="BE1503" s="1">
        <v>49.4</v>
      </c>
      <c r="BF1503" s="1">
        <v>24.1</v>
      </c>
      <c r="BG1503" s="1">
        <v>17.2</v>
      </c>
      <c r="BH1503" s="1" t="s">
        <v>2581</v>
      </c>
    </row>
    <row r="1504">
      <c r="A1504" s="1">
        <v>29043.0</v>
      </c>
      <c r="B1504" s="2" t="str">
        <f>IFERROR(__xludf.DUMMYFUNCTION("TO_TEXT(A1504)"),"29043")</f>
        <v>29043</v>
      </c>
      <c r="C1504" s="1">
        <v>82053.0</v>
      </c>
      <c r="D1504" s="1">
        <v>562.644664200078</v>
      </c>
      <c r="E1504" s="1" t="s">
        <v>1168</v>
      </c>
      <c r="F1504" s="1" t="s">
        <v>2582</v>
      </c>
      <c r="G1504" s="1">
        <v>145.834494168102</v>
      </c>
      <c r="H1504" s="1">
        <v>17.754669107</v>
      </c>
      <c r="I1504" s="1">
        <v>4.3516902677</v>
      </c>
      <c r="J1504" s="1">
        <v>6.0704225352</v>
      </c>
      <c r="K1504" s="1">
        <v>18.515598595</v>
      </c>
      <c r="L1504" s="1">
        <v>31.4</v>
      </c>
      <c r="M1504" s="1">
        <v>8.0</v>
      </c>
      <c r="N1504" s="1">
        <v>24.9</v>
      </c>
      <c r="O1504" s="1">
        <v>67.346490662</v>
      </c>
      <c r="P1504" s="1">
        <v>10.0605858479999</v>
      </c>
      <c r="Q1504" s="1">
        <v>44.47982</v>
      </c>
      <c r="R1504" s="1">
        <v>94.0733772339999</v>
      </c>
      <c r="S1504" s="1">
        <v>11.5</v>
      </c>
      <c r="T1504" s="1">
        <v>21413.0</v>
      </c>
      <c r="U1504" s="1">
        <v>24.606547424</v>
      </c>
      <c r="V1504" s="1">
        <v>164.41524183</v>
      </c>
      <c r="W1504" s="1">
        <v>10.383784682</v>
      </c>
      <c r="X1504" s="1">
        <v>8.2439678284</v>
      </c>
      <c r="Y1504" s="1">
        <v>79.669693558</v>
      </c>
      <c r="Z1504" s="1">
        <v>11.8</v>
      </c>
      <c r="AA1504" s="1">
        <v>7.1080115197</v>
      </c>
      <c r="AB1504" s="1">
        <v>58057.0</v>
      </c>
      <c r="AC1504" s="1">
        <v>34.603953999</v>
      </c>
      <c r="AD1504" s="1">
        <v>74.171141911</v>
      </c>
      <c r="AE1504" s="1">
        <v>8.6194930099</v>
      </c>
      <c r="AF1504" s="1">
        <v>0.7645172045</v>
      </c>
      <c r="AG1504" s="1">
        <v>0.765666854399999</v>
      </c>
      <c r="AH1504" s="1">
        <v>0.7357759562</v>
      </c>
      <c r="AI1504" s="1">
        <v>0.0597817964</v>
      </c>
      <c r="AJ1504" s="1">
        <v>3.02013037029999</v>
      </c>
      <c r="AK1504" s="1">
        <v>93.068760562</v>
      </c>
      <c r="AL1504" s="1">
        <v>0.396463495</v>
      </c>
      <c r="AM1504" s="1">
        <v>50.949036019</v>
      </c>
      <c r="AN1504" s="1">
        <v>44.796052802</v>
      </c>
      <c r="AO1504" s="1">
        <v>25342.0</v>
      </c>
      <c r="AP1504" s="1">
        <v>11.0</v>
      </c>
      <c r="AQ1504" s="1">
        <v>6.3</v>
      </c>
      <c r="AR1504" s="1">
        <v>8.9</v>
      </c>
      <c r="AS1504" s="1">
        <v>14.2</v>
      </c>
      <c r="AT1504" s="1">
        <v>26.2</v>
      </c>
      <c r="AU1504" s="1">
        <v>11.9</v>
      </c>
      <c r="AV1504" s="1">
        <v>6.2</v>
      </c>
      <c r="AW1504" s="1">
        <v>0.5</v>
      </c>
      <c r="AX1504" s="1">
        <v>0.1595</v>
      </c>
      <c r="AY1504" s="1">
        <v>10.4</v>
      </c>
      <c r="AZ1504" s="1">
        <v>10.8</v>
      </c>
      <c r="BA1504" s="1">
        <v>12.1</v>
      </c>
      <c r="BB1504" s="1">
        <v>2.93</v>
      </c>
      <c r="BC1504" s="1" t="s">
        <v>2554</v>
      </c>
      <c r="BD1504" s="1">
        <v>8.0</v>
      </c>
      <c r="BE1504" s="1">
        <v>29.4</v>
      </c>
      <c r="BF1504" s="1">
        <v>34.0</v>
      </c>
      <c r="BG1504" s="1">
        <v>28.6</v>
      </c>
      <c r="BH1504" s="1" t="s">
        <v>2582</v>
      </c>
    </row>
    <row r="1505">
      <c r="A1505" s="1">
        <v>29045.0</v>
      </c>
      <c r="B1505" s="2" t="str">
        <f>IFERROR(__xludf.DUMMYFUNCTION("TO_TEXT(A1505)"),"29045")</f>
        <v>29045</v>
      </c>
      <c r="C1505" s="1">
        <v>6860.0</v>
      </c>
      <c r="D1505" s="1">
        <v>504.692220801576</v>
      </c>
      <c r="E1505" s="1" t="s">
        <v>302</v>
      </c>
      <c r="F1505" s="1" t="s">
        <v>2583</v>
      </c>
      <c r="G1505" s="1">
        <v>13.5924425169554</v>
      </c>
      <c r="H1505" s="1">
        <v>18.4838158309999</v>
      </c>
      <c r="I1505" s="1">
        <v>4.4158211596</v>
      </c>
      <c r="J1505" s="1">
        <v>6.8783068783</v>
      </c>
      <c r="K1505" s="1">
        <v>20.125749204</v>
      </c>
      <c r="L1505" s="1">
        <v>29.6</v>
      </c>
      <c r="M1505" s="1">
        <v>7.6</v>
      </c>
      <c r="N1505" s="1">
        <v>28.7</v>
      </c>
      <c r="O1505" s="1">
        <v>44.151841995</v>
      </c>
      <c r="P1505" s="1">
        <v>13.791793313</v>
      </c>
      <c r="Q1505" s="1">
        <v>29.74862</v>
      </c>
      <c r="R1505" s="1">
        <v>98.461538462</v>
      </c>
      <c r="S1505" s="1">
        <v>23.2</v>
      </c>
      <c r="T1505" s="1">
        <v>1565.0</v>
      </c>
      <c r="U1505" s="1">
        <v>30.159744409</v>
      </c>
      <c r="V1505" s="1">
        <v>125.08277537</v>
      </c>
      <c r="W1505" s="1">
        <v>8.9947089947</v>
      </c>
      <c r="X1505" s="1">
        <v>5.5654023396</v>
      </c>
      <c r="Y1505" s="1">
        <v>78.469635098</v>
      </c>
      <c r="Z1505" s="1">
        <v>14.7</v>
      </c>
      <c r="AA1505" s="1">
        <v>5.3567595592</v>
      </c>
      <c r="AB1505" s="1">
        <v>46832.0</v>
      </c>
      <c r="AC1505" s="1">
        <v>49.683257919</v>
      </c>
      <c r="AD1505" s="1">
        <v>73.385452073</v>
      </c>
      <c r="AE1505" s="1">
        <v>5.7256031689</v>
      </c>
      <c r="AF1505" s="1">
        <v>0.4092370652</v>
      </c>
      <c r="AG1505" s="1">
        <v>0.248465361</v>
      </c>
      <c r="AH1505" s="1">
        <v>0.4530838936</v>
      </c>
      <c r="AI1505" s="1">
        <v>0.0146156095</v>
      </c>
      <c r="AJ1505" s="1">
        <v>0.9646302251</v>
      </c>
      <c r="AK1505" s="1">
        <v>96.653025431</v>
      </c>
      <c r="AL1505" s="1">
        <v>0.7664633193</v>
      </c>
      <c r="AM1505" s="1">
        <v>48.9184448989999</v>
      </c>
      <c r="AN1505" s="1">
        <v>100.0</v>
      </c>
      <c r="AO1505" s="1">
        <v>25149.0</v>
      </c>
      <c r="AP1505" s="1">
        <v>13.8</v>
      </c>
      <c r="AQ1505" s="1">
        <v>4.4</v>
      </c>
      <c r="AR1505" s="1">
        <v>13.5</v>
      </c>
      <c r="AS1505" s="1">
        <v>19.6</v>
      </c>
      <c r="AT1505" s="1">
        <v>23.3</v>
      </c>
      <c r="AU1505" s="1">
        <v>14.4</v>
      </c>
      <c r="AV1505" s="1">
        <v>2.8</v>
      </c>
      <c r="AW1505" s="1">
        <v>0.5</v>
      </c>
      <c r="AX1505" s="1">
        <v>0.2391</v>
      </c>
      <c r="AY1505" s="1">
        <v>14.2</v>
      </c>
      <c r="AZ1505" s="1">
        <v>12.8</v>
      </c>
      <c r="BA1505" s="1">
        <v>16.8</v>
      </c>
      <c r="BB1505" s="1">
        <v>2.71</v>
      </c>
      <c r="BC1505" s="1" t="s">
        <v>2554</v>
      </c>
      <c r="BD1505" s="1">
        <v>13.7</v>
      </c>
      <c r="BE1505" s="1">
        <v>43.5</v>
      </c>
      <c r="BF1505" s="1">
        <v>30.0</v>
      </c>
      <c r="BG1505" s="1">
        <v>12.8</v>
      </c>
      <c r="BH1505" s="1" t="s">
        <v>2583</v>
      </c>
    </row>
    <row r="1506">
      <c r="A1506" s="1">
        <v>29047.0</v>
      </c>
      <c r="B1506" s="2" t="str">
        <f>IFERROR(__xludf.DUMMYFUNCTION("TO_TEXT(A1506)"),"29047")</f>
        <v>29047</v>
      </c>
      <c r="C1506" s="1">
        <v>233135.0</v>
      </c>
      <c r="D1506" s="1">
        <v>397.639193399012</v>
      </c>
      <c r="E1506" s="1" t="s">
        <v>86</v>
      </c>
      <c r="F1506" s="1" t="s">
        <v>2584</v>
      </c>
      <c r="G1506" s="1">
        <v>586.297839524235</v>
      </c>
      <c r="H1506" s="1">
        <v>16.046611731</v>
      </c>
      <c r="I1506" s="1">
        <v>4.0809435808</v>
      </c>
      <c r="J1506" s="1">
        <v>6.5793167993</v>
      </c>
      <c r="K1506" s="1">
        <v>15.895092767</v>
      </c>
      <c r="L1506" s="1">
        <v>33.3</v>
      </c>
      <c r="M1506" s="1">
        <v>8.0</v>
      </c>
      <c r="N1506" s="1">
        <v>23.7</v>
      </c>
      <c r="O1506" s="1">
        <v>90.9204781489999</v>
      </c>
      <c r="P1506" s="1">
        <v>8.58386398639999</v>
      </c>
      <c r="Q1506" s="1">
        <v>69.58341</v>
      </c>
      <c r="R1506" s="1">
        <v>95.30839895</v>
      </c>
      <c r="S1506" s="1">
        <v>8.7</v>
      </c>
      <c r="T1506" s="1">
        <v>57790.0</v>
      </c>
      <c r="U1506" s="1">
        <v>27.490915383</v>
      </c>
      <c r="V1506" s="1">
        <v>204.509002055</v>
      </c>
      <c r="W1506" s="1">
        <v>10.238714787</v>
      </c>
      <c r="X1506" s="1">
        <v>9.1037547718</v>
      </c>
      <c r="Y1506" s="1">
        <v>79.743138758</v>
      </c>
      <c r="Z1506" s="1">
        <v>10.3</v>
      </c>
      <c r="AA1506" s="1">
        <v>6.47734417929999</v>
      </c>
      <c r="AB1506" s="1">
        <v>68943.0</v>
      </c>
      <c r="AC1506" s="1">
        <v>35.020451121</v>
      </c>
      <c r="AD1506" s="1">
        <v>69.102287202</v>
      </c>
      <c r="AE1506" s="1">
        <v>8.5013274535</v>
      </c>
      <c r="AF1506" s="1">
        <v>6.6523248026</v>
      </c>
      <c r="AG1506" s="1">
        <v>0.6470074889</v>
      </c>
      <c r="AH1506" s="1">
        <v>2.4776246626</v>
      </c>
      <c r="AI1506" s="1">
        <v>0.3709942565</v>
      </c>
      <c r="AJ1506" s="1">
        <v>6.9713636271</v>
      </c>
      <c r="AK1506" s="1">
        <v>80.672985205</v>
      </c>
      <c r="AL1506" s="1">
        <v>1.0317996537</v>
      </c>
      <c r="AM1506" s="1">
        <v>50.892375134</v>
      </c>
      <c r="AN1506" s="1">
        <v>9.8157601864</v>
      </c>
      <c r="AO1506" s="1">
        <v>30531.0</v>
      </c>
      <c r="AP1506" s="1">
        <v>9.1</v>
      </c>
      <c r="AQ1506" s="1">
        <v>5.2</v>
      </c>
      <c r="AR1506" s="1">
        <v>7.3</v>
      </c>
      <c r="AS1506" s="1">
        <v>12.8</v>
      </c>
      <c r="AT1506" s="1">
        <v>24.9</v>
      </c>
      <c r="AU1506" s="1">
        <v>11.6</v>
      </c>
      <c r="AV1506" s="1">
        <v>17.6</v>
      </c>
      <c r="AW1506" s="1">
        <v>1.2</v>
      </c>
      <c r="AX1506" s="1">
        <v>0.1445</v>
      </c>
      <c r="AY1506" s="1">
        <v>9.1</v>
      </c>
      <c r="AZ1506" s="1">
        <v>10.0</v>
      </c>
      <c r="BA1506" s="1">
        <v>10.1</v>
      </c>
      <c r="BB1506" s="1">
        <v>3.1</v>
      </c>
      <c r="BC1506" s="1" t="s">
        <v>2554</v>
      </c>
      <c r="BD1506" s="1">
        <v>6.7</v>
      </c>
      <c r="BE1506" s="1">
        <v>28.4</v>
      </c>
      <c r="BF1506" s="1">
        <v>31.8</v>
      </c>
      <c r="BG1506" s="1">
        <v>33.2</v>
      </c>
      <c r="BH1506" s="1" t="s">
        <v>2584</v>
      </c>
    </row>
    <row r="1507">
      <c r="A1507" s="1">
        <v>29049.0</v>
      </c>
      <c r="B1507" s="2" t="str">
        <f>IFERROR(__xludf.DUMMYFUNCTION("TO_TEXT(A1507)"),"29049")</f>
        <v>29049</v>
      </c>
      <c r="C1507" s="1">
        <v>20494.0</v>
      </c>
      <c r="D1507" s="1">
        <v>418.958001430176</v>
      </c>
      <c r="E1507" s="1" t="s">
        <v>1172</v>
      </c>
      <c r="F1507" s="1" t="s">
        <v>2585</v>
      </c>
      <c r="G1507" s="1">
        <v>48.9165976781459</v>
      </c>
      <c r="H1507" s="1">
        <v>16.20987537</v>
      </c>
      <c r="I1507" s="1">
        <v>4.2819410792</v>
      </c>
      <c r="J1507" s="1">
        <v>7.2327044025</v>
      </c>
      <c r="K1507" s="1">
        <v>18.460077735</v>
      </c>
      <c r="L1507" s="1">
        <v>33.2</v>
      </c>
      <c r="M1507" s="1">
        <v>8.3</v>
      </c>
      <c r="N1507" s="1">
        <v>34.5</v>
      </c>
      <c r="O1507" s="1">
        <v>53.921804946</v>
      </c>
      <c r="P1507" s="1">
        <v>9.1934909134</v>
      </c>
      <c r="Q1507" s="1">
        <v>53.51756</v>
      </c>
      <c r="R1507" s="1">
        <v>95.379537954</v>
      </c>
      <c r="S1507" s="1">
        <v>12.9</v>
      </c>
      <c r="T1507" s="1">
        <v>4793.0</v>
      </c>
      <c r="U1507" s="1">
        <v>33.34028792</v>
      </c>
      <c r="V1507" s="1">
        <v>455.74195576</v>
      </c>
      <c r="W1507" s="1">
        <v>11.022167488</v>
      </c>
      <c r="X1507" s="1">
        <v>9.5208462974</v>
      </c>
      <c r="Y1507" s="1">
        <v>76.692311846</v>
      </c>
      <c r="Z1507" s="1">
        <v>13.9</v>
      </c>
      <c r="AA1507" s="1">
        <v>3.093222758</v>
      </c>
      <c r="AB1507" s="1">
        <v>58641.0</v>
      </c>
      <c r="AC1507" s="1">
        <v>40.702111422</v>
      </c>
      <c r="AD1507" s="1">
        <v>75.468922398</v>
      </c>
      <c r="AE1507" s="1">
        <v>10.294301816</v>
      </c>
      <c r="AF1507" s="1">
        <v>1.2945774304</v>
      </c>
      <c r="AG1507" s="1">
        <v>0.7083536883</v>
      </c>
      <c r="AH1507" s="1">
        <v>0.4543234001</v>
      </c>
      <c r="AI1507" s="1">
        <v>0.0635075721</v>
      </c>
      <c r="AJ1507" s="1">
        <v>2.3106985833</v>
      </c>
      <c r="AK1507" s="1">
        <v>93.571079629</v>
      </c>
      <c r="AL1507" s="1">
        <v>0.154870683</v>
      </c>
      <c r="AM1507" s="1">
        <v>49.702002931</v>
      </c>
      <c r="AN1507" s="1">
        <v>76.208841537</v>
      </c>
      <c r="AO1507" s="1">
        <v>26551.0</v>
      </c>
      <c r="AP1507" s="1">
        <v>9.5</v>
      </c>
      <c r="AQ1507" s="1">
        <v>5.0</v>
      </c>
      <c r="AR1507" s="1">
        <v>7.5</v>
      </c>
      <c r="AS1507" s="1">
        <v>17.1</v>
      </c>
      <c r="AT1507" s="1">
        <v>24.1</v>
      </c>
      <c r="AU1507" s="1">
        <v>12.4</v>
      </c>
      <c r="AV1507" s="1">
        <v>6.1</v>
      </c>
      <c r="AW1507" s="1">
        <v>0.1</v>
      </c>
      <c r="AX1507" s="1">
        <v>0.1203</v>
      </c>
      <c r="AY1507" s="1">
        <v>9.9</v>
      </c>
      <c r="AZ1507" s="1">
        <v>11.3</v>
      </c>
      <c r="BA1507" s="1">
        <v>13.4</v>
      </c>
      <c r="BB1507" s="1">
        <v>3.36</v>
      </c>
      <c r="BC1507" s="1" t="s">
        <v>2554</v>
      </c>
      <c r="BD1507" s="1">
        <v>8.0</v>
      </c>
      <c r="BE1507" s="1">
        <v>40.0</v>
      </c>
      <c r="BF1507" s="1">
        <v>30.3</v>
      </c>
      <c r="BG1507" s="1">
        <v>21.6</v>
      </c>
      <c r="BH1507" s="1" t="s">
        <v>2585</v>
      </c>
    </row>
    <row r="1508">
      <c r="A1508" s="1">
        <v>29051.0</v>
      </c>
      <c r="B1508" s="2" t="str">
        <f>IFERROR(__xludf.DUMMYFUNCTION("TO_TEXT(A1508)"),"29051")</f>
        <v>29051</v>
      </c>
      <c r="C1508" s="1">
        <v>76603.0</v>
      </c>
      <c r="D1508" s="1">
        <v>391.512594430861</v>
      </c>
      <c r="E1508" s="1" t="s">
        <v>2586</v>
      </c>
      <c r="F1508" s="1" t="s">
        <v>2587</v>
      </c>
      <c r="G1508" s="1">
        <v>195.659095236405</v>
      </c>
      <c r="H1508" s="1">
        <v>16.929257951</v>
      </c>
      <c r="I1508" s="1">
        <v>4.0373370343</v>
      </c>
      <c r="J1508" s="1">
        <v>8.4632169576</v>
      </c>
      <c r="K1508" s="1">
        <v>18.154475697</v>
      </c>
      <c r="L1508" s="1">
        <v>35.6</v>
      </c>
      <c r="M1508" s="1">
        <v>7.5</v>
      </c>
      <c r="N1508" s="1">
        <v>20.7</v>
      </c>
      <c r="O1508" s="1">
        <v>77.522042374</v>
      </c>
      <c r="P1508" s="1">
        <v>10.091896129</v>
      </c>
      <c r="Q1508" s="1">
        <v>70.39683</v>
      </c>
      <c r="R1508" s="1">
        <v>87.299630086</v>
      </c>
      <c r="S1508" s="1">
        <v>12.0</v>
      </c>
      <c r="T1508" s="1">
        <v>17257.0</v>
      </c>
      <c r="U1508" s="1">
        <v>32.218809758</v>
      </c>
      <c r="V1508" s="1">
        <v>256.98912838</v>
      </c>
      <c r="W1508" s="1">
        <v>9.9966284558</v>
      </c>
      <c r="X1508" s="1">
        <v>8.4786324786</v>
      </c>
      <c r="Y1508" s="1">
        <v>79.1567291389999</v>
      </c>
      <c r="Z1508" s="1">
        <v>10.7</v>
      </c>
      <c r="AA1508" s="1">
        <v>8.3553293223</v>
      </c>
      <c r="AB1508" s="1">
        <v>62817.0</v>
      </c>
      <c r="AC1508" s="1">
        <v>48.613422074</v>
      </c>
      <c r="AD1508" s="1">
        <v>67.545127567</v>
      </c>
      <c r="AE1508" s="1">
        <v>8.0505540166</v>
      </c>
      <c r="AF1508" s="1">
        <v>12.150372415</v>
      </c>
      <c r="AG1508" s="1">
        <v>0.3906453461</v>
      </c>
      <c r="AH1508" s="1">
        <v>1.372467316</v>
      </c>
      <c r="AI1508" s="1">
        <v>0.06771186</v>
      </c>
      <c r="AJ1508" s="1">
        <v>2.9428616074</v>
      </c>
      <c r="AK1508" s="1">
        <v>81.35449763</v>
      </c>
      <c r="AL1508" s="1">
        <v>0.2913267854</v>
      </c>
      <c r="AM1508" s="1">
        <v>49.483045992</v>
      </c>
      <c r="AN1508" s="1">
        <v>29.074878273</v>
      </c>
      <c r="AO1508" s="1">
        <v>26557.0</v>
      </c>
      <c r="AP1508" s="1">
        <v>12.6</v>
      </c>
      <c r="AQ1508" s="1">
        <v>5.0</v>
      </c>
      <c r="AR1508" s="1">
        <v>8.7</v>
      </c>
      <c r="AS1508" s="1">
        <v>14.1</v>
      </c>
      <c r="AT1508" s="1">
        <v>22.9</v>
      </c>
      <c r="AU1508" s="1">
        <v>14.0</v>
      </c>
      <c r="AV1508" s="1">
        <v>18.4</v>
      </c>
      <c r="AW1508" s="1">
        <v>0.3</v>
      </c>
      <c r="AX1508" s="1">
        <v>0.3149</v>
      </c>
      <c r="AY1508" s="1">
        <v>10.6</v>
      </c>
      <c r="AZ1508" s="1">
        <v>10.9</v>
      </c>
      <c r="BA1508" s="1">
        <v>11.8</v>
      </c>
      <c r="BB1508" s="1">
        <v>2.9</v>
      </c>
      <c r="BC1508" s="1" t="s">
        <v>2554</v>
      </c>
      <c r="BD1508" s="1">
        <v>7.7</v>
      </c>
      <c r="BE1508" s="1">
        <v>29.7</v>
      </c>
      <c r="BF1508" s="1">
        <v>29.3</v>
      </c>
      <c r="BG1508" s="1">
        <v>33.3</v>
      </c>
      <c r="BH1508" s="1" t="s">
        <v>2587</v>
      </c>
    </row>
    <row r="1509">
      <c r="A1509" s="1">
        <v>29053.0</v>
      </c>
      <c r="B1509" s="2" t="str">
        <f>IFERROR(__xludf.DUMMYFUNCTION("TO_TEXT(A1509)"),"29053")</f>
        <v>29053</v>
      </c>
      <c r="C1509" s="1">
        <v>17613.0</v>
      </c>
      <c r="D1509" s="1">
        <v>564.766135229952</v>
      </c>
      <c r="E1509" s="1" t="s">
        <v>2588</v>
      </c>
      <c r="F1509" s="1" t="s">
        <v>2589</v>
      </c>
      <c r="G1509" s="1">
        <v>31.1863599839049</v>
      </c>
      <c r="H1509" s="1">
        <v>18.103825753</v>
      </c>
      <c r="I1509" s="1">
        <v>4.2591419895</v>
      </c>
      <c r="J1509" s="1">
        <v>8.242159008</v>
      </c>
      <c r="K1509" s="1">
        <v>19.34786561</v>
      </c>
      <c r="L1509" s="1">
        <v>34.1</v>
      </c>
      <c r="M1509" s="1">
        <v>7.6</v>
      </c>
      <c r="N1509" s="1">
        <v>25.8</v>
      </c>
      <c r="O1509" s="1">
        <v>58.979603432</v>
      </c>
      <c r="P1509" s="1">
        <v>10.645112094</v>
      </c>
      <c r="Q1509" s="1">
        <v>39.67354</v>
      </c>
      <c r="R1509" s="1">
        <v>98.009950249</v>
      </c>
      <c r="S1509" s="1">
        <v>20.7</v>
      </c>
      <c r="T1509" s="1">
        <v>3810.0</v>
      </c>
      <c r="U1509" s="1">
        <v>34.934383202</v>
      </c>
      <c r="V1509" s="1">
        <v>99.122061739</v>
      </c>
      <c r="W1509" s="1">
        <v>11.297709924</v>
      </c>
      <c r="X1509" s="1">
        <v>9.4525828836</v>
      </c>
      <c r="Y1509" s="1">
        <v>77.348615391</v>
      </c>
      <c r="Z1509" s="1">
        <v>6.6</v>
      </c>
      <c r="AA1509" s="1">
        <v>8.4004946392</v>
      </c>
      <c r="AB1509" s="1">
        <v>52513.0</v>
      </c>
      <c r="AC1509" s="1">
        <v>67.08249497</v>
      </c>
      <c r="AD1509" s="1">
        <v>70.068450529</v>
      </c>
      <c r="AE1509" s="1">
        <v>10.035495321</v>
      </c>
      <c r="AF1509" s="1">
        <v>6.98744532179999</v>
      </c>
      <c r="AG1509" s="1">
        <v>0.6021700846</v>
      </c>
      <c r="AH1509" s="1">
        <v>0.6248934841</v>
      </c>
      <c r="AI1509" s="1">
        <v>0.0681701983</v>
      </c>
      <c r="AJ1509" s="1">
        <v>2.0962335965</v>
      </c>
      <c r="AK1509" s="1">
        <v>87.786172811</v>
      </c>
      <c r="AL1509" s="1">
        <v>0.1202501203</v>
      </c>
      <c r="AM1509" s="1">
        <v>47.758904732</v>
      </c>
      <c r="AN1509" s="1">
        <v>53.201522641</v>
      </c>
      <c r="AO1509" s="1">
        <v>22822.0</v>
      </c>
      <c r="AP1509" s="1">
        <v>13.3</v>
      </c>
      <c r="AQ1509" s="1">
        <v>5.4</v>
      </c>
      <c r="AR1509" s="1">
        <v>11.0</v>
      </c>
      <c r="AS1509" s="1">
        <v>16.7</v>
      </c>
      <c r="AT1509" s="1">
        <v>22.0</v>
      </c>
      <c r="AU1509" s="1">
        <v>14.9</v>
      </c>
      <c r="AV1509" s="1">
        <v>11.4</v>
      </c>
      <c r="AW1509" s="1">
        <v>0.1</v>
      </c>
      <c r="AX1509" s="1">
        <v>0.2588</v>
      </c>
      <c r="AY1509" s="1">
        <v>11.8</v>
      </c>
      <c r="AZ1509" s="1">
        <v>12.6</v>
      </c>
      <c r="BA1509" s="1">
        <v>14.1</v>
      </c>
      <c r="BB1509" s="1">
        <v>2.94</v>
      </c>
      <c r="BC1509" s="1" t="s">
        <v>2554</v>
      </c>
      <c r="BD1509" s="1">
        <v>11.3</v>
      </c>
      <c r="BE1509" s="1">
        <v>37.5</v>
      </c>
      <c r="BF1509" s="1">
        <v>29.0</v>
      </c>
      <c r="BG1509" s="1">
        <v>22.1</v>
      </c>
      <c r="BH1509" s="1" t="s">
        <v>2589</v>
      </c>
    </row>
    <row r="1510">
      <c r="A1510" s="1">
        <v>29055.0</v>
      </c>
      <c r="B1510" s="2" t="str">
        <f>IFERROR(__xludf.DUMMYFUNCTION("TO_TEXT(A1510)"),"29055")</f>
        <v>29055</v>
      </c>
      <c r="C1510" s="1">
        <v>24545.0</v>
      </c>
      <c r="D1510" s="1">
        <v>742.516095982299</v>
      </c>
      <c r="E1510" s="1" t="s">
        <v>314</v>
      </c>
      <c r="F1510" s="1" t="s">
        <v>2590</v>
      </c>
      <c r="G1510" s="1">
        <v>33.056522454949</v>
      </c>
      <c r="H1510" s="1">
        <v>23.223672899</v>
      </c>
      <c r="I1510" s="1">
        <v>4.8422958127</v>
      </c>
      <c r="J1510" s="1">
        <v>8.730964467</v>
      </c>
      <c r="K1510" s="1">
        <v>22.919949045</v>
      </c>
      <c r="L1510" s="1">
        <v>40.3</v>
      </c>
      <c r="M1510" s="1">
        <v>7.7</v>
      </c>
      <c r="N1510" s="1">
        <v>30.3</v>
      </c>
      <c r="O1510" s="1">
        <v>61.301425332</v>
      </c>
      <c r="P1510" s="1">
        <v>14.800709516</v>
      </c>
      <c r="Q1510" s="1">
        <v>48.31939</v>
      </c>
      <c r="R1510" s="1">
        <v>94.042553191</v>
      </c>
      <c r="S1510" s="1">
        <v>24.1</v>
      </c>
      <c r="T1510" s="1">
        <v>5570.0</v>
      </c>
      <c r="U1510" s="1">
        <v>34.129263914</v>
      </c>
      <c r="V1510" s="1">
        <v>162.82755476</v>
      </c>
      <c r="W1510" s="1">
        <v>15.60818084</v>
      </c>
      <c r="X1510" s="1">
        <v>12.487751769</v>
      </c>
      <c r="Y1510" s="1">
        <v>74.485654128</v>
      </c>
      <c r="Z1510" s="1">
        <v>16.6</v>
      </c>
      <c r="AA1510" s="1">
        <v>2.9098665122</v>
      </c>
      <c r="AB1510" s="1">
        <v>42774.0</v>
      </c>
      <c r="AC1510" s="1">
        <v>59.8672299339999</v>
      </c>
      <c r="AD1510" s="1">
        <v>69.312783701</v>
      </c>
      <c r="AE1510" s="1">
        <v>12.946478873</v>
      </c>
      <c r="AF1510" s="1">
        <v>0.5259423133</v>
      </c>
      <c r="AG1510" s="1">
        <v>0.6970822724</v>
      </c>
      <c r="AH1510" s="1">
        <v>0.3047126101</v>
      </c>
      <c r="AI1510" s="1">
        <v>0.0918311976</v>
      </c>
      <c r="AJ1510" s="1">
        <v>2.0328087824</v>
      </c>
      <c r="AK1510" s="1">
        <v>95.074508494</v>
      </c>
      <c r="AL1510" s="1">
        <v>0.3582506881</v>
      </c>
      <c r="AM1510" s="1">
        <v>50.39863088</v>
      </c>
      <c r="AN1510" s="1">
        <v>73.307418205</v>
      </c>
      <c r="AO1510" s="1">
        <v>20373.0</v>
      </c>
      <c r="AP1510" s="1">
        <v>21.4</v>
      </c>
      <c r="AQ1510" s="1">
        <v>11.9</v>
      </c>
      <c r="AR1510" s="1">
        <v>21.7</v>
      </c>
      <c r="AS1510" s="1">
        <v>17.9</v>
      </c>
      <c r="AT1510" s="1">
        <v>23.7</v>
      </c>
      <c r="AU1510" s="1">
        <v>21.6</v>
      </c>
      <c r="AV1510" s="1">
        <v>4.2</v>
      </c>
      <c r="AW1510" s="1">
        <v>0.1</v>
      </c>
      <c r="AX1510" s="1">
        <v>0.7154</v>
      </c>
      <c r="AY1510" s="1">
        <v>15.6</v>
      </c>
      <c r="AZ1510" s="1">
        <v>16.5</v>
      </c>
      <c r="BA1510" s="1">
        <v>20.0</v>
      </c>
      <c r="BB1510" s="1">
        <v>2.91</v>
      </c>
      <c r="BC1510" s="1" t="s">
        <v>2554</v>
      </c>
      <c r="BD1510" s="1">
        <v>22.1</v>
      </c>
      <c r="BE1510" s="1">
        <v>39.1</v>
      </c>
      <c r="BF1510" s="1">
        <v>27.3</v>
      </c>
      <c r="BG1510" s="1">
        <v>11.5</v>
      </c>
      <c r="BH1510" s="1" t="s">
        <v>2590</v>
      </c>
    </row>
    <row r="1511">
      <c r="A1511" s="1">
        <v>29057.0</v>
      </c>
      <c r="B1511" s="2" t="str">
        <f>IFERROR(__xludf.DUMMYFUNCTION("TO_TEXT(A1511)"),"29057")</f>
        <v>29057</v>
      </c>
      <c r="C1511" s="1">
        <v>7590.0</v>
      </c>
      <c r="D1511" s="1">
        <v>490.011047465416</v>
      </c>
      <c r="E1511" s="1" t="s">
        <v>866</v>
      </c>
      <c r="F1511" s="1" t="s">
        <v>2591</v>
      </c>
      <c r="G1511" s="1">
        <v>15.4894466956598</v>
      </c>
      <c r="H1511" s="1">
        <v>21.414300667</v>
      </c>
      <c r="I1511" s="1">
        <v>4.8336711265</v>
      </c>
      <c r="J1511" s="1">
        <v>6.7368421053</v>
      </c>
      <c r="K1511" s="1">
        <v>21.317466442</v>
      </c>
      <c r="L1511" s="1">
        <v>34.1</v>
      </c>
      <c r="M1511" s="1">
        <v>7.7</v>
      </c>
      <c r="N1511" s="1">
        <v>28.4</v>
      </c>
      <c r="O1511" s="1">
        <v>13.408600787</v>
      </c>
      <c r="P1511" s="1">
        <v>14.863921842</v>
      </c>
      <c r="Q1511" s="1">
        <v>65.89352</v>
      </c>
      <c r="R1511" s="1">
        <v>96.296296296</v>
      </c>
      <c r="S1511" s="1">
        <v>25.2</v>
      </c>
      <c r="T1511" s="1">
        <v>1523.0</v>
      </c>
      <c r="U1511" s="1">
        <v>31.122783979</v>
      </c>
      <c r="V1511" s="1">
        <v>303.75812376</v>
      </c>
      <c r="W1511" s="1">
        <v>12.9032258059999</v>
      </c>
      <c r="X1511" s="1">
        <v>10.110174984</v>
      </c>
      <c r="Y1511" s="1">
        <v>76.60102764</v>
      </c>
      <c r="Z1511" s="1">
        <v>15.8</v>
      </c>
      <c r="AA1511" s="1">
        <v>3.19529520649999</v>
      </c>
      <c r="AB1511" s="1">
        <v>41381.0</v>
      </c>
      <c r="AC1511" s="1">
        <v>68.284228769</v>
      </c>
      <c r="AD1511" s="1">
        <v>77.863330125</v>
      </c>
      <c r="AE1511" s="1">
        <v>10.569105691</v>
      </c>
      <c r="AF1511" s="1">
        <v>0.4624124719</v>
      </c>
      <c r="AG1511" s="1">
        <v>0.9776720835</v>
      </c>
      <c r="AH1511" s="1">
        <v>0.5152596116</v>
      </c>
      <c r="AI1511" s="1">
        <v>0.0396353547</v>
      </c>
      <c r="AJ1511" s="1">
        <v>2.100673801</v>
      </c>
      <c r="AK1511" s="1">
        <v>93.5262253929999</v>
      </c>
      <c r="AL1511" s="1">
        <v>0.2625760088</v>
      </c>
      <c r="AM1511" s="1">
        <v>48.92323953</v>
      </c>
      <c r="AN1511" s="1">
        <v>100.0</v>
      </c>
      <c r="AO1511" s="1">
        <v>20624.0</v>
      </c>
      <c r="AP1511" s="1">
        <v>20.6</v>
      </c>
      <c r="AQ1511" s="1">
        <v>8.2</v>
      </c>
      <c r="AR1511" s="1">
        <v>13.5</v>
      </c>
      <c r="AS1511" s="1">
        <v>22.3</v>
      </c>
      <c r="AT1511" s="1">
        <v>21.2</v>
      </c>
      <c r="AU1511" s="1">
        <v>18.5</v>
      </c>
      <c r="AV1511" s="1">
        <v>5.8</v>
      </c>
      <c r="AW1511" s="1">
        <v>0.3</v>
      </c>
      <c r="AX1511" s="1">
        <v>0.5444</v>
      </c>
      <c r="AY1511" s="1">
        <v>15.9</v>
      </c>
      <c r="AZ1511" s="1">
        <v>15.4</v>
      </c>
      <c r="BA1511" s="1">
        <v>21.4</v>
      </c>
      <c r="BB1511" s="1">
        <v>2.88</v>
      </c>
      <c r="BC1511" s="1" t="s">
        <v>2554</v>
      </c>
      <c r="BD1511" s="1">
        <v>12.8</v>
      </c>
      <c r="BE1511" s="1">
        <v>44.8</v>
      </c>
      <c r="BF1511" s="1">
        <v>29.7</v>
      </c>
      <c r="BG1511" s="1">
        <v>12.7</v>
      </c>
      <c r="BH1511" s="1" t="s">
        <v>2591</v>
      </c>
    </row>
    <row r="1512">
      <c r="A1512" s="1">
        <v>29059.0</v>
      </c>
      <c r="B1512" s="2" t="str">
        <f>IFERROR(__xludf.DUMMYFUNCTION("TO_TEXT(A1512)"),"29059")</f>
        <v>29059</v>
      </c>
      <c r="C1512" s="1">
        <v>16508.0</v>
      </c>
      <c r="D1512" s="1">
        <v>540.766125643922</v>
      </c>
      <c r="E1512" s="1" t="s">
        <v>106</v>
      </c>
      <c r="F1512" s="1" t="s">
        <v>2592</v>
      </c>
      <c r="G1512" s="1">
        <v>30.5270600674976</v>
      </c>
      <c r="H1512" s="1">
        <v>19.662711223</v>
      </c>
      <c r="I1512" s="1">
        <v>4.655927155</v>
      </c>
      <c r="J1512" s="1">
        <v>7.6398362892</v>
      </c>
      <c r="K1512" s="1">
        <v>20.410061905</v>
      </c>
      <c r="L1512" s="1">
        <v>32.9</v>
      </c>
      <c r="M1512" s="1">
        <v>7.4</v>
      </c>
      <c r="N1512" s="1">
        <v>28.9</v>
      </c>
      <c r="O1512" s="1">
        <v>5.7698038982</v>
      </c>
      <c r="P1512" s="1">
        <v>16.734941587</v>
      </c>
      <c r="Q1512" s="1">
        <v>5.99771999999999</v>
      </c>
      <c r="R1512" s="1">
        <v>96.330275229</v>
      </c>
      <c r="S1512" s="1">
        <v>25.5</v>
      </c>
      <c r="T1512" s="1">
        <v>3976.0</v>
      </c>
      <c r="U1512" s="1">
        <v>24.11971831</v>
      </c>
      <c r="V1512" s="1">
        <v>323.10177706</v>
      </c>
      <c r="W1512" s="1">
        <v>15.447154472</v>
      </c>
      <c r="X1512" s="1">
        <v>10.526315789</v>
      </c>
      <c r="Y1512" s="1">
        <v>75.571108373</v>
      </c>
      <c r="Z1512" s="1">
        <v>13.3</v>
      </c>
      <c r="AA1512" s="1">
        <v>8.7828042959</v>
      </c>
      <c r="AB1512" s="1">
        <v>38765.0</v>
      </c>
      <c r="AC1512" s="1">
        <v>62.764705882</v>
      </c>
      <c r="AD1512" s="1">
        <v>74.460259076</v>
      </c>
      <c r="AE1512" s="1">
        <v>8.8284659282</v>
      </c>
      <c r="AF1512" s="1">
        <v>0.3221572605</v>
      </c>
      <c r="AG1512" s="1">
        <v>0.9306765302</v>
      </c>
      <c r="AH1512" s="1">
        <v>0.2803961341</v>
      </c>
      <c r="AI1512" s="1">
        <v>0.0715905023</v>
      </c>
      <c r="AJ1512" s="1">
        <v>2.2014079465</v>
      </c>
      <c r="AK1512" s="1">
        <v>94.517360697</v>
      </c>
      <c r="AL1512" s="1">
        <v>0.5151983514</v>
      </c>
      <c r="AM1512" s="1">
        <v>50.101419878</v>
      </c>
      <c r="AN1512" s="1">
        <v>81.933599571</v>
      </c>
      <c r="AO1512" s="1">
        <v>17378.0</v>
      </c>
      <c r="AP1512" s="1">
        <v>18.2</v>
      </c>
      <c r="AQ1512" s="1">
        <v>10.8</v>
      </c>
      <c r="AR1512" s="1">
        <v>18.6</v>
      </c>
      <c r="AS1512" s="1">
        <v>19.1</v>
      </c>
      <c r="AT1512" s="1">
        <v>23.7</v>
      </c>
      <c r="AU1512" s="1">
        <v>22.0</v>
      </c>
      <c r="AV1512" s="1">
        <v>5.6</v>
      </c>
      <c r="AW1512" s="1">
        <v>0.8</v>
      </c>
      <c r="AX1512" s="1">
        <v>0.8134</v>
      </c>
      <c r="AY1512" s="1">
        <v>17.8</v>
      </c>
      <c r="AZ1512" s="1">
        <v>14.9</v>
      </c>
      <c r="BA1512" s="1">
        <v>17.8</v>
      </c>
      <c r="BB1512" s="1">
        <v>2.92</v>
      </c>
      <c r="BC1512" s="1" t="s">
        <v>2554</v>
      </c>
      <c r="BD1512" s="1">
        <v>16.6</v>
      </c>
      <c r="BE1512" s="1">
        <v>44.5</v>
      </c>
      <c r="BF1512" s="1">
        <v>26.0</v>
      </c>
      <c r="BG1512" s="1">
        <v>12.9</v>
      </c>
      <c r="BH1512" s="1" t="s">
        <v>2592</v>
      </c>
    </row>
    <row r="1513">
      <c r="A1513" s="1">
        <v>29061.0</v>
      </c>
      <c r="B1513" s="2" t="str">
        <f>IFERROR(__xludf.DUMMYFUNCTION("TO_TEXT(A1513)"),"29061")</f>
        <v>29061</v>
      </c>
      <c r="C1513" s="1">
        <v>8257.0</v>
      </c>
      <c r="D1513" s="1">
        <v>563.236077869088</v>
      </c>
      <c r="E1513" s="1" t="s">
        <v>1325</v>
      </c>
      <c r="F1513" s="1" t="s">
        <v>2593</v>
      </c>
      <c r="G1513" s="1">
        <v>14.6599273811419</v>
      </c>
      <c r="H1513" s="1">
        <v>18.44236445</v>
      </c>
      <c r="I1513" s="1">
        <v>4.36483927329999</v>
      </c>
      <c r="J1513" s="1">
        <v>6.3183475091</v>
      </c>
      <c r="K1513" s="1">
        <v>20.374349836</v>
      </c>
      <c r="L1513" s="1">
        <v>45.4</v>
      </c>
      <c r="M1513" s="1">
        <v>7.6</v>
      </c>
      <c r="N1513" s="1">
        <v>30.4</v>
      </c>
      <c r="O1513" s="1">
        <v>31.7561958969999</v>
      </c>
      <c r="P1513" s="1">
        <v>16.245376079</v>
      </c>
      <c r="Q1513" s="1">
        <v>11.96029</v>
      </c>
      <c r="R1513" s="1">
        <v>93.87755102</v>
      </c>
      <c r="S1513" s="1">
        <v>26.0</v>
      </c>
      <c r="T1513" s="1">
        <v>2108.0</v>
      </c>
      <c r="U1513" s="1">
        <v>21.869070209</v>
      </c>
      <c r="V1513" s="1">
        <v>145.73718727</v>
      </c>
      <c r="W1513" s="1">
        <v>12.664473684</v>
      </c>
      <c r="X1513" s="1">
        <v>8.9636787737</v>
      </c>
      <c r="Y1513" s="1">
        <v>79.002667318</v>
      </c>
      <c r="Z1513" s="1">
        <v>7.3</v>
      </c>
      <c r="AA1513" s="1">
        <v>9.9874028193</v>
      </c>
      <c r="AB1513" s="1">
        <v>51255.0</v>
      </c>
      <c r="AC1513" s="1">
        <v>56.830601093</v>
      </c>
      <c r="AD1513" s="1">
        <v>78.502173186</v>
      </c>
      <c r="AE1513" s="1">
        <v>7.4048201188</v>
      </c>
      <c r="AF1513" s="1">
        <v>0.6255262841</v>
      </c>
      <c r="AG1513" s="1">
        <v>0.4811740647</v>
      </c>
      <c r="AH1513" s="1">
        <v>0.2646457356</v>
      </c>
      <c r="AI1513" s="1">
        <v>0.0842054613</v>
      </c>
      <c r="AJ1513" s="1">
        <v>1.5999037652</v>
      </c>
      <c r="AK1513" s="1">
        <v>95.669433418</v>
      </c>
      <c r="AL1513" s="1">
        <v>0.566353456</v>
      </c>
      <c r="AM1513" s="1">
        <v>49.560928666</v>
      </c>
      <c r="AN1513" s="1">
        <v>100.0</v>
      </c>
      <c r="AO1513" s="1">
        <v>21356.0</v>
      </c>
      <c r="AP1513" s="1">
        <v>16.3</v>
      </c>
      <c r="AQ1513" s="1">
        <v>4.7</v>
      </c>
      <c r="AR1513" s="1">
        <v>15.9</v>
      </c>
      <c r="AS1513" s="1">
        <v>18.8</v>
      </c>
      <c r="AT1513" s="1">
        <v>26.1</v>
      </c>
      <c r="AU1513" s="1">
        <v>16.5</v>
      </c>
      <c r="AV1513" s="1">
        <v>3.6</v>
      </c>
      <c r="AW1513" s="1">
        <v>1.2</v>
      </c>
      <c r="AX1513" s="1">
        <v>0.5635</v>
      </c>
      <c r="AY1513" s="1">
        <v>17.6</v>
      </c>
      <c r="AZ1513" s="1">
        <v>12.0</v>
      </c>
      <c r="BA1513" s="1">
        <v>14.6</v>
      </c>
      <c r="BB1513" s="1">
        <v>3.01</v>
      </c>
      <c r="BC1513" s="1" t="s">
        <v>2554</v>
      </c>
      <c r="BD1513" s="1">
        <v>15.0</v>
      </c>
      <c r="BE1513" s="1">
        <v>41.0</v>
      </c>
      <c r="BF1513" s="1">
        <v>25.5</v>
      </c>
      <c r="BG1513" s="1">
        <v>18.5</v>
      </c>
      <c r="BH1513" s="1" t="s">
        <v>2593</v>
      </c>
    </row>
    <row r="1514">
      <c r="A1514" s="1">
        <v>29063.0</v>
      </c>
      <c r="B1514" s="2" t="str">
        <f>IFERROR(__xludf.DUMMYFUNCTION("TO_TEXT(A1514)"),"29063")</f>
        <v>29063</v>
      </c>
      <c r="C1514" s="1">
        <v>12706.0</v>
      </c>
      <c r="D1514" s="1">
        <v>421.357457791908</v>
      </c>
      <c r="E1514" s="1" t="s">
        <v>108</v>
      </c>
      <c r="F1514" s="1" t="s">
        <v>2594</v>
      </c>
      <c r="G1514" s="1">
        <v>30.1549189768346</v>
      </c>
      <c r="H1514" s="1">
        <v>18.104720264</v>
      </c>
      <c r="I1514" s="1">
        <v>4.0918954723</v>
      </c>
      <c r="J1514" s="1">
        <v>6.0402684564</v>
      </c>
      <c r="K1514" s="1">
        <v>20.370000342</v>
      </c>
      <c r="L1514" s="1">
        <v>36.9</v>
      </c>
      <c r="M1514" s="1">
        <v>7.1</v>
      </c>
      <c r="N1514" s="1">
        <v>33.9</v>
      </c>
      <c r="O1514" s="1">
        <v>64.993794601</v>
      </c>
      <c r="P1514" s="1">
        <v>10.487567718</v>
      </c>
      <c r="Q1514" s="1">
        <v>23.83222</v>
      </c>
      <c r="R1514" s="1">
        <v>91.935483871</v>
      </c>
      <c r="S1514" s="1">
        <v>13.7</v>
      </c>
      <c r="T1514" s="1">
        <v>2049.0</v>
      </c>
      <c r="U1514" s="1">
        <v>19.521717911</v>
      </c>
      <c r="V1514" s="1">
        <v>134.60675598</v>
      </c>
      <c r="W1514" s="1">
        <v>8.87417218539999</v>
      </c>
      <c r="X1514" s="1">
        <v>7.8170699282</v>
      </c>
      <c r="Y1514" s="1">
        <v>77.2975909589999</v>
      </c>
      <c r="Z1514" s="1">
        <v>12.9</v>
      </c>
      <c r="AA1514" s="1">
        <v>11.248106364</v>
      </c>
      <c r="AB1514" s="1">
        <v>48920.0</v>
      </c>
      <c r="AC1514" s="1">
        <v>42.941757157</v>
      </c>
      <c r="AD1514" s="1">
        <v>68.546694648</v>
      </c>
      <c r="AE1514" s="1">
        <v>7.5987841945</v>
      </c>
      <c r="AF1514" s="1">
        <v>11.5597783059999</v>
      </c>
      <c r="AG1514" s="1">
        <v>0.5463182898</v>
      </c>
      <c r="AH1514" s="1">
        <v>0.3879651623</v>
      </c>
      <c r="AI1514" s="1">
        <v>0.1108471892</v>
      </c>
      <c r="AJ1514" s="1">
        <v>2.8424386382</v>
      </c>
      <c r="AK1514" s="1">
        <v>83.68962787</v>
      </c>
      <c r="AL1514" s="1">
        <v>0.0832154448</v>
      </c>
      <c r="AM1514" s="1">
        <v>37.410926366</v>
      </c>
      <c r="AN1514" s="1">
        <v>62.403040645</v>
      </c>
      <c r="AO1514" s="1">
        <v>17584.0</v>
      </c>
      <c r="AP1514" s="1">
        <v>14.2</v>
      </c>
      <c r="AQ1514" s="1">
        <v>5.5</v>
      </c>
      <c r="AR1514" s="1">
        <v>14.1</v>
      </c>
      <c r="AS1514" s="1">
        <v>15.7</v>
      </c>
      <c r="AT1514" s="1">
        <v>17.0</v>
      </c>
      <c r="AU1514" s="1">
        <v>17.7</v>
      </c>
      <c r="AV1514" s="1">
        <v>18.6</v>
      </c>
      <c r="AW1514" s="1">
        <v>0.2</v>
      </c>
      <c r="AX1514" s="1">
        <v>0.4218</v>
      </c>
      <c r="AY1514" s="1">
        <v>14.6</v>
      </c>
      <c r="AZ1514" s="1">
        <v>13.2</v>
      </c>
      <c r="BA1514" s="1">
        <v>15.5</v>
      </c>
      <c r="BB1514" s="1">
        <v>2.83</v>
      </c>
      <c r="BC1514" s="1" t="s">
        <v>2554</v>
      </c>
      <c r="BD1514" s="1">
        <v>12.7</v>
      </c>
      <c r="BE1514" s="1">
        <v>47.1</v>
      </c>
      <c r="BF1514" s="1">
        <v>26.4</v>
      </c>
      <c r="BG1514" s="1">
        <v>13.8</v>
      </c>
      <c r="BH1514" s="1" t="s">
        <v>2594</v>
      </c>
    </row>
    <row r="1515">
      <c r="A1515" s="1">
        <v>29065.0</v>
      </c>
      <c r="B1515" s="2" t="str">
        <f>IFERROR(__xludf.DUMMYFUNCTION("TO_TEXT(A1515)"),"29065")</f>
        <v>29065</v>
      </c>
      <c r="C1515" s="1">
        <v>15578.0</v>
      </c>
      <c r="D1515" s="1">
        <v>752.760126446956</v>
      </c>
      <c r="E1515" s="1" t="s">
        <v>2595</v>
      </c>
      <c r="F1515" s="1" t="s">
        <v>2596</v>
      </c>
      <c r="G1515" s="1">
        <v>20.6945073904598</v>
      </c>
      <c r="H1515" s="1">
        <v>21.95301244</v>
      </c>
      <c r="I1515" s="1">
        <v>4.7870026549</v>
      </c>
      <c r="J1515" s="1">
        <v>8.832807571</v>
      </c>
      <c r="K1515" s="1">
        <v>22.088572976</v>
      </c>
      <c r="L1515" s="1">
        <v>22.2</v>
      </c>
      <c r="M1515" s="1">
        <v>7.1</v>
      </c>
      <c r="N1515" s="1">
        <v>28.0</v>
      </c>
      <c r="O1515" s="1">
        <v>62.898384109</v>
      </c>
      <c r="P1515" s="1">
        <v>16.421650518</v>
      </c>
      <c r="Q1515" s="1">
        <v>19.37984</v>
      </c>
      <c r="R1515" s="1">
        <v>97.902097902</v>
      </c>
      <c r="S1515" s="1">
        <v>31.6</v>
      </c>
      <c r="T1515" s="1">
        <v>3532.0</v>
      </c>
      <c r="U1515" s="1">
        <v>26.670441676</v>
      </c>
      <c r="V1515" s="1">
        <v>92.6547174029999</v>
      </c>
      <c r="W1515" s="1">
        <v>11.969439728</v>
      </c>
      <c r="X1515" s="1">
        <v>9.318377912</v>
      </c>
      <c r="Y1515" s="1">
        <v>77.007478312</v>
      </c>
      <c r="Z1515" s="1">
        <v>13.7</v>
      </c>
      <c r="AA1515" s="1">
        <v>8.7129344856</v>
      </c>
      <c r="AB1515" s="1">
        <v>39392.0</v>
      </c>
      <c r="AC1515" s="1">
        <v>87.140963323</v>
      </c>
      <c r="AD1515" s="1">
        <v>70.380952381</v>
      </c>
      <c r="AE1515" s="1">
        <v>12.889113242</v>
      </c>
      <c r="AF1515" s="1">
        <v>0.5699112752</v>
      </c>
      <c r="AG1515" s="1">
        <v>1.1333462859</v>
      </c>
      <c r="AH1515" s="1">
        <v>0.7836280034</v>
      </c>
      <c r="AI1515" s="1">
        <v>0.0582863804</v>
      </c>
      <c r="AJ1515" s="1">
        <v>1.7744964704</v>
      </c>
      <c r="AK1515" s="1">
        <v>94.119551842</v>
      </c>
      <c r="AL1515" s="1">
        <v>0.02734108</v>
      </c>
      <c r="AM1515" s="1">
        <v>50.1910498019999</v>
      </c>
      <c r="AN1515" s="1">
        <v>68.5699687039999</v>
      </c>
      <c r="AO1515" s="1">
        <v>19929.0</v>
      </c>
      <c r="AP1515" s="1">
        <v>22.4</v>
      </c>
      <c r="AQ1515" s="1">
        <v>8.1</v>
      </c>
      <c r="AR1515" s="1">
        <v>21.1</v>
      </c>
      <c r="AS1515" s="1">
        <v>20.1</v>
      </c>
      <c r="AT1515" s="1">
        <v>23.1</v>
      </c>
      <c r="AU1515" s="1">
        <v>24.8</v>
      </c>
      <c r="AV1515" s="1">
        <v>5.0</v>
      </c>
      <c r="AW1515" s="1">
        <v>0.1</v>
      </c>
      <c r="AX1515" s="1">
        <v>0.6912</v>
      </c>
      <c r="AY1515" s="1">
        <v>19.0</v>
      </c>
      <c r="AZ1515" s="1">
        <v>16.7</v>
      </c>
      <c r="BA1515" s="1">
        <v>21.3</v>
      </c>
      <c r="BB1515" s="1">
        <v>2.91</v>
      </c>
      <c r="BC1515" s="1" t="s">
        <v>2554</v>
      </c>
      <c r="BD1515" s="1">
        <v>16.8</v>
      </c>
      <c r="BE1515" s="1">
        <v>41.4</v>
      </c>
      <c r="BF1515" s="1">
        <v>26.5</v>
      </c>
      <c r="BG1515" s="1">
        <v>15.3</v>
      </c>
      <c r="BH1515" s="1" t="s">
        <v>2596</v>
      </c>
    </row>
    <row r="1516">
      <c r="A1516" s="1">
        <v>29067.0</v>
      </c>
      <c r="B1516" s="2" t="str">
        <f>IFERROR(__xludf.DUMMYFUNCTION("TO_TEXT(A1516)"),"29067")</f>
        <v>29067</v>
      </c>
      <c r="C1516" s="1">
        <v>13467.0</v>
      </c>
      <c r="D1516" s="1">
        <v>813.631092469542</v>
      </c>
      <c r="E1516" s="1" t="s">
        <v>569</v>
      </c>
      <c r="F1516" s="1" t="s">
        <v>2597</v>
      </c>
      <c r="G1516" s="1">
        <v>16.5517273425783</v>
      </c>
      <c r="H1516" s="1">
        <v>21.4130207059999</v>
      </c>
      <c r="I1516" s="1">
        <v>4.8461979623</v>
      </c>
      <c r="J1516" s="1">
        <v>6.0263653484</v>
      </c>
      <c r="K1516" s="1">
        <v>22.186456977</v>
      </c>
      <c r="L1516" s="1">
        <v>30.6</v>
      </c>
      <c r="M1516" s="1">
        <v>6.7</v>
      </c>
      <c r="N1516" s="1">
        <v>30.3</v>
      </c>
      <c r="O1516" s="1">
        <v>38.563285589</v>
      </c>
      <c r="P1516" s="1">
        <v>15.240399153</v>
      </c>
      <c r="Q1516" s="1">
        <v>15.03759</v>
      </c>
      <c r="R1516" s="1">
        <v>99.0</v>
      </c>
      <c r="S1516" s="1">
        <v>29.5</v>
      </c>
      <c r="T1516" s="1">
        <v>2845.0</v>
      </c>
      <c r="U1516" s="1">
        <v>27.662565905</v>
      </c>
      <c r="V1516" s="1">
        <v>175.38622285</v>
      </c>
      <c r="W1516" s="1">
        <v>15.655577299</v>
      </c>
      <c r="X1516" s="1">
        <v>12.092017302</v>
      </c>
      <c r="Y1516" s="1">
        <v>75.778362563</v>
      </c>
      <c r="Z1516" s="1">
        <v>18.4</v>
      </c>
      <c r="AA1516" s="1">
        <v>13.823212923</v>
      </c>
      <c r="AB1516" s="1">
        <v>36762.0</v>
      </c>
      <c r="AC1516" s="1">
        <v>66.902768835</v>
      </c>
      <c r="AD1516" s="1">
        <v>79.750292626</v>
      </c>
      <c r="AE1516" s="1">
        <v>12.950222582</v>
      </c>
      <c r="AF1516" s="1">
        <v>0.3888431915</v>
      </c>
      <c r="AG1516" s="1">
        <v>0.8524639198</v>
      </c>
      <c r="AH1516" s="1">
        <v>0.3215434084</v>
      </c>
      <c r="AI1516" s="1">
        <v>0.0074777537</v>
      </c>
      <c r="AJ1516" s="1">
        <v>1.7722276228</v>
      </c>
      <c r="AK1516" s="1">
        <v>94.698272639</v>
      </c>
      <c r="AL1516" s="1">
        <v>0.4977876106</v>
      </c>
      <c r="AM1516" s="1">
        <v>49.958872355</v>
      </c>
      <c r="AN1516" s="1">
        <v>79.121601871</v>
      </c>
      <c r="AO1516" s="1">
        <v>17261.0</v>
      </c>
      <c r="AP1516" s="1">
        <v>20.5</v>
      </c>
      <c r="AQ1516" s="1">
        <v>6.8</v>
      </c>
      <c r="AR1516" s="1">
        <v>19.9</v>
      </c>
      <c r="AS1516" s="1">
        <v>22.3</v>
      </c>
      <c r="AT1516" s="1">
        <v>21.6</v>
      </c>
      <c r="AU1516" s="1">
        <v>21.8</v>
      </c>
      <c r="AV1516" s="1">
        <v>2.2</v>
      </c>
      <c r="AW1516" s="1">
        <v>0.2</v>
      </c>
      <c r="AX1516" s="1">
        <v>0.4823</v>
      </c>
      <c r="AY1516" s="1">
        <v>18.7</v>
      </c>
      <c r="AZ1516" s="1">
        <v>16.7</v>
      </c>
      <c r="BA1516" s="1">
        <v>24.2</v>
      </c>
      <c r="BB1516" s="1">
        <v>2.93</v>
      </c>
      <c r="BC1516" s="1" t="s">
        <v>2554</v>
      </c>
      <c r="BD1516" s="1">
        <v>17.9</v>
      </c>
      <c r="BE1516" s="1">
        <v>44.0</v>
      </c>
      <c r="BF1516" s="1">
        <v>27.3</v>
      </c>
      <c r="BG1516" s="1">
        <v>10.8</v>
      </c>
      <c r="BH1516" s="1" t="s">
        <v>2597</v>
      </c>
    </row>
    <row r="1517">
      <c r="A1517" s="1">
        <v>29069.0</v>
      </c>
      <c r="B1517" s="2" t="str">
        <f>IFERROR(__xludf.DUMMYFUNCTION("TO_TEXT(A1517)"),"29069")</f>
        <v>29069</v>
      </c>
      <c r="C1517" s="1">
        <v>31271.0</v>
      </c>
      <c r="D1517" s="1">
        <v>541.071499893354</v>
      </c>
      <c r="E1517" s="1" t="s">
        <v>2598</v>
      </c>
      <c r="F1517" s="1" t="s">
        <v>2599</v>
      </c>
      <c r="G1517" s="1">
        <v>57.7945798404897</v>
      </c>
      <c r="H1517" s="1">
        <v>30.353989914</v>
      </c>
      <c r="I1517" s="1">
        <v>5.6126886402</v>
      </c>
      <c r="J1517" s="1">
        <v>11.786558595</v>
      </c>
      <c r="K1517" s="1">
        <v>25.767353247</v>
      </c>
      <c r="L1517" s="1">
        <v>41.1</v>
      </c>
      <c r="M1517" s="1">
        <v>6.2</v>
      </c>
      <c r="N1517" s="1">
        <v>43.8</v>
      </c>
      <c r="O1517" s="1">
        <v>68.200168998</v>
      </c>
      <c r="P1517" s="1">
        <v>13.195110759</v>
      </c>
      <c r="Q1517" s="1">
        <v>43.16212</v>
      </c>
      <c r="R1517" s="1">
        <v>92.550143266</v>
      </c>
      <c r="S1517" s="1">
        <v>38.1</v>
      </c>
      <c r="T1517" s="1">
        <v>7716.0</v>
      </c>
      <c r="U1517" s="1">
        <v>43.468118196</v>
      </c>
      <c r="V1517" s="1">
        <v>502.12561161</v>
      </c>
      <c r="W1517" s="1">
        <v>15.417981073</v>
      </c>
      <c r="X1517" s="1">
        <v>13.42389133</v>
      </c>
      <c r="Y1517" s="1">
        <v>72.606778586</v>
      </c>
      <c r="Z1517" s="1">
        <v>18.2</v>
      </c>
      <c r="AA1517" s="1">
        <v>10.786334862</v>
      </c>
      <c r="AB1517" s="1">
        <v>37331.0</v>
      </c>
      <c r="AC1517" s="1">
        <v>83.713295641</v>
      </c>
      <c r="AD1517" s="1">
        <v>62.895308602</v>
      </c>
      <c r="AE1517" s="1">
        <v>13.831258645</v>
      </c>
      <c r="AF1517" s="1">
        <v>10.1757128779999</v>
      </c>
      <c r="AG1517" s="1">
        <v>0.4826156408</v>
      </c>
      <c r="AH1517" s="1">
        <v>0.6185637087</v>
      </c>
      <c r="AI1517" s="1">
        <v>0.0203922102</v>
      </c>
      <c r="AJ1517" s="1">
        <v>6.96733847669999</v>
      </c>
      <c r="AK1517" s="1">
        <v>80.137987289</v>
      </c>
      <c r="AL1517" s="1">
        <v>1.7568666266</v>
      </c>
      <c r="AM1517" s="1">
        <v>52.1632736289999</v>
      </c>
      <c r="AN1517" s="1">
        <v>50.455356305</v>
      </c>
      <c r="AO1517" s="1">
        <v>18203.0</v>
      </c>
      <c r="AP1517" s="1">
        <v>27.4</v>
      </c>
      <c r="AQ1517" s="1">
        <v>7.9</v>
      </c>
      <c r="AR1517" s="1">
        <v>26.1</v>
      </c>
      <c r="AS1517" s="1">
        <v>17.3</v>
      </c>
      <c r="AT1517" s="1">
        <v>25.9</v>
      </c>
      <c r="AU1517" s="1">
        <v>22.3</v>
      </c>
      <c r="AV1517" s="1">
        <v>18.5</v>
      </c>
      <c r="AW1517" s="1">
        <v>1.4</v>
      </c>
      <c r="AX1517" s="1">
        <v>0.9503</v>
      </c>
      <c r="AY1517" s="1">
        <v>26.7</v>
      </c>
      <c r="AZ1517" s="1">
        <v>19.9</v>
      </c>
      <c r="BA1517" s="1">
        <v>25.5</v>
      </c>
      <c r="BB1517" s="1">
        <v>2.58</v>
      </c>
      <c r="BC1517" s="1" t="s">
        <v>2554</v>
      </c>
      <c r="BD1517" s="1">
        <v>23.7</v>
      </c>
      <c r="BE1517" s="1">
        <v>38.2</v>
      </c>
      <c r="BF1517" s="1">
        <v>24.2</v>
      </c>
      <c r="BG1517" s="1">
        <v>13.8</v>
      </c>
      <c r="BH1517" s="1" t="s">
        <v>2599</v>
      </c>
    </row>
    <row r="1518">
      <c r="A1518" s="1">
        <v>29071.0</v>
      </c>
      <c r="B1518" s="2" t="str">
        <f>IFERROR(__xludf.DUMMYFUNCTION("TO_TEXT(A1518)"),"29071")</f>
        <v>29071</v>
      </c>
      <c r="C1518" s="1">
        <v>102063.0</v>
      </c>
      <c r="D1518" s="1">
        <v>922.681440962186</v>
      </c>
      <c r="E1518" s="1" t="s">
        <v>118</v>
      </c>
      <c r="F1518" s="1" t="s">
        <v>2600</v>
      </c>
      <c r="G1518" s="1">
        <v>110.615642050378</v>
      </c>
      <c r="H1518" s="1">
        <v>17.547792786</v>
      </c>
      <c r="I1518" s="1">
        <v>4.2474150649</v>
      </c>
      <c r="J1518" s="1">
        <v>7.82122905029999</v>
      </c>
      <c r="K1518" s="1">
        <v>18.658496978</v>
      </c>
      <c r="L1518" s="1">
        <v>33.3</v>
      </c>
      <c r="M1518" s="1">
        <v>8.2</v>
      </c>
      <c r="N1518" s="1">
        <v>32.6</v>
      </c>
      <c r="O1518" s="1">
        <v>74.710321996</v>
      </c>
      <c r="P1518" s="1">
        <v>10.407223961</v>
      </c>
      <c r="Q1518" s="1">
        <v>66.77635</v>
      </c>
      <c r="R1518" s="1">
        <v>88.51590106</v>
      </c>
      <c r="S1518" s="1">
        <v>13.2</v>
      </c>
      <c r="T1518" s="1">
        <v>23673.0</v>
      </c>
      <c r="U1518" s="1">
        <v>29.742744899</v>
      </c>
      <c r="V1518" s="1">
        <v>195.11869323</v>
      </c>
      <c r="W1518" s="1">
        <v>12.153252892</v>
      </c>
      <c r="X1518" s="1">
        <v>10.053904977</v>
      </c>
      <c r="Y1518" s="1">
        <v>76.8358307439999</v>
      </c>
      <c r="Z1518" s="1">
        <v>14.0</v>
      </c>
      <c r="AA1518" s="1">
        <v>3.9060270223</v>
      </c>
      <c r="AB1518" s="1">
        <v>58738.0</v>
      </c>
      <c r="AC1518" s="1">
        <v>46.391752577</v>
      </c>
      <c r="AD1518" s="1">
        <v>73.359489946</v>
      </c>
      <c r="AE1518" s="1">
        <v>9.5227363782</v>
      </c>
      <c r="AF1518" s="1">
        <v>0.9510948201</v>
      </c>
      <c r="AG1518" s="1">
        <v>0.4051316678</v>
      </c>
      <c r="AH1518" s="1">
        <v>0.5372817594</v>
      </c>
      <c r="AI1518" s="1">
        <v>0.0665573454</v>
      </c>
      <c r="AJ1518" s="1">
        <v>1.8076589177</v>
      </c>
      <c r="AK1518" s="1">
        <v>95.0024114979999</v>
      </c>
      <c r="AL1518" s="1">
        <v>0.2391873842</v>
      </c>
      <c r="AM1518" s="1">
        <v>50.303848751</v>
      </c>
      <c r="AN1518" s="1">
        <v>55.598470815</v>
      </c>
      <c r="AO1518" s="1">
        <v>26272.0</v>
      </c>
      <c r="AP1518" s="1">
        <v>12.0</v>
      </c>
      <c r="AQ1518" s="1">
        <v>5.9</v>
      </c>
      <c r="AR1518" s="1">
        <v>12.8</v>
      </c>
      <c r="AS1518" s="1">
        <v>15.6</v>
      </c>
      <c r="AT1518" s="1">
        <v>23.5</v>
      </c>
      <c r="AU1518" s="1">
        <v>12.2</v>
      </c>
      <c r="AV1518" s="1">
        <v>4.6</v>
      </c>
      <c r="AW1518" s="1">
        <v>0.1</v>
      </c>
      <c r="AX1518" s="1">
        <v>0.1538</v>
      </c>
      <c r="AY1518" s="1">
        <v>9.3</v>
      </c>
      <c r="AZ1518" s="1">
        <v>11.4</v>
      </c>
      <c r="BA1518" s="1">
        <v>13.7</v>
      </c>
      <c r="BB1518" s="1">
        <v>2.88</v>
      </c>
      <c r="BC1518" s="1" t="s">
        <v>2554</v>
      </c>
      <c r="BD1518" s="1">
        <v>11.6</v>
      </c>
      <c r="BE1518" s="1">
        <v>32.7</v>
      </c>
      <c r="BF1518" s="1">
        <v>34.8</v>
      </c>
      <c r="BG1518" s="1">
        <v>20.9</v>
      </c>
      <c r="BH1518" s="1" t="s">
        <v>2600</v>
      </c>
    </row>
    <row r="1519">
      <c r="A1519" s="1">
        <v>29073.0</v>
      </c>
      <c r="B1519" s="2" t="str">
        <f>IFERROR(__xludf.DUMMYFUNCTION("TO_TEXT(A1519)"),"29073")</f>
        <v>29073</v>
      </c>
      <c r="C1519" s="1">
        <v>14875.0</v>
      </c>
      <c r="D1519" s="1">
        <v>519.00417521989</v>
      </c>
      <c r="E1519" s="1" t="s">
        <v>2601</v>
      </c>
      <c r="F1519" s="1" t="s">
        <v>2602</v>
      </c>
      <c r="G1519" s="1">
        <v>28.6606557523315</v>
      </c>
      <c r="H1519" s="1">
        <v>17.49402285</v>
      </c>
      <c r="I1519" s="1">
        <v>4.2559478188</v>
      </c>
      <c r="J1519" s="1">
        <v>7.756232687</v>
      </c>
      <c r="K1519" s="1">
        <v>18.452025075</v>
      </c>
      <c r="L1519" s="1">
        <v>31.1</v>
      </c>
      <c r="M1519" s="1">
        <v>8.4</v>
      </c>
      <c r="N1519" s="1">
        <v>27.3</v>
      </c>
      <c r="O1519" s="1">
        <v>46.807252661</v>
      </c>
      <c r="P1519" s="1">
        <v>11.963406052</v>
      </c>
      <c r="Q1519" s="1">
        <v>47.53497</v>
      </c>
      <c r="R1519" s="1">
        <v>88.687782805</v>
      </c>
      <c r="S1519" s="1">
        <v>17.4</v>
      </c>
      <c r="T1519" s="1">
        <v>3120.0</v>
      </c>
      <c r="U1519" s="1">
        <v>24.294871795</v>
      </c>
      <c r="V1519" s="1">
        <v>145.26045537</v>
      </c>
      <c r="W1519" s="1">
        <v>12.398703404</v>
      </c>
      <c r="X1519" s="1">
        <v>9.51140065149999</v>
      </c>
      <c r="Y1519" s="1">
        <v>76.811094669</v>
      </c>
      <c r="Z1519" s="1">
        <v>11.2</v>
      </c>
      <c r="AA1519" s="1">
        <v>0.9673955405</v>
      </c>
      <c r="AB1519" s="1">
        <v>52282.0</v>
      </c>
      <c r="AC1519" s="1">
        <v>47.7297104039999</v>
      </c>
      <c r="AD1519" s="1">
        <v>79.1693917589999</v>
      </c>
      <c r="AE1519" s="1">
        <v>6.8244170096</v>
      </c>
      <c r="AF1519" s="1">
        <v>0.5304318259</v>
      </c>
      <c r="AG1519" s="1">
        <v>0.3264195852</v>
      </c>
      <c r="AH1519" s="1">
        <v>0.4760285617</v>
      </c>
      <c r="AI1519" s="1">
        <v>0.0340020401</v>
      </c>
      <c r="AJ1519" s="1">
        <v>1.5028901734</v>
      </c>
      <c r="AK1519" s="1">
        <v>95.946956817</v>
      </c>
      <c r="AL1519" s="1">
        <v>0.1572776666</v>
      </c>
      <c r="AM1519" s="1">
        <v>50.0850051</v>
      </c>
      <c r="AN1519" s="1">
        <v>80.86979372</v>
      </c>
      <c r="AO1519" s="1">
        <v>24355.0</v>
      </c>
      <c r="AP1519" s="1">
        <v>14.3</v>
      </c>
      <c r="AQ1519" s="1">
        <v>5.1</v>
      </c>
      <c r="AR1519" s="1">
        <v>14.0</v>
      </c>
      <c r="AS1519" s="1">
        <v>21.4</v>
      </c>
      <c r="AT1519" s="1">
        <v>21.3</v>
      </c>
      <c r="AU1519" s="1">
        <v>19.0</v>
      </c>
      <c r="AV1519" s="1">
        <v>3.5</v>
      </c>
      <c r="AW1519" s="1">
        <v>0.2</v>
      </c>
      <c r="AX1519" s="1">
        <v>0.2521</v>
      </c>
      <c r="AY1519" s="1">
        <v>11.6</v>
      </c>
      <c r="AZ1519" s="1">
        <v>11.5</v>
      </c>
      <c r="BA1519" s="1">
        <v>13.2</v>
      </c>
      <c r="BB1519" s="1">
        <v>2.84</v>
      </c>
      <c r="BC1519" s="1" t="s">
        <v>2554</v>
      </c>
      <c r="BD1519" s="1">
        <v>12.2</v>
      </c>
      <c r="BE1519" s="1">
        <v>38.5</v>
      </c>
      <c r="BF1519" s="1">
        <v>30.0</v>
      </c>
      <c r="BG1519" s="1">
        <v>19.2</v>
      </c>
      <c r="BH1519" s="1" t="s">
        <v>2602</v>
      </c>
    </row>
    <row r="1520">
      <c r="A1520" s="1">
        <v>29075.0</v>
      </c>
      <c r="B1520" s="2" t="str">
        <f>IFERROR(__xludf.DUMMYFUNCTION("TO_TEXT(A1520)"),"29075")</f>
        <v>29075</v>
      </c>
      <c r="C1520" s="1">
        <v>6745.0</v>
      </c>
      <c r="D1520" s="1">
        <v>491.421651045112</v>
      </c>
      <c r="E1520" s="1" t="s">
        <v>2603</v>
      </c>
      <c r="F1520" s="1" t="s">
        <v>2604</v>
      </c>
      <c r="G1520" s="1">
        <v>13.7254839823506</v>
      </c>
      <c r="H1520" s="1">
        <v>18.408810705</v>
      </c>
      <c r="I1520" s="1">
        <v>4.4577113346</v>
      </c>
      <c r="J1520" s="1">
        <v>6.6153846154</v>
      </c>
      <c r="K1520" s="1">
        <v>18.993519582</v>
      </c>
      <c r="L1520" s="1">
        <v>29.1</v>
      </c>
      <c r="M1520" s="1">
        <v>8.1</v>
      </c>
      <c r="N1520" s="1">
        <v>29.5</v>
      </c>
      <c r="O1520" s="1">
        <v>62.036212526</v>
      </c>
      <c r="P1520" s="1">
        <v>12.134364975</v>
      </c>
      <c r="Q1520" s="1">
        <v>30.0075</v>
      </c>
      <c r="R1520" s="1">
        <v>97.916666667</v>
      </c>
      <c r="S1520" s="1">
        <v>19.6</v>
      </c>
      <c r="T1520" s="1">
        <v>1631.0</v>
      </c>
      <c r="U1520" s="1">
        <v>19.9264255059999</v>
      </c>
      <c r="V1520" s="1">
        <v>51.978911413</v>
      </c>
      <c r="W1520" s="1">
        <v>8.97196261679999</v>
      </c>
      <c r="X1520" s="1">
        <v>6.5028355388</v>
      </c>
      <c r="Y1520" s="1">
        <v>76.533032758</v>
      </c>
      <c r="Z1520" s="1">
        <v>16.6</v>
      </c>
      <c r="AA1520" s="1">
        <v>1.1819128698</v>
      </c>
      <c r="AB1520" s="1">
        <v>43731.0</v>
      </c>
      <c r="AC1520" s="1">
        <v>47.015610652</v>
      </c>
      <c r="AD1520" s="1">
        <v>73.971549404</v>
      </c>
      <c r="AE1520" s="1">
        <v>7.1948261924</v>
      </c>
      <c r="AF1520" s="1">
        <v>0.5733252867</v>
      </c>
      <c r="AG1520" s="1">
        <v>0.4224502112</v>
      </c>
      <c r="AH1520" s="1">
        <v>0.528062764</v>
      </c>
      <c r="AI1520" s="1">
        <v>0.0</v>
      </c>
      <c r="AJ1520" s="1">
        <v>1.7048883524</v>
      </c>
      <c r="AK1520" s="1">
        <v>95.684972842</v>
      </c>
      <c r="AL1520" s="1">
        <v>0.3064516129</v>
      </c>
      <c r="AM1520" s="1">
        <v>51.750150875</v>
      </c>
      <c r="AN1520" s="1">
        <v>100.0</v>
      </c>
      <c r="AO1520" s="1">
        <v>20726.0</v>
      </c>
      <c r="AP1520" s="1">
        <v>15.9</v>
      </c>
      <c r="AQ1520" s="1">
        <v>5.5</v>
      </c>
      <c r="AR1520" s="1">
        <v>10.7</v>
      </c>
      <c r="AS1520" s="1">
        <v>19.9</v>
      </c>
      <c r="AT1520" s="1">
        <v>24.2</v>
      </c>
      <c r="AU1520" s="1">
        <v>16.6</v>
      </c>
      <c r="AV1520" s="1">
        <v>3.2</v>
      </c>
      <c r="AW1520" s="1">
        <v>0.6</v>
      </c>
      <c r="AX1520" s="1">
        <v>0.3776</v>
      </c>
      <c r="AY1520" s="1">
        <v>11.5</v>
      </c>
      <c r="AZ1520" s="1">
        <v>13.8</v>
      </c>
      <c r="BA1520" s="1">
        <v>15.9</v>
      </c>
      <c r="BB1520" s="1">
        <v>2.85</v>
      </c>
      <c r="BC1520" s="1" t="s">
        <v>2554</v>
      </c>
      <c r="BD1520" s="1">
        <v>10.8</v>
      </c>
      <c r="BE1520" s="1">
        <v>42.5</v>
      </c>
      <c r="BF1520" s="1">
        <v>27.7</v>
      </c>
      <c r="BG1520" s="1">
        <v>19.1</v>
      </c>
      <c r="BH1520" s="1" t="s">
        <v>2604</v>
      </c>
    </row>
    <row r="1521">
      <c r="A1521" s="1">
        <v>29077.0</v>
      </c>
      <c r="B1521" s="2" t="str">
        <f>IFERROR(__xludf.DUMMYFUNCTION("TO_TEXT(A1521)"),"29077")</f>
        <v>29077</v>
      </c>
      <c r="C1521" s="1">
        <v>285449.0</v>
      </c>
      <c r="D1521" s="1">
        <v>675.31918768727</v>
      </c>
      <c r="E1521" s="1" t="s">
        <v>122</v>
      </c>
      <c r="F1521" s="1" t="s">
        <v>2605</v>
      </c>
      <c r="G1521" s="1">
        <v>422.68753088086</v>
      </c>
      <c r="H1521" s="1">
        <v>17.403314194</v>
      </c>
      <c r="I1521" s="1">
        <v>4.3948735705</v>
      </c>
      <c r="J1521" s="1">
        <v>7.3135852911</v>
      </c>
      <c r="K1521" s="1">
        <v>19.5064007959999</v>
      </c>
      <c r="L1521" s="1">
        <v>32.8</v>
      </c>
      <c r="M1521" s="1">
        <v>7.3</v>
      </c>
      <c r="N1521" s="1">
        <v>24.0</v>
      </c>
      <c r="O1521" s="1">
        <v>83.173555641</v>
      </c>
      <c r="P1521" s="1">
        <v>11.310065409</v>
      </c>
      <c r="Q1521" s="1">
        <v>97.99693</v>
      </c>
      <c r="R1521" s="1">
        <v>88.64902507</v>
      </c>
      <c r="S1521" s="1">
        <v>16.5</v>
      </c>
      <c r="T1521" s="1">
        <v>59381.0</v>
      </c>
      <c r="U1521" s="1">
        <v>30.9526616259999</v>
      </c>
      <c r="V1521" s="1">
        <v>770.34334213</v>
      </c>
      <c r="W1521" s="1">
        <v>15.0579150579999</v>
      </c>
      <c r="X1521" s="1">
        <v>13.612342312</v>
      </c>
      <c r="Y1521" s="1">
        <v>77.2563354489999</v>
      </c>
      <c r="Z1521" s="1">
        <v>11.2</v>
      </c>
      <c r="AA1521" s="1">
        <v>6.5587652505</v>
      </c>
      <c r="AB1521" s="1">
        <v>44799.0</v>
      </c>
      <c r="AC1521" s="1">
        <v>50.587767478</v>
      </c>
      <c r="AD1521" s="1">
        <v>57.439398161</v>
      </c>
      <c r="AE1521" s="1">
        <v>14.5986144209999</v>
      </c>
      <c r="AF1521" s="1">
        <v>3.2762063969</v>
      </c>
      <c r="AG1521" s="1">
        <v>0.774519308199999</v>
      </c>
      <c r="AH1521" s="1">
        <v>2.2588148245</v>
      </c>
      <c r="AI1521" s="1">
        <v>0.1236627467</v>
      </c>
      <c r="AJ1521" s="1">
        <v>3.8520431758</v>
      </c>
      <c r="AK1521" s="1">
        <v>87.257941306</v>
      </c>
      <c r="AL1521" s="1">
        <v>0.6456757445</v>
      </c>
      <c r="AM1521" s="1">
        <v>51.406706563</v>
      </c>
      <c r="AN1521" s="1">
        <v>13.997688735</v>
      </c>
      <c r="AO1521" s="1">
        <v>24537.0</v>
      </c>
      <c r="AP1521" s="1">
        <v>18.7</v>
      </c>
      <c r="AQ1521" s="1">
        <v>5.8</v>
      </c>
      <c r="AR1521" s="1">
        <v>8.8</v>
      </c>
      <c r="AS1521" s="1">
        <v>15.3</v>
      </c>
      <c r="AT1521" s="1">
        <v>21.0</v>
      </c>
      <c r="AU1521" s="1">
        <v>13.8</v>
      </c>
      <c r="AV1521" s="1">
        <v>11.5</v>
      </c>
      <c r="AW1521" s="1">
        <v>0.7</v>
      </c>
      <c r="AX1521" s="1">
        <v>0.3687</v>
      </c>
      <c r="AY1521" s="1">
        <v>14.4</v>
      </c>
      <c r="AZ1521" s="1">
        <v>13.8</v>
      </c>
      <c r="BA1521" s="1">
        <v>14.7</v>
      </c>
      <c r="BB1521" s="1">
        <v>2.96</v>
      </c>
      <c r="BC1521" s="1" t="s">
        <v>2554</v>
      </c>
      <c r="BD1521" s="1">
        <v>8.2</v>
      </c>
      <c r="BE1521" s="1">
        <v>28.0</v>
      </c>
      <c r="BF1521" s="1">
        <v>33.3</v>
      </c>
      <c r="BG1521" s="1">
        <v>30.5</v>
      </c>
      <c r="BH1521" s="1" t="s">
        <v>2605</v>
      </c>
    </row>
    <row r="1522">
      <c r="A1522" s="1">
        <v>29079.0</v>
      </c>
      <c r="B1522" s="2" t="str">
        <f>IFERROR(__xludf.DUMMYFUNCTION("TO_TEXT(A1522)"),"29079")</f>
        <v>29079</v>
      </c>
      <c r="C1522" s="1">
        <v>10231.0</v>
      </c>
      <c r="D1522" s="1">
        <v>435.285117167582</v>
      </c>
      <c r="E1522" s="1" t="s">
        <v>1199</v>
      </c>
      <c r="F1522" s="1" t="s">
        <v>2606</v>
      </c>
      <c r="G1522" s="1">
        <v>23.5041346384033</v>
      </c>
      <c r="H1522" s="1">
        <v>19.429352472</v>
      </c>
      <c r="I1522" s="1">
        <v>4.4723437164</v>
      </c>
      <c r="J1522" s="1">
        <v>8.0705009276</v>
      </c>
      <c r="K1522" s="1">
        <v>19.8574534509999</v>
      </c>
      <c r="L1522" s="1">
        <v>33.8</v>
      </c>
      <c r="M1522" s="1">
        <v>6.8</v>
      </c>
      <c r="N1522" s="1">
        <v>28.7</v>
      </c>
      <c r="O1522" s="1">
        <v>59.2729753439999</v>
      </c>
      <c r="P1522" s="1">
        <v>13.649538867</v>
      </c>
      <c r="Q1522" s="1">
        <v>30.15378</v>
      </c>
      <c r="R1522" s="1">
        <v>95.698924731</v>
      </c>
      <c r="S1522" s="1">
        <v>25.8</v>
      </c>
      <c r="T1522" s="1">
        <v>2283.0</v>
      </c>
      <c r="U1522" s="1">
        <v>26.850635129</v>
      </c>
      <c r="V1522" s="1">
        <v>78.281716327</v>
      </c>
      <c r="W1522" s="1">
        <v>16.152897657</v>
      </c>
      <c r="X1522" s="1">
        <v>11.378881988</v>
      </c>
      <c r="Y1522" s="1">
        <v>76.341712726</v>
      </c>
      <c r="Z1522" s="1">
        <v>11.0</v>
      </c>
      <c r="AA1522" s="1">
        <v>13.0151944479999</v>
      </c>
      <c r="AB1522" s="1">
        <v>40315.0</v>
      </c>
      <c r="AC1522" s="1">
        <v>51.812080537</v>
      </c>
      <c r="AD1522" s="1">
        <v>67.227101631</v>
      </c>
      <c r="AE1522" s="1">
        <v>10.13368984</v>
      </c>
      <c r="AF1522" s="1">
        <v>0.9582408715</v>
      </c>
      <c r="AG1522" s="1">
        <v>0.5144240468</v>
      </c>
      <c r="AH1522" s="1">
        <v>0.9985878556</v>
      </c>
      <c r="AI1522" s="1">
        <v>0.0403469841</v>
      </c>
      <c r="AJ1522" s="1">
        <v>2.58220698</v>
      </c>
      <c r="AK1522" s="1">
        <v>93.766390962</v>
      </c>
      <c r="AL1522" s="1">
        <v>1.4685389645</v>
      </c>
      <c r="AM1522" s="1">
        <v>51.34153722</v>
      </c>
      <c r="AN1522" s="1">
        <v>45.463405126</v>
      </c>
      <c r="AO1522" s="1">
        <v>20746.0</v>
      </c>
      <c r="AP1522" s="1">
        <v>19.9</v>
      </c>
      <c r="AQ1522" s="1">
        <v>4.5</v>
      </c>
      <c r="AR1522" s="1">
        <v>12.9</v>
      </c>
      <c r="AS1522" s="1">
        <v>21.0</v>
      </c>
      <c r="AT1522" s="1">
        <v>23.6</v>
      </c>
      <c r="AU1522" s="1">
        <v>15.5</v>
      </c>
      <c r="AV1522" s="1">
        <v>5.1</v>
      </c>
      <c r="AW1522" s="1">
        <v>0.9</v>
      </c>
      <c r="AX1522" s="1">
        <v>0.6724</v>
      </c>
      <c r="AY1522" s="1">
        <v>18.7</v>
      </c>
      <c r="AZ1522" s="1">
        <v>14.1</v>
      </c>
      <c r="BA1522" s="1">
        <v>17.3</v>
      </c>
      <c r="BB1522" s="1">
        <v>2.98</v>
      </c>
      <c r="BC1522" s="1" t="s">
        <v>2554</v>
      </c>
      <c r="BD1522" s="1">
        <v>13.5</v>
      </c>
      <c r="BE1522" s="1">
        <v>39.0</v>
      </c>
      <c r="BF1522" s="1">
        <v>30.3</v>
      </c>
      <c r="BG1522" s="1">
        <v>17.1</v>
      </c>
      <c r="BH1522" s="1" t="s">
        <v>2606</v>
      </c>
    </row>
    <row r="1523">
      <c r="A1523" s="1">
        <v>29081.0</v>
      </c>
      <c r="B1523" s="2" t="str">
        <f>IFERROR(__xludf.DUMMYFUNCTION("TO_TEXT(A1523)"),"29081")</f>
        <v>29081</v>
      </c>
      <c r="C1523" s="1">
        <v>8649.0</v>
      </c>
      <c r="D1523" s="1">
        <v>722.503706153253</v>
      </c>
      <c r="E1523" s="1" t="s">
        <v>1349</v>
      </c>
      <c r="F1523" s="1" t="s">
        <v>2607</v>
      </c>
      <c r="G1523" s="1">
        <v>11.97087284998</v>
      </c>
      <c r="H1523" s="1">
        <v>20.327574538</v>
      </c>
      <c r="I1523" s="1">
        <v>4.6440237869</v>
      </c>
      <c r="J1523" s="1">
        <v>7.7127659574</v>
      </c>
      <c r="K1523" s="1">
        <v>20.914508004</v>
      </c>
      <c r="L1523" s="1">
        <v>31.7</v>
      </c>
      <c r="M1523" s="1">
        <v>6.9</v>
      </c>
      <c r="N1523" s="1">
        <v>35.4</v>
      </c>
      <c r="O1523" s="1">
        <v>22.608016077</v>
      </c>
      <c r="P1523" s="1">
        <v>14.659525631</v>
      </c>
      <c r="Q1523" s="1">
        <v>35.19474</v>
      </c>
      <c r="R1523" s="1">
        <v>93.670886076</v>
      </c>
      <c r="S1523" s="1">
        <v>22.5</v>
      </c>
      <c r="T1523" s="1">
        <v>2078.0</v>
      </c>
      <c r="U1523" s="1">
        <v>41.77093359</v>
      </c>
      <c r="V1523" s="1">
        <v>58.014735743</v>
      </c>
      <c r="W1523" s="1">
        <v>14.783821478</v>
      </c>
      <c r="X1523" s="1">
        <v>9.323943662</v>
      </c>
      <c r="Y1523" s="1">
        <v>77.46533776</v>
      </c>
      <c r="Z1523" s="1">
        <v>10.9</v>
      </c>
      <c r="AA1523" s="1">
        <v>13.677766775</v>
      </c>
      <c r="AB1523" s="1">
        <v>40639.0</v>
      </c>
      <c r="AC1523" s="1">
        <v>58.184417441</v>
      </c>
      <c r="AD1523" s="1">
        <v>72.1034870639999</v>
      </c>
      <c r="AE1523" s="1">
        <v>9.5366218236</v>
      </c>
      <c r="AF1523" s="1">
        <v>0.5704777751</v>
      </c>
      <c r="AG1523" s="1">
        <v>0.6180175897</v>
      </c>
      <c r="AH1523" s="1">
        <v>0.3922034704</v>
      </c>
      <c r="AI1523" s="1">
        <v>0.1188495365</v>
      </c>
      <c r="AJ1523" s="1">
        <v>2.3888756834</v>
      </c>
      <c r="AK1523" s="1">
        <v>94.937009746</v>
      </c>
      <c r="AL1523" s="1">
        <v>1.5950155763</v>
      </c>
      <c r="AM1523" s="1">
        <v>50.61801759</v>
      </c>
      <c r="AN1523" s="1">
        <v>70.391872279</v>
      </c>
      <c r="AO1523" s="1">
        <v>20434.0</v>
      </c>
      <c r="AP1523" s="1">
        <v>18.6</v>
      </c>
      <c r="AQ1523" s="1">
        <v>3.6</v>
      </c>
      <c r="AR1523" s="1">
        <v>14.7</v>
      </c>
      <c r="AS1523" s="1">
        <v>21.1</v>
      </c>
      <c r="AT1523" s="1">
        <v>24.8</v>
      </c>
      <c r="AU1523" s="1">
        <v>19.9</v>
      </c>
      <c r="AV1523" s="1">
        <v>4.3</v>
      </c>
      <c r="AW1523" s="1">
        <v>1.3</v>
      </c>
      <c r="AX1523" s="1">
        <v>0.6345</v>
      </c>
      <c r="AY1523" s="1">
        <v>15.4</v>
      </c>
      <c r="AZ1523" s="1">
        <v>15.0</v>
      </c>
      <c r="BA1523" s="1">
        <v>18.2</v>
      </c>
      <c r="BB1523" s="1">
        <v>3.02</v>
      </c>
      <c r="BC1523" s="1" t="s">
        <v>2554</v>
      </c>
      <c r="BD1523" s="1">
        <v>11.8</v>
      </c>
      <c r="BE1523" s="1">
        <v>46.0</v>
      </c>
      <c r="BF1523" s="1">
        <v>25.7</v>
      </c>
      <c r="BG1523" s="1">
        <v>16.5</v>
      </c>
      <c r="BH1523" s="1" t="s">
        <v>2607</v>
      </c>
    </row>
    <row r="1524">
      <c r="A1524" s="1">
        <v>29083.0</v>
      </c>
      <c r="B1524" s="2" t="str">
        <f>IFERROR(__xludf.DUMMYFUNCTION("TO_TEXT(A1524)"),"29083")</f>
        <v>29083</v>
      </c>
      <c r="C1524" s="1">
        <v>21930.0</v>
      </c>
      <c r="D1524" s="1">
        <v>696.943399311618</v>
      </c>
      <c r="E1524" s="1" t="s">
        <v>126</v>
      </c>
      <c r="F1524" s="1" t="s">
        <v>2608</v>
      </c>
      <c r="G1524" s="1">
        <v>31.4659698644978</v>
      </c>
      <c r="H1524" s="1">
        <v>19.7492835909999</v>
      </c>
      <c r="I1524" s="1">
        <v>4.6208655855</v>
      </c>
      <c r="J1524" s="1">
        <v>8.3096186682</v>
      </c>
      <c r="K1524" s="1">
        <v>20.603820001</v>
      </c>
      <c r="L1524" s="1">
        <v>31.3</v>
      </c>
      <c r="M1524" s="1">
        <v>6.7</v>
      </c>
      <c r="N1524" s="1">
        <v>29.7</v>
      </c>
      <c r="O1524" s="1">
        <v>44.899425287</v>
      </c>
      <c r="P1524" s="1">
        <v>12.726514068</v>
      </c>
      <c r="Q1524" s="1">
        <v>69.06713</v>
      </c>
      <c r="R1524" s="1">
        <v>88.038277512</v>
      </c>
      <c r="S1524" s="1">
        <v>23.9</v>
      </c>
      <c r="T1524" s="1">
        <v>4785.0</v>
      </c>
      <c r="U1524" s="1">
        <v>35.6112852659999</v>
      </c>
      <c r="V1524" s="1">
        <v>312.27591312</v>
      </c>
      <c r="W1524" s="1">
        <v>12.154989384</v>
      </c>
      <c r="X1524" s="1">
        <v>9.1045576408</v>
      </c>
      <c r="Y1524" s="1">
        <v>75.980872322</v>
      </c>
      <c r="Z1524" s="1">
        <v>10.9</v>
      </c>
      <c r="AA1524" s="1">
        <v>13.783384387</v>
      </c>
      <c r="AB1524" s="1">
        <v>44978.0</v>
      </c>
      <c r="AC1524" s="1">
        <v>60.464285714</v>
      </c>
      <c r="AD1524" s="1">
        <v>72.986194152</v>
      </c>
      <c r="AE1524" s="1">
        <v>9.585758302</v>
      </c>
      <c r="AF1524" s="1">
        <v>1.2573421439</v>
      </c>
      <c r="AG1524" s="1">
        <v>0.7342143906</v>
      </c>
      <c r="AH1524" s="1">
        <v>0.3946402349</v>
      </c>
      <c r="AI1524" s="1">
        <v>0.0917767988</v>
      </c>
      <c r="AJ1524" s="1">
        <v>2.6339941263</v>
      </c>
      <c r="AK1524" s="1">
        <v>93.304882526</v>
      </c>
      <c r="AL1524" s="1">
        <v>0.258246845</v>
      </c>
      <c r="AM1524" s="1">
        <v>50.940712188</v>
      </c>
      <c r="AN1524" s="1">
        <v>49.546515805</v>
      </c>
      <c r="AO1524" s="1">
        <v>23510.0</v>
      </c>
      <c r="AP1524" s="1">
        <v>21.4</v>
      </c>
      <c r="AQ1524" s="1">
        <v>6.9</v>
      </c>
      <c r="AR1524" s="1">
        <v>13.0</v>
      </c>
      <c r="AS1524" s="1">
        <v>20.1</v>
      </c>
      <c r="AT1524" s="1">
        <v>22.4</v>
      </c>
      <c r="AU1524" s="1">
        <v>19.9</v>
      </c>
      <c r="AV1524" s="1">
        <v>5.9</v>
      </c>
      <c r="AW1524" s="1">
        <v>0.1</v>
      </c>
      <c r="AX1524" s="1">
        <v>0.4234</v>
      </c>
      <c r="AY1524" s="1">
        <v>17.3</v>
      </c>
      <c r="AZ1524" s="1">
        <v>16.4</v>
      </c>
      <c r="BA1524" s="1">
        <v>21.2</v>
      </c>
      <c r="BB1524" s="1">
        <v>2.62</v>
      </c>
      <c r="BC1524" s="1" t="s">
        <v>2554</v>
      </c>
      <c r="BD1524" s="1">
        <v>12.2</v>
      </c>
      <c r="BE1524" s="1">
        <v>40.7</v>
      </c>
      <c r="BF1524" s="1">
        <v>31.3</v>
      </c>
      <c r="BG1524" s="1">
        <v>15.9</v>
      </c>
      <c r="BH1524" s="1" t="s">
        <v>2608</v>
      </c>
    </row>
    <row r="1525">
      <c r="A1525" s="1">
        <v>29085.0</v>
      </c>
      <c r="B1525" s="2" t="str">
        <f>IFERROR(__xludf.DUMMYFUNCTION("TO_TEXT(A1525)"),"29085")</f>
        <v>29085</v>
      </c>
      <c r="C1525" s="1">
        <v>9267.0</v>
      </c>
      <c r="D1525" s="1">
        <v>398.807552336786</v>
      </c>
      <c r="E1525" s="1" t="s">
        <v>2609</v>
      </c>
      <c r="F1525" s="1" t="s">
        <v>2610</v>
      </c>
      <c r="G1525" s="1">
        <v>23.2367715849427</v>
      </c>
      <c r="H1525" s="1">
        <v>21.858620995</v>
      </c>
      <c r="I1525" s="1">
        <v>4.9293014389</v>
      </c>
      <c r="J1525" s="1">
        <v>10.601265823</v>
      </c>
      <c r="K1525" s="1">
        <v>20.417093638</v>
      </c>
      <c r="L1525" s="1">
        <v>32.6</v>
      </c>
      <c r="M1525" s="1">
        <v>7.3</v>
      </c>
      <c r="N1525" s="1">
        <v>28.5</v>
      </c>
      <c r="O1525" s="1">
        <v>32.107614002</v>
      </c>
      <c r="P1525" s="1">
        <v>16.374738872</v>
      </c>
      <c r="Q1525" s="1">
        <v>21.10818</v>
      </c>
      <c r="R1525" s="1">
        <v>98.165137615</v>
      </c>
      <c r="S1525" s="1">
        <v>34.5</v>
      </c>
      <c r="T1525" s="1">
        <v>1535.0</v>
      </c>
      <c r="U1525" s="1">
        <v>28.664495114</v>
      </c>
      <c r="V1525" s="1">
        <v>10.90572005</v>
      </c>
      <c r="W1525" s="1">
        <v>14.015151515</v>
      </c>
      <c r="X1525" s="1">
        <v>12.656609563</v>
      </c>
      <c r="Y1525" s="1">
        <v>75.472478535</v>
      </c>
      <c r="Z1525" s="1">
        <v>10.5</v>
      </c>
      <c r="AA1525" s="1">
        <v>6.87253385169999</v>
      </c>
      <c r="AB1525" s="1">
        <v>35025.0</v>
      </c>
      <c r="AC1525" s="1">
        <v>58.929682638</v>
      </c>
      <c r="AD1525" s="1">
        <v>81.417910448</v>
      </c>
      <c r="AE1525" s="1">
        <v>12.914078675</v>
      </c>
      <c r="AF1525" s="1">
        <v>0.5994321169</v>
      </c>
      <c r="AG1525" s="1">
        <v>1.1252497634</v>
      </c>
      <c r="AH1525" s="1">
        <v>0.1998107056</v>
      </c>
      <c r="AI1525" s="1">
        <v>0.1051635293</v>
      </c>
      <c r="AJ1525" s="1">
        <v>1.8508781155</v>
      </c>
      <c r="AK1525" s="1">
        <v>94.436849301</v>
      </c>
      <c r="AL1525" s="1">
        <v>1.0827101239</v>
      </c>
      <c r="AM1525" s="1">
        <v>50.573141235</v>
      </c>
      <c r="AN1525" s="1">
        <v>100.0</v>
      </c>
      <c r="AO1525" s="1">
        <v>18694.0</v>
      </c>
      <c r="AP1525" s="1">
        <v>25.2</v>
      </c>
      <c r="AQ1525" s="1">
        <v>11.6</v>
      </c>
      <c r="AR1525" s="1">
        <v>18.2</v>
      </c>
      <c r="AS1525" s="1">
        <v>32.1</v>
      </c>
      <c r="AT1525" s="1">
        <v>17.4</v>
      </c>
      <c r="AU1525" s="1">
        <v>23.5</v>
      </c>
      <c r="AV1525" s="1">
        <v>4.5</v>
      </c>
      <c r="AW1525" s="1">
        <v>0.2</v>
      </c>
      <c r="AX1525" s="1">
        <v>0.489</v>
      </c>
      <c r="AY1525" s="1">
        <v>18.2</v>
      </c>
      <c r="AZ1525" s="1">
        <v>15.9</v>
      </c>
      <c r="BA1525" s="1">
        <v>19.7</v>
      </c>
      <c r="BB1525" s="1">
        <v>2.78</v>
      </c>
      <c r="BC1525" s="1" t="s">
        <v>2554</v>
      </c>
      <c r="BD1525" s="1">
        <v>15.7</v>
      </c>
      <c r="BE1525" s="1">
        <v>44.5</v>
      </c>
      <c r="BF1525" s="1">
        <v>30.8</v>
      </c>
      <c r="BG1525" s="1">
        <v>9.0</v>
      </c>
      <c r="BH1525" s="1" t="s">
        <v>2610</v>
      </c>
    </row>
    <row r="1526">
      <c r="A1526" s="1">
        <v>29087.0</v>
      </c>
      <c r="B1526" s="2" t="str">
        <f>IFERROR(__xludf.DUMMYFUNCTION("TO_TEXT(A1526)"),"29087")</f>
        <v>29087</v>
      </c>
      <c r="C1526" s="1">
        <v>4537.0</v>
      </c>
      <c r="D1526" s="1">
        <v>462.692898526996</v>
      </c>
      <c r="E1526" s="1" t="s">
        <v>2611</v>
      </c>
      <c r="F1526" s="1" t="s">
        <v>2612</v>
      </c>
      <c r="G1526" s="1">
        <v>9.80564001402171</v>
      </c>
      <c r="H1526" s="1">
        <v>18.596351643</v>
      </c>
      <c r="I1526" s="1">
        <v>4.4720262231</v>
      </c>
      <c r="J1526" s="1">
        <v>4.3988269795</v>
      </c>
      <c r="K1526" s="1">
        <v>18.650924633</v>
      </c>
      <c r="L1526" s="1">
        <v>29.3</v>
      </c>
      <c r="M1526" s="1">
        <v>5.2</v>
      </c>
      <c r="N1526" s="1">
        <v>31.3</v>
      </c>
      <c r="O1526" s="1">
        <v>62.398208469</v>
      </c>
      <c r="P1526" s="1">
        <v>13.243820568</v>
      </c>
      <c r="Q1526" s="1">
        <v>22.66032</v>
      </c>
      <c r="R1526" s="1">
        <v>100.0</v>
      </c>
      <c r="S1526" s="1">
        <v>19.7</v>
      </c>
      <c r="T1526" s="1">
        <v>909.0</v>
      </c>
      <c r="U1526" s="1">
        <v>31.793179318</v>
      </c>
      <c r="V1526" s="1">
        <v>179.91678849</v>
      </c>
      <c r="W1526" s="1">
        <v>10.426540284</v>
      </c>
      <c r="X1526" s="1">
        <v>8.0871670702</v>
      </c>
      <c r="Y1526" s="1">
        <v>79.766288981</v>
      </c>
      <c r="Z1526" s="1">
        <v>15.2</v>
      </c>
      <c r="AA1526" s="1">
        <v>37.149711722</v>
      </c>
      <c r="AB1526" s="1">
        <v>47191.0</v>
      </c>
      <c r="AC1526" s="1">
        <v>40.864714086</v>
      </c>
      <c r="AD1526" s="1">
        <v>72.03307393</v>
      </c>
      <c r="AE1526" s="1">
        <v>8.0561330561</v>
      </c>
      <c r="AF1526" s="1">
        <v>0.3178928247</v>
      </c>
      <c r="AG1526" s="1">
        <v>1.1580381471</v>
      </c>
      <c r="AH1526" s="1">
        <v>0.3633060854</v>
      </c>
      <c r="AI1526" s="1">
        <v>0.0227066303</v>
      </c>
      <c r="AJ1526" s="1">
        <v>1.3396911898</v>
      </c>
      <c r="AK1526" s="1">
        <v>95.640326975</v>
      </c>
      <c r="AL1526" s="1">
        <v>0.0</v>
      </c>
      <c r="AM1526" s="1">
        <v>51.089918256</v>
      </c>
      <c r="AN1526" s="1">
        <v>100.0</v>
      </c>
      <c r="AO1526" s="1">
        <v>23949.0</v>
      </c>
      <c r="AP1526" s="1">
        <v>13.9</v>
      </c>
      <c r="AQ1526" s="1">
        <v>4.5</v>
      </c>
      <c r="AR1526" s="1">
        <v>9.6</v>
      </c>
      <c r="AS1526" s="1">
        <v>22.5</v>
      </c>
      <c r="AT1526" s="1">
        <v>20.1</v>
      </c>
      <c r="AU1526" s="1">
        <v>16.0</v>
      </c>
      <c r="AV1526" s="1">
        <v>3.5</v>
      </c>
      <c r="AW1526" s="1">
        <v>0.0</v>
      </c>
      <c r="AX1526" s="1">
        <v>0.2139</v>
      </c>
      <c r="AY1526" s="1">
        <v>11.8</v>
      </c>
      <c r="AZ1526" s="1">
        <v>12.8</v>
      </c>
      <c r="BA1526" s="1">
        <v>14.5</v>
      </c>
      <c r="BB1526" s="1">
        <v>2.91</v>
      </c>
      <c r="BC1526" s="1" t="s">
        <v>2554</v>
      </c>
      <c r="BD1526" s="1">
        <v>8.9</v>
      </c>
      <c r="BE1526" s="1">
        <v>43.3</v>
      </c>
      <c r="BF1526" s="1">
        <v>28.1</v>
      </c>
      <c r="BG1526" s="1">
        <v>19.7</v>
      </c>
      <c r="BH1526" s="1" t="s">
        <v>2612</v>
      </c>
    </row>
    <row r="1527">
      <c r="A1527" s="1">
        <v>29089.0</v>
      </c>
      <c r="B1527" s="2" t="str">
        <f>IFERROR(__xludf.DUMMYFUNCTION("TO_TEXT(A1527)"),"29089")</f>
        <v>29089</v>
      </c>
      <c r="C1527" s="1">
        <v>10148.0</v>
      </c>
      <c r="D1527" s="1">
        <v>463.782839762468</v>
      </c>
      <c r="E1527" s="1" t="s">
        <v>339</v>
      </c>
      <c r="F1527" s="1" t="s">
        <v>2613</v>
      </c>
      <c r="G1527" s="1">
        <v>21.8809303190205</v>
      </c>
      <c r="H1527" s="1">
        <v>19.240206726</v>
      </c>
      <c r="I1527" s="1">
        <v>4.548636078</v>
      </c>
      <c r="J1527" s="1">
        <v>9.4247246022</v>
      </c>
      <c r="K1527" s="1">
        <v>19.628655533</v>
      </c>
      <c r="L1527" s="1">
        <v>33.7</v>
      </c>
      <c r="M1527" s="1">
        <v>7.5</v>
      </c>
      <c r="N1527" s="1">
        <v>25.2</v>
      </c>
      <c r="O1527" s="1">
        <v>36.474763407</v>
      </c>
      <c r="P1527" s="1">
        <v>12.557407164</v>
      </c>
      <c r="Q1527" s="1">
        <v>39.45162</v>
      </c>
      <c r="R1527" s="1">
        <v>92.6605504589999</v>
      </c>
      <c r="S1527" s="1">
        <v>18.2</v>
      </c>
      <c r="T1527" s="1">
        <v>2214.0</v>
      </c>
      <c r="U1527" s="1">
        <v>31.074977416</v>
      </c>
      <c r="V1527" s="1">
        <v>117.09601874</v>
      </c>
      <c r="W1527" s="1">
        <v>11.037234043</v>
      </c>
      <c r="X1527" s="1">
        <v>9.1530054645</v>
      </c>
      <c r="Y1527" s="1">
        <v>77.347134761</v>
      </c>
      <c r="Z1527" s="1">
        <v>7.1</v>
      </c>
      <c r="AA1527" s="1">
        <v>6.8835211462</v>
      </c>
      <c r="AB1527" s="1">
        <v>45767.0</v>
      </c>
      <c r="AC1527" s="1">
        <v>44.091829845</v>
      </c>
      <c r="AD1527" s="1">
        <v>77.57797134</v>
      </c>
      <c r="AE1527" s="1">
        <v>7.5860041164</v>
      </c>
      <c r="AF1527" s="1">
        <v>4.8929663609</v>
      </c>
      <c r="AG1527" s="1">
        <v>0.7694584197</v>
      </c>
      <c r="AH1527" s="1">
        <v>0.3649995068</v>
      </c>
      <c r="AI1527" s="1">
        <v>0.0986485153</v>
      </c>
      <c r="AJ1527" s="1">
        <v>1.5783762454</v>
      </c>
      <c r="AK1527" s="1">
        <v>90.362040051</v>
      </c>
      <c r="AL1527" s="1">
        <v>0.3056170302</v>
      </c>
      <c r="AM1527" s="1">
        <v>50.0443918319999</v>
      </c>
      <c r="AN1527" s="1">
        <v>64.057570978</v>
      </c>
      <c r="AO1527" s="1">
        <v>22192.0</v>
      </c>
      <c r="AP1527" s="1">
        <v>18.2</v>
      </c>
      <c r="AQ1527" s="1">
        <v>4.6</v>
      </c>
      <c r="AR1527" s="1">
        <v>11.7</v>
      </c>
      <c r="AS1527" s="1">
        <v>16.7</v>
      </c>
      <c r="AT1527" s="1">
        <v>22.2</v>
      </c>
      <c r="AU1527" s="1">
        <v>14.6</v>
      </c>
      <c r="AV1527" s="1">
        <v>9.2</v>
      </c>
      <c r="AW1527" s="1">
        <v>0.2</v>
      </c>
      <c r="AX1527" s="1">
        <v>0.3518</v>
      </c>
      <c r="AY1527" s="1">
        <v>13.0</v>
      </c>
      <c r="AZ1527" s="1">
        <v>12.8</v>
      </c>
      <c r="BA1527" s="1">
        <v>16.3</v>
      </c>
      <c r="BB1527" s="1">
        <v>2.99</v>
      </c>
      <c r="BC1527" s="1" t="s">
        <v>2554</v>
      </c>
      <c r="BD1527" s="1">
        <v>12.1</v>
      </c>
      <c r="BE1527" s="1">
        <v>37.1</v>
      </c>
      <c r="BF1527" s="1">
        <v>25.7</v>
      </c>
      <c r="BG1527" s="1">
        <v>25.2</v>
      </c>
      <c r="BH1527" s="1" t="s">
        <v>2613</v>
      </c>
    </row>
    <row r="1528">
      <c r="A1528" s="1">
        <v>29091.0</v>
      </c>
      <c r="B1528" s="2" t="str">
        <f>IFERROR(__xludf.DUMMYFUNCTION("TO_TEXT(A1528)"),"29091")</f>
        <v>29091</v>
      </c>
      <c r="C1528" s="1">
        <v>40265.0</v>
      </c>
      <c r="D1528" s="1">
        <v>927.24800908511</v>
      </c>
      <c r="E1528" s="1" t="s">
        <v>2614</v>
      </c>
      <c r="F1528" s="1" t="s">
        <v>2615</v>
      </c>
      <c r="G1528" s="1">
        <v>43.4241967688109</v>
      </c>
      <c r="H1528" s="1">
        <v>21.961729429</v>
      </c>
      <c r="I1528" s="1">
        <v>4.9771308133</v>
      </c>
      <c r="J1528" s="1">
        <v>7.0967741935</v>
      </c>
      <c r="K1528" s="1">
        <v>21.895458878</v>
      </c>
      <c r="L1528" s="1">
        <v>37.0</v>
      </c>
      <c r="M1528" s="1">
        <v>6.8</v>
      </c>
      <c r="N1528" s="1">
        <v>31.8</v>
      </c>
      <c r="O1528" s="1">
        <v>64.589108911</v>
      </c>
      <c r="P1528" s="1">
        <v>12.93212213</v>
      </c>
      <c r="Q1528" s="1">
        <v>102.23674</v>
      </c>
      <c r="R1528" s="1">
        <v>95.264623955</v>
      </c>
      <c r="S1528" s="1">
        <v>30.6</v>
      </c>
      <c r="T1528" s="1">
        <v>9435.0</v>
      </c>
      <c r="U1528" s="1">
        <v>30.651828299</v>
      </c>
      <c r="V1528" s="1">
        <v>262.58804789</v>
      </c>
      <c r="W1528" s="1">
        <v>16.312056738</v>
      </c>
      <c r="X1528" s="1">
        <v>13.110137672</v>
      </c>
      <c r="Y1528" s="1">
        <v>75.83912504</v>
      </c>
      <c r="Z1528" s="1">
        <v>17.7</v>
      </c>
      <c r="AA1528" s="1">
        <v>10.511944665</v>
      </c>
      <c r="AB1528" s="1">
        <v>36762.0</v>
      </c>
      <c r="AC1528" s="1">
        <v>58.6069651739999</v>
      </c>
      <c r="AD1528" s="1">
        <v>68.383368924</v>
      </c>
      <c r="AE1528" s="1">
        <v>13.344628939</v>
      </c>
      <c r="AF1528" s="1">
        <v>0.5140233556</v>
      </c>
      <c r="AG1528" s="1">
        <v>0.7635492564</v>
      </c>
      <c r="AH1528" s="1">
        <v>0.7585587384</v>
      </c>
      <c r="AI1528" s="1">
        <v>0.0648767342</v>
      </c>
      <c r="AJ1528" s="1">
        <v>2.228266294</v>
      </c>
      <c r="AK1528" s="1">
        <v>94.056293043</v>
      </c>
      <c r="AL1528" s="1">
        <v>0.1966516078</v>
      </c>
      <c r="AM1528" s="1">
        <v>51.342449346</v>
      </c>
      <c r="AN1528" s="1">
        <v>72.173267327</v>
      </c>
      <c r="AO1528" s="1">
        <v>19293.0</v>
      </c>
      <c r="AP1528" s="1">
        <v>22.7</v>
      </c>
      <c r="AQ1528" s="1">
        <v>6.8</v>
      </c>
      <c r="AR1528" s="1">
        <v>15.3</v>
      </c>
      <c r="AS1528" s="1">
        <v>18.7</v>
      </c>
      <c r="AT1528" s="1">
        <v>24.4</v>
      </c>
      <c r="AU1528" s="1">
        <v>20.2</v>
      </c>
      <c r="AV1528" s="1">
        <v>5.3</v>
      </c>
      <c r="AW1528" s="1">
        <v>0.2</v>
      </c>
      <c r="AX1528" s="1">
        <v>0.7237</v>
      </c>
      <c r="AY1528" s="1">
        <v>20.8</v>
      </c>
      <c r="AZ1528" s="1">
        <v>17.2</v>
      </c>
      <c r="BA1528" s="1">
        <v>21.6</v>
      </c>
      <c r="BB1528" s="1">
        <v>2.69</v>
      </c>
      <c r="BC1528" s="1" t="s">
        <v>2554</v>
      </c>
      <c r="BD1528" s="1">
        <v>13.0</v>
      </c>
      <c r="BE1528" s="1">
        <v>38.9</v>
      </c>
      <c r="BF1528" s="1">
        <v>30.1</v>
      </c>
      <c r="BG1528" s="1">
        <v>18.0</v>
      </c>
      <c r="BH1528" s="1" t="s">
        <v>2615</v>
      </c>
    </row>
    <row r="1529">
      <c r="A1529" s="1">
        <v>29093.0</v>
      </c>
      <c r="B1529" s="2" t="str">
        <f>IFERROR(__xludf.DUMMYFUNCTION("TO_TEXT(A1529)"),"29093")</f>
        <v>29093</v>
      </c>
      <c r="C1529" s="1">
        <v>10220.0</v>
      </c>
      <c r="D1529" s="1">
        <v>550.26396225591</v>
      </c>
      <c r="E1529" s="1" t="s">
        <v>2203</v>
      </c>
      <c r="F1529" s="1" t="s">
        <v>2616</v>
      </c>
      <c r="G1529" s="1">
        <v>18.5729044622533</v>
      </c>
      <c r="H1529" s="1">
        <v>21.654591198</v>
      </c>
      <c r="I1529" s="1">
        <v>4.7764363863</v>
      </c>
      <c r="J1529" s="1">
        <v>9.8885793872</v>
      </c>
      <c r="K1529" s="1">
        <v>22.000969956</v>
      </c>
      <c r="L1529" s="1">
        <v>25.9</v>
      </c>
      <c r="M1529" s="1">
        <v>6.7</v>
      </c>
      <c r="N1529" s="1">
        <v>26.8</v>
      </c>
      <c r="O1529" s="1">
        <v>79.238005644</v>
      </c>
      <c r="P1529" s="1">
        <v>12.656449553</v>
      </c>
      <c r="Q1529" s="1">
        <v>9.77899</v>
      </c>
      <c r="R1529" s="1">
        <v>96.666666667</v>
      </c>
      <c r="S1529" s="1">
        <v>29.8</v>
      </c>
      <c r="T1529" s="1">
        <v>2085.0</v>
      </c>
      <c r="U1529" s="1">
        <v>26.6187050359999</v>
      </c>
      <c r="V1529" s="1">
        <v>275.69909413</v>
      </c>
      <c r="W1529" s="1">
        <v>12.592592593</v>
      </c>
      <c r="X1529" s="1">
        <v>9.9121706399</v>
      </c>
      <c r="Y1529" s="1">
        <v>73.8631956569999</v>
      </c>
      <c r="Z1529" s="1">
        <v>13.8</v>
      </c>
      <c r="AA1529" s="1">
        <v>11.2290612009999</v>
      </c>
      <c r="AB1529" s="1">
        <v>37755.0</v>
      </c>
      <c r="AC1529" s="1">
        <v>65.943238731</v>
      </c>
      <c r="AD1529" s="1">
        <v>69.754571704</v>
      </c>
      <c r="AE1529" s="1">
        <v>8.4758942457</v>
      </c>
      <c r="AF1529" s="1">
        <v>1.4640856834</v>
      </c>
      <c r="AG1529" s="1">
        <v>0.7467819593</v>
      </c>
      <c r="AH1529" s="1">
        <v>0.1473911762</v>
      </c>
      <c r="AI1529" s="1">
        <v>0.0</v>
      </c>
      <c r="AJ1529" s="1">
        <v>1.7490419574</v>
      </c>
      <c r="AK1529" s="1">
        <v>94.271396286</v>
      </c>
      <c r="AL1529" s="1">
        <v>0.0</v>
      </c>
      <c r="AM1529" s="1">
        <v>50.1916085289999</v>
      </c>
      <c r="AN1529" s="1">
        <v>74.854186265</v>
      </c>
      <c r="AO1529" s="1">
        <v>19270.0</v>
      </c>
      <c r="AP1529" s="1">
        <v>21.8</v>
      </c>
      <c r="AQ1529" s="1">
        <v>10.3</v>
      </c>
      <c r="AR1529" s="1">
        <v>19.2</v>
      </c>
      <c r="AS1529" s="1">
        <v>18.9</v>
      </c>
      <c r="AT1529" s="1">
        <v>21.1</v>
      </c>
      <c r="AU1529" s="1">
        <v>25.2</v>
      </c>
      <c r="AV1529" s="1">
        <v>5.6</v>
      </c>
      <c r="AW1529" s="1">
        <v>0.0</v>
      </c>
      <c r="AX1529" s="1">
        <v>0.8192</v>
      </c>
      <c r="AY1529" s="1">
        <v>20.8</v>
      </c>
      <c r="AZ1529" s="1">
        <v>18.3</v>
      </c>
      <c r="BA1529" s="1">
        <v>23.7</v>
      </c>
      <c r="BB1529" s="1">
        <v>2.83</v>
      </c>
      <c r="BC1529" s="1" t="s">
        <v>2554</v>
      </c>
      <c r="BD1529" s="1">
        <v>18.5</v>
      </c>
      <c r="BE1529" s="1">
        <v>41.4</v>
      </c>
      <c r="BF1529" s="1">
        <v>29.2</v>
      </c>
      <c r="BG1529" s="1">
        <v>10.8</v>
      </c>
      <c r="BH1529" s="1" t="s">
        <v>2616</v>
      </c>
    </row>
    <row r="1530">
      <c r="A1530" s="1">
        <v>29095.0</v>
      </c>
      <c r="B1530" s="2" t="str">
        <f>IFERROR(__xludf.DUMMYFUNCTION("TO_TEXT(A1530)"),"29095")</f>
        <v>29095</v>
      </c>
      <c r="C1530" s="1">
        <v>683643.0</v>
      </c>
      <c r="D1530" s="1">
        <v>604.57207536326</v>
      </c>
      <c r="E1530" s="1" t="s">
        <v>130</v>
      </c>
      <c r="F1530" s="1" t="s">
        <v>2617</v>
      </c>
      <c r="G1530" s="1">
        <v>1130.78825149049</v>
      </c>
      <c r="H1530" s="1">
        <v>16.76643134</v>
      </c>
      <c r="I1530" s="1">
        <v>4.3216285968</v>
      </c>
      <c r="J1530" s="1">
        <v>8.9522536345</v>
      </c>
      <c r="K1530" s="1">
        <v>20.051586925</v>
      </c>
      <c r="L1530" s="1">
        <v>32.1</v>
      </c>
      <c r="M1530" s="1">
        <v>7.0</v>
      </c>
      <c r="N1530" s="1">
        <v>22.8</v>
      </c>
      <c r="O1530" s="1">
        <v>91.508815441</v>
      </c>
      <c r="P1530" s="1">
        <v>12.585964942</v>
      </c>
      <c r="Q1530" s="1">
        <v>76.69249</v>
      </c>
      <c r="R1530" s="1">
        <v>89.627347418</v>
      </c>
      <c r="S1530" s="1">
        <v>19.0</v>
      </c>
      <c r="T1530" s="1">
        <v>162832.0</v>
      </c>
      <c r="U1530" s="1">
        <v>42.620615113</v>
      </c>
      <c r="V1530" s="1">
        <v>941.43198334</v>
      </c>
      <c r="W1530" s="1">
        <v>16.282891766</v>
      </c>
      <c r="X1530" s="1">
        <v>14.715762037</v>
      </c>
      <c r="Y1530" s="1">
        <v>77.264784931</v>
      </c>
      <c r="Z1530" s="1">
        <v>11.1</v>
      </c>
      <c r="AA1530" s="1">
        <v>7.2677083623</v>
      </c>
      <c r="AB1530" s="1">
        <v>55864.0</v>
      </c>
      <c r="AC1530" s="1">
        <v>59.960933951</v>
      </c>
      <c r="AD1530" s="1">
        <v>58.454005441</v>
      </c>
      <c r="AE1530" s="1">
        <v>13.916993147</v>
      </c>
      <c r="AF1530" s="1">
        <v>23.2660818759999</v>
      </c>
      <c r="AG1530" s="1">
        <v>0.6018788903</v>
      </c>
      <c r="AH1530" s="1">
        <v>1.9431477909</v>
      </c>
      <c r="AI1530" s="1">
        <v>0.3027243766</v>
      </c>
      <c r="AJ1530" s="1">
        <v>9.1057207767</v>
      </c>
      <c r="AK1530" s="1">
        <v>62.297963607</v>
      </c>
      <c r="AL1530" s="1">
        <v>1.8970168705</v>
      </c>
      <c r="AM1530" s="1">
        <v>51.628214483</v>
      </c>
      <c r="AN1530" s="1">
        <v>3.8369343685</v>
      </c>
      <c r="AO1530" s="1">
        <v>27665.0</v>
      </c>
      <c r="AP1530" s="1">
        <v>17.2</v>
      </c>
      <c r="AQ1530" s="1">
        <v>6.7</v>
      </c>
      <c r="AR1530" s="1">
        <v>10.2</v>
      </c>
      <c r="AS1530" s="1">
        <v>13.5</v>
      </c>
      <c r="AT1530" s="1">
        <v>24.1</v>
      </c>
      <c r="AU1530" s="1">
        <v>13.5</v>
      </c>
      <c r="AV1530" s="1">
        <v>37.3</v>
      </c>
      <c r="AW1530" s="1">
        <v>1.7</v>
      </c>
      <c r="AX1530" s="1">
        <v>0.56</v>
      </c>
      <c r="AY1530" s="1">
        <v>13.7</v>
      </c>
      <c r="AZ1530" s="1">
        <v>13.6</v>
      </c>
      <c r="BA1530" s="1">
        <v>15.3</v>
      </c>
      <c r="BB1530" s="1">
        <v>3.0</v>
      </c>
      <c r="BC1530" s="1" t="s">
        <v>2554</v>
      </c>
      <c r="BD1530" s="1">
        <v>9.4</v>
      </c>
      <c r="BE1530" s="1">
        <v>28.3</v>
      </c>
      <c r="BF1530" s="1">
        <v>30.7</v>
      </c>
      <c r="BG1530" s="1">
        <v>31.6</v>
      </c>
      <c r="BH1530" s="1" t="s">
        <v>2617</v>
      </c>
    </row>
    <row r="1531">
      <c r="A1531" s="1">
        <v>29097.0</v>
      </c>
      <c r="B1531" s="2" t="str">
        <f>IFERROR(__xludf.DUMMYFUNCTION("TO_TEXT(A1531)"),"29097")</f>
        <v>29097</v>
      </c>
      <c r="C1531" s="1">
        <v>117376.0</v>
      </c>
      <c r="D1531" s="1">
        <v>638.479108599858</v>
      </c>
      <c r="E1531" s="1" t="s">
        <v>932</v>
      </c>
      <c r="F1531" s="1" t="s">
        <v>2618</v>
      </c>
      <c r="G1531" s="1">
        <v>183.836868613286</v>
      </c>
      <c r="H1531" s="1">
        <v>18.971497958</v>
      </c>
      <c r="I1531" s="1">
        <v>4.659701118</v>
      </c>
      <c r="J1531" s="1">
        <v>6.977946244</v>
      </c>
      <c r="K1531" s="1">
        <v>19.176555104</v>
      </c>
      <c r="L1531" s="1">
        <v>38.8</v>
      </c>
      <c r="M1531" s="1">
        <v>7.3</v>
      </c>
      <c r="N1531" s="1">
        <v>27.0</v>
      </c>
      <c r="O1531" s="1">
        <v>74.546012061</v>
      </c>
      <c r="P1531" s="1">
        <v>14.150231814</v>
      </c>
      <c r="Q1531" s="1">
        <v>60.50183</v>
      </c>
      <c r="R1531" s="1">
        <v>87.046632124</v>
      </c>
      <c r="S1531" s="1">
        <v>22.7</v>
      </c>
      <c r="T1531" s="1">
        <v>29661.0</v>
      </c>
      <c r="U1531" s="1">
        <v>32.615218637</v>
      </c>
      <c r="V1531" s="1">
        <v>416.10235181</v>
      </c>
      <c r="W1531" s="1">
        <v>13.53597201</v>
      </c>
      <c r="X1531" s="1">
        <v>11.359876475</v>
      </c>
      <c r="Y1531" s="1">
        <v>75.904256031</v>
      </c>
      <c r="Z1531" s="1">
        <v>11.2</v>
      </c>
      <c r="AA1531" s="1">
        <v>10.605866221</v>
      </c>
      <c r="AB1531" s="1">
        <v>46596.0</v>
      </c>
      <c r="AC1531" s="1">
        <v>55.5010478189999</v>
      </c>
      <c r="AD1531" s="1">
        <v>64.808554826</v>
      </c>
      <c r="AE1531" s="1">
        <v>10.696857755</v>
      </c>
      <c r="AF1531" s="1">
        <v>2.0433369807</v>
      </c>
      <c r="AG1531" s="1">
        <v>1.8377598727</v>
      </c>
      <c r="AH1531" s="1">
        <v>1.2773964654</v>
      </c>
      <c r="AI1531" s="1">
        <v>0.51394277</v>
      </c>
      <c r="AJ1531" s="1">
        <v>8.2678470772</v>
      </c>
      <c r="AK1531" s="1">
        <v>83.808315926</v>
      </c>
      <c r="AL1531" s="1">
        <v>1.6658699593</v>
      </c>
      <c r="AM1531" s="1">
        <v>51.156371232</v>
      </c>
      <c r="AN1531" s="1">
        <v>23.6916970459999</v>
      </c>
      <c r="AO1531" s="1">
        <v>22767.0</v>
      </c>
      <c r="AP1531" s="1">
        <v>17.8</v>
      </c>
      <c r="AQ1531" s="1">
        <v>6.0</v>
      </c>
      <c r="AR1531" s="1">
        <v>13.0</v>
      </c>
      <c r="AS1531" s="1">
        <v>13.8</v>
      </c>
      <c r="AT1531" s="1">
        <v>25.4</v>
      </c>
      <c r="AU1531" s="1">
        <v>13.7</v>
      </c>
      <c r="AV1531" s="1">
        <v>15.0</v>
      </c>
      <c r="AW1531" s="1">
        <v>1.7</v>
      </c>
      <c r="AX1531" s="1">
        <v>0.567</v>
      </c>
      <c r="AY1531" s="1">
        <v>18.8</v>
      </c>
      <c r="AZ1531" s="1">
        <v>13.4</v>
      </c>
      <c r="BA1531" s="1">
        <v>15.7</v>
      </c>
      <c r="BB1531" s="1">
        <v>2.82</v>
      </c>
      <c r="BC1531" s="1" t="s">
        <v>2554</v>
      </c>
      <c r="BD1531" s="1">
        <v>13.3</v>
      </c>
      <c r="BE1531" s="1">
        <v>33.6</v>
      </c>
      <c r="BF1531" s="1">
        <v>29.6</v>
      </c>
      <c r="BG1531" s="1">
        <v>23.6</v>
      </c>
      <c r="BH1531" s="1" t="s">
        <v>2618</v>
      </c>
    </row>
    <row r="1532">
      <c r="A1532" s="1">
        <v>29099.0</v>
      </c>
      <c r="B1532" s="2" t="str">
        <f>IFERROR(__xludf.DUMMYFUNCTION("TO_TEXT(A1532)"),"29099")</f>
        <v>29099</v>
      </c>
      <c r="C1532" s="1">
        <v>222453.0</v>
      </c>
      <c r="D1532" s="1">
        <v>656.652300007496</v>
      </c>
      <c r="E1532" s="1" t="s">
        <v>132</v>
      </c>
      <c r="F1532" s="1" t="s">
        <v>2619</v>
      </c>
      <c r="G1532" s="1">
        <v>338.768325333606</v>
      </c>
      <c r="H1532" s="1">
        <v>18.59384267</v>
      </c>
      <c r="I1532" s="1">
        <v>4.4844593463</v>
      </c>
      <c r="J1532" s="1">
        <v>7.6578816509</v>
      </c>
      <c r="K1532" s="1">
        <v>18.827690898</v>
      </c>
      <c r="L1532" s="1">
        <v>32.7</v>
      </c>
      <c r="M1532" s="1">
        <v>7.9</v>
      </c>
      <c r="N1532" s="1">
        <v>22.6</v>
      </c>
      <c r="O1532" s="1">
        <v>67.505589006</v>
      </c>
      <c r="P1532" s="1">
        <v>9.9874062024</v>
      </c>
      <c r="Q1532" s="1">
        <v>24.12761</v>
      </c>
      <c r="R1532" s="1">
        <v>92.378752887</v>
      </c>
      <c r="S1532" s="1">
        <v>10.4</v>
      </c>
      <c r="T1532" s="1">
        <v>52208.0</v>
      </c>
      <c r="U1532" s="1">
        <v>29.702344468</v>
      </c>
      <c r="V1532" s="1">
        <v>191.70586906</v>
      </c>
      <c r="W1532" s="1">
        <v>11.39594217</v>
      </c>
      <c r="X1532" s="1">
        <v>9.3935499663</v>
      </c>
      <c r="Y1532" s="1">
        <v>75.914726455</v>
      </c>
      <c r="Z1532" s="1">
        <v>12.9</v>
      </c>
      <c r="AA1532" s="1">
        <v>8.3550854113</v>
      </c>
      <c r="AB1532" s="1">
        <v>65150.0</v>
      </c>
      <c r="AC1532" s="1">
        <v>36.612593755</v>
      </c>
      <c r="AD1532" s="1">
        <v>79.652340834</v>
      </c>
      <c r="AE1532" s="1">
        <v>9.0278451538</v>
      </c>
      <c r="AF1532" s="1">
        <v>1.1130079743</v>
      </c>
      <c r="AG1532" s="1">
        <v>0.3476756988</v>
      </c>
      <c r="AH1532" s="1">
        <v>0.7849447508</v>
      </c>
      <c r="AI1532" s="1">
        <v>0.0347675699</v>
      </c>
      <c r="AJ1532" s="1">
        <v>2.0379144807</v>
      </c>
      <c r="AK1532" s="1">
        <v>94.256664899</v>
      </c>
      <c r="AL1532" s="1">
        <v>0.3706703511</v>
      </c>
      <c r="AM1532" s="1">
        <v>50.358150544</v>
      </c>
      <c r="AN1532" s="1">
        <v>30.196175246</v>
      </c>
      <c r="AO1532" s="1">
        <v>26021.0</v>
      </c>
      <c r="AP1532" s="1">
        <v>10.9</v>
      </c>
      <c r="AQ1532" s="1">
        <v>7.4</v>
      </c>
      <c r="AR1532" s="1">
        <v>12.5</v>
      </c>
      <c r="AS1532" s="1">
        <v>13.3</v>
      </c>
      <c r="AT1532" s="1">
        <v>24.0</v>
      </c>
      <c r="AU1532" s="1">
        <v>12.9</v>
      </c>
      <c r="AV1532" s="1">
        <v>5.2</v>
      </c>
      <c r="AW1532" s="1">
        <v>0.3</v>
      </c>
      <c r="AX1532" s="1">
        <v>0.2206</v>
      </c>
      <c r="AY1532" s="1">
        <v>8.4</v>
      </c>
      <c r="AZ1532" s="1">
        <v>10.7</v>
      </c>
      <c r="BA1532" s="1">
        <v>12.6</v>
      </c>
      <c r="BB1532" s="1">
        <v>3.11</v>
      </c>
      <c r="BC1532" s="1" t="s">
        <v>2554</v>
      </c>
      <c r="BD1532" s="1">
        <v>10.9</v>
      </c>
      <c r="BE1532" s="1">
        <v>31.6</v>
      </c>
      <c r="BF1532" s="1">
        <v>37.1</v>
      </c>
      <c r="BG1532" s="1">
        <v>20.4</v>
      </c>
      <c r="BH1532" s="1" t="s">
        <v>2619</v>
      </c>
    </row>
    <row r="1533">
      <c r="A1533" s="1">
        <v>29101.0</v>
      </c>
      <c r="B1533" s="2" t="str">
        <f>IFERROR(__xludf.DUMMYFUNCTION("TO_TEXT(A1533)"),"29101")</f>
        <v>29101</v>
      </c>
      <c r="C1533" s="1">
        <v>54229.0</v>
      </c>
      <c r="D1533" s="1">
        <v>829.282830480406</v>
      </c>
      <c r="E1533" s="1" t="s">
        <v>347</v>
      </c>
      <c r="F1533" s="1" t="s">
        <v>2620</v>
      </c>
      <c r="G1533" s="1">
        <v>65.3926477274164</v>
      </c>
      <c r="H1533" s="1">
        <v>17.771772164</v>
      </c>
      <c r="I1533" s="1">
        <v>4.411921005</v>
      </c>
      <c r="J1533" s="1">
        <v>6.6586682663</v>
      </c>
      <c r="K1533" s="1">
        <v>20.002152887</v>
      </c>
      <c r="L1533" s="1">
        <v>33.6</v>
      </c>
      <c r="M1533" s="1">
        <v>7.4</v>
      </c>
      <c r="N1533" s="1">
        <v>27.9</v>
      </c>
      <c r="O1533" s="1">
        <v>49.291757772</v>
      </c>
      <c r="P1533" s="1">
        <v>10.047464744</v>
      </c>
      <c r="Q1533" s="1">
        <v>42.67399</v>
      </c>
      <c r="R1533" s="1">
        <v>92.366412214</v>
      </c>
      <c r="S1533" s="1">
        <v>13.9</v>
      </c>
      <c r="T1533" s="1">
        <v>11408.0</v>
      </c>
      <c r="U1533" s="1">
        <v>22.317671809</v>
      </c>
      <c r="V1533" s="1">
        <v>191.32711444</v>
      </c>
      <c r="W1533" s="1">
        <v>14.497115626</v>
      </c>
      <c r="X1533" s="1">
        <v>12.2579013909999</v>
      </c>
      <c r="Y1533" s="1">
        <v>78.424512947</v>
      </c>
      <c r="Z1533" s="1">
        <v>10.6</v>
      </c>
      <c r="AA1533" s="1">
        <v>6.06102944779999</v>
      </c>
      <c r="AB1533" s="1">
        <v>52151.0</v>
      </c>
      <c r="AC1533" s="1">
        <v>40.49309929</v>
      </c>
      <c r="AD1533" s="1">
        <v>59.7020913789999</v>
      </c>
      <c r="AE1533" s="1">
        <v>12.313375404</v>
      </c>
      <c r="AF1533" s="1">
        <v>4.7118467159</v>
      </c>
      <c r="AG1533" s="1">
        <v>0.6393051517</v>
      </c>
      <c r="AH1533" s="1">
        <v>1.7893088794</v>
      </c>
      <c r="AI1533" s="1">
        <v>0.3317676881</v>
      </c>
      <c r="AJ1533" s="1">
        <v>4.5180049206</v>
      </c>
      <c r="AK1533" s="1">
        <v>85.653843286</v>
      </c>
      <c r="AL1533" s="1">
        <v>0.2527715304</v>
      </c>
      <c r="AM1533" s="1">
        <v>48.598374711</v>
      </c>
      <c r="AN1533" s="1">
        <v>50.443958551</v>
      </c>
      <c r="AO1533" s="1">
        <v>22589.0</v>
      </c>
      <c r="AP1533" s="1">
        <v>17.0</v>
      </c>
      <c r="AQ1533" s="1">
        <v>7.3</v>
      </c>
      <c r="AR1533" s="1">
        <v>8.6</v>
      </c>
      <c r="AS1533" s="1">
        <v>11.7</v>
      </c>
      <c r="AT1533" s="1">
        <v>21.8</v>
      </c>
      <c r="AU1533" s="1">
        <v>12.2</v>
      </c>
      <c r="AV1533" s="1">
        <v>13.6</v>
      </c>
      <c r="AW1533" s="1">
        <v>0.3</v>
      </c>
      <c r="AX1533" s="1">
        <v>0.3945</v>
      </c>
      <c r="AY1533" s="1">
        <v>11.4</v>
      </c>
      <c r="AZ1533" s="1">
        <v>12.5</v>
      </c>
      <c r="BA1533" s="1">
        <v>12.5</v>
      </c>
      <c r="BB1533" s="1">
        <v>2.88</v>
      </c>
      <c r="BC1533" s="1" t="s">
        <v>2554</v>
      </c>
      <c r="BD1533" s="1">
        <v>7.5</v>
      </c>
      <c r="BE1533" s="1">
        <v>30.7</v>
      </c>
      <c r="BF1533" s="1">
        <v>32.9</v>
      </c>
      <c r="BG1533" s="1">
        <v>28.9</v>
      </c>
      <c r="BH1533" s="1" t="s">
        <v>2620</v>
      </c>
    </row>
    <row r="1534">
      <c r="A1534" s="1">
        <v>29103.0</v>
      </c>
      <c r="B1534" s="2" t="str">
        <f>IFERROR(__xludf.DUMMYFUNCTION("TO_TEXT(A1534)"),"29103")</f>
        <v>29103</v>
      </c>
      <c r="C1534" s="1">
        <v>3997.0</v>
      </c>
      <c r="D1534" s="1">
        <v>504.008558098318</v>
      </c>
      <c r="E1534" s="1" t="s">
        <v>1224</v>
      </c>
      <c r="F1534" s="1" t="s">
        <v>2621</v>
      </c>
      <c r="G1534" s="1">
        <v>7.93042089420294</v>
      </c>
      <c r="H1534" s="1">
        <v>20.3803183659999</v>
      </c>
      <c r="I1534" s="1">
        <v>4.640196876</v>
      </c>
      <c r="J1534" s="1">
        <v>6.25</v>
      </c>
      <c r="K1534" s="1">
        <v>19.381406114</v>
      </c>
      <c r="L1534" s="1">
        <v>35.1</v>
      </c>
      <c r="M1534" s="1">
        <v>7.4</v>
      </c>
      <c r="N1534" s="1">
        <v>40.9</v>
      </c>
      <c r="O1534" s="1">
        <v>13.701282982</v>
      </c>
      <c r="P1534" s="1">
        <v>17.474447742</v>
      </c>
      <c r="Q1534" s="1">
        <v>25.14458</v>
      </c>
      <c r="R1534" s="1">
        <v>90.243902439</v>
      </c>
      <c r="S1534" s="1">
        <v>27.5</v>
      </c>
      <c r="T1534" s="1">
        <v>926.0</v>
      </c>
      <c r="U1534" s="1">
        <v>39.308855292</v>
      </c>
      <c r="V1534" s="1">
        <v>0.0</v>
      </c>
      <c r="W1534" s="1">
        <v>13.595166163</v>
      </c>
      <c r="X1534" s="1">
        <v>10.577507599</v>
      </c>
      <c r="Y1534" s="1">
        <v>77.364382001</v>
      </c>
      <c r="Z1534" s="1">
        <v>17.7</v>
      </c>
      <c r="AA1534" s="1">
        <v>8.6025001362</v>
      </c>
      <c r="AB1534" s="1">
        <v>39309.0</v>
      </c>
      <c r="AC1534" s="1">
        <v>58.777120316</v>
      </c>
      <c r="AD1534" s="1">
        <v>79.973907371</v>
      </c>
      <c r="AE1534" s="1">
        <v>9.3202522775</v>
      </c>
      <c r="AF1534" s="1">
        <v>0.532049657999999</v>
      </c>
      <c r="AG1534" s="1">
        <v>0.430706866</v>
      </c>
      <c r="AH1534" s="1">
        <v>0.354699772</v>
      </c>
      <c r="AI1534" s="1">
        <v>0.0</v>
      </c>
      <c r="AJ1534" s="1">
        <v>1.1147707119</v>
      </c>
      <c r="AK1534" s="1">
        <v>96.32632379</v>
      </c>
      <c r="AL1534" s="1">
        <v>0.0</v>
      </c>
      <c r="AM1534" s="1">
        <v>49.987332151</v>
      </c>
      <c r="AN1534" s="1">
        <v>100.0</v>
      </c>
      <c r="AO1534" s="1">
        <v>21471.0</v>
      </c>
      <c r="AP1534" s="1">
        <v>20.1</v>
      </c>
      <c r="AQ1534" s="1">
        <v>6.1</v>
      </c>
      <c r="AR1534" s="1">
        <v>13.8</v>
      </c>
      <c r="AS1534" s="1">
        <v>20.6</v>
      </c>
      <c r="AT1534" s="1">
        <v>24.4</v>
      </c>
      <c r="AU1534" s="1">
        <v>19.8</v>
      </c>
      <c r="AV1534" s="1">
        <v>3.5</v>
      </c>
      <c r="AW1534" s="1">
        <v>0.0</v>
      </c>
      <c r="AX1534" s="1">
        <v>0.4413</v>
      </c>
      <c r="AY1534" s="1">
        <v>16.7</v>
      </c>
      <c r="AZ1534" s="1">
        <v>15.0</v>
      </c>
      <c r="BA1534" s="1">
        <v>18.9</v>
      </c>
      <c r="BB1534" s="1">
        <v>2.79</v>
      </c>
      <c r="BC1534" s="1" t="s">
        <v>2554</v>
      </c>
      <c r="BD1534" s="1">
        <v>13.1</v>
      </c>
      <c r="BE1534" s="1">
        <v>43.2</v>
      </c>
      <c r="BF1534" s="1">
        <v>26.5</v>
      </c>
      <c r="BG1534" s="1">
        <v>17.2</v>
      </c>
      <c r="BH1534" s="1" t="s">
        <v>2621</v>
      </c>
    </row>
    <row r="1535">
      <c r="A1535" s="1">
        <v>29105.0</v>
      </c>
      <c r="B1535" s="2" t="str">
        <f>IFERROR(__xludf.DUMMYFUNCTION("TO_TEXT(A1535)"),"29105")</f>
        <v>29105</v>
      </c>
      <c r="C1535" s="1">
        <v>35505.0</v>
      </c>
      <c r="D1535" s="1">
        <v>764.724259854508</v>
      </c>
      <c r="E1535" s="1" t="s">
        <v>2622</v>
      </c>
      <c r="F1535" s="1" t="s">
        <v>2623</v>
      </c>
      <c r="G1535" s="1">
        <v>46.4284996094604</v>
      </c>
      <c r="H1535" s="1">
        <v>20.498946466</v>
      </c>
      <c r="I1535" s="1">
        <v>4.6271113827</v>
      </c>
      <c r="J1535" s="1">
        <v>8.4156933214</v>
      </c>
      <c r="K1535" s="1">
        <v>21.873365753</v>
      </c>
      <c r="L1535" s="1">
        <v>31.3</v>
      </c>
      <c r="M1535" s="1">
        <v>7.1</v>
      </c>
      <c r="N1535" s="1">
        <v>30.2</v>
      </c>
      <c r="O1535" s="1">
        <v>53.079755981</v>
      </c>
      <c r="P1535" s="1">
        <v>13.730144877</v>
      </c>
      <c r="Q1535" s="1">
        <v>53.6072</v>
      </c>
      <c r="R1535" s="1">
        <v>93.055555556</v>
      </c>
      <c r="S1535" s="1">
        <v>22.2</v>
      </c>
      <c r="T1535" s="1">
        <v>8546.0</v>
      </c>
      <c r="U1535" s="1">
        <v>24.327170606</v>
      </c>
      <c r="V1535" s="1">
        <v>290.80437054</v>
      </c>
      <c r="W1535" s="1">
        <v>16.666666667</v>
      </c>
      <c r="X1535" s="1">
        <v>13.568023469</v>
      </c>
      <c r="Y1535" s="1">
        <v>74.597297288</v>
      </c>
      <c r="Z1535" s="1">
        <v>15.2</v>
      </c>
      <c r="AA1535" s="1">
        <v>9.4641505039</v>
      </c>
      <c r="AB1535" s="1">
        <v>44562.0</v>
      </c>
      <c r="AC1535" s="1">
        <v>60.670524166</v>
      </c>
      <c r="AD1535" s="1">
        <v>68.570604356</v>
      </c>
      <c r="AE1535" s="1">
        <v>10.367968632</v>
      </c>
      <c r="AF1535" s="1">
        <v>0.8680312491</v>
      </c>
      <c r="AG1535" s="1">
        <v>0.7588273178</v>
      </c>
      <c r="AH1535" s="1">
        <v>0.6524234872</v>
      </c>
      <c r="AI1535" s="1">
        <v>0.0868031249</v>
      </c>
      <c r="AJ1535" s="1">
        <v>2.5032901184</v>
      </c>
      <c r="AK1535" s="1">
        <v>93.374961499</v>
      </c>
      <c r="AL1535" s="1">
        <v>0.0904022902</v>
      </c>
      <c r="AM1535" s="1">
        <v>50.852630695</v>
      </c>
      <c r="AN1535" s="1">
        <v>60.512777262</v>
      </c>
      <c r="AO1535" s="1">
        <v>19552.0</v>
      </c>
      <c r="AP1535" s="1">
        <v>19.2</v>
      </c>
      <c r="AQ1535" s="1">
        <v>8.4</v>
      </c>
      <c r="AR1535" s="1">
        <v>18.2</v>
      </c>
      <c r="AS1535" s="1">
        <v>16.7</v>
      </c>
      <c r="AT1535" s="1">
        <v>24.3</v>
      </c>
      <c r="AU1535" s="1">
        <v>19.3</v>
      </c>
      <c r="AV1535" s="1">
        <v>6.0</v>
      </c>
      <c r="AW1535" s="1">
        <v>0.0</v>
      </c>
      <c r="AX1535" s="1">
        <v>0.7294</v>
      </c>
      <c r="AY1535" s="1">
        <v>15.8</v>
      </c>
      <c r="AZ1535" s="1">
        <v>14.1</v>
      </c>
      <c r="BA1535" s="1">
        <v>16.7</v>
      </c>
      <c r="BB1535" s="1">
        <v>2.61</v>
      </c>
      <c r="BC1535" s="1" t="s">
        <v>2554</v>
      </c>
      <c r="BD1535" s="1">
        <v>14.8</v>
      </c>
      <c r="BE1535" s="1">
        <v>40.8</v>
      </c>
      <c r="BF1535" s="1">
        <v>29.8</v>
      </c>
      <c r="BG1535" s="1">
        <v>14.6</v>
      </c>
      <c r="BH1535" s="1" t="s">
        <v>2623</v>
      </c>
    </row>
    <row r="1536">
      <c r="A1536" s="1">
        <v>29107.0</v>
      </c>
      <c r="B1536" s="2" t="str">
        <f>IFERROR(__xludf.DUMMYFUNCTION("TO_TEXT(A1536)"),"29107")</f>
        <v>29107</v>
      </c>
      <c r="C1536" s="1">
        <v>32789.0</v>
      </c>
      <c r="D1536" s="1">
        <v>628.435205612658</v>
      </c>
      <c r="E1536" s="1" t="s">
        <v>349</v>
      </c>
      <c r="F1536" s="1" t="s">
        <v>2624</v>
      </c>
      <c r="G1536" s="1">
        <v>52.1756255969686</v>
      </c>
      <c r="H1536" s="1">
        <v>17.338609657</v>
      </c>
      <c r="I1536" s="1">
        <v>4.3410040669</v>
      </c>
      <c r="J1536" s="1">
        <v>6.8287037037</v>
      </c>
      <c r="K1536" s="1">
        <v>18.667291431</v>
      </c>
      <c r="L1536" s="1">
        <v>32.2</v>
      </c>
      <c r="M1536" s="1">
        <v>8.0</v>
      </c>
      <c r="N1536" s="1">
        <v>30.1</v>
      </c>
      <c r="O1536" s="1">
        <v>48.0962224019999</v>
      </c>
      <c r="P1536" s="1">
        <v>10.365900237</v>
      </c>
      <c r="Q1536" s="1">
        <v>24.50905</v>
      </c>
      <c r="R1536" s="1">
        <v>95.023696682</v>
      </c>
      <c r="S1536" s="1">
        <v>14.6</v>
      </c>
      <c r="T1536" s="1">
        <v>7371.0</v>
      </c>
      <c r="U1536" s="1">
        <v>37.267670601</v>
      </c>
      <c r="V1536" s="1">
        <v>111.84292283</v>
      </c>
      <c r="W1536" s="1">
        <v>12.180451128</v>
      </c>
      <c r="X1536" s="1">
        <v>9.7385373247</v>
      </c>
      <c r="Y1536" s="1">
        <v>76.812671635</v>
      </c>
      <c r="Z1536" s="1">
        <v>10.7</v>
      </c>
      <c r="AA1536" s="1">
        <v>4.8182768098</v>
      </c>
      <c r="AB1536" s="1">
        <v>53389.0</v>
      </c>
      <c r="AC1536" s="1">
        <v>46.6023092939999</v>
      </c>
      <c r="AD1536" s="1">
        <v>72.5210278569999</v>
      </c>
      <c r="AE1536" s="1">
        <v>10.901835595</v>
      </c>
      <c r="AF1536" s="1">
        <v>2.0553408185</v>
      </c>
      <c r="AG1536" s="1">
        <v>0.6564819928</v>
      </c>
      <c r="AH1536" s="1">
        <v>0.5061660225</v>
      </c>
      <c r="AI1536" s="1">
        <v>0.1871280447</v>
      </c>
      <c r="AJ1536" s="1">
        <v>2.8836124916</v>
      </c>
      <c r="AK1536" s="1">
        <v>91.9626970979999</v>
      </c>
      <c r="AL1536" s="1">
        <v>0.2760457262</v>
      </c>
      <c r="AM1536" s="1">
        <v>50.398797472</v>
      </c>
      <c r="AN1536" s="1">
        <v>56.9485635539999</v>
      </c>
      <c r="AO1536" s="1">
        <v>25008.0</v>
      </c>
      <c r="AP1536" s="1">
        <v>12.2</v>
      </c>
      <c r="AQ1536" s="1">
        <v>5.7</v>
      </c>
      <c r="AR1536" s="1">
        <v>11.1</v>
      </c>
      <c r="AS1536" s="1">
        <v>17.8</v>
      </c>
      <c r="AT1536" s="1">
        <v>23.4</v>
      </c>
      <c r="AU1536" s="1">
        <v>14.9</v>
      </c>
      <c r="AV1536" s="1">
        <v>7.7</v>
      </c>
      <c r="AW1536" s="1">
        <v>0.6</v>
      </c>
      <c r="AX1536" s="1">
        <v>0.4616</v>
      </c>
      <c r="AY1536" s="1">
        <v>10.7</v>
      </c>
      <c r="AZ1536" s="1">
        <v>12.3</v>
      </c>
      <c r="BA1536" s="1">
        <v>15.1</v>
      </c>
      <c r="BB1536" s="1">
        <v>3.38</v>
      </c>
      <c r="BC1536" s="1" t="s">
        <v>2554</v>
      </c>
      <c r="BD1536" s="1">
        <v>9.4</v>
      </c>
      <c r="BE1536" s="1">
        <v>43.5</v>
      </c>
      <c r="BF1536" s="1">
        <v>26.8</v>
      </c>
      <c r="BG1536" s="1">
        <v>20.3</v>
      </c>
      <c r="BH1536" s="1" t="s">
        <v>2624</v>
      </c>
    </row>
    <row r="1537">
      <c r="A1537" s="1">
        <v>29109.0</v>
      </c>
      <c r="B1537" s="2" t="str">
        <f>IFERROR(__xludf.DUMMYFUNCTION("TO_TEXT(A1537)"),"29109")</f>
        <v>29109</v>
      </c>
      <c r="C1537" s="1">
        <v>38204.0</v>
      </c>
      <c r="D1537" s="1">
        <v>611.736639287846</v>
      </c>
      <c r="E1537" s="1" t="s">
        <v>138</v>
      </c>
      <c r="F1537" s="1" t="s">
        <v>2625</v>
      </c>
      <c r="G1537" s="1">
        <v>62.4517113189022</v>
      </c>
      <c r="H1537" s="1">
        <v>20.391069332</v>
      </c>
      <c r="I1537" s="1">
        <v>4.6011641536</v>
      </c>
      <c r="J1537" s="1">
        <v>7.0494599204</v>
      </c>
      <c r="K1537" s="1">
        <v>21.125114509</v>
      </c>
      <c r="L1537" s="1">
        <v>32.9</v>
      </c>
      <c r="M1537" s="1">
        <v>7.9</v>
      </c>
      <c r="N1537" s="1">
        <v>27.9</v>
      </c>
      <c r="O1537" s="1">
        <v>53.201842936</v>
      </c>
      <c r="P1537" s="1">
        <v>13.641931532</v>
      </c>
      <c r="Q1537" s="1">
        <v>54.63912</v>
      </c>
      <c r="R1537" s="1">
        <v>90.76433121</v>
      </c>
      <c r="S1537" s="1">
        <v>23.5</v>
      </c>
      <c r="T1537" s="1">
        <v>9592.0</v>
      </c>
      <c r="U1537" s="1">
        <v>29.138865721</v>
      </c>
      <c r="V1537" s="1">
        <v>447.72489951</v>
      </c>
      <c r="W1537" s="1">
        <v>12.830188679</v>
      </c>
      <c r="X1537" s="1">
        <v>9.7111033763</v>
      </c>
      <c r="Y1537" s="1">
        <v>74.870221022</v>
      </c>
      <c r="Z1537" s="1">
        <v>11.9</v>
      </c>
      <c r="AA1537" s="1">
        <v>4.8122266523</v>
      </c>
      <c r="AB1537" s="1">
        <v>45074.0</v>
      </c>
      <c r="AC1537" s="1">
        <v>60.420240137</v>
      </c>
      <c r="AD1537" s="1">
        <v>71.898110107</v>
      </c>
      <c r="AE1537" s="1">
        <v>9.6764833889</v>
      </c>
      <c r="AF1537" s="1">
        <v>0.4562162726</v>
      </c>
      <c r="AG1537" s="1">
        <v>1.152271957</v>
      </c>
      <c r="AH1537" s="1">
        <v>0.5526734274</v>
      </c>
      <c r="AI1537" s="1">
        <v>0.101671055</v>
      </c>
      <c r="AJ1537" s="1">
        <v>7.6670403295</v>
      </c>
      <c r="AK1537" s="1">
        <v>88.831825647</v>
      </c>
      <c r="AL1537" s="1">
        <v>1.9207008873</v>
      </c>
      <c r="AM1537" s="1">
        <v>50.366276493</v>
      </c>
      <c r="AN1537" s="1">
        <v>58.686649066</v>
      </c>
      <c r="AO1537" s="1">
        <v>19973.0</v>
      </c>
      <c r="AP1537" s="1">
        <v>18.1</v>
      </c>
      <c r="AQ1537" s="1">
        <v>7.0</v>
      </c>
      <c r="AR1537" s="1">
        <v>15.9</v>
      </c>
      <c r="AS1537" s="1">
        <v>17.3</v>
      </c>
      <c r="AT1537" s="1">
        <v>25.5</v>
      </c>
      <c r="AU1537" s="1">
        <v>16.2</v>
      </c>
      <c r="AV1537" s="1">
        <v>10.1</v>
      </c>
      <c r="AW1537" s="1">
        <v>1.6</v>
      </c>
      <c r="AX1537" s="1">
        <v>0.6781</v>
      </c>
      <c r="AY1537" s="1">
        <v>16.1</v>
      </c>
      <c r="AZ1537" s="1">
        <v>14.0</v>
      </c>
      <c r="BA1537" s="1">
        <v>18.5</v>
      </c>
      <c r="BB1537" s="1">
        <v>2.93</v>
      </c>
      <c r="BC1537" s="1" t="s">
        <v>2554</v>
      </c>
      <c r="BD1537" s="1">
        <v>15.3</v>
      </c>
      <c r="BE1537" s="1">
        <v>38.7</v>
      </c>
      <c r="BF1537" s="1">
        <v>30.0</v>
      </c>
      <c r="BG1537" s="1">
        <v>16.0</v>
      </c>
      <c r="BH1537" s="1" t="s">
        <v>2625</v>
      </c>
    </row>
    <row r="1538">
      <c r="A1538" s="1">
        <v>29111.0</v>
      </c>
      <c r="B1538" s="2" t="str">
        <f>IFERROR(__xludf.DUMMYFUNCTION("TO_TEXT(A1538)"),"29111")</f>
        <v>29111</v>
      </c>
      <c r="C1538" s="1">
        <v>10146.0</v>
      </c>
      <c r="D1538" s="1">
        <v>505.041736548259</v>
      </c>
      <c r="E1538" s="1" t="s">
        <v>1126</v>
      </c>
      <c r="F1538" s="1" t="s">
        <v>2626</v>
      </c>
      <c r="G1538" s="1">
        <v>20.0894287853188</v>
      </c>
      <c r="H1538" s="1">
        <v>18.899929455</v>
      </c>
      <c r="I1538" s="1">
        <v>4.5027506357</v>
      </c>
      <c r="J1538" s="1">
        <v>9.0047393365</v>
      </c>
      <c r="K1538" s="1">
        <v>19.619468805</v>
      </c>
      <c r="L1538" s="1">
        <v>33.4</v>
      </c>
      <c r="M1538" s="1">
        <v>6.8</v>
      </c>
      <c r="N1538" s="1">
        <v>23.1</v>
      </c>
      <c r="O1538" s="1">
        <v>17.216727059</v>
      </c>
      <c r="P1538" s="1">
        <v>11.90161333</v>
      </c>
      <c r="Q1538" s="1">
        <v>20.06622</v>
      </c>
      <c r="R1538" s="1">
        <v>95.575221239</v>
      </c>
      <c r="S1538" s="1">
        <v>21.5</v>
      </c>
      <c r="T1538" s="1">
        <v>2287.0</v>
      </c>
      <c r="U1538" s="1">
        <v>29.602098819</v>
      </c>
      <c r="V1538" s="1">
        <v>147.44913005</v>
      </c>
      <c r="W1538" s="1">
        <v>9.9868593955</v>
      </c>
      <c r="X1538" s="1">
        <v>7.824933687</v>
      </c>
      <c r="Y1538" s="1">
        <v>74.588850224</v>
      </c>
      <c r="Z1538" s="1">
        <v>17.7</v>
      </c>
      <c r="AA1538" s="1">
        <v>16.894652042</v>
      </c>
      <c r="AB1538" s="1">
        <v>48179.0</v>
      </c>
      <c r="AC1538" s="1">
        <v>48.2279360669999</v>
      </c>
      <c r="AD1538" s="1">
        <v>73.207647371</v>
      </c>
      <c r="AE1538" s="1">
        <v>6.9370629371</v>
      </c>
      <c r="AF1538" s="1">
        <v>3.0644342973</v>
      </c>
      <c r="AG1538" s="1">
        <v>0.4972095383</v>
      </c>
      <c r="AH1538" s="1">
        <v>0.4566210046</v>
      </c>
      <c r="AI1538" s="1">
        <v>0.0811770675</v>
      </c>
      <c r="AJ1538" s="1">
        <v>1.8366311517</v>
      </c>
      <c r="AK1538" s="1">
        <v>92.480974125</v>
      </c>
      <c r="AL1538" s="1">
        <v>0.1792681641</v>
      </c>
      <c r="AM1538" s="1">
        <v>49.771689498</v>
      </c>
      <c r="AN1538" s="1">
        <v>100.0</v>
      </c>
      <c r="AO1538" s="1">
        <v>20646.0</v>
      </c>
      <c r="AP1538" s="1">
        <v>13.8</v>
      </c>
      <c r="AQ1538" s="1">
        <v>4.8</v>
      </c>
      <c r="AR1538" s="1">
        <v>12.2</v>
      </c>
      <c r="AS1538" s="1">
        <v>17.8</v>
      </c>
      <c r="AT1538" s="1">
        <v>22.7</v>
      </c>
      <c r="AU1538" s="1">
        <v>12.6</v>
      </c>
      <c r="AV1538" s="1">
        <v>7.2</v>
      </c>
      <c r="AW1538" s="1">
        <v>0.7</v>
      </c>
      <c r="AX1538" s="1">
        <v>0.4352</v>
      </c>
      <c r="AY1538" s="1">
        <v>16.6</v>
      </c>
      <c r="AZ1538" s="1">
        <v>12.5</v>
      </c>
      <c r="BA1538" s="1">
        <v>14.8</v>
      </c>
      <c r="BB1538" s="1">
        <v>2.83</v>
      </c>
      <c r="BC1538" s="1" t="s">
        <v>2554</v>
      </c>
      <c r="BD1538" s="1">
        <v>11.5</v>
      </c>
      <c r="BE1538" s="1">
        <v>45.9</v>
      </c>
      <c r="BF1538" s="1">
        <v>29.0</v>
      </c>
      <c r="BG1538" s="1">
        <v>13.6</v>
      </c>
      <c r="BH1538" s="1" t="s">
        <v>2626</v>
      </c>
    </row>
    <row r="1539">
      <c r="A1539" s="1">
        <v>29113.0</v>
      </c>
      <c r="B1539" s="2" t="str">
        <f>IFERROR(__xludf.DUMMYFUNCTION("TO_TEXT(A1539)"),"29113")</f>
        <v>29113</v>
      </c>
      <c r="C1539" s="1">
        <v>54286.0</v>
      </c>
      <c r="D1539" s="1">
        <v>626.557293129812</v>
      </c>
      <c r="E1539" s="1" t="s">
        <v>353</v>
      </c>
      <c r="F1539" s="1" t="s">
        <v>2627</v>
      </c>
      <c r="G1539" s="1">
        <v>86.6417175176873</v>
      </c>
      <c r="H1539" s="1">
        <v>17.926656468</v>
      </c>
      <c r="I1539" s="1">
        <v>4.4505537816</v>
      </c>
      <c r="J1539" s="1">
        <v>7.54098360659999</v>
      </c>
      <c r="K1539" s="1">
        <v>20.602963802</v>
      </c>
      <c r="L1539" s="1">
        <v>36.7</v>
      </c>
      <c r="M1539" s="1">
        <v>8.3</v>
      </c>
      <c r="N1539" s="1">
        <v>27.3</v>
      </c>
      <c r="O1539" s="1">
        <v>35.235703687</v>
      </c>
      <c r="P1539" s="1">
        <v>10.497500103</v>
      </c>
      <c r="Q1539" s="1">
        <v>7.11959</v>
      </c>
      <c r="R1539" s="1">
        <v>94.942196532</v>
      </c>
      <c r="S1539" s="1">
        <v>15.3</v>
      </c>
      <c r="T1539" s="1">
        <v>14033.0</v>
      </c>
      <c r="U1539" s="1">
        <v>30.8487137459999</v>
      </c>
      <c r="V1539" s="1">
        <v>284.69946356</v>
      </c>
      <c r="W1539" s="1">
        <v>14.0646212329999</v>
      </c>
      <c r="X1539" s="1">
        <v>11.754966887</v>
      </c>
      <c r="Y1539" s="1">
        <v>76.55744973</v>
      </c>
      <c r="Z1539" s="1">
        <v>18.8</v>
      </c>
      <c r="AA1539" s="1">
        <v>2.5110646031</v>
      </c>
      <c r="AB1539" s="1">
        <v>62238.0</v>
      </c>
      <c r="AC1539" s="1">
        <v>38.947016919</v>
      </c>
      <c r="AD1539" s="1">
        <v>78.27943217</v>
      </c>
      <c r="AE1539" s="1">
        <v>12.61628227</v>
      </c>
      <c r="AF1539" s="1">
        <v>1.9172762889</v>
      </c>
      <c r="AG1539" s="1">
        <v>0.4056443504</v>
      </c>
      <c r="AH1539" s="1">
        <v>0.559927885399999</v>
      </c>
      <c r="AI1539" s="1">
        <v>0.0572062546</v>
      </c>
      <c r="AJ1539" s="1">
        <v>2.5621467947</v>
      </c>
      <c r="AK1539" s="1">
        <v>92.968831259</v>
      </c>
      <c r="AL1539" s="1">
        <v>0.1988455376</v>
      </c>
      <c r="AM1539" s="1">
        <v>50.0</v>
      </c>
      <c r="AN1539" s="1">
        <v>74.829737853</v>
      </c>
      <c r="AO1539" s="1">
        <v>22833.0</v>
      </c>
      <c r="AP1539" s="1">
        <v>13.8</v>
      </c>
      <c r="AQ1539" s="1">
        <v>8.1</v>
      </c>
      <c r="AR1539" s="1">
        <v>12.8</v>
      </c>
      <c r="AS1539" s="1">
        <v>12.3</v>
      </c>
      <c r="AT1539" s="1">
        <v>26.3</v>
      </c>
      <c r="AU1539" s="1">
        <v>16.5</v>
      </c>
      <c r="AV1539" s="1">
        <v>6.5</v>
      </c>
      <c r="AW1539" s="1">
        <v>0.3</v>
      </c>
      <c r="AX1539" s="1">
        <v>0.3846</v>
      </c>
      <c r="AY1539" s="1">
        <v>9.4</v>
      </c>
      <c r="AZ1539" s="1">
        <v>11.8</v>
      </c>
      <c r="BA1539" s="1">
        <v>14.1</v>
      </c>
      <c r="BB1539" s="1">
        <v>2.79</v>
      </c>
      <c r="BC1539" s="1" t="s">
        <v>2554</v>
      </c>
      <c r="BD1539" s="1">
        <v>10.5</v>
      </c>
      <c r="BE1539" s="1">
        <v>42.3</v>
      </c>
      <c r="BF1539" s="1">
        <v>30.4</v>
      </c>
      <c r="BG1539" s="1">
        <v>16.8</v>
      </c>
      <c r="BH1539" s="1" t="s">
        <v>2627</v>
      </c>
    </row>
    <row r="1540">
      <c r="A1540" s="1">
        <v>29115.0</v>
      </c>
      <c r="B1540" s="2" t="str">
        <f>IFERROR(__xludf.DUMMYFUNCTION("TO_TEXT(A1540)"),"29115")</f>
        <v>29115</v>
      </c>
      <c r="C1540" s="1">
        <v>12319.0</v>
      </c>
      <c r="D1540" s="1">
        <v>615.563779995652</v>
      </c>
      <c r="E1540" s="1" t="s">
        <v>1520</v>
      </c>
      <c r="F1540" s="1" t="s">
        <v>2628</v>
      </c>
      <c r="G1540" s="1">
        <v>20.0125484967407</v>
      </c>
      <c r="H1540" s="1">
        <v>20.545578153</v>
      </c>
      <c r="I1540" s="1">
        <v>4.5820269726</v>
      </c>
      <c r="J1540" s="1">
        <v>8.0612244898</v>
      </c>
      <c r="K1540" s="1">
        <v>20.446791227</v>
      </c>
      <c r="L1540" s="1">
        <v>33.3</v>
      </c>
      <c r="M1540" s="1">
        <v>7.0</v>
      </c>
      <c r="N1540" s="1">
        <v>28.7</v>
      </c>
      <c r="O1540" s="1">
        <v>66.405454118</v>
      </c>
      <c r="P1540" s="1">
        <v>12.420548088</v>
      </c>
      <c r="Q1540" s="1">
        <v>41.00377</v>
      </c>
      <c r="R1540" s="1">
        <v>96.644295302</v>
      </c>
      <c r="S1540" s="1">
        <v>25.7</v>
      </c>
      <c r="T1540" s="1">
        <v>2916.0</v>
      </c>
      <c r="U1540" s="1">
        <v>36.8998628259999</v>
      </c>
      <c r="V1540" s="1">
        <v>322.5411342</v>
      </c>
      <c r="W1540" s="1">
        <v>9.0172239108</v>
      </c>
      <c r="X1540" s="1">
        <v>7.5521899304</v>
      </c>
      <c r="Y1540" s="1">
        <v>74.251583916</v>
      </c>
      <c r="Z1540" s="1">
        <v>16.7</v>
      </c>
      <c r="AA1540" s="1">
        <v>10.686611772</v>
      </c>
      <c r="AB1540" s="1">
        <v>44992.0</v>
      </c>
      <c r="AC1540" s="1">
        <v>45.2779032989999</v>
      </c>
      <c r="AD1540" s="1">
        <v>72.25730071</v>
      </c>
      <c r="AE1540" s="1">
        <v>6.6449245821</v>
      </c>
      <c r="AF1540" s="1">
        <v>0.830771787</v>
      </c>
      <c r="AG1540" s="1">
        <v>0.3323087148</v>
      </c>
      <c r="AH1540" s="1">
        <v>0.3073855612</v>
      </c>
      <c r="AI1540" s="1">
        <v>0.0581540251</v>
      </c>
      <c r="AJ1540" s="1">
        <v>2.5421616682</v>
      </c>
      <c r="AK1540" s="1">
        <v>94.716291435</v>
      </c>
      <c r="AL1540" s="1">
        <v>0.148264434</v>
      </c>
      <c r="AM1540" s="1">
        <v>51.2503115389999</v>
      </c>
      <c r="AN1540" s="1">
        <v>66.4524723769999</v>
      </c>
      <c r="AO1540" s="1">
        <v>20860.0</v>
      </c>
      <c r="AP1540" s="1">
        <v>18.4</v>
      </c>
      <c r="AQ1540" s="1">
        <v>3.7</v>
      </c>
      <c r="AR1540" s="1">
        <v>11.8</v>
      </c>
      <c r="AS1540" s="1">
        <v>20.1</v>
      </c>
      <c r="AT1540" s="1">
        <v>23.8</v>
      </c>
      <c r="AU1540" s="1">
        <v>15.5</v>
      </c>
      <c r="AV1540" s="1">
        <v>4.8</v>
      </c>
      <c r="AW1540" s="1">
        <v>0.4</v>
      </c>
      <c r="AX1540" s="1">
        <v>0.4209</v>
      </c>
      <c r="AY1540" s="1">
        <v>18.9</v>
      </c>
      <c r="AZ1540" s="1">
        <v>13.7</v>
      </c>
      <c r="BA1540" s="1">
        <v>18.7</v>
      </c>
      <c r="BB1540" s="1">
        <v>2.77</v>
      </c>
      <c r="BC1540" s="1" t="s">
        <v>2554</v>
      </c>
      <c r="BD1540" s="1">
        <v>10.6</v>
      </c>
      <c r="BE1540" s="1">
        <v>45.7</v>
      </c>
      <c r="BF1540" s="1">
        <v>26.8</v>
      </c>
      <c r="BG1540" s="1">
        <v>16.9</v>
      </c>
      <c r="BH1540" s="1" t="s">
        <v>2628</v>
      </c>
    </row>
    <row r="1541">
      <c r="A1541" s="1">
        <v>29117.0</v>
      </c>
      <c r="B1541" s="2" t="str">
        <f>IFERROR(__xludf.DUMMYFUNCTION("TO_TEXT(A1541)"),"29117")</f>
        <v>29117</v>
      </c>
      <c r="C1541" s="1">
        <v>15057.0</v>
      </c>
      <c r="D1541" s="1">
        <v>532.321256753784</v>
      </c>
      <c r="E1541" s="1" t="s">
        <v>1231</v>
      </c>
      <c r="F1541" s="1" t="s">
        <v>2629</v>
      </c>
      <c r="G1541" s="1">
        <v>28.2855508942495</v>
      </c>
      <c r="H1541" s="1">
        <v>18.48785883</v>
      </c>
      <c r="I1541" s="1">
        <v>4.5072366596</v>
      </c>
      <c r="J1541" s="1">
        <v>8.5764809903</v>
      </c>
      <c r="K1541" s="1">
        <v>19.753837115</v>
      </c>
      <c r="L1541" s="1">
        <v>42.3</v>
      </c>
      <c r="M1541" s="1">
        <v>7.7</v>
      </c>
      <c r="N1541" s="1">
        <v>27.6</v>
      </c>
      <c r="O1541" s="1">
        <v>74.458703521</v>
      </c>
      <c r="P1541" s="1">
        <v>12.188444109</v>
      </c>
      <c r="Q1541" s="1">
        <v>79.08785</v>
      </c>
      <c r="R1541" s="1">
        <v>95.3020134229999</v>
      </c>
      <c r="S1541" s="1">
        <v>20.7</v>
      </c>
      <c r="T1541" s="1">
        <v>3208.0</v>
      </c>
      <c r="U1541" s="1">
        <v>34.756857855</v>
      </c>
      <c r="V1541" s="1">
        <v>218.05494985</v>
      </c>
      <c r="W1541" s="1">
        <v>10.026155187</v>
      </c>
      <c r="X1541" s="1">
        <v>8.0717488789</v>
      </c>
      <c r="Y1541" s="1">
        <v>78.066358909</v>
      </c>
      <c r="Z1541" s="1">
        <v>13.9</v>
      </c>
      <c r="AA1541" s="1">
        <v>3.9308463076</v>
      </c>
      <c r="AB1541" s="1">
        <v>48749.0</v>
      </c>
      <c r="AC1541" s="1">
        <v>51.2987012989999</v>
      </c>
      <c r="AD1541" s="1">
        <v>68.140088405</v>
      </c>
      <c r="AE1541" s="1">
        <v>8.0290677065</v>
      </c>
      <c r="AF1541" s="1">
        <v>3.7105506404</v>
      </c>
      <c r="AG1541" s="1">
        <v>0.5017826489</v>
      </c>
      <c r="AH1541" s="1">
        <v>0.7262643602</v>
      </c>
      <c r="AI1541" s="1">
        <v>0.0198072098</v>
      </c>
      <c r="AJ1541" s="1">
        <v>1.9014921431</v>
      </c>
      <c r="AK1541" s="1">
        <v>91.9318631979999</v>
      </c>
      <c r="AL1541" s="1">
        <v>0.070601525</v>
      </c>
      <c r="AM1541" s="1">
        <v>56.4967648219999</v>
      </c>
      <c r="AN1541" s="1">
        <v>36.604146101</v>
      </c>
      <c r="AO1541" s="1">
        <v>22804.0</v>
      </c>
      <c r="AP1541" s="1">
        <v>17.8</v>
      </c>
      <c r="AQ1541" s="1">
        <v>4.3</v>
      </c>
      <c r="AR1541" s="1">
        <v>14.0</v>
      </c>
      <c r="AS1541" s="1">
        <v>19.6</v>
      </c>
      <c r="AT1541" s="1">
        <v>21.5</v>
      </c>
      <c r="AU1541" s="1">
        <v>14.8</v>
      </c>
      <c r="AV1541" s="1">
        <v>6.7</v>
      </c>
      <c r="AW1541" s="1">
        <v>0.0</v>
      </c>
      <c r="AX1541" s="1">
        <v>0.3976</v>
      </c>
      <c r="AY1541" s="1">
        <v>15.0</v>
      </c>
      <c r="AZ1541" s="1">
        <v>13.3</v>
      </c>
      <c r="BA1541" s="1">
        <v>15.8</v>
      </c>
      <c r="BB1541" s="1">
        <v>3.0</v>
      </c>
      <c r="BC1541" s="1" t="s">
        <v>2554</v>
      </c>
      <c r="BD1541" s="1">
        <v>13.3</v>
      </c>
      <c r="BE1541" s="1">
        <v>39.8</v>
      </c>
      <c r="BF1541" s="1">
        <v>28.1</v>
      </c>
      <c r="BG1541" s="1">
        <v>18.8</v>
      </c>
      <c r="BH1541" s="1" t="s">
        <v>2629</v>
      </c>
    </row>
    <row r="1542">
      <c r="A1542" s="1">
        <v>29119.0</v>
      </c>
      <c r="B1542" s="2" t="str">
        <f>IFERROR(__xludf.DUMMYFUNCTION("TO_TEXT(A1542)"),"29119")</f>
        <v>29119</v>
      </c>
      <c r="C1542" s="1">
        <v>22720.0</v>
      </c>
      <c r="D1542" s="1">
        <v>539.479933781176</v>
      </c>
      <c r="E1542" s="1" t="s">
        <v>2630</v>
      </c>
      <c r="F1542" s="1" t="s">
        <v>2631</v>
      </c>
      <c r="G1542" s="1">
        <v>42.1146340712937</v>
      </c>
      <c r="H1542" s="1">
        <v>23.193872639</v>
      </c>
      <c r="I1542" s="1">
        <v>4.7316457468</v>
      </c>
      <c r="J1542" s="1">
        <v>8.144989339</v>
      </c>
      <c r="K1542" s="1">
        <v>23.042373665</v>
      </c>
      <c r="L1542" s="1">
        <v>30.0</v>
      </c>
      <c r="M1542" s="1">
        <v>8.0</v>
      </c>
      <c r="N1542" s="1">
        <v>20.1</v>
      </c>
      <c r="O1542" s="1">
        <v>52.419529524</v>
      </c>
      <c r="P1542" s="1">
        <v>20.26250593</v>
      </c>
      <c r="Q1542" s="1">
        <v>13.14176</v>
      </c>
      <c r="R1542" s="1">
        <v>91.901408451</v>
      </c>
      <c r="S1542" s="1">
        <v>26.2</v>
      </c>
      <c r="T1542" s="1">
        <v>5880.0</v>
      </c>
      <c r="U1542" s="1">
        <v>34.166666667</v>
      </c>
      <c r="V1542" s="1">
        <v>584.65232083</v>
      </c>
      <c r="W1542" s="1">
        <v>17.842073538</v>
      </c>
      <c r="X1542" s="1">
        <v>9.7410604192</v>
      </c>
      <c r="Y1542" s="1">
        <v>74.82076902</v>
      </c>
      <c r="Z1542" s="1">
        <v>8.5</v>
      </c>
      <c r="AA1542" s="1">
        <v>3.4919804291</v>
      </c>
      <c r="AB1542" s="1">
        <v>40204.0</v>
      </c>
      <c r="AC1542" s="1">
        <v>69.516450648</v>
      </c>
      <c r="AD1542" s="1">
        <v>69.580764488</v>
      </c>
      <c r="AE1542" s="1">
        <v>8.3743187558</v>
      </c>
      <c r="AF1542" s="1">
        <v>2.0452378889</v>
      </c>
      <c r="AG1542" s="1">
        <v>3.1068550134</v>
      </c>
      <c r="AH1542" s="1">
        <v>1.4992633677</v>
      </c>
      <c r="AI1542" s="1">
        <v>2.5348817055</v>
      </c>
      <c r="AJ1542" s="1">
        <v>11.656122714</v>
      </c>
      <c r="AK1542" s="1">
        <v>76.99107375</v>
      </c>
      <c r="AL1542" s="1">
        <v>4.509757818</v>
      </c>
      <c r="AM1542" s="1">
        <v>49.5320218389999</v>
      </c>
      <c r="AN1542" s="1">
        <v>99.991335615</v>
      </c>
      <c r="AO1542" s="1">
        <v>18761.0</v>
      </c>
      <c r="AP1542" s="1">
        <v>20.7</v>
      </c>
      <c r="AQ1542" s="1">
        <v>6.0</v>
      </c>
      <c r="AR1542" s="1">
        <v>21.8</v>
      </c>
      <c r="AS1542" s="1">
        <v>13.9</v>
      </c>
      <c r="AT1542" s="1">
        <v>26.5</v>
      </c>
      <c r="AU1542" s="1">
        <v>17.3</v>
      </c>
      <c r="AV1542" s="1">
        <v>21.3</v>
      </c>
      <c r="AW1542" s="1">
        <v>4.3</v>
      </c>
      <c r="AX1542" s="1">
        <v>0.8621</v>
      </c>
      <c r="AY1542" s="1">
        <v>18.5</v>
      </c>
      <c r="AZ1542" s="1">
        <v>14.2</v>
      </c>
      <c r="BA1542" s="1">
        <v>17.5</v>
      </c>
      <c r="BB1542" s="1">
        <v>3.16</v>
      </c>
      <c r="BC1542" s="1" t="s">
        <v>2554</v>
      </c>
      <c r="BD1542" s="1">
        <v>22.4</v>
      </c>
      <c r="BE1542" s="1">
        <v>41.3</v>
      </c>
      <c r="BF1542" s="1">
        <v>24.8</v>
      </c>
      <c r="BG1542" s="1">
        <v>11.5</v>
      </c>
      <c r="BH1542" s="1" t="s">
        <v>2631</v>
      </c>
    </row>
    <row r="1543">
      <c r="A1543" s="1">
        <v>29121.0</v>
      </c>
      <c r="B1543" s="2" t="str">
        <f>IFERROR(__xludf.DUMMYFUNCTION("TO_TEXT(A1543)"),"29121")</f>
        <v>29121</v>
      </c>
      <c r="C1543" s="1">
        <v>15399.0</v>
      </c>
      <c r="D1543" s="1">
        <v>801.207259457056</v>
      </c>
      <c r="E1543" s="1" t="s">
        <v>146</v>
      </c>
      <c r="F1543" s="1" t="s">
        <v>2632</v>
      </c>
      <c r="G1543" s="1">
        <v>19.2197459748869</v>
      </c>
      <c r="H1543" s="1">
        <v>19.6431811659999</v>
      </c>
      <c r="I1543" s="1">
        <v>4.3701629443</v>
      </c>
      <c r="J1543" s="1">
        <v>7.51211631659999</v>
      </c>
      <c r="K1543" s="1">
        <v>19.633450269</v>
      </c>
      <c r="L1543" s="1">
        <v>34.5</v>
      </c>
      <c r="M1543" s="1">
        <v>7.5</v>
      </c>
      <c r="N1543" s="1">
        <v>29.3</v>
      </c>
      <c r="O1543" s="1">
        <v>54.644738533</v>
      </c>
      <c r="P1543" s="1">
        <v>12.072056689</v>
      </c>
      <c r="Q1543" s="1">
        <v>32.78474</v>
      </c>
      <c r="R1543" s="1">
        <v>93.706293706</v>
      </c>
      <c r="S1543" s="1">
        <v>21.8</v>
      </c>
      <c r="T1543" s="1">
        <v>3606.0</v>
      </c>
      <c r="U1543" s="1">
        <v>33.38879645</v>
      </c>
      <c r="V1543" s="1">
        <v>233.69794541</v>
      </c>
      <c r="W1543" s="1">
        <v>8.9417555373</v>
      </c>
      <c r="X1543" s="1">
        <v>6.7387687188</v>
      </c>
      <c r="Y1543" s="1">
        <v>77.574581049</v>
      </c>
      <c r="Z1543" s="1">
        <v>8.6</v>
      </c>
      <c r="AA1543" s="1">
        <v>7.4296526964</v>
      </c>
      <c r="AB1543" s="1">
        <v>45440.0</v>
      </c>
      <c r="AC1543" s="1">
        <v>50.181323663</v>
      </c>
      <c r="AD1543" s="1">
        <v>74.223127866</v>
      </c>
      <c r="AE1543" s="1">
        <v>7.4522181308</v>
      </c>
      <c r="AF1543" s="1">
        <v>2.3823665281</v>
      </c>
      <c r="AG1543" s="1">
        <v>0.3893618425</v>
      </c>
      <c r="AH1543" s="1">
        <v>0.4553553752</v>
      </c>
      <c r="AI1543" s="1">
        <v>0.0659935326</v>
      </c>
      <c r="AJ1543" s="1">
        <v>1.6102421963</v>
      </c>
      <c r="AK1543" s="1">
        <v>93.526034449</v>
      </c>
      <c r="AL1543" s="1">
        <v>0.3000279096</v>
      </c>
      <c r="AM1543" s="1">
        <v>50.471853758</v>
      </c>
      <c r="AN1543" s="1">
        <v>67.788770397</v>
      </c>
      <c r="AO1543" s="1">
        <v>19941.0</v>
      </c>
      <c r="AP1543" s="1">
        <v>18.8</v>
      </c>
      <c r="AQ1543" s="1">
        <v>8.5</v>
      </c>
      <c r="AR1543" s="1">
        <v>12.6</v>
      </c>
      <c r="AS1543" s="1">
        <v>21.2</v>
      </c>
      <c r="AT1543" s="1">
        <v>23.9</v>
      </c>
      <c r="AU1543" s="1">
        <v>19.1</v>
      </c>
      <c r="AV1543" s="1">
        <v>5.9</v>
      </c>
      <c r="AW1543" s="1">
        <v>0.2</v>
      </c>
      <c r="AX1543" s="1">
        <v>0.6504</v>
      </c>
      <c r="AY1543" s="1">
        <v>12.5</v>
      </c>
      <c r="AZ1543" s="1">
        <v>13.5</v>
      </c>
      <c r="BA1543" s="1">
        <v>17.7</v>
      </c>
      <c r="BB1543" s="1">
        <v>2.73</v>
      </c>
      <c r="BC1543" s="1" t="s">
        <v>2554</v>
      </c>
      <c r="BD1543" s="1">
        <v>11.8</v>
      </c>
      <c r="BE1543" s="1">
        <v>45.1</v>
      </c>
      <c r="BF1543" s="1">
        <v>26.8</v>
      </c>
      <c r="BG1543" s="1">
        <v>16.3</v>
      </c>
      <c r="BH1543" s="1" t="s">
        <v>2632</v>
      </c>
    </row>
    <row r="1544">
      <c r="A1544" s="1">
        <v>29123.0</v>
      </c>
      <c r="B1544" s="2" t="str">
        <f>IFERROR(__xludf.DUMMYFUNCTION("TO_TEXT(A1544)"),"29123")</f>
        <v>29123</v>
      </c>
      <c r="C1544" s="1">
        <v>12403.0</v>
      </c>
      <c r="D1544" s="1">
        <v>494.389456114578</v>
      </c>
      <c r="E1544" s="1" t="s">
        <v>148</v>
      </c>
      <c r="F1544" s="1" t="s">
        <v>2633</v>
      </c>
      <c r="G1544" s="1">
        <v>25.0875091420346</v>
      </c>
      <c r="H1544" s="1">
        <v>21.646498711</v>
      </c>
      <c r="I1544" s="1">
        <v>4.8020403488</v>
      </c>
      <c r="J1544" s="1">
        <v>8.6</v>
      </c>
      <c r="K1544" s="1">
        <v>21.767867944</v>
      </c>
      <c r="L1544" s="1">
        <v>35.4</v>
      </c>
      <c r="M1544" s="1">
        <v>7.4</v>
      </c>
      <c r="N1544" s="1">
        <v>28.7</v>
      </c>
      <c r="O1544" s="1">
        <v>84.034025847</v>
      </c>
      <c r="P1544" s="1">
        <v>12.654478603</v>
      </c>
      <c r="Q1544" s="1">
        <v>40.83966</v>
      </c>
      <c r="R1544" s="1">
        <v>90.25974026</v>
      </c>
      <c r="S1544" s="1">
        <v>24.5</v>
      </c>
      <c r="T1544" s="1">
        <v>2603.0</v>
      </c>
      <c r="U1544" s="1">
        <v>17.210910488</v>
      </c>
      <c r="V1544" s="1">
        <v>340.87263394</v>
      </c>
      <c r="W1544" s="1">
        <v>11.73959445</v>
      </c>
      <c r="X1544" s="1">
        <v>10.509209101</v>
      </c>
      <c r="Y1544" s="1">
        <v>74.135136342</v>
      </c>
      <c r="Z1544" s="1">
        <v>18.7</v>
      </c>
      <c r="AA1544" s="1">
        <v>6.795459772</v>
      </c>
      <c r="AB1544" s="1">
        <v>40191.0</v>
      </c>
      <c r="AC1544" s="1">
        <v>66.232513266</v>
      </c>
      <c r="AD1544" s="1">
        <v>72.670931627</v>
      </c>
      <c r="AE1544" s="1">
        <v>9.3193717277</v>
      </c>
      <c r="AF1544" s="1">
        <v>0.5497210371</v>
      </c>
      <c r="AG1544" s="1">
        <v>0.5415162455</v>
      </c>
      <c r="AH1544" s="1">
        <v>1.000984575</v>
      </c>
      <c r="AI1544" s="1">
        <v>0.0492287496</v>
      </c>
      <c r="AJ1544" s="1">
        <v>2.4040039383</v>
      </c>
      <c r="AK1544" s="1">
        <v>94.56022317</v>
      </c>
      <c r="AL1544" s="1">
        <v>0.1041034094</v>
      </c>
      <c r="AM1544" s="1">
        <v>51.091237283</v>
      </c>
      <c r="AN1544" s="1">
        <v>65.507933911</v>
      </c>
      <c r="AO1544" s="1">
        <v>19009.0</v>
      </c>
      <c r="AP1544" s="1">
        <v>16.4</v>
      </c>
      <c r="AQ1544" s="1">
        <v>6.1</v>
      </c>
      <c r="AR1544" s="1">
        <v>20.0</v>
      </c>
      <c r="AS1544" s="1">
        <v>18.9</v>
      </c>
      <c r="AT1544" s="1">
        <v>23.2</v>
      </c>
      <c r="AU1544" s="1">
        <v>24.1</v>
      </c>
      <c r="AV1544" s="1">
        <v>5.0</v>
      </c>
      <c r="AW1544" s="1">
        <v>0.0</v>
      </c>
      <c r="AX1544" s="1">
        <v>0.4651</v>
      </c>
      <c r="AY1544" s="1">
        <v>16.7</v>
      </c>
      <c r="AZ1544" s="1">
        <v>15.2</v>
      </c>
      <c r="BA1544" s="1">
        <v>17.3</v>
      </c>
      <c r="BB1544" s="1">
        <v>2.86</v>
      </c>
      <c r="BC1544" s="1" t="s">
        <v>2554</v>
      </c>
      <c r="BD1544" s="1">
        <v>15.6</v>
      </c>
      <c r="BE1544" s="1">
        <v>36.5</v>
      </c>
      <c r="BF1544" s="1">
        <v>32.3</v>
      </c>
      <c r="BG1544" s="1">
        <v>15.6</v>
      </c>
      <c r="BH1544" s="1" t="s">
        <v>2633</v>
      </c>
    </row>
    <row r="1545">
      <c r="A1545" s="1">
        <v>29125.0</v>
      </c>
      <c r="B1545" s="2" t="str">
        <f>IFERROR(__xludf.DUMMYFUNCTION("TO_TEXT(A1545)"),"29125")</f>
        <v>29125</v>
      </c>
      <c r="C1545" s="1">
        <v>8987.0</v>
      </c>
      <c r="D1545" s="1">
        <v>526.978780754374</v>
      </c>
      <c r="E1545" s="1" t="s">
        <v>2634</v>
      </c>
      <c r="F1545" s="1" t="s">
        <v>2635</v>
      </c>
      <c r="G1545" s="1">
        <v>17.053817588509</v>
      </c>
      <c r="H1545" s="1">
        <v>18.888693863</v>
      </c>
      <c r="I1545" s="1">
        <v>4.6171794732</v>
      </c>
      <c r="J1545" s="1">
        <v>6.6549912434</v>
      </c>
      <c r="K1545" s="1">
        <v>19.890701899</v>
      </c>
      <c r="L1545" s="1">
        <v>35.7</v>
      </c>
      <c r="M1545" s="1">
        <v>7.9</v>
      </c>
      <c r="N1545" s="1">
        <v>35.5</v>
      </c>
      <c r="O1545" s="1">
        <v>20.52092415</v>
      </c>
      <c r="P1545" s="1">
        <v>15.103866128</v>
      </c>
      <c r="Q1545" s="1">
        <v>11.27777</v>
      </c>
      <c r="R1545" s="1">
        <v>89.898989899</v>
      </c>
      <c r="S1545" s="1">
        <v>19.7</v>
      </c>
      <c r="T1545" s="1">
        <v>1818.0</v>
      </c>
      <c r="U1545" s="1">
        <v>31.133113311</v>
      </c>
      <c r="V1545" s="1">
        <v>142.06097694</v>
      </c>
      <c r="W1545" s="1">
        <v>14.285714286</v>
      </c>
      <c r="X1545" s="1">
        <v>10.342920354</v>
      </c>
      <c r="Y1545" s="1">
        <v>77.185876525</v>
      </c>
      <c r="Z1545" s="1">
        <v>16.1</v>
      </c>
      <c r="AA1545" s="1">
        <v>2.0665311128</v>
      </c>
      <c r="AB1545" s="1">
        <v>46371.0</v>
      </c>
      <c r="AC1545" s="1">
        <v>57.572502685</v>
      </c>
      <c r="AD1545" s="1">
        <v>73.086419753</v>
      </c>
      <c r="AE1545" s="1">
        <v>12.00353045</v>
      </c>
      <c r="AF1545" s="1">
        <v>0.6500171057</v>
      </c>
      <c r="AG1545" s="1">
        <v>0.7868628122</v>
      </c>
      <c r="AH1545" s="1">
        <v>0.4105371194</v>
      </c>
      <c r="AI1545" s="1">
        <v>0.0228076177</v>
      </c>
      <c r="AJ1545" s="1">
        <v>1.2316113582</v>
      </c>
      <c r="AK1545" s="1">
        <v>95.290226936</v>
      </c>
      <c r="AL1545" s="1">
        <v>0.4481660573</v>
      </c>
      <c r="AM1545" s="1">
        <v>49.8118371539999</v>
      </c>
      <c r="AN1545" s="1">
        <v>100.0</v>
      </c>
      <c r="AO1545" s="1">
        <v>20922.0</v>
      </c>
      <c r="AP1545" s="1">
        <v>18.9</v>
      </c>
      <c r="AQ1545" s="1">
        <v>9.2</v>
      </c>
      <c r="AR1545" s="1">
        <v>17.4</v>
      </c>
      <c r="AS1545" s="1">
        <v>19.5</v>
      </c>
      <c r="AT1545" s="1">
        <v>21.4</v>
      </c>
      <c r="AU1545" s="1">
        <v>21.3</v>
      </c>
      <c r="AV1545" s="1">
        <v>3.9</v>
      </c>
      <c r="AW1545" s="1">
        <v>0.4</v>
      </c>
      <c r="AX1545" s="1">
        <v>0.4922</v>
      </c>
      <c r="AY1545" s="1">
        <v>14.3</v>
      </c>
      <c r="AZ1545" s="1">
        <v>14.1</v>
      </c>
      <c r="BA1545" s="1">
        <v>18.4</v>
      </c>
      <c r="BB1545" s="1">
        <v>2.93</v>
      </c>
      <c r="BC1545" s="1" t="s">
        <v>2554</v>
      </c>
      <c r="BD1545" s="1">
        <v>13.5</v>
      </c>
      <c r="BE1545" s="1">
        <v>40.0</v>
      </c>
      <c r="BF1545" s="1">
        <v>30.6</v>
      </c>
      <c r="BG1545" s="1">
        <v>15.8</v>
      </c>
      <c r="BH1545" s="1" t="s">
        <v>2635</v>
      </c>
    </row>
    <row r="1546">
      <c r="A1546" s="1">
        <v>29127.0</v>
      </c>
      <c r="B1546" s="2" t="str">
        <f>IFERROR(__xludf.DUMMYFUNCTION("TO_TEXT(A1546)"),"29127")</f>
        <v>29127</v>
      </c>
      <c r="C1546" s="1">
        <v>28858.0</v>
      </c>
      <c r="D1546" s="1">
        <v>436.923634827368</v>
      </c>
      <c r="E1546" s="1" t="s">
        <v>152</v>
      </c>
      <c r="F1546" s="1" t="s">
        <v>2636</v>
      </c>
      <c r="G1546" s="1">
        <v>66.0481551001516</v>
      </c>
      <c r="H1546" s="1">
        <v>19.6545516029999</v>
      </c>
      <c r="I1546" s="1">
        <v>4.5401865052</v>
      </c>
      <c r="J1546" s="1">
        <v>7.8027950311</v>
      </c>
      <c r="K1546" s="1">
        <v>20.395535027</v>
      </c>
      <c r="L1546" s="1">
        <v>36.0</v>
      </c>
      <c r="M1546" s="1">
        <v>7.4</v>
      </c>
      <c r="N1546" s="1">
        <v>28.2</v>
      </c>
      <c r="O1546" s="1">
        <v>76.2933879989999</v>
      </c>
      <c r="P1546" s="1">
        <v>10.030462231</v>
      </c>
      <c r="Q1546" s="1">
        <v>90.80115</v>
      </c>
      <c r="R1546" s="1">
        <v>91.338582677</v>
      </c>
      <c r="S1546" s="1">
        <v>19.0</v>
      </c>
      <c r="T1546" s="1">
        <v>6863.0</v>
      </c>
      <c r="U1546" s="1">
        <v>37.257758998</v>
      </c>
      <c r="V1546" s="1">
        <v>274.59954233</v>
      </c>
      <c r="W1546" s="1">
        <v>10.057598582</v>
      </c>
      <c r="X1546" s="1">
        <v>9.5859585959</v>
      </c>
      <c r="Y1546" s="1">
        <v>77.076022776</v>
      </c>
      <c r="Z1546" s="1">
        <v>16.1</v>
      </c>
      <c r="AA1546" s="1">
        <v>5.354423247</v>
      </c>
      <c r="AB1546" s="1">
        <v>49393.0</v>
      </c>
      <c r="AC1546" s="1">
        <v>52.81779661</v>
      </c>
      <c r="AD1546" s="1">
        <v>64.339130435</v>
      </c>
      <c r="AE1546" s="1">
        <v>10.180131004</v>
      </c>
      <c r="AF1546" s="1">
        <v>4.6691382205</v>
      </c>
      <c r="AG1546" s="1">
        <v>0.2448237269</v>
      </c>
      <c r="AH1546" s="1">
        <v>0.748461108</v>
      </c>
      <c r="AI1546" s="1">
        <v>0.0909345271</v>
      </c>
      <c r="AJ1546" s="1">
        <v>1.8501678791</v>
      </c>
      <c r="AK1546" s="1">
        <v>90.207050923</v>
      </c>
      <c r="AL1546" s="1">
        <v>0.0521337603</v>
      </c>
      <c r="AM1546" s="1">
        <v>51.301063234</v>
      </c>
      <c r="AN1546" s="1">
        <v>24.766338904</v>
      </c>
      <c r="AO1546" s="1">
        <v>22303.0</v>
      </c>
      <c r="AP1546" s="1">
        <v>17.3</v>
      </c>
      <c r="AQ1546" s="1">
        <v>6.0</v>
      </c>
      <c r="AR1546" s="1">
        <v>12.9</v>
      </c>
      <c r="AS1546" s="1">
        <v>17.1</v>
      </c>
      <c r="AT1546" s="1">
        <v>23.7</v>
      </c>
      <c r="AU1546" s="1">
        <v>14.9</v>
      </c>
      <c r="AV1546" s="1">
        <v>9.6</v>
      </c>
      <c r="AW1546" s="1">
        <v>0.0</v>
      </c>
      <c r="AX1546" s="1">
        <v>0.5142</v>
      </c>
      <c r="AY1546" s="1">
        <v>13.9</v>
      </c>
      <c r="AZ1546" s="1">
        <v>14.4</v>
      </c>
      <c r="BA1546" s="1">
        <v>16.7</v>
      </c>
      <c r="BB1546" s="1">
        <v>2.73</v>
      </c>
      <c r="BC1546" s="1" t="s">
        <v>2554</v>
      </c>
      <c r="BD1546" s="1">
        <v>12.0</v>
      </c>
      <c r="BE1546" s="1">
        <v>37.0</v>
      </c>
      <c r="BF1546" s="1">
        <v>28.7</v>
      </c>
      <c r="BG1546" s="1">
        <v>22.4</v>
      </c>
      <c r="BH1546" s="1" t="s">
        <v>2636</v>
      </c>
    </row>
    <row r="1547">
      <c r="A1547" s="1">
        <v>29129.0</v>
      </c>
      <c r="B1547" s="2" t="str">
        <f>IFERROR(__xludf.DUMMYFUNCTION("TO_TEXT(A1547)"),"29129")</f>
        <v>29129</v>
      </c>
      <c r="C1547" s="1">
        <v>3702.0</v>
      </c>
      <c r="D1547" s="1">
        <v>453.834995864051</v>
      </c>
      <c r="E1547" s="1" t="s">
        <v>1252</v>
      </c>
      <c r="F1547" s="1" t="s">
        <v>2637</v>
      </c>
      <c r="G1547" s="1">
        <v>8.15714969920246</v>
      </c>
      <c r="H1547" s="1">
        <v>19.818892074</v>
      </c>
      <c r="I1547" s="1">
        <v>4.6196007508</v>
      </c>
      <c r="J1547" s="1">
        <v>6.9182389937</v>
      </c>
      <c r="K1547" s="1">
        <v>20.136367563</v>
      </c>
      <c r="L1547" s="1">
        <v>24.1</v>
      </c>
      <c r="M1547" s="1">
        <v>4.2</v>
      </c>
      <c r="N1547" s="1">
        <v>26.3</v>
      </c>
      <c r="O1547" s="1">
        <v>26.393659181</v>
      </c>
      <c r="P1547" s="1">
        <v>15.510630882</v>
      </c>
      <c r="Q1547" s="1">
        <v>27.18869</v>
      </c>
      <c r="R1547" s="1">
        <v>95.2380952379999</v>
      </c>
      <c r="S1547" s="1">
        <v>19.6</v>
      </c>
      <c r="T1547" s="1">
        <v>919.0</v>
      </c>
      <c r="U1547" s="1">
        <v>23.177366703</v>
      </c>
      <c r="V1547" s="1">
        <v>40.799673603</v>
      </c>
      <c r="W1547" s="1">
        <v>10.877192982</v>
      </c>
      <c r="X1547" s="1">
        <v>6.5480427046</v>
      </c>
      <c r="Y1547" s="1">
        <v>76.390319529</v>
      </c>
      <c r="Z1547" s="1">
        <v>7.5</v>
      </c>
      <c r="AA1547" s="1">
        <v>44.443672022</v>
      </c>
      <c r="AB1547" s="1">
        <v>46014.0</v>
      </c>
      <c r="AC1547" s="1">
        <v>52.612612613</v>
      </c>
      <c r="AD1547" s="1">
        <v>76.621417798</v>
      </c>
      <c r="AE1547" s="1">
        <v>6.8108974359</v>
      </c>
      <c r="AF1547" s="1">
        <v>0.4119747322</v>
      </c>
      <c r="AG1547" s="1">
        <v>0.549299643</v>
      </c>
      <c r="AH1547" s="1">
        <v>0.823949464399999</v>
      </c>
      <c r="AI1547" s="1">
        <v>0.0274649821</v>
      </c>
      <c r="AJ1547" s="1">
        <v>2.4718483933</v>
      </c>
      <c r="AK1547" s="1">
        <v>94.452073606</v>
      </c>
      <c r="AL1547" s="1">
        <v>0.2338497515</v>
      </c>
      <c r="AM1547" s="1">
        <v>49.1623180439999</v>
      </c>
      <c r="AN1547" s="1">
        <v>100.0</v>
      </c>
      <c r="AO1547" s="1">
        <v>20701.0</v>
      </c>
      <c r="AP1547" s="1">
        <v>14.6</v>
      </c>
      <c r="AQ1547" s="1">
        <v>4.6</v>
      </c>
      <c r="AR1547" s="1">
        <v>11.2</v>
      </c>
      <c r="AS1547" s="1">
        <v>20.6</v>
      </c>
      <c r="AT1547" s="1">
        <v>25.0</v>
      </c>
      <c r="AU1547" s="1">
        <v>14.9</v>
      </c>
      <c r="AV1547" s="1">
        <v>3.6</v>
      </c>
      <c r="AW1547" s="1">
        <v>0.3</v>
      </c>
      <c r="AX1547" s="1">
        <v>0.4486</v>
      </c>
      <c r="AY1547" s="1">
        <v>12.7</v>
      </c>
      <c r="AZ1547" s="1">
        <v>11.9</v>
      </c>
      <c r="BA1547" s="1">
        <v>12.0</v>
      </c>
      <c r="BB1547" s="1">
        <v>2.76</v>
      </c>
      <c r="BC1547" s="1" t="s">
        <v>2554</v>
      </c>
      <c r="BD1547" s="1">
        <v>11.6</v>
      </c>
      <c r="BE1547" s="1">
        <v>47.3</v>
      </c>
      <c r="BF1547" s="1">
        <v>22.3</v>
      </c>
      <c r="BG1547" s="1">
        <v>18.9</v>
      </c>
      <c r="BH1547" s="1" t="s">
        <v>2637</v>
      </c>
    </row>
    <row r="1548">
      <c r="A1548" s="1">
        <v>29131.0</v>
      </c>
      <c r="B1548" s="2" t="str">
        <f>IFERROR(__xludf.DUMMYFUNCTION("TO_TEXT(A1548)"),"29131")</f>
        <v>29131</v>
      </c>
      <c r="C1548" s="1">
        <v>25011.0</v>
      </c>
      <c r="D1548" s="1">
        <v>592.594460046072</v>
      </c>
      <c r="E1548" s="1" t="s">
        <v>363</v>
      </c>
      <c r="F1548" s="1" t="s">
        <v>2638</v>
      </c>
      <c r="G1548" s="1">
        <v>42.2059294952833</v>
      </c>
      <c r="H1548" s="1">
        <v>20.969759209</v>
      </c>
      <c r="I1548" s="1">
        <v>4.5710958879</v>
      </c>
      <c r="J1548" s="1">
        <v>8.0149114632</v>
      </c>
      <c r="K1548" s="1">
        <v>20.277783793</v>
      </c>
      <c r="L1548" s="1">
        <v>38.9</v>
      </c>
      <c r="M1548" s="1">
        <v>7.9</v>
      </c>
      <c r="N1548" s="1">
        <v>26.0</v>
      </c>
      <c r="O1548" s="1">
        <v>55.915629546</v>
      </c>
      <c r="P1548" s="1">
        <v>13.21575021</v>
      </c>
      <c r="Q1548" s="1">
        <v>27.74695</v>
      </c>
      <c r="R1548" s="1">
        <v>93.817204301</v>
      </c>
      <c r="S1548" s="1">
        <v>24.8</v>
      </c>
      <c r="T1548" s="1">
        <v>5830.0</v>
      </c>
      <c r="U1548" s="1">
        <v>30.480274443</v>
      </c>
      <c r="V1548" s="1">
        <v>349.51916431</v>
      </c>
      <c r="W1548" s="1">
        <v>12.752391073</v>
      </c>
      <c r="X1548" s="1">
        <v>9.6288327058</v>
      </c>
      <c r="Y1548" s="1">
        <v>77.498775808</v>
      </c>
      <c r="Z1548" s="1">
        <v>8.5</v>
      </c>
      <c r="AA1548" s="1">
        <v>2.3739157585</v>
      </c>
      <c r="AB1548" s="1">
        <v>47225.0</v>
      </c>
      <c r="AC1548" s="1">
        <v>51.45497444</v>
      </c>
      <c r="AD1548" s="1">
        <v>73.888208894</v>
      </c>
      <c r="AE1548" s="1">
        <v>7.9693975135</v>
      </c>
      <c r="AF1548" s="1">
        <v>0.643353331199999</v>
      </c>
      <c r="AG1548" s="1">
        <v>0.6394063783</v>
      </c>
      <c r="AH1548" s="1">
        <v>0.4223239659</v>
      </c>
      <c r="AI1548" s="1">
        <v>0.2052415535</v>
      </c>
      <c r="AJ1548" s="1">
        <v>1.9695295232</v>
      </c>
      <c r="AK1548" s="1">
        <v>94.699242185</v>
      </c>
      <c r="AL1548" s="1">
        <v>0.0042680324</v>
      </c>
      <c r="AM1548" s="1">
        <v>50.090779918</v>
      </c>
      <c r="AN1548" s="1">
        <v>79.780184257</v>
      </c>
      <c r="AO1548" s="1">
        <v>22397.0</v>
      </c>
      <c r="AP1548" s="1">
        <v>19.3</v>
      </c>
      <c r="AQ1548" s="1">
        <v>6.8</v>
      </c>
      <c r="AR1548" s="1">
        <v>15.1</v>
      </c>
      <c r="AS1548" s="1">
        <v>17.8</v>
      </c>
      <c r="AT1548" s="1">
        <v>23.6</v>
      </c>
      <c r="AU1548" s="1">
        <v>17.2</v>
      </c>
      <c r="AV1548" s="1">
        <v>4.8</v>
      </c>
      <c r="AW1548" s="1">
        <v>0.0</v>
      </c>
      <c r="AX1548" s="1">
        <v>0.4881</v>
      </c>
      <c r="AY1548" s="1">
        <v>15.1</v>
      </c>
      <c r="AZ1548" s="1">
        <v>14.4</v>
      </c>
      <c r="BA1548" s="1">
        <v>18.5</v>
      </c>
      <c r="BB1548" s="1">
        <v>3.33</v>
      </c>
      <c r="BC1548" s="1" t="s">
        <v>2554</v>
      </c>
      <c r="BD1548" s="1">
        <v>12.7</v>
      </c>
      <c r="BE1548" s="1">
        <v>40.6</v>
      </c>
      <c r="BF1548" s="1">
        <v>27.3</v>
      </c>
      <c r="BG1548" s="1">
        <v>19.4</v>
      </c>
      <c r="BH1548" s="1" t="s">
        <v>2638</v>
      </c>
    </row>
    <row r="1549">
      <c r="A1549" s="1">
        <v>29133.0</v>
      </c>
      <c r="B1549" s="2" t="str">
        <f>IFERROR(__xludf.DUMMYFUNCTION("TO_TEXT(A1549)"),"29133")</f>
        <v>29133</v>
      </c>
      <c r="C1549" s="1">
        <v>14112.0</v>
      </c>
      <c r="D1549" s="1">
        <v>411.582960950126</v>
      </c>
      <c r="E1549" s="1" t="s">
        <v>365</v>
      </c>
      <c r="F1549" s="1" t="s">
        <v>2639</v>
      </c>
      <c r="G1549" s="1">
        <v>34.2871336739084</v>
      </c>
      <c r="H1549" s="1">
        <v>30.642188573</v>
      </c>
      <c r="I1549" s="1">
        <v>5.0731101432</v>
      </c>
      <c r="J1549" s="1">
        <v>11.845730028</v>
      </c>
      <c r="K1549" s="1">
        <v>27.050968014</v>
      </c>
      <c r="L1549" s="1">
        <v>38.2</v>
      </c>
      <c r="M1549" s="1">
        <v>6.6</v>
      </c>
      <c r="N1549" s="1">
        <v>36.6</v>
      </c>
      <c r="O1549" s="1">
        <v>52.03370943</v>
      </c>
      <c r="P1549" s="1">
        <v>13.423249839</v>
      </c>
      <c r="Q1549" s="1">
        <v>14.72104</v>
      </c>
      <c r="R1549" s="1">
        <v>96.694214876</v>
      </c>
      <c r="S1549" s="1">
        <v>35.3</v>
      </c>
      <c r="T1549" s="1">
        <v>2962.0</v>
      </c>
      <c r="U1549" s="1">
        <v>49.155975692</v>
      </c>
      <c r="V1549" s="1">
        <v>463.83174592</v>
      </c>
      <c r="W1549" s="1">
        <v>18.243902439</v>
      </c>
      <c r="X1549" s="1">
        <v>13.293650794</v>
      </c>
      <c r="Y1549" s="1">
        <v>72.284656178</v>
      </c>
      <c r="Z1549" s="1">
        <v>20.0</v>
      </c>
      <c r="AA1549" s="1">
        <v>0.2142539169</v>
      </c>
      <c r="AB1549" s="1">
        <v>34735.0</v>
      </c>
      <c r="AC1549" s="1">
        <v>84.555609519</v>
      </c>
      <c r="AD1549" s="1">
        <v>59.484126984</v>
      </c>
      <c r="AE1549" s="1">
        <v>10.584101888</v>
      </c>
      <c r="AF1549" s="1">
        <v>24.467606479</v>
      </c>
      <c r="AG1549" s="1">
        <v>0.3974205159</v>
      </c>
      <c r="AH1549" s="1">
        <v>0.299940012</v>
      </c>
      <c r="AI1549" s="1">
        <v>0.0149970006</v>
      </c>
      <c r="AJ1549" s="1">
        <v>2.24955009</v>
      </c>
      <c r="AK1549" s="1">
        <v>71.400719856</v>
      </c>
      <c r="AL1549" s="1">
        <v>0.0380865326</v>
      </c>
      <c r="AM1549" s="1">
        <v>45.868326335</v>
      </c>
      <c r="AN1549" s="1">
        <v>32.699540326</v>
      </c>
      <c r="AO1549" s="1">
        <v>17049.0</v>
      </c>
      <c r="AP1549" s="1">
        <v>30.5</v>
      </c>
      <c r="AQ1549" s="1">
        <v>10.8</v>
      </c>
      <c r="AR1549" s="1">
        <v>27.2</v>
      </c>
      <c r="AS1549" s="1">
        <v>16.5</v>
      </c>
      <c r="AT1549" s="1">
        <v>22.5</v>
      </c>
      <c r="AU1549" s="1">
        <v>20.5</v>
      </c>
      <c r="AV1549" s="1">
        <v>27.9</v>
      </c>
      <c r="AW1549" s="1">
        <v>0.1</v>
      </c>
      <c r="AX1549" s="1">
        <v>0.9401</v>
      </c>
      <c r="AY1549" s="1">
        <v>27.7</v>
      </c>
      <c r="AZ1549" s="1">
        <v>18.5</v>
      </c>
      <c r="BA1549" s="1">
        <v>22.5</v>
      </c>
      <c r="BB1549" s="1">
        <v>2.68</v>
      </c>
      <c r="BC1549" s="1" t="s">
        <v>2554</v>
      </c>
      <c r="BD1549" s="1">
        <v>24.3</v>
      </c>
      <c r="BE1549" s="1">
        <v>41.8</v>
      </c>
      <c r="BF1549" s="1">
        <v>22.3</v>
      </c>
      <c r="BG1549" s="1">
        <v>11.5</v>
      </c>
      <c r="BH1549" s="1" t="s">
        <v>2639</v>
      </c>
    </row>
    <row r="1550">
      <c r="A1550" s="1">
        <v>29135.0</v>
      </c>
      <c r="B1550" s="2" t="str">
        <f>IFERROR(__xludf.DUMMYFUNCTION("TO_TEXT(A1550)"),"29135")</f>
        <v>29135</v>
      </c>
      <c r="C1550" s="1">
        <v>15840.0</v>
      </c>
      <c r="D1550" s="1">
        <v>415.025318196262</v>
      </c>
      <c r="E1550" s="1" t="s">
        <v>2640</v>
      </c>
      <c r="F1550" s="1" t="s">
        <v>2641</v>
      </c>
      <c r="G1550" s="1">
        <v>38.1663462577225</v>
      </c>
      <c r="H1550" s="1">
        <v>16.801942827</v>
      </c>
      <c r="I1550" s="1">
        <v>4.12262363</v>
      </c>
      <c r="J1550" s="1">
        <v>6.1379310345</v>
      </c>
      <c r="K1550" s="1">
        <v>18.574534633</v>
      </c>
      <c r="L1550" s="1">
        <v>42.2</v>
      </c>
      <c r="M1550" s="1">
        <v>8.4</v>
      </c>
      <c r="N1550" s="1">
        <v>29.5</v>
      </c>
      <c r="O1550" s="1">
        <v>38.335362337</v>
      </c>
      <c r="P1550" s="1">
        <v>15.4752233959999</v>
      </c>
      <c r="Q1550" s="1">
        <v>12.45097</v>
      </c>
      <c r="R1550" s="1">
        <v>91.666666667</v>
      </c>
      <c r="S1550" s="1">
        <v>15.3</v>
      </c>
      <c r="T1550" s="1">
        <v>4021.0</v>
      </c>
      <c r="U1550" s="1">
        <v>19.646854016</v>
      </c>
      <c r="V1550" s="1">
        <v>194.93177388</v>
      </c>
      <c r="W1550" s="1">
        <v>7.5591985428</v>
      </c>
      <c r="X1550" s="1">
        <v>4.483074108</v>
      </c>
      <c r="Y1550" s="1">
        <v>78.34917579</v>
      </c>
      <c r="Z1550" s="1">
        <v>11.4</v>
      </c>
      <c r="AA1550" s="1">
        <v>1.5356423947</v>
      </c>
      <c r="AB1550" s="1">
        <v>57047.0</v>
      </c>
      <c r="AC1550" s="1">
        <v>48.946716233</v>
      </c>
      <c r="AD1550" s="1">
        <v>76.599326599</v>
      </c>
      <c r="AE1550" s="1">
        <v>5.7836899942</v>
      </c>
      <c r="AF1550" s="1">
        <v>3.9699770486</v>
      </c>
      <c r="AG1550" s="1">
        <v>0.403200794</v>
      </c>
      <c r="AH1550" s="1">
        <v>0.4280131505</v>
      </c>
      <c r="AI1550" s="1">
        <v>0.0682339805</v>
      </c>
      <c r="AJ1550" s="1">
        <v>4.8384095279</v>
      </c>
      <c r="AK1550" s="1">
        <v>89.2066248989999</v>
      </c>
      <c r="AL1550" s="1">
        <v>1.0287097425</v>
      </c>
      <c r="AM1550" s="1">
        <v>46.858135351</v>
      </c>
      <c r="AN1550" s="1">
        <v>52.700711219</v>
      </c>
      <c r="AO1550" s="1">
        <v>21068.0</v>
      </c>
      <c r="AP1550" s="1">
        <v>12.3</v>
      </c>
      <c r="AQ1550" s="1">
        <v>4.6</v>
      </c>
      <c r="AR1550" s="1">
        <v>16.4</v>
      </c>
      <c r="AS1550" s="1">
        <v>15.0</v>
      </c>
      <c r="AT1550" s="1">
        <v>25.4</v>
      </c>
      <c r="AU1550" s="1">
        <v>13.9</v>
      </c>
      <c r="AV1550" s="1">
        <v>10.2</v>
      </c>
      <c r="AW1550" s="1">
        <v>1.5</v>
      </c>
      <c r="AX1550" s="1">
        <v>0.504</v>
      </c>
      <c r="AY1550" s="1">
        <v>11.0</v>
      </c>
      <c r="AZ1550" s="1">
        <v>11.5</v>
      </c>
      <c r="BA1550" s="1">
        <v>12.7</v>
      </c>
      <c r="BB1550" s="1">
        <v>3.03</v>
      </c>
      <c r="BC1550" s="1" t="s">
        <v>2554</v>
      </c>
      <c r="BD1550" s="1">
        <v>14.6</v>
      </c>
      <c r="BE1550" s="1">
        <v>40.1</v>
      </c>
      <c r="BF1550" s="1">
        <v>24.8</v>
      </c>
      <c r="BG1550" s="1">
        <v>20.5</v>
      </c>
      <c r="BH1550" s="1" t="s">
        <v>2641</v>
      </c>
    </row>
    <row r="1551">
      <c r="A1551" s="1">
        <v>29137.0</v>
      </c>
      <c r="B1551" s="2" t="str">
        <f>IFERROR(__xludf.DUMMYFUNCTION("TO_TEXT(A1551)"),"29137")</f>
        <v>29137</v>
      </c>
      <c r="C1551" s="1">
        <v>8642.0</v>
      </c>
      <c r="D1551" s="1">
        <v>647.653060074227</v>
      </c>
      <c r="E1551" s="1" t="s">
        <v>158</v>
      </c>
      <c r="F1551" s="1" t="s">
        <v>2642</v>
      </c>
      <c r="G1551" s="1">
        <v>13.34356391215</v>
      </c>
      <c r="H1551" s="1">
        <v>18.18915742</v>
      </c>
      <c r="I1551" s="1">
        <v>4.281102403</v>
      </c>
      <c r="J1551" s="1">
        <v>7.56429652039999</v>
      </c>
      <c r="K1551" s="1">
        <v>18.063932591</v>
      </c>
      <c r="L1551" s="1">
        <v>30.8</v>
      </c>
      <c r="M1551" s="1">
        <v>7.7</v>
      </c>
      <c r="N1551" s="1">
        <v>31.2</v>
      </c>
      <c r="O1551" s="1">
        <v>46.447963801</v>
      </c>
      <c r="P1551" s="1">
        <v>12.692132096</v>
      </c>
      <c r="Q1551" s="1">
        <v>34.83511</v>
      </c>
      <c r="R1551" s="1">
        <v>93.548387097</v>
      </c>
      <c r="S1551" s="1">
        <v>22.5</v>
      </c>
      <c r="T1551" s="1">
        <v>1923.0</v>
      </c>
      <c r="U1551" s="1">
        <v>36.401456058</v>
      </c>
      <c r="V1551" s="1">
        <v>87.051142546</v>
      </c>
      <c r="W1551" s="1">
        <v>10.070921986</v>
      </c>
      <c r="X1551" s="1">
        <v>6.8669527897</v>
      </c>
      <c r="Y1551" s="1">
        <v>78.679675573</v>
      </c>
      <c r="Z1551" s="1">
        <v>13.8</v>
      </c>
      <c r="AA1551" s="1">
        <v>5.774236588</v>
      </c>
      <c r="AB1551" s="1">
        <v>46216.0</v>
      </c>
      <c r="AC1551" s="1">
        <v>52.139037433</v>
      </c>
      <c r="AD1551" s="1">
        <v>74.366740088</v>
      </c>
      <c r="AE1551" s="1">
        <v>5.1392477749</v>
      </c>
      <c r="AF1551" s="1">
        <v>2.6431209603</v>
      </c>
      <c r="AG1551" s="1">
        <v>0.600184672199999</v>
      </c>
      <c r="AH1551" s="1">
        <v>0.4155124654</v>
      </c>
      <c r="AI1551" s="1">
        <v>0.0230840259</v>
      </c>
      <c r="AJ1551" s="1">
        <v>1.6851338873</v>
      </c>
      <c r="AK1551" s="1">
        <v>92.728531856</v>
      </c>
      <c r="AL1551" s="1">
        <v>0.2697731453</v>
      </c>
      <c r="AM1551" s="1">
        <v>49.353647276</v>
      </c>
      <c r="AN1551" s="1">
        <v>100.0</v>
      </c>
      <c r="AO1551" s="1">
        <v>21069.0</v>
      </c>
      <c r="AP1551" s="1">
        <v>15.7</v>
      </c>
      <c r="AQ1551" s="1">
        <v>5.7</v>
      </c>
      <c r="AR1551" s="1">
        <v>10.3</v>
      </c>
      <c r="AS1551" s="1">
        <v>20.7</v>
      </c>
      <c r="AT1551" s="1">
        <v>22.4</v>
      </c>
      <c r="AU1551" s="1">
        <v>16.8</v>
      </c>
      <c r="AV1551" s="1">
        <v>6.4</v>
      </c>
      <c r="AW1551" s="1">
        <v>0.4</v>
      </c>
      <c r="AX1551" s="1">
        <v>0.3744</v>
      </c>
      <c r="AY1551" s="1">
        <v>13.4</v>
      </c>
      <c r="AZ1551" s="1">
        <v>13.4</v>
      </c>
      <c r="BA1551" s="1">
        <v>17.9</v>
      </c>
      <c r="BB1551" s="1">
        <v>2.67</v>
      </c>
      <c r="BC1551" s="1" t="s">
        <v>2554</v>
      </c>
      <c r="BD1551" s="1">
        <v>10.7</v>
      </c>
      <c r="BE1551" s="1">
        <v>48.4</v>
      </c>
      <c r="BF1551" s="1">
        <v>28.5</v>
      </c>
      <c r="BG1551" s="1">
        <v>12.4</v>
      </c>
      <c r="BH1551" s="1" t="s">
        <v>2642</v>
      </c>
    </row>
    <row r="1552">
      <c r="A1552" s="1">
        <v>29139.0</v>
      </c>
      <c r="B1552" s="2" t="str">
        <f>IFERROR(__xludf.DUMMYFUNCTION("TO_TEXT(A1552)"),"29139")</f>
        <v>29139</v>
      </c>
      <c r="C1552" s="1">
        <v>11820.0</v>
      </c>
      <c r="D1552" s="1">
        <v>535.046765829762</v>
      </c>
      <c r="E1552" s="1" t="s">
        <v>160</v>
      </c>
      <c r="F1552" s="1" t="s">
        <v>2643</v>
      </c>
      <c r="G1552" s="1">
        <v>22.091526862459</v>
      </c>
      <c r="H1552" s="1">
        <v>20.132675465</v>
      </c>
      <c r="I1552" s="1">
        <v>4.658821397</v>
      </c>
      <c r="J1552" s="1">
        <v>6.7464635473</v>
      </c>
      <c r="K1552" s="1">
        <v>20.730841507</v>
      </c>
      <c r="L1552" s="1">
        <v>27.4</v>
      </c>
      <c r="M1552" s="1">
        <v>7.9</v>
      </c>
      <c r="N1552" s="1">
        <v>28.4</v>
      </c>
      <c r="O1552" s="1">
        <v>39.032363517</v>
      </c>
      <c r="P1552" s="1">
        <v>12.999322952</v>
      </c>
      <c r="Q1552" s="1">
        <v>17.48557</v>
      </c>
      <c r="R1552" s="1">
        <v>88.775510204</v>
      </c>
      <c r="S1552" s="1">
        <v>21.5</v>
      </c>
      <c r="T1552" s="1">
        <v>2532.0</v>
      </c>
      <c r="U1552" s="1">
        <v>38.151658768</v>
      </c>
      <c r="V1552" s="1">
        <v>238.34858481</v>
      </c>
      <c r="W1552" s="1">
        <v>15.384615385</v>
      </c>
      <c r="X1552" s="1">
        <v>13.761658031</v>
      </c>
      <c r="Y1552" s="1">
        <v>75.318269338</v>
      </c>
      <c r="Z1552" s="1">
        <v>13.2</v>
      </c>
      <c r="AA1552" s="1">
        <v>3.4439314846</v>
      </c>
      <c r="AB1552" s="1">
        <v>48951.0</v>
      </c>
      <c r="AC1552" s="1">
        <v>54.971857411</v>
      </c>
      <c r="AD1552" s="1">
        <v>70.783070947</v>
      </c>
      <c r="AE1552" s="1">
        <v>10.459073192</v>
      </c>
      <c r="AF1552" s="1">
        <v>1.6646436622</v>
      </c>
      <c r="AG1552" s="1">
        <v>0.2861106294</v>
      </c>
      <c r="AH1552" s="1">
        <v>0.5548812207</v>
      </c>
      <c r="AI1552" s="1">
        <v>0.0346800763</v>
      </c>
      <c r="AJ1552" s="1">
        <v>2.0027744061</v>
      </c>
      <c r="AK1552" s="1">
        <v>93.861626496</v>
      </c>
      <c r="AL1552" s="1">
        <v>0.1202812731</v>
      </c>
      <c r="AM1552" s="1">
        <v>49.843939657</v>
      </c>
      <c r="AN1552" s="1">
        <v>78.514220333</v>
      </c>
      <c r="AO1552" s="1">
        <v>21301.0</v>
      </c>
      <c r="AP1552" s="1">
        <v>17.5</v>
      </c>
      <c r="AQ1552" s="1">
        <v>7.4</v>
      </c>
      <c r="AR1552" s="1">
        <v>16.2</v>
      </c>
      <c r="AS1552" s="1">
        <v>19.9</v>
      </c>
      <c r="AT1552" s="1">
        <v>23.0</v>
      </c>
      <c r="AU1552" s="1">
        <v>17.5</v>
      </c>
      <c r="AV1552" s="1">
        <v>5.3</v>
      </c>
      <c r="AW1552" s="1">
        <v>0.2</v>
      </c>
      <c r="AX1552" s="1">
        <v>0.5355</v>
      </c>
      <c r="AY1552" s="1">
        <v>13.3</v>
      </c>
      <c r="AZ1552" s="1">
        <v>14.1</v>
      </c>
      <c r="BA1552" s="1">
        <v>18.0</v>
      </c>
      <c r="BB1552" s="1">
        <v>2.79</v>
      </c>
      <c r="BC1552" s="1" t="s">
        <v>2554</v>
      </c>
      <c r="BD1552" s="1">
        <v>14.8</v>
      </c>
      <c r="BE1552" s="1">
        <v>44.7</v>
      </c>
      <c r="BF1552" s="1">
        <v>26.5</v>
      </c>
      <c r="BG1552" s="1">
        <v>14.0</v>
      </c>
      <c r="BH1552" s="1" t="s">
        <v>2643</v>
      </c>
    </row>
    <row r="1553">
      <c r="A1553" s="1">
        <v>29141.0</v>
      </c>
      <c r="B1553" s="2" t="str">
        <f>IFERROR(__xludf.DUMMYFUNCTION("TO_TEXT(A1553)"),"29141")</f>
        <v>29141</v>
      </c>
      <c r="C1553" s="1">
        <v>20182.0</v>
      </c>
      <c r="D1553" s="1">
        <v>597.629791904482</v>
      </c>
      <c r="E1553" s="1" t="s">
        <v>162</v>
      </c>
      <c r="F1553" s="1" t="s">
        <v>2644</v>
      </c>
      <c r="G1553" s="1">
        <v>33.7700701561171</v>
      </c>
      <c r="H1553" s="1">
        <v>21.811673389</v>
      </c>
      <c r="I1553" s="1">
        <v>4.7342456899</v>
      </c>
      <c r="J1553" s="1">
        <v>7.1698113208</v>
      </c>
      <c r="K1553" s="1">
        <v>21.7816750169999</v>
      </c>
      <c r="L1553" s="1">
        <v>35.1</v>
      </c>
      <c r="M1553" s="1">
        <v>7.5</v>
      </c>
      <c r="N1553" s="1">
        <v>24.7</v>
      </c>
      <c r="O1553" s="1">
        <v>41.167031364</v>
      </c>
      <c r="P1553" s="1">
        <v>19.2670296109999</v>
      </c>
      <c r="Q1553" s="1">
        <v>19.85604</v>
      </c>
      <c r="R1553" s="1">
        <v>100.0</v>
      </c>
      <c r="S1553" s="1">
        <v>26.0</v>
      </c>
      <c r="T1553" s="1">
        <v>4543.0</v>
      </c>
      <c r="U1553" s="1">
        <v>27.84503632</v>
      </c>
      <c r="V1553" s="1">
        <v>225.94100705</v>
      </c>
      <c r="W1553" s="1">
        <v>16.106531389</v>
      </c>
      <c r="X1553" s="1">
        <v>14.909560724</v>
      </c>
      <c r="Y1553" s="1">
        <v>74.897760915</v>
      </c>
      <c r="Z1553" s="1">
        <v>2.9</v>
      </c>
      <c r="AA1553" s="1">
        <v>1.5050559466</v>
      </c>
      <c r="AB1553" s="1">
        <v>45276.0</v>
      </c>
      <c r="AC1553" s="1">
        <v>78.476190476</v>
      </c>
      <c r="AD1553" s="1">
        <v>77.640232108</v>
      </c>
      <c r="AE1553" s="1">
        <v>15.746448673</v>
      </c>
      <c r="AF1553" s="1">
        <v>0.7908438943</v>
      </c>
      <c r="AG1553" s="1">
        <v>0.844876706899999</v>
      </c>
      <c r="AH1553" s="1">
        <v>0.4862953139</v>
      </c>
      <c r="AI1553" s="1">
        <v>0.0442086649</v>
      </c>
      <c r="AJ1553" s="1">
        <v>2.3872679045</v>
      </c>
      <c r="AK1553" s="1">
        <v>94.017094017</v>
      </c>
      <c r="AL1553" s="1">
        <v>0.3216281767</v>
      </c>
      <c r="AM1553" s="1">
        <v>49.906670596</v>
      </c>
      <c r="AN1553" s="1">
        <v>100.0</v>
      </c>
      <c r="AO1553" s="1">
        <v>19555.0</v>
      </c>
      <c r="AP1553" s="1">
        <v>24.2</v>
      </c>
      <c r="AQ1553" s="1">
        <v>9.5</v>
      </c>
      <c r="AR1553" s="1">
        <v>22.2</v>
      </c>
      <c r="AS1553" s="1">
        <v>23.5</v>
      </c>
      <c r="AT1553" s="1">
        <v>22.0</v>
      </c>
      <c r="AU1553" s="1">
        <v>19.4</v>
      </c>
      <c r="AV1553" s="1">
        <v>5.4</v>
      </c>
      <c r="AW1553" s="1">
        <v>0.6</v>
      </c>
      <c r="AX1553" s="1">
        <v>0.7727</v>
      </c>
      <c r="AY1553" s="1">
        <v>17.8</v>
      </c>
      <c r="AZ1553" s="1">
        <v>16.2</v>
      </c>
      <c r="BA1553" s="1">
        <v>22.0</v>
      </c>
      <c r="BB1553" s="1">
        <v>2.94</v>
      </c>
      <c r="BC1553" s="1" t="s">
        <v>2554</v>
      </c>
      <c r="BD1553" s="1">
        <v>21.9</v>
      </c>
      <c r="BE1553" s="1">
        <v>38.1</v>
      </c>
      <c r="BF1553" s="1">
        <v>26.7</v>
      </c>
      <c r="BG1553" s="1">
        <v>13.3</v>
      </c>
      <c r="BH1553" s="1" t="s">
        <v>2644</v>
      </c>
    </row>
    <row r="1554">
      <c r="A1554" s="1">
        <v>29143.0</v>
      </c>
      <c r="B1554" s="2" t="str">
        <f>IFERROR(__xludf.DUMMYFUNCTION("TO_TEXT(A1554)"),"29143")</f>
        <v>29143</v>
      </c>
      <c r="C1554" s="1">
        <v>18229.0</v>
      </c>
      <c r="D1554" s="1">
        <v>674.840224681352</v>
      </c>
      <c r="E1554" s="1" t="s">
        <v>2645</v>
      </c>
      <c r="F1554" s="1" t="s">
        <v>2646</v>
      </c>
      <c r="G1554" s="1">
        <v>27.0123198548328</v>
      </c>
      <c r="H1554" s="1">
        <v>26.272392649</v>
      </c>
      <c r="I1554" s="1">
        <v>5.060896647</v>
      </c>
      <c r="J1554" s="1">
        <v>11.02117061</v>
      </c>
      <c r="K1554" s="1">
        <v>25.2281601519999</v>
      </c>
      <c r="L1554" s="1">
        <v>35.8</v>
      </c>
      <c r="M1554" s="1">
        <v>6.9</v>
      </c>
      <c r="N1554" s="1">
        <v>38.6</v>
      </c>
      <c r="O1554" s="1">
        <v>42.519518886</v>
      </c>
      <c r="P1554" s="1">
        <v>13.479848235</v>
      </c>
      <c r="Q1554" s="1">
        <v>5.68764</v>
      </c>
      <c r="R1554" s="1">
        <v>93.75</v>
      </c>
      <c r="S1554" s="1">
        <v>26.6</v>
      </c>
      <c r="T1554" s="1">
        <v>4129.0</v>
      </c>
      <c r="U1554" s="1">
        <v>52.191813999</v>
      </c>
      <c r="V1554" s="1">
        <v>173.38930462</v>
      </c>
      <c r="W1554" s="1">
        <v>13.415468857</v>
      </c>
      <c r="X1554" s="1">
        <v>12.072575017</v>
      </c>
      <c r="Y1554" s="1">
        <v>72.512045589</v>
      </c>
      <c r="Z1554" s="1">
        <v>14.8</v>
      </c>
      <c r="AA1554" s="1">
        <v>1.7151949704</v>
      </c>
      <c r="AB1554" s="1">
        <v>38093.0</v>
      </c>
      <c r="AC1554" s="1">
        <v>73.433188806</v>
      </c>
      <c r="AD1554" s="1">
        <v>61.761487965</v>
      </c>
      <c r="AE1554" s="1">
        <v>12.505556379</v>
      </c>
      <c r="AF1554" s="1">
        <v>15.610545791</v>
      </c>
      <c r="AG1554" s="1">
        <v>0.2775208141</v>
      </c>
      <c r="AH1554" s="1">
        <v>0.3815911193</v>
      </c>
      <c r="AI1554" s="1">
        <v>0.0578168363</v>
      </c>
      <c r="AJ1554" s="1">
        <v>1.9888991674</v>
      </c>
      <c r="AK1554" s="1">
        <v>79.86239593</v>
      </c>
      <c r="AL1554" s="1">
        <v>0.2756471716</v>
      </c>
      <c r="AM1554" s="1">
        <v>51.971554117</v>
      </c>
      <c r="AN1554" s="1">
        <v>56.8632622919999</v>
      </c>
      <c r="AO1554" s="1">
        <v>19011.0</v>
      </c>
      <c r="AP1554" s="1">
        <v>24.6</v>
      </c>
      <c r="AQ1554" s="1">
        <v>11.5</v>
      </c>
      <c r="AR1554" s="1">
        <v>24.1</v>
      </c>
      <c r="AS1554" s="1">
        <v>17.5</v>
      </c>
      <c r="AT1554" s="1">
        <v>23.4</v>
      </c>
      <c r="AU1554" s="1">
        <v>22.9</v>
      </c>
      <c r="AV1554" s="1">
        <v>19.7</v>
      </c>
      <c r="AW1554" s="1">
        <v>0.2</v>
      </c>
      <c r="AX1554" s="1">
        <v>0.8542</v>
      </c>
      <c r="AY1554" s="1">
        <v>22.5</v>
      </c>
      <c r="AZ1554" s="1">
        <v>18.8</v>
      </c>
      <c r="BA1554" s="1">
        <v>24.6</v>
      </c>
      <c r="BB1554" s="1">
        <v>2.77</v>
      </c>
      <c r="BC1554" s="1" t="s">
        <v>2554</v>
      </c>
      <c r="BD1554" s="1">
        <v>21.3</v>
      </c>
      <c r="BE1554" s="1">
        <v>46.7</v>
      </c>
      <c r="BF1554" s="1">
        <v>20.0</v>
      </c>
      <c r="BG1554" s="1">
        <v>12.1</v>
      </c>
      <c r="BH1554" s="1" t="s">
        <v>2646</v>
      </c>
    </row>
    <row r="1555">
      <c r="A1555" s="1">
        <v>29145.0</v>
      </c>
      <c r="B1555" s="2" t="str">
        <f>IFERROR(__xludf.DUMMYFUNCTION("TO_TEXT(A1555)"),"29145")</f>
        <v>29145</v>
      </c>
      <c r="C1555" s="1">
        <v>58741.0</v>
      </c>
      <c r="D1555" s="1">
        <v>624.75329099452</v>
      </c>
      <c r="E1555" s="1" t="s">
        <v>371</v>
      </c>
      <c r="F1555" s="1" t="s">
        <v>2647</v>
      </c>
      <c r="G1555" s="1">
        <v>94.0227140004217</v>
      </c>
      <c r="H1555" s="1">
        <v>19.423400874</v>
      </c>
      <c r="I1555" s="1">
        <v>4.4579715591</v>
      </c>
      <c r="J1555" s="1">
        <v>7.021743467</v>
      </c>
      <c r="K1555" s="1">
        <v>20.1383502</v>
      </c>
      <c r="L1555" s="1">
        <v>29.0</v>
      </c>
      <c r="M1555" s="1">
        <v>8.0</v>
      </c>
      <c r="N1555" s="1">
        <v>27.8</v>
      </c>
      <c r="O1555" s="1">
        <v>54.1934817769999</v>
      </c>
      <c r="P1555" s="1">
        <v>15.890428399</v>
      </c>
      <c r="Q1555" s="1">
        <v>60.50183</v>
      </c>
      <c r="R1555" s="1">
        <v>86.971830986</v>
      </c>
      <c r="S1555" s="1">
        <v>22.5</v>
      </c>
      <c r="T1555" s="1">
        <v>14003.0</v>
      </c>
      <c r="U1555" s="1">
        <v>24.480468471</v>
      </c>
      <c r="V1555" s="1">
        <v>254.84199796</v>
      </c>
      <c r="W1555" s="1">
        <v>11.80476731</v>
      </c>
      <c r="X1555" s="1">
        <v>9.1699062429</v>
      </c>
      <c r="Y1555" s="1">
        <v>76.243282992</v>
      </c>
      <c r="Z1555" s="1">
        <v>10.4</v>
      </c>
      <c r="AA1555" s="1">
        <v>5.3382008265</v>
      </c>
      <c r="AB1555" s="1">
        <v>49220.0</v>
      </c>
      <c r="AC1555" s="1">
        <v>56.946581666</v>
      </c>
      <c r="AD1555" s="1">
        <v>70.792168134</v>
      </c>
      <c r="AE1555" s="1">
        <v>9.8525879527</v>
      </c>
      <c r="AF1555" s="1">
        <v>0.9182027254</v>
      </c>
      <c r="AG1555" s="1">
        <v>2.5915628325</v>
      </c>
      <c r="AH1555" s="1">
        <v>1.5103147633</v>
      </c>
      <c r="AI1555" s="1">
        <v>1.0537878008</v>
      </c>
      <c r="AJ1555" s="1">
        <v>5.60361102529999</v>
      </c>
      <c r="AK1555" s="1">
        <v>85.674321216</v>
      </c>
      <c r="AL1555" s="1">
        <v>1.0795256685</v>
      </c>
      <c r="AM1555" s="1">
        <v>50.123571208</v>
      </c>
      <c r="AN1555" s="1">
        <v>64.437140792</v>
      </c>
      <c r="AO1555" s="1">
        <v>23874.0</v>
      </c>
      <c r="AP1555" s="1">
        <v>14.4</v>
      </c>
      <c r="AQ1555" s="1">
        <v>5.9</v>
      </c>
      <c r="AR1555" s="1">
        <v>14.4</v>
      </c>
      <c r="AS1555" s="1">
        <v>17.4</v>
      </c>
      <c r="AT1555" s="1">
        <v>24.2</v>
      </c>
      <c r="AU1555" s="1">
        <v>14.7</v>
      </c>
      <c r="AV1555" s="1">
        <v>13.2</v>
      </c>
      <c r="AW1555" s="1">
        <v>1.0</v>
      </c>
      <c r="AX1555" s="1">
        <v>0.4543</v>
      </c>
      <c r="AY1555" s="1">
        <v>13.2</v>
      </c>
      <c r="AZ1555" s="1">
        <v>12.3</v>
      </c>
      <c r="BA1555" s="1">
        <v>14.3</v>
      </c>
      <c r="BB1555" s="1">
        <v>2.61</v>
      </c>
      <c r="BC1555" s="1" t="s">
        <v>2554</v>
      </c>
      <c r="BD1555" s="1">
        <v>12.9</v>
      </c>
      <c r="BE1555" s="1">
        <v>34.5</v>
      </c>
      <c r="BF1555" s="1">
        <v>32.6</v>
      </c>
      <c r="BG1555" s="1">
        <v>20.0</v>
      </c>
      <c r="BH1555" s="1" t="s">
        <v>2647</v>
      </c>
    </row>
    <row r="1556">
      <c r="A1556" s="1">
        <v>29147.0</v>
      </c>
      <c r="B1556" s="2" t="str">
        <f>IFERROR(__xludf.DUMMYFUNCTION("TO_TEXT(A1556)"),"29147")</f>
        <v>29147</v>
      </c>
      <c r="C1556" s="1">
        <v>23026.0</v>
      </c>
      <c r="D1556" s="1">
        <v>876.963741368792</v>
      </c>
      <c r="E1556" s="1" t="s">
        <v>2648</v>
      </c>
      <c r="F1556" s="1" t="s">
        <v>2649</v>
      </c>
      <c r="G1556" s="1">
        <v>26.2565017386697</v>
      </c>
      <c r="H1556" s="1">
        <v>19.2095695529999</v>
      </c>
      <c r="I1556" s="1">
        <v>4.654295857</v>
      </c>
      <c r="J1556" s="1">
        <v>6.4785118666</v>
      </c>
      <c r="K1556" s="1">
        <v>20.104247655</v>
      </c>
      <c r="L1556" s="1">
        <v>35.1</v>
      </c>
      <c r="M1556" s="1">
        <v>5.5</v>
      </c>
      <c r="N1556" s="1">
        <v>25.2</v>
      </c>
      <c r="O1556" s="1">
        <v>75.823705605</v>
      </c>
      <c r="P1556" s="1">
        <v>11.130775551</v>
      </c>
      <c r="Q1556" s="1">
        <v>53.39979</v>
      </c>
      <c r="R1556" s="1">
        <v>96.026490066</v>
      </c>
      <c r="S1556" s="1">
        <v>13.8</v>
      </c>
      <c r="T1556" s="1">
        <v>3650.0</v>
      </c>
      <c r="U1556" s="1">
        <v>32.849315068</v>
      </c>
      <c r="V1556" s="1">
        <v>158.95481764</v>
      </c>
      <c r="W1556" s="1">
        <v>15.180153574</v>
      </c>
      <c r="X1556" s="1">
        <v>13.66966967</v>
      </c>
      <c r="Y1556" s="1">
        <v>79.578887487</v>
      </c>
      <c r="Z1556" s="1">
        <v>8.7</v>
      </c>
      <c r="AA1556" s="1">
        <v>24.155959461</v>
      </c>
      <c r="AB1556" s="1">
        <v>46698.0</v>
      </c>
      <c r="AC1556" s="1">
        <v>41.324921136</v>
      </c>
      <c r="AD1556" s="1">
        <v>57.6193353469999</v>
      </c>
      <c r="AE1556" s="1">
        <v>13.1915432329999</v>
      </c>
      <c r="AF1556" s="1">
        <v>2.9411764706</v>
      </c>
      <c r="AG1556" s="1">
        <v>0.3990315638</v>
      </c>
      <c r="AH1556" s="1">
        <v>1.475071736</v>
      </c>
      <c r="AI1556" s="1">
        <v>0.0179340029</v>
      </c>
      <c r="AJ1556" s="1">
        <v>1.7664992826</v>
      </c>
      <c r="AK1556" s="1">
        <v>92.481169297</v>
      </c>
      <c r="AL1556" s="1">
        <v>0.2373307273</v>
      </c>
      <c r="AM1556" s="1">
        <v>49.587517934</v>
      </c>
      <c r="AN1556" s="1">
        <v>43.431750107</v>
      </c>
      <c r="AO1556" s="1">
        <v>19378.0</v>
      </c>
      <c r="AP1556" s="1">
        <v>25.5</v>
      </c>
      <c r="AQ1556" s="1">
        <v>5.4</v>
      </c>
      <c r="AR1556" s="1">
        <v>7.4</v>
      </c>
      <c r="AS1556" s="1">
        <v>14.1</v>
      </c>
      <c r="AT1556" s="1">
        <v>16.7</v>
      </c>
      <c r="AU1556" s="1">
        <v>13.4</v>
      </c>
      <c r="AV1556" s="1">
        <v>7.0</v>
      </c>
      <c r="AW1556" s="1">
        <v>0.2</v>
      </c>
      <c r="AX1556" s="1">
        <v>0.277</v>
      </c>
      <c r="AY1556" s="1">
        <v>17.8</v>
      </c>
      <c r="AZ1556" s="1">
        <v>13.8</v>
      </c>
      <c r="BA1556" s="1">
        <v>16.2</v>
      </c>
      <c r="BB1556" s="1">
        <v>3.14</v>
      </c>
      <c r="BC1556" s="1" t="s">
        <v>2554</v>
      </c>
      <c r="BD1556" s="1">
        <v>7.7</v>
      </c>
      <c r="BE1556" s="1">
        <v>37.7</v>
      </c>
      <c r="BF1556" s="1">
        <v>26.1</v>
      </c>
      <c r="BG1556" s="1">
        <v>28.6</v>
      </c>
      <c r="BH1556" s="1" t="s">
        <v>2649</v>
      </c>
    </row>
    <row r="1557">
      <c r="A1557" s="1">
        <v>29149.0</v>
      </c>
      <c r="B1557" s="2" t="str">
        <f>IFERROR(__xludf.DUMMYFUNCTION("TO_TEXT(A1557)"),"29149")</f>
        <v>29149</v>
      </c>
      <c r="C1557" s="1">
        <v>10922.0</v>
      </c>
      <c r="D1557" s="1">
        <v>789.795207507774</v>
      </c>
      <c r="E1557" s="1" t="s">
        <v>2650</v>
      </c>
      <c r="F1557" s="1" t="s">
        <v>2651</v>
      </c>
      <c r="G1557" s="1">
        <v>13.8289013356573</v>
      </c>
      <c r="H1557" s="1">
        <v>22.457956597</v>
      </c>
      <c r="I1557" s="1">
        <v>4.9109578705</v>
      </c>
      <c r="J1557" s="1">
        <v>10.171428571</v>
      </c>
      <c r="K1557" s="1">
        <v>21.631621186</v>
      </c>
      <c r="L1557" s="1">
        <v>30.6</v>
      </c>
      <c r="M1557" s="1">
        <v>6.9</v>
      </c>
      <c r="N1557" s="1">
        <v>34.6</v>
      </c>
      <c r="O1557" s="1">
        <v>51.2912416139999</v>
      </c>
      <c r="P1557" s="1">
        <v>14.681197545</v>
      </c>
      <c r="Q1557" s="1">
        <v>48.31939</v>
      </c>
      <c r="R1557" s="1">
        <v>95.652173913</v>
      </c>
      <c r="S1557" s="1">
        <v>37.7</v>
      </c>
      <c r="T1557" s="1">
        <v>2337.0</v>
      </c>
      <c r="U1557" s="1">
        <v>34.146341463</v>
      </c>
      <c r="V1557" s="1">
        <v>163.85980883</v>
      </c>
      <c r="W1557" s="1">
        <v>15.437788018</v>
      </c>
      <c r="X1557" s="1">
        <v>13.474178404</v>
      </c>
      <c r="Y1557" s="1">
        <v>74.542206002</v>
      </c>
      <c r="Z1557" s="1">
        <v>9.0</v>
      </c>
      <c r="AA1557" s="1">
        <v>9.9258266884</v>
      </c>
      <c r="AB1557" s="1">
        <v>32720.0</v>
      </c>
      <c r="AC1557" s="1">
        <v>65.807469753</v>
      </c>
      <c r="AD1557" s="1">
        <v>75.899698166</v>
      </c>
      <c r="AE1557" s="1">
        <v>13.743589744</v>
      </c>
      <c r="AF1557" s="1">
        <v>0.4174177023</v>
      </c>
      <c r="AG1557" s="1">
        <v>1.470448724</v>
      </c>
      <c r="AH1557" s="1">
        <v>0.3320368087</v>
      </c>
      <c r="AI1557" s="1">
        <v>0.0853808936999999</v>
      </c>
      <c r="AJ1557" s="1">
        <v>1.7740252348</v>
      </c>
      <c r="AK1557" s="1">
        <v>93.9569300829999</v>
      </c>
      <c r="AL1557" s="1">
        <v>0.0</v>
      </c>
      <c r="AM1557" s="1">
        <v>50.85855232</v>
      </c>
      <c r="AN1557" s="1">
        <v>80.534877309</v>
      </c>
      <c r="AO1557" s="1">
        <v>18080.0</v>
      </c>
      <c r="AP1557" s="1">
        <v>26.3</v>
      </c>
      <c r="AQ1557" s="1">
        <v>5.5</v>
      </c>
      <c r="AR1557" s="1">
        <v>16.4</v>
      </c>
      <c r="AS1557" s="1">
        <v>23.0</v>
      </c>
      <c r="AT1557" s="1">
        <v>22.4</v>
      </c>
      <c r="AU1557" s="1">
        <v>25.3</v>
      </c>
      <c r="AV1557" s="1">
        <v>5.6</v>
      </c>
      <c r="AW1557" s="1">
        <v>0.0</v>
      </c>
      <c r="AX1557" s="1">
        <v>0.5215</v>
      </c>
      <c r="AY1557" s="1">
        <v>20.6</v>
      </c>
      <c r="AZ1557" s="1">
        <v>17.6</v>
      </c>
      <c r="BA1557" s="1">
        <v>24.6</v>
      </c>
      <c r="BB1557" s="1">
        <v>2.81</v>
      </c>
      <c r="BC1557" s="1" t="s">
        <v>2554</v>
      </c>
      <c r="BD1557" s="1">
        <v>16.9</v>
      </c>
      <c r="BE1557" s="1">
        <v>43.0</v>
      </c>
      <c r="BF1557" s="1">
        <v>25.5</v>
      </c>
      <c r="BG1557" s="1">
        <v>14.6</v>
      </c>
      <c r="BH1557" s="1" t="s">
        <v>2651</v>
      </c>
    </row>
    <row r="1558">
      <c r="A1558" s="1">
        <v>29151.0</v>
      </c>
      <c r="B1558" s="2" t="str">
        <f>IFERROR(__xludf.DUMMYFUNCTION("TO_TEXT(A1558)"),"29151")</f>
        <v>29151</v>
      </c>
      <c r="C1558" s="1">
        <v>13704.0</v>
      </c>
      <c r="D1558" s="1">
        <v>606.573058244708</v>
      </c>
      <c r="E1558" s="1" t="s">
        <v>1696</v>
      </c>
      <c r="F1558" s="1" t="s">
        <v>2652</v>
      </c>
      <c r="G1558" s="1">
        <v>22.5924970021853</v>
      </c>
      <c r="H1558" s="1">
        <v>15.471905042</v>
      </c>
      <c r="I1558" s="1">
        <v>4.1046296123</v>
      </c>
      <c r="J1558" s="1">
        <v>7.4696545285</v>
      </c>
      <c r="K1558" s="1">
        <v>17.447801224</v>
      </c>
      <c r="L1558" s="1">
        <v>29.2</v>
      </c>
      <c r="M1558" s="1">
        <v>8.6</v>
      </c>
      <c r="N1558" s="1">
        <v>32.8</v>
      </c>
      <c r="O1558" s="1">
        <v>33.08113561</v>
      </c>
      <c r="P1558" s="1">
        <v>9.8743105163</v>
      </c>
      <c r="Q1558" s="1">
        <v>14.63915</v>
      </c>
      <c r="R1558" s="1">
        <v>94.736842105</v>
      </c>
      <c r="S1558" s="1">
        <v>10.1</v>
      </c>
      <c r="T1558" s="1">
        <v>3144.0</v>
      </c>
      <c r="U1558" s="1">
        <v>14.15394402</v>
      </c>
      <c r="V1558" s="1">
        <v>55.947185857</v>
      </c>
      <c r="W1558" s="1">
        <v>4.6580773043</v>
      </c>
      <c r="X1558" s="1">
        <v>3.6236236236</v>
      </c>
      <c r="Y1558" s="1">
        <v>79.150967039</v>
      </c>
      <c r="Z1558" s="1">
        <v>20.4</v>
      </c>
      <c r="AA1558" s="1">
        <v>3.23260605779999</v>
      </c>
      <c r="AB1558" s="1">
        <v>58855.0</v>
      </c>
      <c r="AC1558" s="1">
        <v>39.030453698</v>
      </c>
      <c r="AD1558" s="1">
        <v>83.297477019</v>
      </c>
      <c r="AE1558" s="1">
        <v>3.6782538399</v>
      </c>
      <c r="AF1558" s="1">
        <v>0.364590929</v>
      </c>
      <c r="AG1558" s="1">
        <v>0.3937582033</v>
      </c>
      <c r="AH1558" s="1">
        <v>0.2187545574</v>
      </c>
      <c r="AI1558" s="1">
        <v>0.0802100044</v>
      </c>
      <c r="AJ1558" s="1">
        <v>0.9698118711</v>
      </c>
      <c r="AK1558" s="1">
        <v>97.272859851</v>
      </c>
      <c r="AL1558" s="1">
        <v>0.1011909395</v>
      </c>
      <c r="AM1558" s="1">
        <v>48.476009917</v>
      </c>
      <c r="AN1558" s="1">
        <v>100.0</v>
      </c>
      <c r="AO1558" s="1">
        <v>24097.0</v>
      </c>
      <c r="AP1558" s="1">
        <v>6.9</v>
      </c>
      <c r="AQ1558" s="1">
        <v>3.0</v>
      </c>
      <c r="AR1558" s="1">
        <v>9.7</v>
      </c>
      <c r="AS1558" s="1">
        <v>16.6</v>
      </c>
      <c r="AT1558" s="1">
        <v>23.5</v>
      </c>
      <c r="AU1558" s="1">
        <v>15.7</v>
      </c>
      <c r="AV1558" s="1">
        <v>2.4</v>
      </c>
      <c r="AW1558" s="1">
        <v>0.0</v>
      </c>
      <c r="AX1558" s="1">
        <v>0.0665</v>
      </c>
      <c r="AY1558" s="1">
        <v>9.1</v>
      </c>
      <c r="AZ1558" s="1">
        <v>8.9</v>
      </c>
      <c r="BA1558" s="1">
        <v>10.2</v>
      </c>
      <c r="BB1558" s="1">
        <v>3.0</v>
      </c>
      <c r="BC1558" s="1" t="s">
        <v>2554</v>
      </c>
      <c r="BD1558" s="1">
        <v>10.1</v>
      </c>
      <c r="BE1558" s="1">
        <v>43.7</v>
      </c>
      <c r="BF1558" s="1">
        <v>27.3</v>
      </c>
      <c r="BG1558" s="1">
        <v>18.9</v>
      </c>
      <c r="BH1558" s="1" t="s">
        <v>2652</v>
      </c>
    </row>
    <row r="1559">
      <c r="A1559" s="1">
        <v>29153.0</v>
      </c>
      <c r="B1559" s="2" t="str">
        <f>IFERROR(__xludf.DUMMYFUNCTION("TO_TEXT(A1559)"),"29153")</f>
        <v>29153</v>
      </c>
      <c r="C1559" s="1">
        <v>9450.0</v>
      </c>
      <c r="D1559" s="1">
        <v>744.97119118664</v>
      </c>
      <c r="E1559" s="1" t="s">
        <v>2653</v>
      </c>
      <c r="F1559" s="1" t="s">
        <v>2654</v>
      </c>
      <c r="G1559" s="1">
        <v>12.6850542837065</v>
      </c>
      <c r="H1559" s="1">
        <v>23.683192294</v>
      </c>
      <c r="I1559" s="1">
        <v>5.08521367</v>
      </c>
      <c r="J1559" s="1">
        <v>9.4616639478</v>
      </c>
      <c r="K1559" s="1">
        <v>22.379373882</v>
      </c>
      <c r="L1559" s="1">
        <v>24.1</v>
      </c>
      <c r="M1559" s="1">
        <v>5.0</v>
      </c>
      <c r="N1559" s="1">
        <v>29.9</v>
      </c>
      <c r="O1559" s="1">
        <v>39.391134424</v>
      </c>
      <c r="P1559" s="1">
        <v>16.666666667</v>
      </c>
      <c r="Q1559" s="1">
        <v>21.77226</v>
      </c>
      <c r="R1559" s="1">
        <v>96.49122807</v>
      </c>
      <c r="S1559" s="1">
        <v>33.2</v>
      </c>
      <c r="T1559" s="1">
        <v>1743.0</v>
      </c>
      <c r="U1559" s="1">
        <v>28.800917958</v>
      </c>
      <c r="V1559" s="1">
        <v>143.15253698</v>
      </c>
      <c r="W1559" s="1">
        <v>15.592028136</v>
      </c>
      <c r="X1559" s="1">
        <v>9.2086330935</v>
      </c>
      <c r="Y1559" s="1">
        <v>76.265659888</v>
      </c>
      <c r="Z1559" s="1">
        <v>9.5</v>
      </c>
      <c r="AA1559" s="1">
        <v>27.735779102</v>
      </c>
      <c r="AB1559" s="1">
        <v>34367.0</v>
      </c>
      <c r="AC1559" s="1">
        <v>72.385509228</v>
      </c>
      <c r="AD1559" s="1">
        <v>77.002895753</v>
      </c>
      <c r="AE1559" s="1">
        <v>9.4682582746</v>
      </c>
      <c r="AF1559" s="1">
        <v>0.1996229345</v>
      </c>
      <c r="AG1559" s="1">
        <v>1.0757458135</v>
      </c>
      <c r="AH1559" s="1">
        <v>0.1885327714</v>
      </c>
      <c r="AI1559" s="1">
        <v>0.0</v>
      </c>
      <c r="AJ1559" s="1">
        <v>1.730065432</v>
      </c>
      <c r="AK1559" s="1">
        <v>95.19795941</v>
      </c>
      <c r="AL1559" s="1">
        <v>0.0</v>
      </c>
      <c r="AM1559" s="1">
        <v>49.839192636</v>
      </c>
      <c r="AN1559" s="1">
        <v>100.0</v>
      </c>
      <c r="AO1559" s="1">
        <v>16706.0</v>
      </c>
      <c r="AP1559" s="1">
        <v>27.2</v>
      </c>
      <c r="AQ1559" s="1">
        <v>9.6</v>
      </c>
      <c r="AR1559" s="1">
        <v>16.2</v>
      </c>
      <c r="AS1559" s="1">
        <v>25.9</v>
      </c>
      <c r="AT1559" s="1">
        <v>19.2</v>
      </c>
      <c r="AU1559" s="1">
        <v>21.6</v>
      </c>
      <c r="AV1559" s="1">
        <v>4.3</v>
      </c>
      <c r="AW1559" s="1">
        <v>0.1</v>
      </c>
      <c r="AX1559" s="1">
        <v>0.7501</v>
      </c>
      <c r="AY1559" s="1">
        <v>22.7</v>
      </c>
      <c r="AZ1559" s="1">
        <v>18.6</v>
      </c>
      <c r="BA1559" s="1">
        <v>25.9</v>
      </c>
      <c r="BB1559" s="1">
        <v>3.01</v>
      </c>
      <c r="BC1559" s="1" t="s">
        <v>2554</v>
      </c>
      <c r="BD1559" s="1">
        <v>17.7</v>
      </c>
      <c r="BE1559" s="1">
        <v>43.4</v>
      </c>
      <c r="BF1559" s="1">
        <v>27.9</v>
      </c>
      <c r="BG1559" s="1">
        <v>11.0</v>
      </c>
      <c r="BH1559" s="1" t="s">
        <v>2654</v>
      </c>
    </row>
    <row r="1560">
      <c r="A1560" s="1">
        <v>29155.0</v>
      </c>
      <c r="B1560" s="2" t="str">
        <f>IFERROR(__xludf.DUMMYFUNCTION("TO_TEXT(A1560)"),"29155")</f>
        <v>29155</v>
      </c>
      <c r="C1560" s="1">
        <v>17599.0</v>
      </c>
      <c r="D1560" s="1">
        <v>492.520295405766</v>
      </c>
      <c r="E1560" s="1" t="s">
        <v>2655</v>
      </c>
      <c r="F1560" s="1" t="s">
        <v>2656</v>
      </c>
      <c r="G1560" s="1">
        <v>35.7325376520798</v>
      </c>
      <c r="H1560" s="1">
        <v>28.193363054</v>
      </c>
      <c r="I1560" s="1">
        <v>5.1706350978</v>
      </c>
      <c r="J1560" s="1">
        <v>11.260053619</v>
      </c>
      <c r="K1560" s="1">
        <v>25.015502935</v>
      </c>
      <c r="L1560" s="1">
        <v>36.3</v>
      </c>
      <c r="M1560" s="1">
        <v>6.0</v>
      </c>
      <c r="N1560" s="1">
        <v>41.5</v>
      </c>
      <c r="O1560" s="1">
        <v>53.5034980319999</v>
      </c>
      <c r="P1560" s="1">
        <v>11.73513986</v>
      </c>
      <c r="Q1560" s="1">
        <v>23.77273</v>
      </c>
      <c r="R1560" s="1">
        <v>95.967741935</v>
      </c>
      <c r="S1560" s="1">
        <v>44.5</v>
      </c>
      <c r="T1560" s="1">
        <v>4424.0</v>
      </c>
      <c r="U1560" s="1">
        <v>53.887884268</v>
      </c>
      <c r="V1560" s="1">
        <v>887.41147565</v>
      </c>
      <c r="W1560" s="1">
        <v>15.489913545</v>
      </c>
      <c r="X1560" s="1">
        <v>11.441241685</v>
      </c>
      <c r="Y1560" s="1">
        <v>71.474555735</v>
      </c>
      <c r="Z1560" s="1">
        <v>19.6</v>
      </c>
      <c r="AA1560" s="1">
        <v>3.7435494325</v>
      </c>
      <c r="AB1560" s="1">
        <v>31831.0</v>
      </c>
      <c r="AC1560" s="1">
        <v>87.547528517</v>
      </c>
      <c r="AD1560" s="1">
        <v>53.761869978</v>
      </c>
      <c r="AE1560" s="1">
        <v>13.281497937</v>
      </c>
      <c r="AF1560" s="1">
        <v>25.731317601</v>
      </c>
      <c r="AG1560" s="1">
        <v>0.4977876106</v>
      </c>
      <c r="AH1560" s="1">
        <v>0.4609144543</v>
      </c>
      <c r="AI1560" s="1">
        <v>0.0737463127</v>
      </c>
      <c r="AJ1560" s="1">
        <v>2.7040314651</v>
      </c>
      <c r="AK1560" s="1">
        <v>68.817600787</v>
      </c>
      <c r="AL1560" s="1">
        <v>0.1839984773</v>
      </c>
      <c r="AM1560" s="1">
        <v>52.753195674</v>
      </c>
      <c r="AN1560" s="1">
        <v>49.267599475</v>
      </c>
      <c r="AO1560" s="1">
        <v>17681.0</v>
      </c>
      <c r="AP1560" s="1">
        <v>29.1</v>
      </c>
      <c r="AQ1560" s="1">
        <v>11.1</v>
      </c>
      <c r="AR1560" s="1">
        <v>25.2</v>
      </c>
      <c r="AS1560" s="1">
        <v>15.6</v>
      </c>
      <c r="AT1560" s="1">
        <v>26.6</v>
      </c>
      <c r="AU1560" s="1">
        <v>26.5</v>
      </c>
      <c r="AV1560" s="1">
        <v>30.8</v>
      </c>
      <c r="AW1560" s="1">
        <v>0.3</v>
      </c>
      <c r="AX1560" s="1">
        <v>0.9405</v>
      </c>
      <c r="AY1560" s="1">
        <v>26.9</v>
      </c>
      <c r="AZ1560" s="1">
        <v>21.6</v>
      </c>
      <c r="BA1560" s="1">
        <v>27.5</v>
      </c>
      <c r="BB1560" s="1">
        <v>2.72</v>
      </c>
      <c r="BC1560" s="1" t="s">
        <v>2554</v>
      </c>
      <c r="BD1560" s="1">
        <v>22.2</v>
      </c>
      <c r="BE1560" s="1">
        <v>43.3</v>
      </c>
      <c r="BF1560" s="1">
        <v>21.7</v>
      </c>
      <c r="BG1560" s="1">
        <v>12.7</v>
      </c>
      <c r="BH1560" s="1" t="s">
        <v>2656</v>
      </c>
    </row>
    <row r="1561">
      <c r="A1561" s="1">
        <v>29157.0</v>
      </c>
      <c r="B1561" s="2" t="str">
        <f>IFERROR(__xludf.DUMMYFUNCTION("TO_TEXT(A1561)"),"29157")</f>
        <v>29157</v>
      </c>
      <c r="C1561" s="1">
        <v>19152.0</v>
      </c>
      <c r="D1561" s="1">
        <v>474.355342256502</v>
      </c>
      <c r="E1561" s="1" t="s">
        <v>164</v>
      </c>
      <c r="F1561" s="1" t="s">
        <v>2657</v>
      </c>
      <c r="G1561" s="1">
        <v>40.3747956308327</v>
      </c>
      <c r="H1561" s="1">
        <v>17.6311203</v>
      </c>
      <c r="I1561" s="1">
        <v>4.2756942411</v>
      </c>
      <c r="J1561" s="1">
        <v>6.670984456</v>
      </c>
      <c r="K1561" s="1">
        <v>19.17880296</v>
      </c>
      <c r="L1561" s="1">
        <v>37.4</v>
      </c>
      <c r="M1561" s="1">
        <v>8.4</v>
      </c>
      <c r="N1561" s="1">
        <v>27.0</v>
      </c>
      <c r="O1561" s="1">
        <v>37.009119182</v>
      </c>
      <c r="P1561" s="1">
        <v>8.5685227562</v>
      </c>
      <c r="Q1561" s="1">
        <v>46.81404</v>
      </c>
      <c r="R1561" s="1">
        <v>87.330316742</v>
      </c>
      <c r="S1561" s="1">
        <v>14.9</v>
      </c>
      <c r="T1561" s="1">
        <v>4501.0</v>
      </c>
      <c r="U1561" s="1">
        <v>26.4385692069999</v>
      </c>
      <c r="V1561" s="1">
        <v>318.39653418</v>
      </c>
      <c r="W1561" s="1">
        <v>9.0053763441</v>
      </c>
      <c r="X1561" s="1">
        <v>7.2297297297</v>
      </c>
      <c r="Y1561" s="1">
        <v>78.069243288</v>
      </c>
      <c r="Z1561" s="1">
        <v>8.6</v>
      </c>
      <c r="AA1561" s="1">
        <v>4.4219536098</v>
      </c>
      <c r="AB1561" s="1">
        <v>53871.0</v>
      </c>
      <c r="AC1561" s="1">
        <v>53.582026282</v>
      </c>
      <c r="AD1561" s="1">
        <v>74.556213018</v>
      </c>
      <c r="AE1561" s="1">
        <v>8.1285444234</v>
      </c>
      <c r="AF1561" s="1">
        <v>0.6057441253</v>
      </c>
      <c r="AG1561" s="1">
        <v>0.579634464799999</v>
      </c>
      <c r="AH1561" s="1">
        <v>0.590078329</v>
      </c>
      <c r="AI1561" s="1">
        <v>0.1148825065</v>
      </c>
      <c r="AJ1561" s="1">
        <v>2.4490861619</v>
      </c>
      <c r="AK1561" s="1">
        <v>95.065274151</v>
      </c>
      <c r="AL1561" s="1">
        <v>0.1</v>
      </c>
      <c r="AM1561" s="1">
        <v>50.041775457</v>
      </c>
      <c r="AN1561" s="1">
        <v>55.621738443</v>
      </c>
      <c r="AO1561" s="1">
        <v>24658.0</v>
      </c>
      <c r="AP1561" s="1">
        <v>7.9</v>
      </c>
      <c r="AQ1561" s="1">
        <v>4.3</v>
      </c>
      <c r="AR1561" s="1">
        <v>12.5</v>
      </c>
      <c r="AS1561" s="1">
        <v>16.6</v>
      </c>
      <c r="AT1561" s="1">
        <v>24.4</v>
      </c>
      <c r="AU1561" s="1">
        <v>15.7</v>
      </c>
      <c r="AV1561" s="1">
        <v>4.3</v>
      </c>
      <c r="AW1561" s="1">
        <v>0.2</v>
      </c>
      <c r="AX1561" s="1">
        <v>0.1592</v>
      </c>
      <c r="AY1561" s="1">
        <v>9.1</v>
      </c>
      <c r="AZ1561" s="1">
        <v>10.5</v>
      </c>
      <c r="BA1561" s="1">
        <v>11.5</v>
      </c>
      <c r="BB1561" s="1">
        <v>2.87</v>
      </c>
      <c r="BC1561" s="1" t="s">
        <v>2554</v>
      </c>
      <c r="BD1561" s="1">
        <v>12.3</v>
      </c>
      <c r="BE1561" s="1">
        <v>43.3</v>
      </c>
      <c r="BF1561" s="1">
        <v>26.7</v>
      </c>
      <c r="BG1561" s="1">
        <v>17.7</v>
      </c>
      <c r="BH1561" s="1" t="s">
        <v>2657</v>
      </c>
    </row>
    <row r="1562">
      <c r="A1562" s="1">
        <v>29159.0</v>
      </c>
      <c r="B1562" s="2" t="str">
        <f>IFERROR(__xludf.DUMMYFUNCTION("TO_TEXT(A1562)"),"29159")</f>
        <v>29159</v>
      </c>
      <c r="C1562" s="1">
        <v>42193.0</v>
      </c>
      <c r="D1562" s="1">
        <v>682.222789517178</v>
      </c>
      <c r="E1562" s="1" t="s">
        <v>2658</v>
      </c>
      <c r="F1562" s="1" t="s">
        <v>2659</v>
      </c>
      <c r="G1562" s="1">
        <v>61.846365510394</v>
      </c>
      <c r="H1562" s="1">
        <v>22.2810050369999</v>
      </c>
      <c r="I1562" s="1">
        <v>4.5565583969</v>
      </c>
      <c r="J1562" s="1">
        <v>6.8164979007</v>
      </c>
      <c r="K1562" s="1">
        <v>21.552639474</v>
      </c>
      <c r="L1562" s="1">
        <v>37.0</v>
      </c>
      <c r="M1562" s="1">
        <v>7.6</v>
      </c>
      <c r="N1562" s="1">
        <v>28.1</v>
      </c>
      <c r="O1562" s="1">
        <v>67.493661288</v>
      </c>
      <c r="P1562" s="1">
        <v>14.280380274</v>
      </c>
      <c r="Q1562" s="1">
        <v>51.69416</v>
      </c>
      <c r="R1562" s="1">
        <v>95.670103093</v>
      </c>
      <c r="S1562" s="1">
        <v>23.3</v>
      </c>
      <c r="T1562" s="1">
        <v>10316.0</v>
      </c>
      <c r="U1562" s="1">
        <v>33.656455991</v>
      </c>
      <c r="V1562" s="1">
        <v>361.22461065</v>
      </c>
      <c r="W1562" s="1">
        <v>14.276788504</v>
      </c>
      <c r="X1562" s="1">
        <v>10.751336058</v>
      </c>
      <c r="Y1562" s="1">
        <v>76.600274615</v>
      </c>
      <c r="Z1562" s="1">
        <v>15.3</v>
      </c>
      <c r="AA1562" s="1">
        <v>6.4857661292</v>
      </c>
      <c r="AB1562" s="1">
        <v>45254.0</v>
      </c>
      <c r="AC1562" s="1">
        <v>63.193446393</v>
      </c>
      <c r="AD1562" s="1">
        <v>66.949312229</v>
      </c>
      <c r="AE1562" s="1">
        <v>9.71762414799999</v>
      </c>
      <c r="AF1562" s="1">
        <v>3.029946876</v>
      </c>
      <c r="AG1562" s="1">
        <v>0.7686521555</v>
      </c>
      <c r="AH1562" s="1">
        <v>0.8767805933</v>
      </c>
      <c r="AI1562" s="1">
        <v>0.3267359315</v>
      </c>
      <c r="AJ1562" s="1">
        <v>8.9629072446</v>
      </c>
      <c r="AK1562" s="1">
        <v>84.500023506</v>
      </c>
      <c r="AL1562" s="1">
        <v>2.3921022655</v>
      </c>
      <c r="AM1562" s="1">
        <v>50.361995205</v>
      </c>
      <c r="AN1562" s="1">
        <v>37.778725623</v>
      </c>
      <c r="AO1562" s="1">
        <v>20643.0</v>
      </c>
      <c r="AP1562" s="1">
        <v>16.9</v>
      </c>
      <c r="AQ1562" s="1">
        <v>6.5</v>
      </c>
      <c r="AR1562" s="1">
        <v>16.9</v>
      </c>
      <c r="AS1562" s="1">
        <v>15.3</v>
      </c>
      <c r="AT1562" s="1">
        <v>25.0</v>
      </c>
      <c r="AU1562" s="1">
        <v>17.8</v>
      </c>
      <c r="AV1562" s="1">
        <v>14.4</v>
      </c>
      <c r="AW1562" s="1">
        <v>2.6</v>
      </c>
      <c r="AX1562" s="1">
        <v>0.795</v>
      </c>
      <c r="AY1562" s="1">
        <v>12.9</v>
      </c>
      <c r="AZ1562" s="1">
        <v>14.6</v>
      </c>
      <c r="BA1562" s="1">
        <v>17.4</v>
      </c>
      <c r="BB1562" s="1">
        <v>2.73</v>
      </c>
      <c r="BC1562" s="1" t="s">
        <v>2554</v>
      </c>
      <c r="BD1562" s="1">
        <v>13.5</v>
      </c>
      <c r="BE1562" s="1">
        <v>34.8</v>
      </c>
      <c r="BF1562" s="1">
        <v>33.7</v>
      </c>
      <c r="BG1562" s="1">
        <v>18.0</v>
      </c>
      <c r="BH1562" s="1" t="s">
        <v>2659</v>
      </c>
    </row>
    <row r="1563">
      <c r="A1563" s="1">
        <v>29161.0</v>
      </c>
      <c r="B1563" s="2" t="str">
        <f>IFERROR(__xludf.DUMMYFUNCTION("TO_TEXT(A1563)"),"29161")</f>
        <v>29161</v>
      </c>
      <c r="C1563" s="1">
        <v>44833.0</v>
      </c>
      <c r="D1563" s="1">
        <v>671.778194507602</v>
      </c>
      <c r="E1563" s="1" t="s">
        <v>2660</v>
      </c>
      <c r="F1563" s="1" t="s">
        <v>2661</v>
      </c>
      <c r="G1563" s="1">
        <v>66.7378018020688</v>
      </c>
      <c r="H1563" s="1">
        <v>20.443115359</v>
      </c>
      <c r="I1563" s="1">
        <v>4.5614245795</v>
      </c>
      <c r="J1563" s="1">
        <v>7.7595936795</v>
      </c>
      <c r="K1563" s="1">
        <v>20.2875632409999</v>
      </c>
      <c r="L1563" s="1">
        <v>35.1</v>
      </c>
      <c r="M1563" s="1">
        <v>7.2</v>
      </c>
      <c r="N1563" s="1">
        <v>28.2</v>
      </c>
      <c r="O1563" s="1">
        <v>80.492071928</v>
      </c>
      <c r="P1563" s="1">
        <v>13.878697546</v>
      </c>
      <c r="Q1563" s="1">
        <v>96.10227</v>
      </c>
      <c r="R1563" s="1">
        <v>89.375</v>
      </c>
      <c r="S1563" s="1">
        <v>21.8</v>
      </c>
      <c r="T1563" s="1">
        <v>9125.0</v>
      </c>
      <c r="U1563" s="1">
        <v>31.38630137</v>
      </c>
      <c r="V1563" s="1">
        <v>340.19695613</v>
      </c>
      <c r="W1563" s="1">
        <v>14.756532067</v>
      </c>
      <c r="X1563" s="1">
        <v>12.534393152</v>
      </c>
      <c r="Y1563" s="1">
        <v>76.0295869569999</v>
      </c>
      <c r="Z1563" s="1">
        <v>11.5</v>
      </c>
      <c r="AA1563" s="1">
        <v>6.66764319649999</v>
      </c>
      <c r="AB1563" s="1">
        <v>43079.0</v>
      </c>
      <c r="AC1563" s="1">
        <v>53.275044458</v>
      </c>
      <c r="AD1563" s="1">
        <v>60.371569797</v>
      </c>
      <c r="AE1563" s="1">
        <v>13.819670158</v>
      </c>
      <c r="AF1563" s="1">
        <v>2.1192882053</v>
      </c>
      <c r="AG1563" s="1">
        <v>0.8405615667</v>
      </c>
      <c r="AH1563" s="1">
        <v>3.9054815345</v>
      </c>
      <c r="AI1563" s="1">
        <v>0.0961280515</v>
      </c>
      <c r="AJ1563" s="1">
        <v>2.6200482876</v>
      </c>
      <c r="AK1563" s="1">
        <v>88.6188858089999</v>
      </c>
      <c r="AL1563" s="1">
        <v>0.715436368799999</v>
      </c>
      <c r="AM1563" s="1">
        <v>47.791290351</v>
      </c>
      <c r="AN1563" s="1">
        <v>46.2242005489999</v>
      </c>
      <c r="AO1563" s="1">
        <v>22400.0</v>
      </c>
      <c r="AP1563" s="1">
        <v>20.6</v>
      </c>
      <c r="AQ1563" s="1">
        <v>6.2</v>
      </c>
      <c r="AR1563" s="1">
        <v>13.0</v>
      </c>
      <c r="AS1563" s="1">
        <v>14.9</v>
      </c>
      <c r="AT1563" s="1">
        <v>21.2</v>
      </c>
      <c r="AU1563" s="1">
        <v>16.4</v>
      </c>
      <c r="AV1563" s="1">
        <v>10.8</v>
      </c>
      <c r="AW1563" s="1">
        <v>0.7</v>
      </c>
      <c r="AX1563" s="1">
        <v>0.5661</v>
      </c>
      <c r="AY1563" s="1">
        <v>17.0</v>
      </c>
      <c r="AZ1563" s="1">
        <v>15.2</v>
      </c>
      <c r="BA1563" s="1">
        <v>17.0</v>
      </c>
      <c r="BB1563" s="1">
        <v>2.73</v>
      </c>
      <c r="BC1563" s="1" t="s">
        <v>2554</v>
      </c>
      <c r="BD1563" s="1">
        <v>11.7</v>
      </c>
      <c r="BE1563" s="1">
        <v>30.4</v>
      </c>
      <c r="BF1563" s="1">
        <v>28.7</v>
      </c>
      <c r="BG1563" s="1">
        <v>29.1</v>
      </c>
      <c r="BH1563" s="1" t="s">
        <v>2661</v>
      </c>
    </row>
    <row r="1564">
      <c r="A1564" s="1">
        <v>29163.0</v>
      </c>
      <c r="B1564" s="2" t="str">
        <f>IFERROR(__xludf.DUMMYFUNCTION("TO_TEXT(A1564)"),"29163")</f>
        <v>29163</v>
      </c>
      <c r="C1564" s="1">
        <v>18475.0</v>
      </c>
      <c r="D1564" s="1">
        <v>670.438530606672</v>
      </c>
      <c r="E1564" s="1" t="s">
        <v>168</v>
      </c>
      <c r="F1564" s="1" t="s">
        <v>2662</v>
      </c>
      <c r="G1564" s="1">
        <v>27.5565904353412</v>
      </c>
      <c r="H1564" s="1">
        <v>20.451454481</v>
      </c>
      <c r="I1564" s="1">
        <v>4.4385558917</v>
      </c>
      <c r="J1564" s="1">
        <v>8.6251621271</v>
      </c>
      <c r="K1564" s="1">
        <v>21.18311082</v>
      </c>
      <c r="L1564" s="1">
        <v>37.2</v>
      </c>
      <c r="M1564" s="1">
        <v>7.3</v>
      </c>
      <c r="N1564" s="1">
        <v>29.6</v>
      </c>
      <c r="O1564" s="1">
        <v>45.998055736</v>
      </c>
      <c r="P1564" s="1">
        <v>11.871075131</v>
      </c>
      <c r="Q1564" s="1">
        <v>32.3154</v>
      </c>
      <c r="R1564" s="1">
        <v>93.670886076</v>
      </c>
      <c r="S1564" s="1">
        <v>20.5</v>
      </c>
      <c r="T1564" s="1">
        <v>3921.0</v>
      </c>
      <c r="U1564" s="1">
        <v>31.216526396</v>
      </c>
      <c r="V1564" s="1">
        <v>116.11892739</v>
      </c>
      <c r="W1564" s="1">
        <v>9.992486852</v>
      </c>
      <c r="X1564" s="1">
        <v>6.9916222391</v>
      </c>
      <c r="Y1564" s="1">
        <v>76.349270896</v>
      </c>
      <c r="Z1564" s="1">
        <v>15.6</v>
      </c>
      <c r="AA1564" s="1">
        <v>9.8561207636</v>
      </c>
      <c r="AB1564" s="1">
        <v>43591.0</v>
      </c>
      <c r="AC1564" s="1">
        <v>47.785906816</v>
      </c>
      <c r="AD1564" s="1">
        <v>70.736842105</v>
      </c>
      <c r="AE1564" s="1">
        <v>7.2044728435</v>
      </c>
      <c r="AF1564" s="1">
        <v>7.7766969304</v>
      </c>
      <c r="AG1564" s="1">
        <v>0.2377864246</v>
      </c>
      <c r="AH1564" s="1">
        <v>0.3080415045</v>
      </c>
      <c r="AI1564" s="1">
        <v>0.0216169477</v>
      </c>
      <c r="AJ1564" s="1">
        <v>2.3292261133</v>
      </c>
      <c r="AK1564" s="1">
        <v>87.883700821</v>
      </c>
      <c r="AL1564" s="1">
        <v>0.4769566716</v>
      </c>
      <c r="AM1564" s="1">
        <v>44.525507998</v>
      </c>
      <c r="AN1564" s="1">
        <v>54.379995679</v>
      </c>
      <c r="AO1564" s="1">
        <v>19900.0</v>
      </c>
      <c r="AP1564" s="1">
        <v>15.2</v>
      </c>
      <c r="AQ1564" s="1">
        <v>5.6</v>
      </c>
      <c r="AR1564" s="1">
        <v>19.6</v>
      </c>
      <c r="AS1564" s="1">
        <v>16.4</v>
      </c>
      <c r="AT1564" s="1">
        <v>21.9</v>
      </c>
      <c r="AU1564" s="1">
        <v>15.8</v>
      </c>
      <c r="AV1564" s="1">
        <v>11.6</v>
      </c>
      <c r="AW1564" s="1">
        <v>0.4</v>
      </c>
      <c r="AX1564" s="1">
        <v>0.5848</v>
      </c>
      <c r="AY1564" s="1">
        <v>17.6</v>
      </c>
      <c r="AZ1564" s="1">
        <v>12.9</v>
      </c>
      <c r="BA1564" s="1">
        <v>15.6</v>
      </c>
      <c r="BB1564" s="1">
        <v>2.8</v>
      </c>
      <c r="BC1564" s="1" t="s">
        <v>2554</v>
      </c>
      <c r="BD1564" s="1">
        <v>15.8</v>
      </c>
      <c r="BE1564" s="1">
        <v>47.6</v>
      </c>
      <c r="BF1564" s="1">
        <v>21.0</v>
      </c>
      <c r="BG1564" s="1">
        <v>15.6</v>
      </c>
      <c r="BH1564" s="1" t="s">
        <v>2662</v>
      </c>
    </row>
    <row r="1565">
      <c r="A1565" s="1">
        <v>29165.0</v>
      </c>
      <c r="B1565" s="2" t="str">
        <f>IFERROR(__xludf.DUMMYFUNCTION("TO_TEXT(A1565)"),"29165")</f>
        <v>29165</v>
      </c>
      <c r="C1565" s="1">
        <v>94970.0</v>
      </c>
      <c r="D1565" s="1">
        <v>420.195829384198</v>
      </c>
      <c r="E1565" s="1" t="s">
        <v>2663</v>
      </c>
      <c r="F1565" s="1" t="s">
        <v>2664</v>
      </c>
      <c r="G1565" s="1">
        <v>226.013666387836</v>
      </c>
      <c r="H1565" s="1">
        <v>14.101406597</v>
      </c>
      <c r="I1565" s="1">
        <v>3.7800284489</v>
      </c>
      <c r="J1565" s="1">
        <v>6.2925998053</v>
      </c>
      <c r="K1565" s="1">
        <v>17.988413851</v>
      </c>
      <c r="L1565" s="1">
        <v>30.0</v>
      </c>
      <c r="M1565" s="1">
        <v>8.1</v>
      </c>
      <c r="N1565" s="1">
        <v>23.5</v>
      </c>
      <c r="O1565" s="1">
        <v>85.907167327</v>
      </c>
      <c r="P1565" s="1">
        <v>6.6428653691</v>
      </c>
      <c r="Q1565" s="1">
        <v>81.03808</v>
      </c>
      <c r="R1565" s="1">
        <v>93.0533117929999</v>
      </c>
      <c r="S1565" s="1">
        <v>7.4</v>
      </c>
      <c r="T1565" s="1">
        <v>23085.0</v>
      </c>
      <c r="U1565" s="1">
        <v>27.632661902</v>
      </c>
      <c r="V1565" s="1">
        <v>134.18214469</v>
      </c>
      <c r="W1565" s="1">
        <v>11.710875332</v>
      </c>
      <c r="X1565" s="1">
        <v>10.597174087</v>
      </c>
      <c r="Y1565" s="1">
        <v>80.234791579</v>
      </c>
      <c r="Z1565" s="1">
        <v>11.5</v>
      </c>
      <c r="AA1565" s="1">
        <v>6.5056078321</v>
      </c>
      <c r="AB1565" s="1">
        <v>82567.0</v>
      </c>
      <c r="AC1565" s="1">
        <v>24.7326744119999</v>
      </c>
      <c r="AD1565" s="1">
        <v>65.835340429</v>
      </c>
      <c r="AE1565" s="1">
        <v>9.6582819174</v>
      </c>
      <c r="AF1565" s="1">
        <v>7.12142545029999</v>
      </c>
      <c r="AG1565" s="1">
        <v>0.5612467835</v>
      </c>
      <c r="AH1565" s="1">
        <v>2.9412050299</v>
      </c>
      <c r="AI1565" s="1">
        <v>0.4932757198</v>
      </c>
      <c r="AJ1565" s="1">
        <v>6.1843957858</v>
      </c>
      <c r="AK1565" s="1">
        <v>80.690391805</v>
      </c>
      <c r="AL1565" s="1">
        <v>0.8608507104</v>
      </c>
      <c r="AM1565" s="1">
        <v>50.711268631</v>
      </c>
      <c r="AN1565" s="1">
        <v>15.807975639</v>
      </c>
      <c r="AO1565" s="1">
        <v>36160.0</v>
      </c>
      <c r="AP1565" s="1">
        <v>7.1</v>
      </c>
      <c r="AQ1565" s="1">
        <v>4.6</v>
      </c>
      <c r="AR1565" s="1">
        <v>4.7</v>
      </c>
      <c r="AS1565" s="1">
        <v>12.9</v>
      </c>
      <c r="AT1565" s="1">
        <v>24.0</v>
      </c>
      <c r="AU1565" s="1">
        <v>10.6</v>
      </c>
      <c r="AV1565" s="1">
        <v>17.6</v>
      </c>
      <c r="AW1565" s="1">
        <v>1.0</v>
      </c>
      <c r="AX1565" s="1">
        <v>0.0885</v>
      </c>
      <c r="AY1565" s="1">
        <v>5.3</v>
      </c>
      <c r="AZ1565" s="1">
        <v>9.6</v>
      </c>
      <c r="BA1565" s="1">
        <v>9.1</v>
      </c>
      <c r="BB1565" s="1">
        <v>3.38</v>
      </c>
      <c r="BC1565" s="1" t="s">
        <v>2554</v>
      </c>
      <c r="BD1565" s="1">
        <v>4.2</v>
      </c>
      <c r="BE1565" s="1">
        <v>22.1</v>
      </c>
      <c r="BF1565" s="1">
        <v>30.6</v>
      </c>
      <c r="BG1565" s="1">
        <v>43.1</v>
      </c>
      <c r="BH1565" s="1" t="s">
        <v>2664</v>
      </c>
    </row>
    <row r="1566">
      <c r="A1566" s="1">
        <v>29167.0</v>
      </c>
      <c r="B1566" s="2" t="str">
        <f>IFERROR(__xludf.DUMMYFUNCTION("TO_TEXT(A1566)"),"29167")</f>
        <v>29167</v>
      </c>
      <c r="C1566" s="1">
        <v>31113.0</v>
      </c>
      <c r="D1566" s="1">
        <v>635.52619509843</v>
      </c>
      <c r="E1566" s="1" t="s">
        <v>381</v>
      </c>
      <c r="F1566" s="1" t="s">
        <v>2665</v>
      </c>
      <c r="G1566" s="1">
        <v>48.9562825890776</v>
      </c>
      <c r="H1566" s="1">
        <v>20.168331068</v>
      </c>
      <c r="I1566" s="1">
        <v>4.5086028373</v>
      </c>
      <c r="J1566" s="1">
        <v>6.1871039881</v>
      </c>
      <c r="K1566" s="1">
        <v>20.742561399</v>
      </c>
      <c r="L1566" s="1">
        <v>38.2</v>
      </c>
      <c r="M1566" s="1">
        <v>8.0</v>
      </c>
      <c r="N1566" s="1">
        <v>26.4</v>
      </c>
      <c r="O1566" s="1">
        <v>49.47168963</v>
      </c>
      <c r="P1566" s="1">
        <v>13.496013921</v>
      </c>
      <c r="Q1566" s="1">
        <v>78.63119</v>
      </c>
      <c r="R1566" s="1">
        <v>92.0424403179999</v>
      </c>
      <c r="S1566" s="1">
        <v>23.8</v>
      </c>
      <c r="T1566" s="1">
        <v>7106.0</v>
      </c>
      <c r="U1566" s="1">
        <v>33.422459893</v>
      </c>
      <c r="V1566" s="1">
        <v>392.54170756</v>
      </c>
      <c r="W1566" s="1">
        <v>15.2128107879999</v>
      </c>
      <c r="X1566" s="1">
        <v>11.595429539</v>
      </c>
      <c r="Y1566" s="1">
        <v>76.814462877</v>
      </c>
      <c r="Z1566" s="1">
        <v>12.9</v>
      </c>
      <c r="AA1566" s="1">
        <v>2.5071533365</v>
      </c>
      <c r="AB1566" s="1">
        <v>45336.0</v>
      </c>
      <c r="AC1566" s="1">
        <v>60.5878940239999</v>
      </c>
      <c r="AD1566" s="1">
        <v>69.178852643</v>
      </c>
      <c r="AE1566" s="1">
        <v>10.582010582</v>
      </c>
      <c r="AF1566" s="1">
        <v>0.9068041365</v>
      </c>
      <c r="AG1566" s="1">
        <v>0.7328964939</v>
      </c>
      <c r="AH1566" s="1">
        <v>0.8509052514</v>
      </c>
      <c r="AI1566" s="1">
        <v>0.0465824043</v>
      </c>
      <c r="AJ1566" s="1">
        <v>2.6117201329</v>
      </c>
      <c r="AK1566" s="1">
        <v>93.45983044</v>
      </c>
      <c r="AL1566" s="1">
        <v>0.2394038507</v>
      </c>
      <c r="AM1566" s="1">
        <v>50.858668985</v>
      </c>
      <c r="AN1566" s="1">
        <v>68.869833317</v>
      </c>
      <c r="AO1566" s="1">
        <v>20553.0</v>
      </c>
      <c r="AP1566" s="1">
        <v>17.6</v>
      </c>
      <c r="AQ1566" s="1">
        <v>8.9</v>
      </c>
      <c r="AR1566" s="1">
        <v>13.5</v>
      </c>
      <c r="AS1566" s="1">
        <v>17.1</v>
      </c>
      <c r="AT1566" s="1">
        <v>23.7</v>
      </c>
      <c r="AU1566" s="1">
        <v>17.2</v>
      </c>
      <c r="AV1566" s="1">
        <v>6.0</v>
      </c>
      <c r="AW1566" s="1">
        <v>0.3</v>
      </c>
      <c r="AX1566" s="1">
        <v>0.6081</v>
      </c>
      <c r="AY1566" s="1">
        <v>19.6</v>
      </c>
      <c r="AZ1566" s="1">
        <v>13.6</v>
      </c>
      <c r="BA1566" s="1">
        <v>15.5</v>
      </c>
      <c r="BB1566" s="1">
        <v>2.61</v>
      </c>
      <c r="BC1566" s="1" t="s">
        <v>2554</v>
      </c>
      <c r="BD1566" s="1">
        <v>11.6</v>
      </c>
      <c r="BE1566" s="1">
        <v>39.0</v>
      </c>
      <c r="BF1566" s="1">
        <v>29.5</v>
      </c>
      <c r="BG1566" s="1">
        <v>19.9</v>
      </c>
      <c r="BH1566" s="1" t="s">
        <v>2665</v>
      </c>
    </row>
    <row r="1567">
      <c r="A1567" s="1">
        <v>29169.0</v>
      </c>
      <c r="B1567" s="2" t="str">
        <f>IFERROR(__xludf.DUMMYFUNCTION("TO_TEXT(A1567)"),"29169")</f>
        <v>29169</v>
      </c>
      <c r="C1567" s="1">
        <v>53302.0</v>
      </c>
      <c r="D1567" s="1">
        <v>547.100853281274</v>
      </c>
      <c r="E1567" s="1" t="s">
        <v>387</v>
      </c>
      <c r="F1567" s="1" t="s">
        <v>2666</v>
      </c>
      <c r="G1567" s="1">
        <v>97.4262783183716</v>
      </c>
      <c r="H1567" s="1">
        <v>19.191210188</v>
      </c>
      <c r="I1567" s="1">
        <v>4.3402556154</v>
      </c>
      <c r="J1567" s="1">
        <v>7.07754206289999</v>
      </c>
      <c r="K1567" s="1">
        <v>20.24168858</v>
      </c>
      <c r="L1567" s="1">
        <v>32.4</v>
      </c>
      <c r="M1567" s="1">
        <v>6.7</v>
      </c>
      <c r="N1567" s="1">
        <v>21.9</v>
      </c>
      <c r="O1567" s="1">
        <v>72.904311895</v>
      </c>
      <c r="P1567" s="1">
        <v>11.421712457</v>
      </c>
      <c r="Q1567" s="1">
        <v>40.33885</v>
      </c>
      <c r="R1567" s="1">
        <v>92.8</v>
      </c>
      <c r="S1567" s="1">
        <v>16.6</v>
      </c>
      <c r="T1567" s="1">
        <v>11177.0</v>
      </c>
      <c r="U1567" s="1">
        <v>26.787152188</v>
      </c>
      <c r="V1567" s="1">
        <v>268.23337232</v>
      </c>
      <c r="W1567" s="1">
        <v>15.45751634</v>
      </c>
      <c r="X1567" s="1">
        <v>12.863756614</v>
      </c>
      <c r="Y1567" s="1">
        <v>76.3886441269999</v>
      </c>
      <c r="Z1567" s="1">
        <v>7.7</v>
      </c>
      <c r="AA1567" s="1">
        <v>13.327628329</v>
      </c>
      <c r="AB1567" s="1">
        <v>52532.0</v>
      </c>
      <c r="AC1567" s="1">
        <v>51.138156412</v>
      </c>
      <c r="AD1567" s="1">
        <v>48.682284041</v>
      </c>
      <c r="AE1567" s="1">
        <v>12.427170669</v>
      </c>
      <c r="AF1567" s="1">
        <v>11.141231207</v>
      </c>
      <c r="AG1567" s="1">
        <v>1.1823739762</v>
      </c>
      <c r="AH1567" s="1">
        <v>3.1203137617</v>
      </c>
      <c r="AI1567" s="1">
        <v>0.7209597416</v>
      </c>
      <c r="AJ1567" s="1">
        <v>11.302726189</v>
      </c>
      <c r="AK1567" s="1">
        <v>69.237128465</v>
      </c>
      <c r="AL1567" s="1">
        <v>0.7851854873</v>
      </c>
      <c r="AM1567" s="1">
        <v>43.5017495289999</v>
      </c>
      <c r="AN1567" s="1">
        <v>44.031449669</v>
      </c>
      <c r="AO1567" s="1">
        <v>20464.0</v>
      </c>
      <c r="AP1567" s="1">
        <v>14.6</v>
      </c>
      <c r="AQ1567" s="1">
        <v>10.8</v>
      </c>
      <c r="AR1567" s="1">
        <v>10.1</v>
      </c>
      <c r="AS1567" s="1">
        <v>7.5</v>
      </c>
      <c r="AT1567" s="1">
        <v>22.8</v>
      </c>
      <c r="AU1567" s="1">
        <v>17.4</v>
      </c>
      <c r="AV1567" s="1">
        <v>30.0</v>
      </c>
      <c r="AW1567" s="1">
        <v>0.7</v>
      </c>
      <c r="AX1567" s="1">
        <v>0.7109</v>
      </c>
      <c r="AY1567" s="1">
        <v>14.6</v>
      </c>
      <c r="AZ1567" s="1">
        <v>15.3</v>
      </c>
      <c r="BA1567" s="1">
        <v>16.7</v>
      </c>
      <c r="BB1567" s="1">
        <v>3.16</v>
      </c>
      <c r="BC1567" s="1" t="s">
        <v>2554</v>
      </c>
      <c r="BD1567" s="1">
        <v>7.2</v>
      </c>
      <c r="BE1567" s="1">
        <v>27.5</v>
      </c>
      <c r="BF1567" s="1">
        <v>37.1</v>
      </c>
      <c r="BG1567" s="1">
        <v>28.3</v>
      </c>
      <c r="BH1567" s="1" t="s">
        <v>2666</v>
      </c>
    </row>
    <row r="1568">
      <c r="A1568" s="1">
        <v>29171.0</v>
      </c>
      <c r="B1568" s="2" t="str">
        <f>IFERROR(__xludf.DUMMYFUNCTION("TO_TEXT(A1568)"),"29171")</f>
        <v>29171</v>
      </c>
      <c r="C1568" s="1">
        <v>4877.0</v>
      </c>
      <c r="D1568" s="1">
        <v>517.316391717108</v>
      </c>
      <c r="E1568" s="1" t="s">
        <v>771</v>
      </c>
      <c r="F1568" s="1" t="s">
        <v>2667</v>
      </c>
      <c r="G1568" s="1">
        <v>9.4274994531141</v>
      </c>
      <c r="H1568" s="1">
        <v>21.6679380519999</v>
      </c>
      <c r="I1568" s="1">
        <v>4.6628481735</v>
      </c>
      <c r="J1568" s="1">
        <v>8.2524271845</v>
      </c>
      <c r="K1568" s="1">
        <v>21.604293175</v>
      </c>
      <c r="L1568" s="1">
        <v>28.9</v>
      </c>
      <c r="M1568" s="1">
        <v>7.0</v>
      </c>
      <c r="N1568" s="1">
        <v>30.7</v>
      </c>
      <c r="O1568" s="1">
        <v>53.805985138</v>
      </c>
      <c r="P1568" s="1">
        <v>14.032168608</v>
      </c>
      <c r="Q1568" s="1">
        <v>62.3571</v>
      </c>
      <c r="R1568" s="1">
        <v>96.2264150939999</v>
      </c>
      <c r="S1568" s="1">
        <v>22.5</v>
      </c>
      <c r="T1568" s="1">
        <v>1089.0</v>
      </c>
      <c r="U1568" s="1">
        <v>43.617998163</v>
      </c>
      <c r="V1568" s="1">
        <v>0.0</v>
      </c>
      <c r="W1568" s="1">
        <v>9.4339622642</v>
      </c>
      <c r="X1568" s="1">
        <v>7.4056147144</v>
      </c>
      <c r="Y1568" s="1">
        <v>75.40012946</v>
      </c>
      <c r="Z1568" s="1">
        <v>13.9</v>
      </c>
      <c r="AA1568" s="1">
        <v>12.203104019</v>
      </c>
      <c r="AB1568" s="1">
        <v>40866.0</v>
      </c>
      <c r="AC1568" s="1">
        <v>49.064748201</v>
      </c>
      <c r="AD1568" s="1">
        <v>73.932334997</v>
      </c>
      <c r="AE1568" s="1">
        <v>10.6566820279999</v>
      </c>
      <c r="AF1568" s="1">
        <v>0.1891948707</v>
      </c>
      <c r="AG1568" s="1">
        <v>0.210216523</v>
      </c>
      <c r="AH1568" s="1">
        <v>0.546562959799999</v>
      </c>
      <c r="AI1568" s="1">
        <v>0.0210216523</v>
      </c>
      <c r="AJ1568" s="1">
        <v>2.2072734917</v>
      </c>
      <c r="AK1568" s="1">
        <v>95.774647887</v>
      </c>
      <c r="AL1568" s="1">
        <v>0.6875138612</v>
      </c>
      <c r="AM1568" s="1">
        <v>49.569056128</v>
      </c>
      <c r="AN1568" s="1">
        <v>100.0</v>
      </c>
      <c r="AO1568" s="1">
        <v>20636.0</v>
      </c>
      <c r="AP1568" s="1">
        <v>18.7</v>
      </c>
      <c r="AQ1568" s="1">
        <v>2.7</v>
      </c>
      <c r="AR1568" s="1">
        <v>11.5</v>
      </c>
      <c r="AS1568" s="1">
        <v>23.1</v>
      </c>
      <c r="AT1568" s="1">
        <v>21.8</v>
      </c>
      <c r="AU1568" s="1">
        <v>22.3</v>
      </c>
      <c r="AV1568" s="1">
        <v>3.3</v>
      </c>
      <c r="AW1568" s="1">
        <v>0.8</v>
      </c>
      <c r="AX1568" s="1">
        <v>0.5463</v>
      </c>
      <c r="AY1568" s="1">
        <v>15.7</v>
      </c>
      <c r="AZ1568" s="1">
        <v>14.9</v>
      </c>
      <c r="BA1568" s="1">
        <v>21.3</v>
      </c>
      <c r="BB1568" s="1">
        <v>2.64</v>
      </c>
      <c r="BC1568" s="1" t="s">
        <v>2554</v>
      </c>
      <c r="BD1568" s="1">
        <v>9.5</v>
      </c>
      <c r="BE1568" s="1">
        <v>42.8</v>
      </c>
      <c r="BF1568" s="1">
        <v>28.3</v>
      </c>
      <c r="BG1568" s="1">
        <v>19.3</v>
      </c>
      <c r="BH1568" s="1" t="s">
        <v>2667</v>
      </c>
    </row>
    <row r="1569">
      <c r="A1569" s="1">
        <v>29173.0</v>
      </c>
      <c r="B1569" s="2" t="str">
        <f>IFERROR(__xludf.DUMMYFUNCTION("TO_TEXT(A1569)"),"29173")</f>
        <v>29173</v>
      </c>
      <c r="C1569" s="1">
        <v>10225.0</v>
      </c>
      <c r="D1569" s="1">
        <v>469.78093278806</v>
      </c>
      <c r="E1569" s="1" t="s">
        <v>2668</v>
      </c>
      <c r="F1569" s="1" t="s">
        <v>2669</v>
      </c>
      <c r="G1569" s="1">
        <v>21.7654640415408</v>
      </c>
      <c r="H1569" s="1">
        <v>17.059651877</v>
      </c>
      <c r="I1569" s="1">
        <v>4.24302582</v>
      </c>
      <c r="J1569" s="1">
        <v>9.1988130564</v>
      </c>
      <c r="K1569" s="1">
        <v>18.5058595629999</v>
      </c>
      <c r="L1569" s="1">
        <v>30.3</v>
      </c>
      <c r="M1569" s="1">
        <v>8.4</v>
      </c>
      <c r="N1569" s="1">
        <v>23.4</v>
      </c>
      <c r="O1569" s="1">
        <v>14.70443592</v>
      </c>
      <c r="P1569" s="1">
        <v>10.647803425</v>
      </c>
      <c r="Q1569" s="1">
        <v>19.56182</v>
      </c>
      <c r="R1569" s="1">
        <v>94.285714286</v>
      </c>
      <c r="S1569" s="1">
        <v>13.3</v>
      </c>
      <c r="T1569" s="1">
        <v>2156.0</v>
      </c>
      <c r="U1569" s="1">
        <v>28.200371058</v>
      </c>
      <c r="V1569" s="1">
        <v>152.49901614</v>
      </c>
      <c r="W1569" s="1">
        <v>11.2232030259999</v>
      </c>
      <c r="X1569" s="1">
        <v>8.9821882952</v>
      </c>
      <c r="Y1569" s="1">
        <v>80.542066106</v>
      </c>
      <c r="Z1569" s="1">
        <v>9.1</v>
      </c>
      <c r="AA1569" s="1">
        <v>2.2047188305</v>
      </c>
      <c r="AB1569" s="1">
        <v>57549.0</v>
      </c>
      <c r="AC1569" s="1">
        <v>43.405889885</v>
      </c>
      <c r="AD1569" s="1">
        <v>83.516483516</v>
      </c>
      <c r="AE1569" s="1">
        <v>9.5350052247</v>
      </c>
      <c r="AF1569" s="1">
        <v>1.4003133568</v>
      </c>
      <c r="AG1569" s="1">
        <v>0.2350176263</v>
      </c>
      <c r="AH1569" s="1">
        <v>0.2252252252</v>
      </c>
      <c r="AI1569" s="1">
        <v>0.137093615399999</v>
      </c>
      <c r="AJ1569" s="1">
        <v>1.2730121426</v>
      </c>
      <c r="AK1569" s="1">
        <v>95.44653349</v>
      </c>
      <c r="AL1569" s="1">
        <v>0.2263840296</v>
      </c>
      <c r="AM1569" s="1">
        <v>49.774774775</v>
      </c>
      <c r="AN1569" s="1">
        <v>96.105045736</v>
      </c>
      <c r="AO1569" s="1">
        <v>24099.0</v>
      </c>
      <c r="AP1569" s="1">
        <v>12.6</v>
      </c>
      <c r="AQ1569" s="1">
        <v>6.6</v>
      </c>
      <c r="AR1569" s="1">
        <v>12.1</v>
      </c>
      <c r="AS1569" s="1">
        <v>19.3</v>
      </c>
      <c r="AT1569" s="1">
        <v>21.7</v>
      </c>
      <c r="AU1569" s="1">
        <v>15.2</v>
      </c>
      <c r="AV1569" s="1">
        <v>4.2</v>
      </c>
      <c r="AW1569" s="1">
        <v>0.3</v>
      </c>
      <c r="AX1569" s="1">
        <v>0.2219</v>
      </c>
      <c r="AY1569" s="1">
        <v>10.0</v>
      </c>
      <c r="AZ1569" s="1">
        <v>11.4</v>
      </c>
      <c r="BA1569" s="1">
        <v>13.3</v>
      </c>
      <c r="BB1569" s="1">
        <v>2.85</v>
      </c>
      <c r="BC1569" s="1" t="s">
        <v>2554</v>
      </c>
      <c r="BD1569" s="1">
        <v>10.3</v>
      </c>
      <c r="BE1569" s="1">
        <v>49.0</v>
      </c>
      <c r="BF1569" s="1">
        <v>25.9</v>
      </c>
      <c r="BG1569" s="1">
        <v>14.9</v>
      </c>
      <c r="BH1569" s="1" t="s">
        <v>2669</v>
      </c>
    </row>
    <row r="1570">
      <c r="A1570" s="1">
        <v>29175.0</v>
      </c>
      <c r="B1570" s="2" t="str">
        <f>IFERROR(__xludf.DUMMYFUNCTION("TO_TEXT(A1570)"),"29175")</f>
        <v>29175</v>
      </c>
      <c r="C1570" s="1">
        <v>25081.0</v>
      </c>
      <c r="D1570" s="1">
        <v>482.711627378678</v>
      </c>
      <c r="E1570" s="1" t="s">
        <v>170</v>
      </c>
      <c r="F1570" s="1" t="s">
        <v>2670</v>
      </c>
      <c r="G1570" s="1">
        <v>51.9585578168068</v>
      </c>
      <c r="H1570" s="1">
        <v>20.11430221</v>
      </c>
      <c r="I1570" s="1">
        <v>4.4030169451</v>
      </c>
      <c r="J1570" s="1">
        <v>8.7928464978</v>
      </c>
      <c r="K1570" s="1">
        <v>21.5932194219999</v>
      </c>
      <c r="L1570" s="1">
        <v>40.4</v>
      </c>
      <c r="M1570" s="1">
        <v>7.5</v>
      </c>
      <c r="N1570" s="1">
        <v>32.8</v>
      </c>
      <c r="O1570" s="1">
        <v>53.0573699539999</v>
      </c>
      <c r="P1570" s="1">
        <v>11.6184814909999</v>
      </c>
      <c r="Q1570" s="1">
        <v>44.09701</v>
      </c>
      <c r="R1570" s="1">
        <v>92.2178988329999</v>
      </c>
      <c r="S1570" s="1">
        <v>26.1</v>
      </c>
      <c r="T1570" s="1">
        <v>5445.0</v>
      </c>
      <c r="U1570" s="1">
        <v>31.974288338</v>
      </c>
      <c r="V1570" s="1">
        <v>106.32748867</v>
      </c>
      <c r="W1570" s="1">
        <v>12.27863046</v>
      </c>
      <c r="X1570" s="1">
        <v>10.9058402859999</v>
      </c>
      <c r="Y1570" s="1">
        <v>75.694816028</v>
      </c>
      <c r="Z1570" s="1">
        <v>15.3</v>
      </c>
      <c r="AA1570" s="1">
        <v>6.0721358307</v>
      </c>
      <c r="AB1570" s="1">
        <v>44975.0</v>
      </c>
      <c r="AC1570" s="1">
        <v>55.9429042</v>
      </c>
      <c r="AD1570" s="1">
        <v>73.655205463</v>
      </c>
      <c r="AE1570" s="1">
        <v>11.49341142</v>
      </c>
      <c r="AF1570" s="1">
        <v>5.4637967936</v>
      </c>
      <c r="AG1570" s="1">
        <v>0.5532447603</v>
      </c>
      <c r="AH1570" s="1">
        <v>0.7955417357</v>
      </c>
      <c r="AI1570" s="1">
        <v>0.0242296975</v>
      </c>
      <c r="AJ1570" s="1">
        <v>2.1604813633</v>
      </c>
      <c r="AK1570" s="1">
        <v>88.850300852</v>
      </c>
      <c r="AL1570" s="1">
        <v>0.0425912518</v>
      </c>
      <c r="AM1570" s="1">
        <v>47.8294229289999</v>
      </c>
      <c r="AN1570" s="1">
        <v>45.175887306</v>
      </c>
      <c r="AO1570" s="1">
        <v>18615.0</v>
      </c>
      <c r="AP1570" s="1">
        <v>17.6</v>
      </c>
      <c r="AQ1570" s="1">
        <v>7.5</v>
      </c>
      <c r="AR1570" s="1">
        <v>13.6</v>
      </c>
      <c r="AS1570" s="1">
        <v>15.6</v>
      </c>
      <c r="AT1570" s="1">
        <v>22.5</v>
      </c>
      <c r="AU1570" s="1">
        <v>17.9</v>
      </c>
      <c r="AV1570" s="1">
        <v>10.8</v>
      </c>
      <c r="AW1570" s="1">
        <v>0.2</v>
      </c>
      <c r="AX1570" s="1">
        <v>0.5855</v>
      </c>
      <c r="AY1570" s="1">
        <v>16.5</v>
      </c>
      <c r="AZ1570" s="1">
        <v>14.0</v>
      </c>
      <c r="BA1570" s="1">
        <v>17.4</v>
      </c>
      <c r="BB1570" s="1">
        <v>2.61</v>
      </c>
      <c r="BC1570" s="1" t="s">
        <v>2554</v>
      </c>
      <c r="BD1570" s="1">
        <v>13.1</v>
      </c>
      <c r="BE1570" s="1">
        <v>36.3</v>
      </c>
      <c r="BF1570" s="1">
        <v>35.5</v>
      </c>
      <c r="BG1570" s="1">
        <v>15.1</v>
      </c>
      <c r="BH1570" s="1" t="s">
        <v>2670</v>
      </c>
    </row>
    <row r="1571">
      <c r="A1571" s="1">
        <v>29177.0</v>
      </c>
      <c r="B1571" s="2" t="str">
        <f>IFERROR(__xludf.DUMMYFUNCTION("TO_TEXT(A1571)"),"29177")</f>
        <v>29177</v>
      </c>
      <c r="C1571" s="1">
        <v>22921.0</v>
      </c>
      <c r="D1571" s="1">
        <v>568.805635126574</v>
      </c>
      <c r="E1571" s="1" t="s">
        <v>2671</v>
      </c>
      <c r="F1571" s="1" t="s">
        <v>2672</v>
      </c>
      <c r="G1571" s="1">
        <v>40.2967175156403</v>
      </c>
      <c r="H1571" s="1">
        <v>17.636148382</v>
      </c>
      <c r="I1571" s="1">
        <v>4.2852285308</v>
      </c>
      <c r="J1571" s="1">
        <v>7.1748878924</v>
      </c>
      <c r="K1571" s="1">
        <v>19.508338177</v>
      </c>
      <c r="L1571" s="1">
        <v>35.1</v>
      </c>
      <c r="M1571" s="1">
        <v>7.7</v>
      </c>
      <c r="N1571" s="1">
        <v>33.3</v>
      </c>
      <c r="O1571" s="1">
        <v>53.422150336</v>
      </c>
      <c r="P1571" s="1">
        <v>11.274509804</v>
      </c>
      <c r="Q1571" s="1">
        <v>35.00328</v>
      </c>
      <c r="R1571" s="1">
        <v>94.736842105</v>
      </c>
      <c r="S1571" s="1">
        <v>14.6</v>
      </c>
      <c r="T1571" s="1">
        <v>5225.0</v>
      </c>
      <c r="U1571" s="1">
        <v>28.210526316</v>
      </c>
      <c r="V1571" s="1">
        <v>468.03249735</v>
      </c>
      <c r="W1571" s="1">
        <v>8.5351787774</v>
      </c>
      <c r="X1571" s="1">
        <v>6.9605568445</v>
      </c>
      <c r="Y1571" s="1">
        <v>75.416383571</v>
      </c>
      <c r="Z1571" s="1">
        <v>14.6</v>
      </c>
      <c r="AA1571" s="1">
        <v>6.640783277</v>
      </c>
      <c r="AB1571" s="1">
        <v>58693.0</v>
      </c>
      <c r="AC1571" s="1">
        <v>36.372035725</v>
      </c>
      <c r="AD1571" s="1">
        <v>77.427433125</v>
      </c>
      <c r="AE1571" s="1">
        <v>9.4080707059</v>
      </c>
      <c r="AF1571" s="1">
        <v>1.3153869685</v>
      </c>
      <c r="AG1571" s="1">
        <v>0.6336581742</v>
      </c>
      <c r="AH1571" s="1">
        <v>0.3714547918</v>
      </c>
      <c r="AI1571" s="1">
        <v>0.1092514093</v>
      </c>
      <c r="AJ1571" s="1">
        <v>2.4647117948</v>
      </c>
      <c r="AK1571" s="1">
        <v>93.772669667</v>
      </c>
      <c r="AL1571" s="1">
        <v>0.1298701299</v>
      </c>
      <c r="AM1571" s="1">
        <v>50.050255648</v>
      </c>
      <c r="AN1571" s="1">
        <v>75.219204903</v>
      </c>
      <c r="AO1571" s="1">
        <v>24429.0</v>
      </c>
      <c r="AP1571" s="1">
        <v>16.1</v>
      </c>
      <c r="AQ1571" s="1">
        <v>8.0</v>
      </c>
      <c r="AR1571" s="1">
        <v>12.0</v>
      </c>
      <c r="AS1571" s="1">
        <v>16.9</v>
      </c>
      <c r="AT1571" s="1">
        <v>23.6</v>
      </c>
      <c r="AU1571" s="1">
        <v>16.6</v>
      </c>
      <c r="AV1571" s="1">
        <v>6.0</v>
      </c>
      <c r="AW1571" s="1">
        <v>0.2</v>
      </c>
      <c r="AX1571" s="1">
        <v>0.3585</v>
      </c>
      <c r="AY1571" s="1">
        <v>9.2</v>
      </c>
      <c r="AZ1571" s="1">
        <v>12.6</v>
      </c>
      <c r="BA1571" s="1">
        <v>16.8</v>
      </c>
      <c r="BB1571" s="1">
        <v>3.06</v>
      </c>
      <c r="BC1571" s="1" t="s">
        <v>2554</v>
      </c>
      <c r="BD1571" s="1">
        <v>11.9</v>
      </c>
      <c r="BE1571" s="1">
        <v>45.1</v>
      </c>
      <c r="BF1571" s="1">
        <v>28.4</v>
      </c>
      <c r="BG1571" s="1">
        <v>14.6</v>
      </c>
      <c r="BH1571" s="1" t="s">
        <v>2672</v>
      </c>
    </row>
    <row r="1572">
      <c r="A1572" s="1">
        <v>29179.0</v>
      </c>
      <c r="B1572" s="2" t="str">
        <f>IFERROR(__xludf.DUMMYFUNCTION("TO_TEXT(A1572)"),"29179")</f>
        <v>29179</v>
      </c>
      <c r="C1572" s="1">
        <v>6530.0</v>
      </c>
      <c r="D1572" s="1">
        <v>808.477211853052</v>
      </c>
      <c r="E1572" s="1" t="s">
        <v>2673</v>
      </c>
      <c r="F1572" s="1" t="s">
        <v>2674</v>
      </c>
      <c r="G1572" s="1">
        <v>8.07691287307042</v>
      </c>
      <c r="H1572" s="1">
        <v>20.948095633</v>
      </c>
      <c r="I1572" s="1">
        <v>4.7245868744</v>
      </c>
      <c r="J1572" s="1">
        <v>10.262529833</v>
      </c>
      <c r="K1572" s="1">
        <v>20.591366496</v>
      </c>
      <c r="L1572" s="1">
        <v>31.6</v>
      </c>
      <c r="M1572" s="1">
        <v>6.4</v>
      </c>
      <c r="N1572" s="1">
        <v>31.1</v>
      </c>
      <c r="O1572" s="1">
        <v>63.844086022</v>
      </c>
      <c r="P1572" s="1">
        <v>14.868866328</v>
      </c>
      <c r="Q1572" s="1">
        <v>47.80876</v>
      </c>
      <c r="R1572" s="1">
        <v>100.0</v>
      </c>
      <c r="S1572" s="1">
        <v>33.0</v>
      </c>
      <c r="T1572" s="1">
        <v>1206.0</v>
      </c>
      <c r="U1572" s="1">
        <v>23.3001658369999</v>
      </c>
      <c r="V1572" s="1">
        <v>200.61728395</v>
      </c>
      <c r="W1572" s="1">
        <v>11.886792453</v>
      </c>
      <c r="X1572" s="1">
        <v>9.5201827875</v>
      </c>
      <c r="Y1572" s="1">
        <v>76.546089993</v>
      </c>
      <c r="Z1572" s="1">
        <v>13.7</v>
      </c>
      <c r="AA1572" s="1">
        <v>20.518489744</v>
      </c>
      <c r="AB1572" s="1">
        <v>36592.0</v>
      </c>
      <c r="AC1572" s="1">
        <v>69.943820225</v>
      </c>
      <c r="AD1572" s="1">
        <v>79.26459439</v>
      </c>
      <c r="AE1572" s="1">
        <v>6.6878980892</v>
      </c>
      <c r="AF1572" s="1">
        <v>1.0233450592</v>
      </c>
      <c r="AG1572" s="1">
        <v>1.1032938919</v>
      </c>
      <c r="AH1572" s="1">
        <v>0.1918771986</v>
      </c>
      <c r="AI1572" s="1">
        <v>0.0159897665</v>
      </c>
      <c r="AJ1572" s="1">
        <v>1.72689478729999</v>
      </c>
      <c r="AK1572" s="1">
        <v>93.380236649</v>
      </c>
      <c r="AL1572" s="1">
        <v>0.0</v>
      </c>
      <c r="AM1572" s="1">
        <v>48.496961944</v>
      </c>
      <c r="AN1572" s="1">
        <v>100.0</v>
      </c>
      <c r="AO1572" s="1">
        <v>20792.0</v>
      </c>
      <c r="AP1572" s="1">
        <v>19.6</v>
      </c>
      <c r="AQ1572" s="1">
        <v>8.8</v>
      </c>
      <c r="AR1572" s="1">
        <v>24.0</v>
      </c>
      <c r="AS1572" s="1">
        <v>22.8</v>
      </c>
      <c r="AT1572" s="1">
        <v>21.1</v>
      </c>
      <c r="AU1572" s="1">
        <v>25.9</v>
      </c>
      <c r="AV1572" s="1">
        <v>5.3</v>
      </c>
      <c r="AW1572" s="1">
        <v>0.0</v>
      </c>
      <c r="AX1572" s="1">
        <v>0.5785</v>
      </c>
      <c r="AY1572" s="1">
        <v>21.7</v>
      </c>
      <c r="AZ1572" s="1">
        <v>16.1</v>
      </c>
      <c r="BA1572" s="1">
        <v>20.4</v>
      </c>
      <c r="BB1572" s="1">
        <v>2.84</v>
      </c>
      <c r="BC1572" s="1" t="s">
        <v>2554</v>
      </c>
      <c r="BD1572" s="1">
        <v>20.2</v>
      </c>
      <c r="BE1572" s="1">
        <v>40.4</v>
      </c>
      <c r="BF1572" s="1">
        <v>25.7</v>
      </c>
      <c r="BG1572" s="1">
        <v>13.7</v>
      </c>
      <c r="BH1572" s="1" t="s">
        <v>2674</v>
      </c>
    </row>
    <row r="1573">
      <c r="A1573" s="1">
        <v>29181.0</v>
      </c>
      <c r="B1573" s="2" t="str">
        <f>IFERROR(__xludf.DUMMYFUNCTION("TO_TEXT(A1573)"),"29181")</f>
        <v>29181</v>
      </c>
      <c r="C1573" s="1">
        <v>13936.0</v>
      </c>
      <c r="D1573" s="1">
        <v>629.538824511479</v>
      </c>
      <c r="E1573" s="1" t="s">
        <v>1402</v>
      </c>
      <c r="F1573" s="1" t="s">
        <v>2675</v>
      </c>
      <c r="G1573" s="1">
        <v>22.1368396314783</v>
      </c>
      <c r="H1573" s="1">
        <v>23.54356854</v>
      </c>
      <c r="I1573" s="1">
        <v>5.0849502615</v>
      </c>
      <c r="J1573" s="1">
        <v>10.033726813</v>
      </c>
      <c r="K1573" s="1">
        <v>23.8536239319999</v>
      </c>
      <c r="L1573" s="1">
        <v>36.4</v>
      </c>
      <c r="M1573" s="1">
        <v>6.7</v>
      </c>
      <c r="N1573" s="1">
        <v>35.3</v>
      </c>
      <c r="O1573" s="1">
        <v>61.95035461</v>
      </c>
      <c r="P1573" s="1">
        <v>15.45258013</v>
      </c>
      <c r="Q1573" s="1">
        <v>44.23474</v>
      </c>
      <c r="R1573" s="1">
        <v>92.1052631579999</v>
      </c>
      <c r="S1573" s="1">
        <v>34.0</v>
      </c>
      <c r="T1573" s="1">
        <v>3049.0</v>
      </c>
      <c r="U1573" s="1">
        <v>30.665792063</v>
      </c>
      <c r="V1573" s="1">
        <v>361.2370526</v>
      </c>
      <c r="W1573" s="1">
        <v>9.6171802054</v>
      </c>
      <c r="X1573" s="1">
        <v>7.6370510397</v>
      </c>
      <c r="Y1573" s="1">
        <v>73.049690669</v>
      </c>
      <c r="Z1573" s="1">
        <v>19.0</v>
      </c>
      <c r="AA1573" s="1">
        <v>10.878549295</v>
      </c>
      <c r="AB1573" s="1">
        <v>32802.0</v>
      </c>
      <c r="AC1573" s="1">
        <v>89.629231596</v>
      </c>
      <c r="AD1573" s="1">
        <v>78.9483896</v>
      </c>
      <c r="AE1573" s="1">
        <v>10.898739325</v>
      </c>
      <c r="AF1573" s="1">
        <v>0.5895082457</v>
      </c>
      <c r="AG1573" s="1">
        <v>0.9775389896</v>
      </c>
      <c r="AH1573" s="1">
        <v>0.3432579658</v>
      </c>
      <c r="AI1573" s="1">
        <v>0.0298485188</v>
      </c>
      <c r="AJ1573" s="1">
        <v>1.4924259384</v>
      </c>
      <c r="AK1573" s="1">
        <v>95.060070144</v>
      </c>
      <c r="AL1573" s="1">
        <v>0.1798561151</v>
      </c>
      <c r="AM1573" s="1">
        <v>50.332064771</v>
      </c>
      <c r="AN1573" s="1">
        <v>100.0</v>
      </c>
      <c r="AO1573" s="1">
        <v>17986.0</v>
      </c>
      <c r="AP1573" s="1">
        <v>23.9</v>
      </c>
      <c r="AQ1573" s="1">
        <v>7.9</v>
      </c>
      <c r="AR1573" s="1">
        <v>21.8</v>
      </c>
      <c r="AS1573" s="1">
        <v>19.4</v>
      </c>
      <c r="AT1573" s="1">
        <v>23.3</v>
      </c>
      <c r="AU1573" s="1">
        <v>28.1</v>
      </c>
      <c r="AV1573" s="1">
        <v>4.6</v>
      </c>
      <c r="AW1573" s="1">
        <v>0.3</v>
      </c>
      <c r="AX1573" s="1">
        <v>0.7058</v>
      </c>
      <c r="AY1573" s="1">
        <v>19.7</v>
      </c>
      <c r="AZ1573" s="1">
        <v>20.6</v>
      </c>
      <c r="BA1573" s="1">
        <v>27.8</v>
      </c>
      <c r="BB1573" s="1">
        <v>2.68</v>
      </c>
      <c r="BC1573" s="1" t="s">
        <v>2554</v>
      </c>
      <c r="BD1573" s="1">
        <v>20.1</v>
      </c>
      <c r="BE1573" s="1">
        <v>42.3</v>
      </c>
      <c r="BF1573" s="1">
        <v>27.5</v>
      </c>
      <c r="BG1573" s="1">
        <v>10.2</v>
      </c>
      <c r="BH1573" s="1" t="s">
        <v>2675</v>
      </c>
    </row>
    <row r="1574">
      <c r="A1574" s="1">
        <v>29183.0</v>
      </c>
      <c r="B1574" s="2" t="str">
        <f>IFERROR(__xludf.DUMMYFUNCTION("TO_TEXT(A1574)"),"29183")</f>
        <v>29183</v>
      </c>
      <c r="C1574" s="1">
        <v>379856.0</v>
      </c>
      <c r="D1574" s="1">
        <v>560.424372679916</v>
      </c>
      <c r="E1574" s="1" t="s">
        <v>2013</v>
      </c>
      <c r="F1574" s="1" t="s">
        <v>2676</v>
      </c>
      <c r="G1574" s="1">
        <v>677.800642722855</v>
      </c>
      <c r="H1574" s="1">
        <v>13.5531499559999</v>
      </c>
      <c r="I1574" s="1">
        <v>3.7724768837</v>
      </c>
      <c r="J1574" s="1">
        <v>6.8884978403</v>
      </c>
      <c r="K1574" s="1">
        <v>16.129224791</v>
      </c>
      <c r="L1574" s="1">
        <v>29.8</v>
      </c>
      <c r="M1574" s="1">
        <v>8.5</v>
      </c>
      <c r="N1574" s="1">
        <v>22.7</v>
      </c>
      <c r="O1574" s="1">
        <v>90.693648834</v>
      </c>
      <c r="P1574" s="1">
        <v>6.1877703131</v>
      </c>
      <c r="Q1574" s="1">
        <v>43.74166</v>
      </c>
      <c r="R1574" s="1">
        <v>92.388222465</v>
      </c>
      <c r="S1574" s="1">
        <v>7.0</v>
      </c>
      <c r="T1574" s="1">
        <v>92255.0</v>
      </c>
      <c r="U1574" s="1">
        <v>22.937510162</v>
      </c>
      <c r="V1574" s="1">
        <v>126.39391641</v>
      </c>
      <c r="W1574" s="1">
        <v>8.7832794227</v>
      </c>
      <c r="X1574" s="1">
        <v>8.0840251932</v>
      </c>
      <c r="Y1574" s="1">
        <v>80.181535273</v>
      </c>
      <c r="Z1574" s="1">
        <v>7.9</v>
      </c>
      <c r="AA1574" s="1">
        <v>5.4135999129</v>
      </c>
      <c r="AB1574" s="1">
        <v>82048.0</v>
      </c>
      <c r="AC1574" s="1">
        <v>21.170767054</v>
      </c>
      <c r="AD1574" s="1">
        <v>80.389648998</v>
      </c>
      <c r="AE1574" s="1">
        <v>7.6134155495</v>
      </c>
      <c r="AF1574" s="1">
        <v>4.9932111167</v>
      </c>
      <c r="AG1574" s="1">
        <v>0.2442494902</v>
      </c>
      <c r="AH1574" s="1">
        <v>2.6987689826</v>
      </c>
      <c r="AI1574" s="1">
        <v>0.0616260252</v>
      </c>
      <c r="AJ1574" s="1">
        <v>3.3503514688</v>
      </c>
      <c r="AK1574" s="1">
        <v>86.909479886</v>
      </c>
      <c r="AL1574" s="1">
        <v>0.5364352852</v>
      </c>
      <c r="AM1574" s="1">
        <v>50.843474906</v>
      </c>
      <c r="AN1574" s="1">
        <v>5.8304783833</v>
      </c>
      <c r="AO1574" s="1">
        <v>34021.0</v>
      </c>
      <c r="AP1574" s="1">
        <v>6.1</v>
      </c>
      <c r="AQ1574" s="1">
        <v>4.2</v>
      </c>
      <c r="AR1574" s="1">
        <v>5.7</v>
      </c>
      <c r="AS1574" s="1">
        <v>13.2</v>
      </c>
      <c r="AT1574" s="1">
        <v>24.4</v>
      </c>
      <c r="AU1574" s="1">
        <v>9.7</v>
      </c>
      <c r="AV1574" s="1">
        <v>12.0</v>
      </c>
      <c r="AW1574" s="1">
        <v>0.6</v>
      </c>
      <c r="AX1574" s="1">
        <v>0.0439</v>
      </c>
      <c r="AY1574" s="1">
        <v>4.6</v>
      </c>
      <c r="AZ1574" s="1">
        <v>8.0</v>
      </c>
      <c r="BA1574" s="1">
        <v>8.2</v>
      </c>
      <c r="BB1574" s="1">
        <v>3.2</v>
      </c>
      <c r="BC1574" s="1" t="s">
        <v>2554</v>
      </c>
      <c r="BD1574" s="1">
        <v>5.2</v>
      </c>
      <c r="BE1574" s="1">
        <v>24.6</v>
      </c>
      <c r="BF1574" s="1">
        <v>31.3</v>
      </c>
      <c r="BG1574" s="1">
        <v>38.9</v>
      </c>
      <c r="BH1574" s="1" t="s">
        <v>2676</v>
      </c>
    </row>
    <row r="1575">
      <c r="A1575" s="1">
        <v>29185.0</v>
      </c>
      <c r="B1575" s="2" t="str">
        <f>IFERROR(__xludf.DUMMYFUNCTION("TO_TEXT(A1575)"),"29185")</f>
        <v>29185</v>
      </c>
      <c r="C1575" s="1">
        <v>9444.0</v>
      </c>
      <c r="D1575" s="1">
        <v>674.980502101686</v>
      </c>
      <c r="E1575" s="1" t="s">
        <v>174</v>
      </c>
      <c r="F1575" s="1" t="s">
        <v>2677</v>
      </c>
      <c r="G1575" s="1">
        <v>13.9915152668769</v>
      </c>
      <c r="H1575" s="1">
        <v>21.055482154</v>
      </c>
      <c r="I1575" s="1">
        <v>4.7451139136</v>
      </c>
      <c r="J1575" s="1">
        <v>7.132243685</v>
      </c>
      <c r="K1575" s="1">
        <v>20.767174102</v>
      </c>
      <c r="L1575" s="1">
        <v>36.7</v>
      </c>
      <c r="M1575" s="1">
        <v>7.4</v>
      </c>
      <c r="N1575" s="1">
        <v>29.4</v>
      </c>
      <c r="O1575" s="1">
        <v>28.516063233</v>
      </c>
      <c r="P1575" s="1">
        <v>15.950550279</v>
      </c>
      <c r="Q1575" s="1">
        <v>42.72591</v>
      </c>
      <c r="R1575" s="1">
        <v>94.392523364</v>
      </c>
      <c r="S1575" s="1">
        <v>29.6</v>
      </c>
      <c r="T1575" s="1">
        <v>1820.0</v>
      </c>
      <c r="U1575" s="1">
        <v>33.4065934069999</v>
      </c>
      <c r="V1575" s="1">
        <v>374.71758417</v>
      </c>
      <c r="W1575" s="1">
        <v>19.54887218</v>
      </c>
      <c r="X1575" s="1">
        <v>13.789607098</v>
      </c>
      <c r="Y1575" s="1">
        <v>78.161550214</v>
      </c>
      <c r="Z1575" s="1">
        <v>13.9</v>
      </c>
      <c r="AA1575" s="1">
        <v>4.5840720235</v>
      </c>
      <c r="AB1575" s="1">
        <v>37013.0</v>
      </c>
      <c r="AC1575" s="1">
        <v>62.290076336</v>
      </c>
      <c r="AD1575" s="1">
        <v>77.72661173</v>
      </c>
      <c r="AE1575" s="1">
        <v>11.989730424</v>
      </c>
      <c r="AF1575" s="1">
        <v>0.5854177754</v>
      </c>
      <c r="AG1575" s="1">
        <v>0.872804683299999</v>
      </c>
      <c r="AH1575" s="1">
        <v>0.2767429484</v>
      </c>
      <c r="AI1575" s="1">
        <v>0.0212879191</v>
      </c>
      <c r="AJ1575" s="1">
        <v>2.2245875466</v>
      </c>
      <c r="AK1575" s="1">
        <v>94.369345396</v>
      </c>
      <c r="AL1575" s="1">
        <v>0.0</v>
      </c>
      <c r="AM1575" s="1">
        <v>49.749866951</v>
      </c>
      <c r="AN1575" s="1">
        <v>100.0</v>
      </c>
      <c r="AO1575" s="1">
        <v>19370.0</v>
      </c>
      <c r="AP1575" s="1">
        <v>22.4</v>
      </c>
      <c r="AQ1575" s="1">
        <v>8.6</v>
      </c>
      <c r="AR1575" s="1">
        <v>18.9</v>
      </c>
      <c r="AS1575" s="1">
        <v>25.7</v>
      </c>
      <c r="AT1575" s="1">
        <v>19.1</v>
      </c>
      <c r="AU1575" s="1">
        <v>23.3</v>
      </c>
      <c r="AV1575" s="1">
        <v>5.4</v>
      </c>
      <c r="AW1575" s="1">
        <v>0.4</v>
      </c>
      <c r="AX1575" s="1">
        <v>0.7386</v>
      </c>
      <c r="AY1575" s="1">
        <v>19.3</v>
      </c>
      <c r="AZ1575" s="1">
        <v>16.0</v>
      </c>
      <c r="BA1575" s="1">
        <v>20.9</v>
      </c>
      <c r="BB1575" s="1">
        <v>2.71</v>
      </c>
      <c r="BC1575" s="1" t="s">
        <v>2554</v>
      </c>
      <c r="BD1575" s="1">
        <v>15.5</v>
      </c>
      <c r="BE1575" s="1">
        <v>41.1</v>
      </c>
      <c r="BF1575" s="1">
        <v>29.5</v>
      </c>
      <c r="BG1575" s="1">
        <v>13.9</v>
      </c>
      <c r="BH1575" s="1" t="s">
        <v>2677</v>
      </c>
    </row>
    <row r="1576">
      <c r="A1576" s="1">
        <v>29186.0</v>
      </c>
      <c r="B1576" s="2" t="str">
        <f>IFERROR(__xludf.DUMMYFUNCTION("TO_TEXT(A1576)"),"29186")</f>
        <v>29186</v>
      </c>
      <c r="C1576" s="1">
        <v>17937.0</v>
      </c>
      <c r="D1576" s="1">
        <v>499.152857878796</v>
      </c>
      <c r="E1576" s="1" t="s">
        <v>2678</v>
      </c>
      <c r="F1576" s="1" t="s">
        <v>2679</v>
      </c>
      <c r="G1576" s="1">
        <v>35.9348839075573</v>
      </c>
      <c r="H1576" s="1">
        <v>17.708703295</v>
      </c>
      <c r="I1576" s="1">
        <v>4.4652492649</v>
      </c>
      <c r="J1576" s="1">
        <v>7.9169869331</v>
      </c>
      <c r="K1576" s="1">
        <v>19.370152157</v>
      </c>
      <c r="L1576" s="1">
        <v>34.7</v>
      </c>
      <c r="M1576" s="1">
        <v>7.6</v>
      </c>
      <c r="N1576" s="1">
        <v>29.6</v>
      </c>
      <c r="O1576" s="1">
        <v>32.5985119869999</v>
      </c>
      <c r="P1576" s="1">
        <v>10.9226689</v>
      </c>
      <c r="Q1576" s="1">
        <v>33.62663</v>
      </c>
      <c r="R1576" s="1">
        <v>84.962406015</v>
      </c>
      <c r="S1576" s="1">
        <v>13.9</v>
      </c>
      <c r="T1576" s="1">
        <v>3865.0</v>
      </c>
      <c r="U1576" s="1">
        <v>36.37774903</v>
      </c>
      <c r="V1576" s="1">
        <v>300.84066691</v>
      </c>
      <c r="W1576" s="1">
        <v>9.9651567944</v>
      </c>
      <c r="X1576" s="1">
        <v>8.2320055905</v>
      </c>
      <c r="Y1576" s="1">
        <v>78.380710994</v>
      </c>
      <c r="Z1576" s="1">
        <v>13.0</v>
      </c>
      <c r="AA1576" s="1">
        <v>7.4489205571</v>
      </c>
      <c r="AB1576" s="1">
        <v>59043.0</v>
      </c>
      <c r="AC1576" s="1">
        <v>48.373101952</v>
      </c>
      <c r="AD1576" s="1">
        <v>77.544154752</v>
      </c>
      <c r="AE1576" s="1">
        <v>9.1973969631</v>
      </c>
      <c r="AF1576" s="1">
        <v>0.8385509839</v>
      </c>
      <c r="AG1576" s="1">
        <v>0.3242397138</v>
      </c>
      <c r="AH1576" s="1">
        <v>0.3018783542</v>
      </c>
      <c r="AI1576" s="1">
        <v>0.7882379249</v>
      </c>
      <c r="AJ1576" s="1">
        <v>1.1795617174</v>
      </c>
      <c r="AK1576" s="1">
        <v>95.494186047</v>
      </c>
      <c r="AL1576" s="1">
        <v>0.2294117647</v>
      </c>
      <c r="AM1576" s="1">
        <v>49.312388193</v>
      </c>
      <c r="AN1576" s="1">
        <v>76.142187931</v>
      </c>
      <c r="AO1576" s="1">
        <v>24013.0</v>
      </c>
      <c r="AP1576" s="1">
        <v>14.5</v>
      </c>
      <c r="AQ1576" s="1">
        <v>4.4</v>
      </c>
      <c r="AR1576" s="1">
        <v>12.5</v>
      </c>
      <c r="AS1576" s="1">
        <v>16.9</v>
      </c>
      <c r="AT1576" s="1">
        <v>22.6</v>
      </c>
      <c r="AU1576" s="1">
        <v>15.6</v>
      </c>
      <c r="AV1576" s="1">
        <v>4.8</v>
      </c>
      <c r="AW1576" s="1">
        <v>0.1</v>
      </c>
      <c r="AX1576" s="1">
        <v>0.1894</v>
      </c>
      <c r="AY1576" s="1">
        <v>9.7</v>
      </c>
      <c r="AZ1576" s="1">
        <v>12.4</v>
      </c>
      <c r="BA1576" s="1">
        <v>17.0</v>
      </c>
      <c r="BB1576" s="1">
        <v>3.04</v>
      </c>
      <c r="BC1576" s="1" t="s">
        <v>2554</v>
      </c>
      <c r="BD1576" s="1">
        <v>10.6</v>
      </c>
      <c r="BE1576" s="1">
        <v>39.3</v>
      </c>
      <c r="BF1576" s="1">
        <v>30.3</v>
      </c>
      <c r="BG1576" s="1">
        <v>19.7</v>
      </c>
      <c r="BH1576" s="1" t="s">
        <v>2679</v>
      </c>
    </row>
    <row r="1577">
      <c r="A1577" s="1">
        <v>29187.0</v>
      </c>
      <c r="B1577" s="2" t="str">
        <f>IFERROR(__xludf.DUMMYFUNCTION("TO_TEXT(A1577)"),"29187")</f>
        <v>29187</v>
      </c>
      <c r="C1577" s="1">
        <v>66230.0</v>
      </c>
      <c r="D1577" s="1">
        <v>451.90822873684</v>
      </c>
      <c r="E1577" s="1" t="s">
        <v>2680</v>
      </c>
      <c r="F1577" s="1" t="s">
        <v>2681</v>
      </c>
      <c r="G1577" s="1">
        <v>146.556304551311</v>
      </c>
      <c r="H1577" s="1">
        <v>19.0942051159999</v>
      </c>
      <c r="I1577" s="1">
        <v>4.4791415545</v>
      </c>
      <c r="J1577" s="1">
        <v>8.501783591</v>
      </c>
      <c r="K1577" s="1">
        <v>22.20081864</v>
      </c>
      <c r="L1577" s="1">
        <v>38.6</v>
      </c>
      <c r="M1577" s="1">
        <v>7.6</v>
      </c>
      <c r="N1577" s="1">
        <v>32.3</v>
      </c>
      <c r="O1577" s="1">
        <v>62.9813797639999</v>
      </c>
      <c r="P1577" s="1">
        <v>11.193106944</v>
      </c>
      <c r="Q1577" s="1">
        <v>71.95862</v>
      </c>
      <c r="R1577" s="1">
        <v>93.58974359</v>
      </c>
      <c r="S1577" s="1">
        <v>24.6</v>
      </c>
      <c r="T1577" s="1">
        <v>13862.0</v>
      </c>
      <c r="U1577" s="1">
        <v>32.159861492</v>
      </c>
      <c r="V1577" s="1">
        <v>293.78395233</v>
      </c>
      <c r="W1577" s="1">
        <v>14.640549273</v>
      </c>
      <c r="X1577" s="1">
        <v>11.930541369</v>
      </c>
      <c r="Y1577" s="1">
        <v>74.8834624839999</v>
      </c>
      <c r="Z1577" s="1">
        <v>9.4</v>
      </c>
      <c r="AA1577" s="1">
        <v>5.1309290926</v>
      </c>
      <c r="AB1577" s="1">
        <v>45584.0</v>
      </c>
      <c r="AC1577" s="1">
        <v>58.819140006</v>
      </c>
      <c r="AD1577" s="1">
        <v>68.265756724</v>
      </c>
      <c r="AE1577" s="1">
        <v>10.391815772</v>
      </c>
      <c r="AF1577" s="1">
        <v>4.5417741258</v>
      </c>
      <c r="AG1577" s="1">
        <v>0.4393330534</v>
      </c>
      <c r="AH1577" s="1">
        <v>0.401847298</v>
      </c>
      <c r="AI1577" s="1">
        <v>0.0584777784</v>
      </c>
      <c r="AJ1577" s="1">
        <v>1.63737779639999</v>
      </c>
      <c r="AK1577" s="1">
        <v>91.7441372279999</v>
      </c>
      <c r="AL1577" s="1">
        <v>0.2769642175</v>
      </c>
      <c r="AM1577" s="1">
        <v>46.590295688</v>
      </c>
      <c r="AN1577" s="1">
        <v>39.763460273</v>
      </c>
      <c r="AO1577" s="1">
        <v>20016.0</v>
      </c>
      <c r="AP1577" s="1">
        <v>16.8</v>
      </c>
      <c r="AQ1577" s="1">
        <v>7.3</v>
      </c>
      <c r="AR1577" s="1">
        <v>17.8</v>
      </c>
      <c r="AS1577" s="1">
        <v>15.2</v>
      </c>
      <c r="AT1577" s="1">
        <v>21.4</v>
      </c>
      <c r="AU1577" s="1">
        <v>20.9</v>
      </c>
      <c r="AV1577" s="1">
        <v>7.8</v>
      </c>
      <c r="AW1577" s="1">
        <v>0.2</v>
      </c>
      <c r="AX1577" s="1">
        <v>0.7342</v>
      </c>
      <c r="AY1577" s="1">
        <v>17.0</v>
      </c>
      <c r="AZ1577" s="1">
        <v>15.3</v>
      </c>
      <c r="BA1577" s="1">
        <v>18.4</v>
      </c>
      <c r="BB1577" s="1">
        <v>2.81</v>
      </c>
      <c r="BC1577" s="1" t="s">
        <v>2554</v>
      </c>
      <c r="BD1577" s="1">
        <v>15.2</v>
      </c>
      <c r="BE1577" s="1">
        <v>37.2</v>
      </c>
      <c r="BF1577" s="1">
        <v>33.3</v>
      </c>
      <c r="BG1577" s="1">
        <v>14.3</v>
      </c>
      <c r="BH1577" s="1" t="s">
        <v>2681</v>
      </c>
    </row>
    <row r="1578">
      <c r="A1578" s="1">
        <v>29189.0</v>
      </c>
      <c r="B1578" s="2" t="str">
        <f>IFERROR(__xludf.DUMMYFUNCTION("TO_TEXT(A1578)"),"29189")</f>
        <v>29189</v>
      </c>
      <c r="C1578" s="1">
        <v>1000560.0</v>
      </c>
      <c r="D1578" s="1">
        <v>507.771284637259</v>
      </c>
      <c r="E1578" s="1" t="s">
        <v>2403</v>
      </c>
      <c r="F1578" s="1" t="s">
        <v>2682</v>
      </c>
      <c r="G1578" s="1">
        <v>1970.49346875686</v>
      </c>
      <c r="H1578" s="1">
        <v>16.378972002</v>
      </c>
      <c r="I1578" s="1">
        <v>4.0873860837</v>
      </c>
      <c r="J1578" s="1">
        <v>9.34618816299999</v>
      </c>
      <c r="K1578" s="1">
        <v>15.713734105</v>
      </c>
      <c r="L1578" s="1">
        <v>27.9</v>
      </c>
      <c r="M1578" s="1">
        <v>7.6</v>
      </c>
      <c r="N1578" s="1">
        <v>21.9</v>
      </c>
      <c r="O1578" s="1">
        <v>94.090818997</v>
      </c>
      <c r="P1578" s="1">
        <v>8.0466765257</v>
      </c>
      <c r="Q1578" s="1">
        <v>122.400739999999</v>
      </c>
      <c r="R1578" s="1">
        <v>91.4546145079999</v>
      </c>
      <c r="S1578" s="1">
        <v>15.7</v>
      </c>
      <c r="T1578" s="1">
        <v>218165.0</v>
      </c>
      <c r="U1578" s="1">
        <v>33.793688263</v>
      </c>
      <c r="V1578" s="1">
        <v>344.48737853</v>
      </c>
      <c r="W1578" s="1">
        <v>13.46850379</v>
      </c>
      <c r="X1578" s="1">
        <v>12.228069292</v>
      </c>
      <c r="Y1578" s="1">
        <v>78.2010884789999</v>
      </c>
      <c r="Z1578" s="1">
        <v>11.3</v>
      </c>
      <c r="AA1578" s="1">
        <v>6.000163374</v>
      </c>
      <c r="AB1578" s="1">
        <v>66992.0</v>
      </c>
      <c r="AC1578" s="1">
        <v>45.4175124039999</v>
      </c>
      <c r="AD1578" s="1">
        <v>68.980812644</v>
      </c>
      <c r="AE1578" s="1">
        <v>12.182195604</v>
      </c>
      <c r="AF1578" s="1">
        <v>24.6603373309999</v>
      </c>
      <c r="AG1578" s="1">
        <v>0.2149566927</v>
      </c>
      <c r="AH1578" s="1">
        <v>4.5287352863</v>
      </c>
      <c r="AI1578" s="1">
        <v>0.0221677224</v>
      </c>
      <c r="AJ1578" s="1">
        <v>2.9613469148</v>
      </c>
      <c r="AK1578" s="1">
        <v>65.607129781</v>
      </c>
      <c r="AL1578" s="1">
        <v>1.2928242034</v>
      </c>
      <c r="AM1578" s="1">
        <v>52.566390322</v>
      </c>
      <c r="AN1578" s="1">
        <v>1.1379903379</v>
      </c>
      <c r="AO1578" s="1">
        <v>36518.0</v>
      </c>
      <c r="AP1578" s="1">
        <v>10.3</v>
      </c>
      <c r="AQ1578" s="1">
        <v>6.7</v>
      </c>
      <c r="AR1578" s="1">
        <v>7.0</v>
      </c>
      <c r="AS1578" s="1">
        <v>16.5</v>
      </c>
      <c r="AT1578" s="1">
        <v>22.4</v>
      </c>
      <c r="AU1578" s="1">
        <v>11.9</v>
      </c>
      <c r="AV1578" s="1">
        <v>32.6</v>
      </c>
      <c r="AW1578" s="1">
        <v>1.4</v>
      </c>
      <c r="AX1578" s="1">
        <v>0.2773</v>
      </c>
      <c r="AY1578" s="1">
        <v>9.3</v>
      </c>
      <c r="AZ1578" s="1">
        <v>10.9</v>
      </c>
      <c r="BA1578" s="1">
        <v>11.3</v>
      </c>
      <c r="BB1578" s="1">
        <v>3.31</v>
      </c>
      <c r="BC1578" s="1" t="s">
        <v>2554</v>
      </c>
      <c r="BD1578" s="1">
        <v>6.5</v>
      </c>
      <c r="BE1578" s="1">
        <v>21.2</v>
      </c>
      <c r="BF1578" s="1">
        <v>28.6</v>
      </c>
      <c r="BG1578" s="1">
        <v>43.6</v>
      </c>
      <c r="BH1578" s="1" t="s">
        <v>2682</v>
      </c>
    </row>
    <row r="1579">
      <c r="A1579" s="1">
        <v>29195.0</v>
      </c>
      <c r="B1579" s="2" t="str">
        <f>IFERROR(__xludf.DUMMYFUNCTION("TO_TEXT(A1579)"),"29195")</f>
        <v>29195</v>
      </c>
      <c r="C1579" s="1">
        <v>23214.0</v>
      </c>
      <c r="D1579" s="1">
        <v>755.492345589592</v>
      </c>
      <c r="E1579" s="1" t="s">
        <v>392</v>
      </c>
      <c r="F1579" s="1" t="s">
        <v>2683</v>
      </c>
      <c r="G1579" s="1">
        <v>30.7269823917059</v>
      </c>
      <c r="H1579" s="1">
        <v>21.750195115</v>
      </c>
      <c r="I1579" s="1">
        <v>4.5117372407</v>
      </c>
      <c r="J1579" s="1">
        <v>8.8528025144</v>
      </c>
      <c r="K1579" s="1">
        <v>20.276507862</v>
      </c>
      <c r="L1579" s="1">
        <v>35.8</v>
      </c>
      <c r="M1579" s="1">
        <v>7.2</v>
      </c>
      <c r="N1579" s="1">
        <v>32.3</v>
      </c>
      <c r="O1579" s="1">
        <v>55.7424047919999</v>
      </c>
      <c r="P1579" s="1">
        <v>12.8016969559999</v>
      </c>
      <c r="Q1579" s="1">
        <v>57.36981</v>
      </c>
      <c r="R1579" s="1">
        <v>88.617886179</v>
      </c>
      <c r="S1579" s="1">
        <v>20.0</v>
      </c>
      <c r="T1579" s="1">
        <v>5134.0</v>
      </c>
      <c r="U1579" s="1">
        <v>33.132060771</v>
      </c>
      <c r="V1579" s="1">
        <v>199.18185518</v>
      </c>
      <c r="W1579" s="1">
        <v>13.318155948</v>
      </c>
      <c r="X1579" s="1">
        <v>10.074841681</v>
      </c>
      <c r="Y1579" s="1">
        <v>77.631829815</v>
      </c>
      <c r="Z1579" s="1">
        <v>11.5</v>
      </c>
      <c r="AA1579" s="1">
        <v>11.516766394</v>
      </c>
      <c r="AB1579" s="1">
        <v>43776.0</v>
      </c>
      <c r="AC1579" s="1">
        <v>64.9575070819999</v>
      </c>
      <c r="AD1579" s="1">
        <v>68.90913338</v>
      </c>
      <c r="AE1579" s="1">
        <v>9.1329198589</v>
      </c>
      <c r="AF1579" s="1">
        <v>5.13649268399999</v>
      </c>
      <c r="AG1579" s="1">
        <v>0.9215986023</v>
      </c>
      <c r="AH1579" s="1">
        <v>0.9041275388</v>
      </c>
      <c r="AI1579" s="1">
        <v>1.1530901944</v>
      </c>
      <c r="AJ1579" s="1">
        <v>10.408386111</v>
      </c>
      <c r="AK1579" s="1">
        <v>79.956322341</v>
      </c>
      <c r="AL1579" s="1">
        <v>3.1055327396</v>
      </c>
      <c r="AM1579" s="1">
        <v>50.120113562</v>
      </c>
      <c r="AN1579" s="1">
        <v>45.806589645</v>
      </c>
      <c r="AO1579" s="1">
        <v>20446.0</v>
      </c>
      <c r="AP1579" s="1">
        <v>17.1</v>
      </c>
      <c r="AQ1579" s="1">
        <v>4.8</v>
      </c>
      <c r="AR1579" s="1">
        <v>15.4</v>
      </c>
      <c r="AS1579" s="1">
        <v>16.8</v>
      </c>
      <c r="AT1579" s="1">
        <v>23.1</v>
      </c>
      <c r="AU1579" s="1">
        <v>18.2</v>
      </c>
      <c r="AV1579" s="1">
        <v>18.8</v>
      </c>
      <c r="AW1579" s="1">
        <v>2.1</v>
      </c>
      <c r="AX1579" s="1">
        <v>0.8284</v>
      </c>
      <c r="AY1579" s="1">
        <v>15.7</v>
      </c>
      <c r="AZ1579" s="1">
        <v>13.7</v>
      </c>
      <c r="BA1579" s="1">
        <v>15.9</v>
      </c>
      <c r="BB1579" s="1">
        <v>2.59</v>
      </c>
      <c r="BC1579" s="1" t="s">
        <v>2554</v>
      </c>
      <c r="BD1579" s="1">
        <v>16.0</v>
      </c>
      <c r="BE1579" s="1">
        <v>37.8</v>
      </c>
      <c r="BF1579" s="1">
        <v>26.8</v>
      </c>
      <c r="BG1579" s="1">
        <v>19.4</v>
      </c>
      <c r="BH1579" s="1" t="s">
        <v>2683</v>
      </c>
    </row>
    <row r="1580">
      <c r="A1580" s="1">
        <v>29197.0</v>
      </c>
      <c r="B1580" s="2" t="str">
        <f>IFERROR(__xludf.DUMMYFUNCTION("TO_TEXT(A1580)"),"29197")</f>
        <v>29197</v>
      </c>
      <c r="C1580" s="1">
        <v>4396.0</v>
      </c>
      <c r="D1580" s="1">
        <v>307.304916189412</v>
      </c>
      <c r="E1580" s="1" t="s">
        <v>1279</v>
      </c>
      <c r="F1580" s="1" t="s">
        <v>2684</v>
      </c>
      <c r="G1580" s="1">
        <v>14.3050103282125</v>
      </c>
      <c r="H1580" s="1">
        <v>19.531195807</v>
      </c>
      <c r="I1580" s="1">
        <v>4.5869038511</v>
      </c>
      <c r="J1580" s="1">
        <v>7.7419354839</v>
      </c>
      <c r="K1580" s="1">
        <v>20.577796105</v>
      </c>
      <c r="L1580" s="1">
        <v>30.9</v>
      </c>
      <c r="M1580" s="1">
        <v>4.6</v>
      </c>
      <c r="N1580" s="1">
        <v>27.5</v>
      </c>
      <c r="O1580" s="1">
        <v>42.541187091</v>
      </c>
      <c r="P1580" s="1">
        <v>15.040764689</v>
      </c>
      <c r="Q1580" s="1">
        <v>66.54836</v>
      </c>
      <c r="R1580" s="1">
        <v>90.0</v>
      </c>
      <c r="S1580" s="1">
        <v>27.3</v>
      </c>
      <c r="T1580" s="1">
        <v>1178.0</v>
      </c>
      <c r="U1580" s="1">
        <v>30.0509337859999</v>
      </c>
      <c r="V1580" s="1">
        <v>159.61691939</v>
      </c>
      <c r="W1580" s="1">
        <v>13.0434782609999</v>
      </c>
      <c r="X1580" s="1">
        <v>9.0269636577</v>
      </c>
      <c r="Y1580" s="1">
        <v>78.369340863</v>
      </c>
      <c r="Z1580" s="1">
        <v>13.6</v>
      </c>
      <c r="AA1580" s="1">
        <v>37.21623418</v>
      </c>
      <c r="AB1580" s="1">
        <v>39463.0</v>
      </c>
      <c r="AC1580" s="1">
        <v>48.489932886</v>
      </c>
      <c r="AD1580" s="1">
        <v>71.473551637</v>
      </c>
      <c r="AE1580" s="1">
        <v>6.8548387097</v>
      </c>
      <c r="AF1580" s="1">
        <v>0.1304631442</v>
      </c>
      <c r="AG1580" s="1">
        <v>0.3261578604</v>
      </c>
      <c r="AH1580" s="1">
        <v>0.304414003</v>
      </c>
      <c r="AI1580" s="1">
        <v>0.0</v>
      </c>
      <c r="AJ1580" s="1">
        <v>1.5220700152</v>
      </c>
      <c r="AK1580" s="1">
        <v>96.716677539</v>
      </c>
      <c r="AL1580" s="1">
        <v>0.0965717045</v>
      </c>
      <c r="AM1580" s="1">
        <v>50.337029789</v>
      </c>
      <c r="AN1580" s="1">
        <v>100.0</v>
      </c>
      <c r="AO1580" s="1">
        <v>19152.0</v>
      </c>
      <c r="AP1580" s="1">
        <v>22.1</v>
      </c>
      <c r="AQ1580" s="1">
        <v>6.0</v>
      </c>
      <c r="AR1580" s="1">
        <v>13.3</v>
      </c>
      <c r="AS1580" s="1">
        <v>19.0</v>
      </c>
      <c r="AT1580" s="1">
        <v>25.8</v>
      </c>
      <c r="AU1580" s="1">
        <v>16.9</v>
      </c>
      <c r="AV1580" s="1">
        <v>2.5</v>
      </c>
      <c r="AW1580" s="1">
        <v>0.3</v>
      </c>
      <c r="AX1580" s="1">
        <v>0.5209</v>
      </c>
      <c r="AY1580" s="1">
        <v>20.8</v>
      </c>
      <c r="AZ1580" s="1">
        <v>14.1</v>
      </c>
      <c r="BA1580" s="1">
        <v>16.7</v>
      </c>
      <c r="BB1580" s="1">
        <v>2.64</v>
      </c>
      <c r="BC1580" s="1" t="s">
        <v>2554</v>
      </c>
      <c r="BD1580" s="1">
        <v>12.4</v>
      </c>
      <c r="BE1580" s="1">
        <v>46.2</v>
      </c>
      <c r="BF1580" s="1">
        <v>28.7</v>
      </c>
      <c r="BG1580" s="1">
        <v>12.6</v>
      </c>
      <c r="BH1580" s="1" t="s">
        <v>2684</v>
      </c>
    </row>
    <row r="1581">
      <c r="A1581" s="1">
        <v>29199.0</v>
      </c>
      <c r="B1581" s="2" t="str">
        <f>IFERROR(__xludf.DUMMYFUNCTION("TO_TEXT(A1581)"),"29199")</f>
        <v>29199</v>
      </c>
      <c r="C1581" s="1">
        <v>4893.0</v>
      </c>
      <c r="D1581" s="1">
        <v>436.6691225666</v>
      </c>
      <c r="E1581" s="1" t="s">
        <v>2685</v>
      </c>
      <c r="F1581" s="1" t="s">
        <v>2686</v>
      </c>
      <c r="G1581" s="1">
        <v>11.2052804907306</v>
      </c>
      <c r="H1581" s="1">
        <v>19.942505664</v>
      </c>
      <c r="I1581" s="1">
        <v>4.6433522375</v>
      </c>
      <c r="J1581" s="1">
        <v>4.5614035088</v>
      </c>
      <c r="K1581" s="1">
        <v>21.11973445</v>
      </c>
      <c r="L1581" s="1">
        <v>32.1</v>
      </c>
      <c r="M1581" s="1">
        <v>7.8</v>
      </c>
      <c r="N1581" s="1">
        <v>35.7</v>
      </c>
      <c r="O1581" s="1">
        <v>4.7491224448</v>
      </c>
      <c r="P1581" s="1">
        <v>22.7680798</v>
      </c>
      <c r="Q1581" s="1">
        <v>120.89462</v>
      </c>
      <c r="R1581" s="1">
        <v>96.96969697</v>
      </c>
      <c r="S1581" s="1">
        <v>23.3</v>
      </c>
      <c r="T1581" s="1">
        <v>1386.0</v>
      </c>
      <c r="U1581" s="1">
        <v>18.614718615</v>
      </c>
      <c r="V1581" s="1">
        <v>122.46147566</v>
      </c>
      <c r="W1581" s="1">
        <v>18.487394958</v>
      </c>
      <c r="X1581" s="1">
        <v>14.912774339</v>
      </c>
      <c r="Y1581" s="1">
        <v>78.567559175</v>
      </c>
      <c r="Z1581" s="1">
        <v>8.7</v>
      </c>
      <c r="AA1581" s="1">
        <v>3.8198137195</v>
      </c>
      <c r="AB1581" s="1">
        <v>42053.0</v>
      </c>
      <c r="AC1581" s="1">
        <v>49.025974026</v>
      </c>
      <c r="AD1581" s="1">
        <v>70.879120879</v>
      </c>
      <c r="AE1581" s="1">
        <v>14.34217956</v>
      </c>
      <c r="AF1581" s="1">
        <v>0.1006846557</v>
      </c>
      <c r="AG1581" s="1">
        <v>0.3423278292</v>
      </c>
      <c r="AH1581" s="1">
        <v>0.2013693113</v>
      </c>
      <c r="AI1581" s="1">
        <v>0.0</v>
      </c>
      <c r="AJ1581" s="1">
        <v>1.04712041879999</v>
      </c>
      <c r="AK1581" s="1">
        <v>97.16069271</v>
      </c>
      <c r="AL1581" s="1">
        <v>0.0667556742</v>
      </c>
      <c r="AM1581" s="1">
        <v>50.5235602089999</v>
      </c>
      <c r="AN1581" s="1">
        <v>100.0</v>
      </c>
      <c r="AO1581" s="1">
        <v>23626.0</v>
      </c>
      <c r="AP1581" s="1">
        <v>16.4</v>
      </c>
      <c r="AQ1581" s="1">
        <v>4.9</v>
      </c>
      <c r="AR1581" s="1">
        <v>17.2</v>
      </c>
      <c r="AS1581" s="1">
        <v>18.6</v>
      </c>
      <c r="AT1581" s="1">
        <v>28.3</v>
      </c>
      <c r="AU1581" s="1">
        <v>15.0</v>
      </c>
      <c r="AV1581" s="1">
        <v>2.4</v>
      </c>
      <c r="AW1581" s="1">
        <v>0.1</v>
      </c>
      <c r="AX1581" s="1">
        <v>0.5177</v>
      </c>
      <c r="AY1581" s="1">
        <v>14.4</v>
      </c>
      <c r="AZ1581" s="1">
        <v>13.1</v>
      </c>
      <c r="BA1581" s="1">
        <v>15.6</v>
      </c>
      <c r="BB1581" s="1">
        <v>2.85</v>
      </c>
      <c r="BC1581" s="1" t="s">
        <v>2554</v>
      </c>
      <c r="BD1581" s="1">
        <v>20.1</v>
      </c>
      <c r="BE1581" s="1">
        <v>41.5</v>
      </c>
      <c r="BF1581" s="1">
        <v>24.2</v>
      </c>
      <c r="BG1581" s="1">
        <v>14.2</v>
      </c>
      <c r="BH1581" s="1" t="s">
        <v>2686</v>
      </c>
    </row>
    <row r="1582">
      <c r="A1582" s="1">
        <v>29201.0</v>
      </c>
      <c r="B1582" s="2" t="str">
        <f>IFERROR(__xludf.DUMMYFUNCTION("TO_TEXT(A1582)"),"29201")</f>
        <v>29201</v>
      </c>
      <c r="C1582" s="1">
        <v>38994.0</v>
      </c>
      <c r="D1582" s="1">
        <v>419.988501876645</v>
      </c>
      <c r="E1582" s="1" t="s">
        <v>394</v>
      </c>
      <c r="F1582" s="1" t="s">
        <v>2687</v>
      </c>
      <c r="G1582" s="1">
        <v>92.8453989234516</v>
      </c>
      <c r="H1582" s="1">
        <v>23.964960509</v>
      </c>
      <c r="I1582" s="1">
        <v>5.0450403889</v>
      </c>
      <c r="J1582" s="1">
        <v>9.6004599023</v>
      </c>
      <c r="K1582" s="1">
        <v>22.406411822</v>
      </c>
      <c r="L1582" s="1">
        <v>35.5</v>
      </c>
      <c r="M1582" s="1">
        <v>6.6</v>
      </c>
      <c r="N1582" s="1">
        <v>34.9</v>
      </c>
      <c r="O1582" s="1">
        <v>66.025362966</v>
      </c>
      <c r="P1582" s="1">
        <v>12.013601514</v>
      </c>
      <c r="Q1582" s="1">
        <v>49.29815</v>
      </c>
      <c r="R1582" s="1">
        <v>92.407809111</v>
      </c>
      <c r="S1582" s="1">
        <v>26.7</v>
      </c>
      <c r="T1582" s="1">
        <v>9124.0</v>
      </c>
      <c r="U1582" s="1">
        <v>40.124945199</v>
      </c>
      <c r="V1582" s="1">
        <v>935.5865785</v>
      </c>
      <c r="W1582" s="1">
        <v>13.789715034</v>
      </c>
      <c r="X1582" s="1">
        <v>10.75446724</v>
      </c>
      <c r="Y1582" s="1">
        <v>75.1705569889999</v>
      </c>
      <c r="Z1582" s="1">
        <v>16.5</v>
      </c>
      <c r="AA1582" s="1">
        <v>11.581714858</v>
      </c>
      <c r="AB1582" s="1">
        <v>44261.0</v>
      </c>
      <c r="AC1582" s="1">
        <v>65.979839905</v>
      </c>
      <c r="AD1582" s="1">
        <v>66.923774955</v>
      </c>
      <c r="AE1582" s="1">
        <v>11.808118081</v>
      </c>
      <c r="AF1582" s="1">
        <v>11.911695876</v>
      </c>
      <c r="AG1582" s="1">
        <v>0.3926361225</v>
      </c>
      <c r="AH1582" s="1">
        <v>0.4368401893</v>
      </c>
      <c r="AI1582" s="1">
        <v>0.0312028707</v>
      </c>
      <c r="AJ1582" s="1">
        <v>2.4572260648</v>
      </c>
      <c r="AK1582" s="1">
        <v>83.093244579</v>
      </c>
      <c r="AL1582" s="1">
        <v>0.5020274184</v>
      </c>
      <c r="AM1582" s="1">
        <v>51.4223308539999</v>
      </c>
      <c r="AN1582" s="1">
        <v>41.552907555</v>
      </c>
      <c r="AO1582" s="1">
        <v>22034.0</v>
      </c>
      <c r="AP1582" s="1">
        <v>19.6</v>
      </c>
      <c r="AQ1582" s="1">
        <v>6.4</v>
      </c>
      <c r="AR1582" s="1">
        <v>17.0</v>
      </c>
      <c r="AS1582" s="1">
        <v>16.6</v>
      </c>
      <c r="AT1582" s="1">
        <v>24.0</v>
      </c>
      <c r="AU1582" s="1">
        <v>18.2</v>
      </c>
      <c r="AV1582" s="1">
        <v>15.9</v>
      </c>
      <c r="AW1582" s="1">
        <v>0.4</v>
      </c>
      <c r="AX1582" s="1">
        <v>0.7061</v>
      </c>
      <c r="AY1582" s="1">
        <v>17.9</v>
      </c>
      <c r="AZ1582" s="1">
        <v>16.2</v>
      </c>
      <c r="BA1582" s="1">
        <v>20.3</v>
      </c>
      <c r="BB1582" s="1">
        <v>2.87</v>
      </c>
      <c r="BC1582" s="1" t="s">
        <v>2554</v>
      </c>
      <c r="BD1582" s="1">
        <v>15.0</v>
      </c>
      <c r="BE1582" s="1">
        <v>41.6</v>
      </c>
      <c r="BF1582" s="1">
        <v>27.0</v>
      </c>
      <c r="BG1582" s="1">
        <v>16.3</v>
      </c>
      <c r="BH1582" s="1" t="s">
        <v>2687</v>
      </c>
    </row>
    <row r="1583">
      <c r="A1583" s="1">
        <v>29203.0</v>
      </c>
      <c r="B1583" s="2" t="str">
        <f>IFERROR(__xludf.DUMMYFUNCTION("TO_TEXT(A1583)"),"29203")</f>
        <v>29203</v>
      </c>
      <c r="C1583" s="1">
        <v>8256.0</v>
      </c>
      <c r="D1583" s="1">
        <v>1003.82030058451</v>
      </c>
      <c r="E1583" s="1" t="s">
        <v>2688</v>
      </c>
      <c r="F1583" s="1" t="s">
        <v>2689</v>
      </c>
      <c r="G1583" s="1">
        <v>8.22457963361825</v>
      </c>
      <c r="H1583" s="1">
        <v>24.196198065</v>
      </c>
      <c r="I1583" s="1">
        <v>5.0348629039</v>
      </c>
      <c r="J1583" s="1">
        <v>9.7978227061</v>
      </c>
      <c r="K1583" s="1">
        <v>23.755264188</v>
      </c>
      <c r="L1583" s="1">
        <v>34.9</v>
      </c>
      <c r="M1583" s="1">
        <v>6.6</v>
      </c>
      <c r="N1583" s="1">
        <v>30.5</v>
      </c>
      <c r="O1583" s="1">
        <v>73.000829286</v>
      </c>
      <c r="P1583" s="1">
        <v>16.3426584479999</v>
      </c>
      <c r="Q1583" s="1">
        <v>48.31939</v>
      </c>
      <c r="R1583" s="1">
        <v>92.372881356</v>
      </c>
      <c r="S1583" s="1">
        <v>37.4</v>
      </c>
      <c r="T1583" s="1">
        <v>1764.0</v>
      </c>
      <c r="U1583" s="1">
        <v>38.151927438</v>
      </c>
      <c r="V1583" s="1">
        <v>333.73786408</v>
      </c>
      <c r="W1583" s="1">
        <v>14.803149606</v>
      </c>
      <c r="X1583" s="1">
        <v>10.920634921</v>
      </c>
      <c r="Y1583" s="1">
        <v>76.9954928269999</v>
      </c>
      <c r="Z1583" s="1">
        <v>13.7</v>
      </c>
      <c r="AA1583" s="1">
        <v>7.4408442086</v>
      </c>
      <c r="AB1583" s="1">
        <v>32715.0</v>
      </c>
      <c r="AC1583" s="1">
        <v>76.102088167</v>
      </c>
      <c r="AD1583" s="1">
        <v>71.572644185</v>
      </c>
      <c r="AE1583" s="1">
        <v>12.729234088</v>
      </c>
      <c r="AF1583" s="1">
        <v>0.41519111</v>
      </c>
      <c r="AG1583" s="1">
        <v>1.2577848333</v>
      </c>
      <c r="AH1583" s="1">
        <v>0.2808645744</v>
      </c>
      <c r="AI1583" s="1">
        <v>0.0732690194</v>
      </c>
      <c r="AJ1583" s="1">
        <v>2.0881670534</v>
      </c>
      <c r="AK1583" s="1">
        <v>93.576749298</v>
      </c>
      <c r="AL1583" s="1">
        <v>0.0</v>
      </c>
      <c r="AM1583" s="1">
        <v>49.969471242</v>
      </c>
      <c r="AN1583" s="1">
        <v>100.0</v>
      </c>
      <c r="AO1583" s="1">
        <v>19290.0</v>
      </c>
      <c r="AP1583" s="1">
        <v>22.6</v>
      </c>
      <c r="AQ1583" s="1">
        <v>8.4</v>
      </c>
      <c r="AR1583" s="1">
        <v>18.3</v>
      </c>
      <c r="AS1583" s="1">
        <v>19.5</v>
      </c>
      <c r="AT1583" s="1">
        <v>22.3</v>
      </c>
      <c r="AU1583" s="1">
        <v>21.8</v>
      </c>
      <c r="AV1583" s="1">
        <v>5.7</v>
      </c>
      <c r="AW1583" s="1">
        <v>0.1</v>
      </c>
      <c r="AX1583" s="1">
        <v>0.5648</v>
      </c>
      <c r="AY1583" s="1">
        <v>22.6</v>
      </c>
      <c r="AZ1583" s="1">
        <v>20.3</v>
      </c>
      <c r="BA1583" s="1">
        <v>26.9</v>
      </c>
      <c r="BB1583" s="1">
        <v>2.78</v>
      </c>
      <c r="BC1583" s="1" t="s">
        <v>2554</v>
      </c>
      <c r="BD1583" s="1">
        <v>20.0</v>
      </c>
      <c r="BE1583" s="1">
        <v>44.9</v>
      </c>
      <c r="BF1583" s="1">
        <v>20.2</v>
      </c>
      <c r="BG1583" s="1">
        <v>14.9</v>
      </c>
      <c r="BH1583" s="1" t="s">
        <v>2689</v>
      </c>
    </row>
    <row r="1584">
      <c r="A1584" s="1">
        <v>29205.0</v>
      </c>
      <c r="B1584" s="2" t="str">
        <f>IFERROR(__xludf.DUMMYFUNCTION("TO_TEXT(A1584)"),"29205")</f>
        <v>29205</v>
      </c>
      <c r="C1584" s="1">
        <v>6148.0</v>
      </c>
      <c r="D1584" s="1">
        <v>500.863186263459</v>
      </c>
      <c r="E1584" s="1" t="s">
        <v>176</v>
      </c>
      <c r="F1584" s="1" t="s">
        <v>2690</v>
      </c>
      <c r="G1584" s="1">
        <v>12.2748091067848</v>
      </c>
      <c r="H1584" s="1">
        <v>18.1457159659999</v>
      </c>
      <c r="I1584" s="1">
        <v>4.4531648566</v>
      </c>
      <c r="J1584" s="1">
        <v>8.1081081081</v>
      </c>
      <c r="K1584" s="1">
        <v>19.361120072</v>
      </c>
      <c r="L1584" s="1">
        <v>28.7</v>
      </c>
      <c r="M1584" s="1">
        <v>6.5</v>
      </c>
      <c r="N1584" s="1">
        <v>24.1</v>
      </c>
      <c r="O1584" s="1">
        <v>43.2135571939999</v>
      </c>
      <c r="P1584" s="1">
        <v>13.751611517</v>
      </c>
      <c r="Q1584" s="1">
        <v>48.31939</v>
      </c>
      <c r="R1584" s="1">
        <v>92.5925925929999</v>
      </c>
      <c r="S1584" s="1">
        <v>20.7</v>
      </c>
      <c r="T1584" s="1">
        <v>1347.0</v>
      </c>
      <c r="U1584" s="1">
        <v>27.319970304</v>
      </c>
      <c r="V1584" s="1">
        <v>57.334753051</v>
      </c>
      <c r="W1584" s="1">
        <v>7.8629032258</v>
      </c>
      <c r="X1584" s="1">
        <v>6.3915857605</v>
      </c>
      <c r="Y1584" s="1">
        <v>75.4495907089999</v>
      </c>
      <c r="Z1584" s="1">
        <v>7.6</v>
      </c>
      <c r="AA1584" s="1">
        <v>19.45663175</v>
      </c>
      <c r="AB1584" s="1">
        <v>44564.0</v>
      </c>
      <c r="AC1584" s="1">
        <v>52.946768061</v>
      </c>
      <c r="AD1584" s="1">
        <v>75.233834892</v>
      </c>
      <c r="AE1584" s="1">
        <v>7.35229759299999</v>
      </c>
      <c r="AF1584" s="1">
        <v>0.8595041322</v>
      </c>
      <c r="AG1584" s="1">
        <v>0.5123966942</v>
      </c>
      <c r="AH1584" s="1">
        <v>0.2148760331</v>
      </c>
      <c r="AI1584" s="1">
        <v>0.0</v>
      </c>
      <c r="AJ1584" s="1">
        <v>2.1818181818</v>
      </c>
      <c r="AK1584" s="1">
        <v>94.809917355</v>
      </c>
      <c r="AL1584" s="1">
        <v>0.4218667604</v>
      </c>
      <c r="AM1584" s="1">
        <v>50.214876033</v>
      </c>
      <c r="AN1584" s="1">
        <v>100.0</v>
      </c>
      <c r="AO1584" s="1">
        <v>21521.0</v>
      </c>
      <c r="AP1584" s="1">
        <v>15.7</v>
      </c>
      <c r="AQ1584" s="1">
        <v>5.8</v>
      </c>
      <c r="AR1584" s="1">
        <v>9.4</v>
      </c>
      <c r="AS1584" s="1">
        <v>20.1</v>
      </c>
      <c r="AT1584" s="1">
        <v>23.6</v>
      </c>
      <c r="AU1584" s="1">
        <v>17.0</v>
      </c>
      <c r="AV1584" s="1">
        <v>3.8</v>
      </c>
      <c r="AW1584" s="1">
        <v>0.4</v>
      </c>
      <c r="AX1584" s="1">
        <v>0.3964</v>
      </c>
      <c r="AY1584" s="1">
        <v>15.8</v>
      </c>
      <c r="AZ1584" s="1">
        <v>13.2</v>
      </c>
      <c r="BA1584" s="1">
        <v>17.3</v>
      </c>
      <c r="BB1584" s="1">
        <v>2.71</v>
      </c>
      <c r="BC1584" s="1" t="s">
        <v>2554</v>
      </c>
      <c r="BD1584" s="1">
        <v>9.3</v>
      </c>
      <c r="BE1584" s="1">
        <v>43.4</v>
      </c>
      <c r="BF1584" s="1">
        <v>29.3</v>
      </c>
      <c r="BG1584" s="1">
        <v>18.1</v>
      </c>
      <c r="BH1584" s="1" t="s">
        <v>2690</v>
      </c>
    </row>
    <row r="1585">
      <c r="A1585" s="1">
        <v>29207.0</v>
      </c>
      <c r="B1585" s="2" t="str">
        <f>IFERROR(__xludf.DUMMYFUNCTION("TO_TEXT(A1585)"),"29207")</f>
        <v>29207</v>
      </c>
      <c r="C1585" s="1">
        <v>29788.0</v>
      </c>
      <c r="D1585" s="1">
        <v>823.21773640255</v>
      </c>
      <c r="E1585" s="1" t="s">
        <v>2691</v>
      </c>
      <c r="F1585" s="1" t="s">
        <v>2692</v>
      </c>
      <c r="G1585" s="1">
        <v>36.1848374771092</v>
      </c>
      <c r="H1585" s="1">
        <v>22.622004479</v>
      </c>
      <c r="I1585" s="1">
        <v>4.6348847468</v>
      </c>
      <c r="J1585" s="1">
        <v>8.7934560327</v>
      </c>
      <c r="K1585" s="1">
        <v>21.0735214059999</v>
      </c>
      <c r="L1585" s="1">
        <v>35.6</v>
      </c>
      <c r="M1585" s="1">
        <v>7.8</v>
      </c>
      <c r="N1585" s="1">
        <v>38.0</v>
      </c>
      <c r="O1585" s="1">
        <v>64.271890016</v>
      </c>
      <c r="P1585" s="1">
        <v>12.466194462</v>
      </c>
      <c r="Q1585" s="1">
        <v>37.45446</v>
      </c>
      <c r="R1585" s="1">
        <v>94.202898551</v>
      </c>
      <c r="S1585" s="1">
        <v>21.9</v>
      </c>
      <c r="T1585" s="1">
        <v>6493.0</v>
      </c>
      <c r="U1585" s="1">
        <v>29.631911289</v>
      </c>
      <c r="V1585" s="1">
        <v>132.67945316</v>
      </c>
      <c r="W1585" s="1">
        <v>10.754955715</v>
      </c>
      <c r="X1585" s="1">
        <v>8.8489516474</v>
      </c>
      <c r="Y1585" s="1">
        <v>75.5269133389999</v>
      </c>
      <c r="Z1585" s="1">
        <v>15.7</v>
      </c>
      <c r="AA1585" s="1">
        <v>2.3263717198</v>
      </c>
      <c r="AB1585" s="1">
        <v>40808.0</v>
      </c>
      <c r="AC1585" s="1">
        <v>55.52507837</v>
      </c>
      <c r="AD1585" s="1">
        <v>68.717904827</v>
      </c>
      <c r="AE1585" s="1">
        <v>8.3702832323</v>
      </c>
      <c r="AF1585" s="1">
        <v>1.2291994796</v>
      </c>
      <c r="AG1585" s="1">
        <v>0.513593097299999</v>
      </c>
      <c r="AH1585" s="1">
        <v>0.3013079504</v>
      </c>
      <c r="AI1585" s="1">
        <v>0.0308155858</v>
      </c>
      <c r="AJ1585" s="1">
        <v>1.7599123468</v>
      </c>
      <c r="AK1585" s="1">
        <v>95.285215367</v>
      </c>
      <c r="AL1585" s="1">
        <v>0.0612921834</v>
      </c>
      <c r="AM1585" s="1">
        <v>50.643703349</v>
      </c>
      <c r="AN1585" s="1">
        <v>69.791110518</v>
      </c>
      <c r="AO1585" s="1">
        <v>21174.0</v>
      </c>
      <c r="AP1585" s="1">
        <v>16.7</v>
      </c>
      <c r="AQ1585" s="1">
        <v>8.0</v>
      </c>
      <c r="AR1585" s="1">
        <v>19.6</v>
      </c>
      <c r="AS1585" s="1">
        <v>19.2</v>
      </c>
      <c r="AT1585" s="1">
        <v>22.2</v>
      </c>
      <c r="AU1585" s="1">
        <v>22.9</v>
      </c>
      <c r="AV1585" s="1">
        <v>4.2</v>
      </c>
      <c r="AW1585" s="1">
        <v>0.0</v>
      </c>
      <c r="AX1585" s="1">
        <v>0.4992</v>
      </c>
      <c r="AY1585" s="1">
        <v>18.4</v>
      </c>
      <c r="AZ1585" s="1">
        <v>16.1</v>
      </c>
      <c r="BA1585" s="1">
        <v>19.5</v>
      </c>
      <c r="BB1585" s="1">
        <v>2.96</v>
      </c>
      <c r="BC1585" s="1" t="s">
        <v>2554</v>
      </c>
      <c r="BD1585" s="1">
        <v>19.1</v>
      </c>
      <c r="BE1585" s="1">
        <v>41.5</v>
      </c>
      <c r="BF1585" s="1">
        <v>26.1</v>
      </c>
      <c r="BG1585" s="1">
        <v>13.3</v>
      </c>
      <c r="BH1585" s="1" t="s">
        <v>2692</v>
      </c>
    </row>
    <row r="1586">
      <c r="A1586" s="1">
        <v>29209.0</v>
      </c>
      <c r="B1586" s="2" t="str">
        <f>IFERROR(__xludf.DUMMYFUNCTION("TO_TEXT(A1586)"),"29209")</f>
        <v>29209</v>
      </c>
      <c r="C1586" s="1">
        <v>31197.0</v>
      </c>
      <c r="D1586" s="1">
        <v>464.035935028896</v>
      </c>
      <c r="E1586" s="1" t="s">
        <v>404</v>
      </c>
      <c r="F1586" s="1" t="s">
        <v>2693</v>
      </c>
      <c r="G1586" s="1">
        <v>67.229707108906</v>
      </c>
      <c r="H1586" s="1">
        <v>18.746862359</v>
      </c>
      <c r="I1586" s="1">
        <v>4.4161432994</v>
      </c>
      <c r="J1586" s="1">
        <v>8.67346938779999</v>
      </c>
      <c r="K1586" s="1">
        <v>18.5135328579999</v>
      </c>
      <c r="L1586" s="1">
        <v>31.1</v>
      </c>
      <c r="M1586" s="1">
        <v>8.3</v>
      </c>
      <c r="N1586" s="1">
        <v>28.1</v>
      </c>
      <c r="O1586" s="1">
        <v>66.638718092</v>
      </c>
      <c r="P1586" s="1">
        <v>14.6165441009999</v>
      </c>
      <c r="Q1586" s="1">
        <v>34.70141</v>
      </c>
      <c r="R1586" s="1">
        <v>93.87755102</v>
      </c>
      <c r="S1586" s="1">
        <v>21.5</v>
      </c>
      <c r="T1586" s="1">
        <v>5270.0</v>
      </c>
      <c r="U1586" s="1">
        <v>23.092979127</v>
      </c>
      <c r="V1586" s="1">
        <v>472.28557103</v>
      </c>
      <c r="W1586" s="1">
        <v>12.198973549</v>
      </c>
      <c r="X1586" s="1">
        <v>10.461783439</v>
      </c>
      <c r="Y1586" s="1">
        <v>76.363278896</v>
      </c>
      <c r="Z1586" s="1">
        <v>12.8</v>
      </c>
      <c r="AA1586" s="1">
        <v>0.5473804156</v>
      </c>
      <c r="AB1586" s="1">
        <v>46026.0</v>
      </c>
      <c r="AC1586" s="1">
        <v>63.041125541</v>
      </c>
      <c r="AD1586" s="1">
        <v>81.995171716</v>
      </c>
      <c r="AE1586" s="1">
        <v>10.405416297</v>
      </c>
      <c r="AF1586" s="1">
        <v>0.3590664273</v>
      </c>
      <c r="AG1586" s="1">
        <v>0.8504204857</v>
      </c>
      <c r="AH1586" s="1">
        <v>0.3874137768</v>
      </c>
      <c r="AI1586" s="1">
        <v>0.1700840971</v>
      </c>
      <c r="AJ1586" s="1">
        <v>2.4095247094</v>
      </c>
      <c r="AK1586" s="1">
        <v>94.680147406</v>
      </c>
      <c r="AL1586" s="1">
        <v>0.2176709211</v>
      </c>
      <c r="AM1586" s="1">
        <v>51.0126303189999</v>
      </c>
      <c r="AN1586" s="1">
        <v>88.687038072</v>
      </c>
      <c r="AO1586" s="1">
        <v>23705.0</v>
      </c>
      <c r="AP1586" s="1">
        <v>13.4</v>
      </c>
      <c r="AQ1586" s="1">
        <v>8.2</v>
      </c>
      <c r="AR1586" s="1">
        <v>13.3</v>
      </c>
      <c r="AS1586" s="1">
        <v>27.3</v>
      </c>
      <c r="AT1586" s="1">
        <v>17.5</v>
      </c>
      <c r="AU1586" s="1">
        <v>20.4</v>
      </c>
      <c r="AV1586" s="1">
        <v>4.7</v>
      </c>
      <c r="AW1586" s="1">
        <v>0.3</v>
      </c>
      <c r="AX1586" s="1">
        <v>0.3655</v>
      </c>
      <c r="AY1586" s="1">
        <v>15.4</v>
      </c>
      <c r="AZ1586" s="1">
        <v>13.7</v>
      </c>
      <c r="BA1586" s="1">
        <v>18.3</v>
      </c>
      <c r="BB1586" s="1">
        <v>3.12</v>
      </c>
      <c r="BC1586" s="1" t="s">
        <v>2554</v>
      </c>
      <c r="BD1586" s="1">
        <v>12.8</v>
      </c>
      <c r="BE1586" s="1">
        <v>32.9</v>
      </c>
      <c r="BF1586" s="1">
        <v>35.7</v>
      </c>
      <c r="BG1586" s="1">
        <v>18.6</v>
      </c>
      <c r="BH1586" s="1" t="s">
        <v>2693</v>
      </c>
    </row>
    <row r="1587">
      <c r="A1587" s="1">
        <v>29211.0</v>
      </c>
      <c r="B1587" s="2" t="str">
        <f>IFERROR(__xludf.DUMMYFUNCTION("TO_TEXT(A1587)"),"29211")</f>
        <v>29211</v>
      </c>
      <c r="C1587" s="1">
        <v>6416.0</v>
      </c>
      <c r="D1587" s="1">
        <v>647.981267623736</v>
      </c>
      <c r="E1587" s="1" t="s">
        <v>1416</v>
      </c>
      <c r="F1587" s="1" t="s">
        <v>2694</v>
      </c>
      <c r="G1587" s="1">
        <v>9.90152080094634</v>
      </c>
      <c r="H1587" s="1">
        <v>22.359079412</v>
      </c>
      <c r="I1587" s="1">
        <v>4.43849481399999</v>
      </c>
      <c r="J1587" s="1">
        <v>8.8628762542</v>
      </c>
      <c r="K1587" s="1">
        <v>19.843018123</v>
      </c>
      <c r="L1587" s="1">
        <v>30.8</v>
      </c>
      <c r="M1587" s="1">
        <v>7.6</v>
      </c>
      <c r="N1587" s="1">
        <v>34.3</v>
      </c>
      <c r="O1587" s="1">
        <v>48.197795651</v>
      </c>
      <c r="P1587" s="1">
        <v>15.445504364</v>
      </c>
      <c r="Q1587" s="1">
        <v>32.10788</v>
      </c>
      <c r="R1587" s="1">
        <v>100.0</v>
      </c>
      <c r="S1587" s="1">
        <v>21.3</v>
      </c>
      <c r="T1587" s="1">
        <v>1388.0</v>
      </c>
      <c r="U1587" s="1">
        <v>31.3400576369999</v>
      </c>
      <c r="V1587" s="1">
        <v>205.32259338</v>
      </c>
      <c r="W1587" s="1">
        <v>12.997903564</v>
      </c>
      <c r="X1587" s="1">
        <v>8.8421052632</v>
      </c>
      <c r="Y1587" s="1">
        <v>76.852833019</v>
      </c>
      <c r="Z1587" s="1">
        <v>21.2</v>
      </c>
      <c r="AA1587" s="1">
        <v>11.95978462</v>
      </c>
      <c r="AB1587" s="1">
        <v>41978.0</v>
      </c>
      <c r="AC1587" s="1">
        <v>66.309204647</v>
      </c>
      <c r="AD1587" s="1">
        <v>71.803127875</v>
      </c>
      <c r="AE1587" s="1">
        <v>7.08133971289999</v>
      </c>
      <c r="AF1587" s="1">
        <v>3.2631409741</v>
      </c>
      <c r="AG1587" s="1">
        <v>1.0287735091</v>
      </c>
      <c r="AH1587" s="1">
        <v>0.5465359267</v>
      </c>
      <c r="AI1587" s="1">
        <v>0.5626105128</v>
      </c>
      <c r="AJ1587" s="1">
        <v>18.019610995</v>
      </c>
      <c r="AK1587" s="1">
        <v>76.900819804</v>
      </c>
      <c r="AL1587" s="1">
        <v>4.4035768517</v>
      </c>
      <c r="AM1587" s="1">
        <v>48.641697476</v>
      </c>
      <c r="AN1587" s="1">
        <v>100.0</v>
      </c>
      <c r="AO1587" s="1">
        <v>20579.0</v>
      </c>
      <c r="AP1587" s="1">
        <v>16.4</v>
      </c>
      <c r="AQ1587" s="1">
        <v>4.0</v>
      </c>
      <c r="AR1587" s="1">
        <v>16.2</v>
      </c>
      <c r="AS1587" s="1">
        <v>18.8</v>
      </c>
      <c r="AT1587" s="1">
        <v>23.0</v>
      </c>
      <c r="AU1587" s="1">
        <v>15.2</v>
      </c>
      <c r="AV1587" s="1">
        <v>21.8</v>
      </c>
      <c r="AW1587" s="1">
        <v>5.4</v>
      </c>
      <c r="AX1587" s="1">
        <v>0.6972</v>
      </c>
      <c r="AY1587" s="1">
        <v>15.6</v>
      </c>
      <c r="AZ1587" s="1">
        <v>12.6</v>
      </c>
      <c r="BA1587" s="1">
        <v>14.2</v>
      </c>
      <c r="BB1587" s="1">
        <v>2.85</v>
      </c>
      <c r="BC1587" s="1" t="s">
        <v>2554</v>
      </c>
      <c r="BD1587" s="1">
        <v>15.7</v>
      </c>
      <c r="BE1587" s="1">
        <v>50.2</v>
      </c>
      <c r="BF1587" s="1">
        <v>22.4</v>
      </c>
      <c r="BG1587" s="1">
        <v>11.7</v>
      </c>
      <c r="BH1587" s="1" t="s">
        <v>2694</v>
      </c>
    </row>
    <row r="1588">
      <c r="A1588" s="1">
        <v>29213.0</v>
      </c>
      <c r="B1588" s="2" t="str">
        <f>IFERROR(__xludf.DUMMYFUNCTION("TO_TEXT(A1588)"),"29213")</f>
        <v>29213</v>
      </c>
      <c r="C1588" s="1">
        <v>53853.0</v>
      </c>
      <c r="D1588" s="1">
        <v>632.439818104764</v>
      </c>
      <c r="E1588" s="1" t="s">
        <v>2695</v>
      </c>
      <c r="F1588" s="1" t="s">
        <v>2696</v>
      </c>
      <c r="G1588" s="1">
        <v>85.1511850746235</v>
      </c>
      <c r="H1588" s="1">
        <v>20.020891918</v>
      </c>
      <c r="I1588" s="1">
        <v>4.6381986423</v>
      </c>
      <c r="J1588" s="1">
        <v>8.229988726</v>
      </c>
      <c r="K1588" s="1">
        <v>20.776528292</v>
      </c>
      <c r="L1588" s="1">
        <v>28.8</v>
      </c>
      <c r="M1588" s="1">
        <v>6.4</v>
      </c>
      <c r="N1588" s="1">
        <v>30.5</v>
      </c>
      <c r="O1588" s="1">
        <v>72.431543299</v>
      </c>
      <c r="P1588" s="1">
        <v>16.223645838</v>
      </c>
      <c r="Q1588" s="1">
        <v>77.68043</v>
      </c>
      <c r="R1588" s="1">
        <v>95.0</v>
      </c>
      <c r="S1588" s="1">
        <v>23.0</v>
      </c>
      <c r="T1588" s="1">
        <v>11544.0</v>
      </c>
      <c r="U1588" s="1">
        <v>36.607761608</v>
      </c>
      <c r="V1588" s="1">
        <v>347.3272299</v>
      </c>
      <c r="W1588" s="1">
        <v>14.928801102</v>
      </c>
      <c r="X1588" s="1">
        <v>12.128942486</v>
      </c>
      <c r="Y1588" s="1">
        <v>77.141434607</v>
      </c>
      <c r="Z1588" s="1">
        <v>10.1</v>
      </c>
      <c r="AA1588" s="1">
        <v>15.663205921</v>
      </c>
      <c r="AB1588" s="1">
        <v>40887.0</v>
      </c>
      <c r="AC1588" s="1">
        <v>63.9510446289999</v>
      </c>
      <c r="AD1588" s="1">
        <v>59.885540553</v>
      </c>
      <c r="AE1588" s="1">
        <v>12.782826409</v>
      </c>
      <c r="AF1588" s="1">
        <v>1.4234047125</v>
      </c>
      <c r="AG1588" s="1">
        <v>1.0312969992</v>
      </c>
      <c r="AH1588" s="1">
        <v>1.1208193082</v>
      </c>
      <c r="AI1588" s="1">
        <v>0.1092172169</v>
      </c>
      <c r="AJ1588" s="1">
        <v>6.1519730717</v>
      </c>
      <c r="AK1588" s="1">
        <v>88.507125976</v>
      </c>
      <c r="AL1588" s="1">
        <v>0.7767291934</v>
      </c>
      <c r="AM1588" s="1">
        <v>51.618563346</v>
      </c>
      <c r="AN1588" s="1">
        <v>43.8606676339999</v>
      </c>
      <c r="AO1588" s="1">
        <v>20929.0</v>
      </c>
      <c r="AP1588" s="1">
        <v>17.8</v>
      </c>
      <c r="AQ1588" s="1">
        <v>7.5</v>
      </c>
      <c r="AR1588" s="1">
        <v>11.8</v>
      </c>
      <c r="AS1588" s="1">
        <v>19.7</v>
      </c>
      <c r="AT1588" s="1">
        <v>21.2</v>
      </c>
      <c r="AU1588" s="1">
        <v>18.0</v>
      </c>
      <c r="AV1588" s="1">
        <v>10.2</v>
      </c>
      <c r="AW1588" s="1">
        <v>0.9</v>
      </c>
      <c r="AX1588" s="1">
        <v>0.7743</v>
      </c>
      <c r="AY1588" s="1">
        <v>12.6</v>
      </c>
      <c r="AZ1588" s="1">
        <v>15.8</v>
      </c>
      <c r="BA1588" s="1">
        <v>19.5</v>
      </c>
      <c r="BB1588" s="1">
        <v>3.21</v>
      </c>
      <c r="BC1588" s="1" t="s">
        <v>2554</v>
      </c>
      <c r="BD1588" s="1">
        <v>11.1</v>
      </c>
      <c r="BE1588" s="1">
        <v>33.6</v>
      </c>
      <c r="BF1588" s="1">
        <v>35.4</v>
      </c>
      <c r="BG1588" s="1">
        <v>19.9</v>
      </c>
      <c r="BH1588" s="1" t="s">
        <v>2696</v>
      </c>
    </row>
    <row r="1589">
      <c r="A1589" s="1">
        <v>29215.0</v>
      </c>
      <c r="B1589" s="2" t="str">
        <f>IFERROR(__xludf.DUMMYFUNCTION("TO_TEXT(A1589)"),"29215")</f>
        <v>29215</v>
      </c>
      <c r="C1589" s="1">
        <v>25690.0</v>
      </c>
      <c r="D1589" s="1">
        <v>1177.26536264749</v>
      </c>
      <c r="E1589" s="1" t="s">
        <v>2697</v>
      </c>
      <c r="F1589" s="1" t="s">
        <v>2698</v>
      </c>
      <c r="G1589" s="1">
        <v>21.8217581312569</v>
      </c>
      <c r="H1589" s="1">
        <v>22.045718411</v>
      </c>
      <c r="I1589" s="1">
        <v>4.84226441029999</v>
      </c>
      <c r="J1589" s="1">
        <v>7.8209542548</v>
      </c>
      <c r="K1589" s="1">
        <v>22.921850098</v>
      </c>
      <c r="L1589" s="1">
        <v>31.0</v>
      </c>
      <c r="M1589" s="1">
        <v>7.1</v>
      </c>
      <c r="N1589" s="1">
        <v>29.5</v>
      </c>
      <c r="O1589" s="1">
        <v>65.668255921</v>
      </c>
      <c r="P1589" s="1">
        <v>16.692811165</v>
      </c>
      <c r="Q1589" s="1">
        <v>34.97183</v>
      </c>
      <c r="R1589" s="1">
        <v>91.544117647</v>
      </c>
      <c r="S1589" s="1">
        <v>34.8</v>
      </c>
      <c r="T1589" s="1">
        <v>5425.0</v>
      </c>
      <c r="U1589" s="1">
        <v>25.880184332</v>
      </c>
      <c r="V1589" s="1">
        <v>129.9801091</v>
      </c>
      <c r="W1589" s="1">
        <v>14.718614719</v>
      </c>
      <c r="X1589" s="1">
        <v>11.9008264459999</v>
      </c>
      <c r="Y1589" s="1">
        <v>76.860839556</v>
      </c>
      <c r="Z1589" s="1">
        <v>14.2</v>
      </c>
      <c r="AA1589" s="1">
        <v>5.8269960175</v>
      </c>
      <c r="AB1589" s="1">
        <v>34824.0</v>
      </c>
      <c r="AC1589" s="1">
        <v>66.450040617</v>
      </c>
      <c r="AD1589" s="1">
        <v>73.494101681</v>
      </c>
      <c r="AE1589" s="1">
        <v>14.952126475</v>
      </c>
      <c r="AF1589" s="1">
        <v>3.6760392632</v>
      </c>
      <c r="AG1589" s="1">
        <v>0.8994564155</v>
      </c>
      <c r="AH1589" s="1">
        <v>0.3558718861</v>
      </c>
      <c r="AI1589" s="1">
        <v>0.0664815611</v>
      </c>
      <c r="AJ1589" s="1">
        <v>2.1195885965</v>
      </c>
      <c r="AK1589" s="1">
        <v>91.052364006</v>
      </c>
      <c r="AL1589" s="1">
        <v>0.2761178652</v>
      </c>
      <c r="AM1589" s="1">
        <v>47.4795666969999</v>
      </c>
      <c r="AN1589" s="1">
        <v>99.21178099</v>
      </c>
      <c r="AO1589" s="1">
        <v>17367.0</v>
      </c>
      <c r="AP1589" s="1">
        <v>26.2</v>
      </c>
      <c r="AQ1589" s="1">
        <v>7.4</v>
      </c>
      <c r="AR1589" s="1">
        <v>17.9</v>
      </c>
      <c r="AS1589" s="1">
        <v>19.2</v>
      </c>
      <c r="AT1589" s="1">
        <v>23.5</v>
      </c>
      <c r="AU1589" s="1">
        <v>22.5</v>
      </c>
      <c r="AV1589" s="1">
        <v>8.6</v>
      </c>
      <c r="AW1589" s="1">
        <v>0.1</v>
      </c>
      <c r="AX1589" s="1">
        <v>0.8188</v>
      </c>
      <c r="AY1589" s="1">
        <v>21.0</v>
      </c>
      <c r="AZ1589" s="1">
        <v>18.1</v>
      </c>
      <c r="BA1589" s="1">
        <v>23.3</v>
      </c>
      <c r="BB1589" s="1">
        <v>2.93</v>
      </c>
      <c r="BC1589" s="1" t="s">
        <v>2554</v>
      </c>
      <c r="BD1589" s="1">
        <v>16.4</v>
      </c>
      <c r="BE1589" s="1">
        <v>38.6</v>
      </c>
      <c r="BF1589" s="1">
        <v>31.5</v>
      </c>
      <c r="BG1589" s="1">
        <v>13.5</v>
      </c>
      <c r="BH1589" s="1" t="s">
        <v>2698</v>
      </c>
    </row>
    <row r="1590">
      <c r="A1590" s="1">
        <v>29217.0</v>
      </c>
      <c r="B1590" s="2" t="str">
        <f>IFERROR(__xludf.DUMMYFUNCTION("TO_TEXT(A1590)"),"29217")</f>
        <v>29217</v>
      </c>
      <c r="C1590" s="1">
        <v>20836.0</v>
      </c>
      <c r="D1590" s="1">
        <v>826.393009520696</v>
      </c>
      <c r="E1590" s="1" t="s">
        <v>2037</v>
      </c>
      <c r="F1590" s="1" t="s">
        <v>2699</v>
      </c>
      <c r="G1590" s="1">
        <v>25.2131852035931</v>
      </c>
      <c r="H1590" s="1">
        <v>19.855923201</v>
      </c>
      <c r="I1590" s="1">
        <v>4.5751300367</v>
      </c>
      <c r="J1590" s="1">
        <v>6.9252077562</v>
      </c>
      <c r="K1590" s="1">
        <v>20.596814823</v>
      </c>
      <c r="L1590" s="1">
        <v>28.1</v>
      </c>
      <c r="M1590" s="1">
        <v>6.9</v>
      </c>
      <c r="N1590" s="1">
        <v>25.9</v>
      </c>
      <c r="O1590" s="1">
        <v>54.648140271</v>
      </c>
      <c r="P1590" s="1">
        <v>13.089267803</v>
      </c>
      <c r="Q1590" s="1">
        <v>39.14469</v>
      </c>
      <c r="R1590" s="1">
        <v>91.891891892</v>
      </c>
      <c r="S1590" s="1">
        <v>24.0</v>
      </c>
      <c r="T1590" s="1">
        <v>4752.0</v>
      </c>
      <c r="U1590" s="1">
        <v>29.356060606</v>
      </c>
      <c r="V1590" s="1">
        <v>578.4786731</v>
      </c>
      <c r="W1590" s="1">
        <v>13.040828763</v>
      </c>
      <c r="X1590" s="1">
        <v>10.601226994</v>
      </c>
      <c r="Y1590" s="1">
        <v>75.530246975</v>
      </c>
      <c r="Z1590" s="1">
        <v>6.3</v>
      </c>
      <c r="AA1590" s="1">
        <v>14.62104914</v>
      </c>
      <c r="AB1590" s="1">
        <v>42552.0</v>
      </c>
      <c r="AC1590" s="1">
        <v>53.145478375</v>
      </c>
      <c r="AD1590" s="1">
        <v>69.6572827419999</v>
      </c>
      <c r="AE1590" s="1">
        <v>10.716106014</v>
      </c>
      <c r="AF1590" s="1">
        <v>0.9547934528</v>
      </c>
      <c r="AG1590" s="1">
        <v>0.813522993</v>
      </c>
      <c r="AH1590" s="1">
        <v>0.6576383476</v>
      </c>
      <c r="AI1590" s="1">
        <v>0.058456742</v>
      </c>
      <c r="AJ1590" s="1">
        <v>2.1482852689</v>
      </c>
      <c r="AK1590" s="1">
        <v>93.774356976</v>
      </c>
      <c r="AL1590" s="1">
        <v>0.174942114699999</v>
      </c>
      <c r="AM1590" s="1">
        <v>51.105806703</v>
      </c>
      <c r="AN1590" s="1">
        <v>58.258896923</v>
      </c>
      <c r="AO1590" s="1">
        <v>21246.0</v>
      </c>
      <c r="AP1590" s="1">
        <v>17.4</v>
      </c>
      <c r="AQ1590" s="1">
        <v>4.6</v>
      </c>
      <c r="AR1590" s="1">
        <v>12.6</v>
      </c>
      <c r="AS1590" s="1">
        <v>17.5</v>
      </c>
      <c r="AT1590" s="1">
        <v>24.5</v>
      </c>
      <c r="AU1590" s="1">
        <v>18.3</v>
      </c>
      <c r="AV1590" s="1">
        <v>5.8</v>
      </c>
      <c r="AW1590" s="1">
        <v>0.2</v>
      </c>
      <c r="AX1590" s="1">
        <v>0.5836</v>
      </c>
      <c r="AY1590" s="1">
        <v>17.1</v>
      </c>
      <c r="AZ1590" s="1">
        <v>13.4</v>
      </c>
      <c r="BA1590" s="1">
        <v>15.8</v>
      </c>
      <c r="BB1590" s="1">
        <v>3.0</v>
      </c>
      <c r="BC1590" s="1" t="s">
        <v>2554</v>
      </c>
      <c r="BD1590" s="1">
        <v>11.7</v>
      </c>
      <c r="BE1590" s="1">
        <v>40.5</v>
      </c>
      <c r="BF1590" s="1">
        <v>29.0</v>
      </c>
      <c r="BG1590" s="1">
        <v>18.9</v>
      </c>
      <c r="BH1590" s="1" t="s">
        <v>2699</v>
      </c>
    </row>
    <row r="1591">
      <c r="A1591" s="1">
        <v>29219.0</v>
      </c>
      <c r="B1591" s="2" t="str">
        <f>IFERROR(__xludf.DUMMYFUNCTION("TO_TEXT(A1591)"),"29219")</f>
        <v>29219</v>
      </c>
      <c r="C1591" s="1">
        <v>33290.0</v>
      </c>
      <c r="D1591" s="1">
        <v>428.60046335712</v>
      </c>
      <c r="E1591" s="1" t="s">
        <v>1045</v>
      </c>
      <c r="F1591" s="1" t="s">
        <v>2700</v>
      </c>
      <c r="G1591" s="1">
        <v>77.6714045972974</v>
      </c>
      <c r="H1591" s="1">
        <v>17.1565228459999</v>
      </c>
      <c r="I1591" s="1">
        <v>4.3728301526</v>
      </c>
      <c r="J1591" s="1">
        <v>6.4027538726</v>
      </c>
      <c r="K1591" s="1">
        <v>19.527600634</v>
      </c>
      <c r="L1591" s="1">
        <v>36.1</v>
      </c>
      <c r="M1591" s="1">
        <v>8.4</v>
      </c>
      <c r="N1591" s="1">
        <v>26.3</v>
      </c>
      <c r="O1591" s="1">
        <v>69.741334236</v>
      </c>
      <c r="P1591" s="1">
        <v>10.497923839</v>
      </c>
      <c r="Q1591" s="1">
        <v>17.45556</v>
      </c>
      <c r="R1591" s="1">
        <v>90.449438202</v>
      </c>
      <c r="S1591" s="1">
        <v>16.0</v>
      </c>
      <c r="T1591" s="1">
        <v>8139.0</v>
      </c>
      <c r="U1591" s="1">
        <v>28.504730311</v>
      </c>
      <c r="V1591" s="1">
        <v>415.01290313</v>
      </c>
      <c r="W1591" s="1">
        <v>14.249471459</v>
      </c>
      <c r="X1591" s="1">
        <v>11.360136869</v>
      </c>
      <c r="Y1591" s="1">
        <v>78.02847817</v>
      </c>
      <c r="Z1591" s="1">
        <v>7.3</v>
      </c>
      <c r="AA1591" s="1">
        <v>2.1097449848</v>
      </c>
      <c r="AB1591" s="1">
        <v>62056.0</v>
      </c>
      <c r="AC1591" s="1">
        <v>52.687101911</v>
      </c>
      <c r="AD1591" s="1">
        <v>77.820470896</v>
      </c>
      <c r="AE1591" s="1">
        <v>10.385483736</v>
      </c>
      <c r="AF1591" s="1">
        <v>2.2240788223</v>
      </c>
      <c r="AG1591" s="1">
        <v>0.6021146034</v>
      </c>
      <c r="AH1591" s="1">
        <v>0.4551871165</v>
      </c>
      <c r="AI1591" s="1">
        <v>0.0432139668</v>
      </c>
      <c r="AJ1591" s="1">
        <v>3.3706894068</v>
      </c>
      <c r="AK1591" s="1">
        <v>91.777822592</v>
      </c>
      <c r="AL1591" s="1">
        <v>0.4455539405</v>
      </c>
      <c r="AM1591" s="1">
        <v>50.0878683989999</v>
      </c>
      <c r="AN1591" s="1">
        <v>63.039399625</v>
      </c>
      <c r="AO1591" s="1">
        <v>24870.0</v>
      </c>
      <c r="AP1591" s="1">
        <v>13.6</v>
      </c>
      <c r="AQ1591" s="1">
        <v>6.6</v>
      </c>
      <c r="AR1591" s="1">
        <v>14.2</v>
      </c>
      <c r="AS1591" s="1">
        <v>16.4</v>
      </c>
      <c r="AT1591" s="1">
        <v>24.5</v>
      </c>
      <c r="AU1591" s="1">
        <v>15.0</v>
      </c>
      <c r="AV1591" s="1">
        <v>7.9</v>
      </c>
      <c r="AW1591" s="1">
        <v>0.6</v>
      </c>
      <c r="AX1591" s="1">
        <v>0.4575</v>
      </c>
      <c r="AY1591" s="1">
        <v>10.0</v>
      </c>
      <c r="AZ1591" s="1">
        <v>11.9</v>
      </c>
      <c r="BA1591" s="1">
        <v>15.6</v>
      </c>
      <c r="BB1591" s="1">
        <v>2.66</v>
      </c>
      <c r="BC1591" s="1" t="s">
        <v>2554</v>
      </c>
      <c r="BD1591" s="1">
        <v>11.3</v>
      </c>
      <c r="BE1591" s="1">
        <v>37.6</v>
      </c>
      <c r="BF1591" s="1">
        <v>32.0</v>
      </c>
      <c r="BG1591" s="1">
        <v>19.1</v>
      </c>
      <c r="BH1591" s="1" t="s">
        <v>2700</v>
      </c>
    </row>
    <row r="1592">
      <c r="A1592" s="1">
        <v>29221.0</v>
      </c>
      <c r="B1592" s="2" t="str">
        <f>IFERROR(__xludf.DUMMYFUNCTION("TO_TEXT(A1592)"),"29221")</f>
        <v>29221</v>
      </c>
      <c r="C1592" s="1">
        <v>25002.0</v>
      </c>
      <c r="D1592" s="1">
        <v>759.870441110032</v>
      </c>
      <c r="E1592" s="1" t="s">
        <v>188</v>
      </c>
      <c r="F1592" s="1" t="s">
        <v>2701</v>
      </c>
      <c r="G1592" s="1">
        <v>32.9029774647855</v>
      </c>
      <c r="H1592" s="1">
        <v>21.9940080869999</v>
      </c>
      <c r="I1592" s="1">
        <v>4.9024282067</v>
      </c>
      <c r="J1592" s="1">
        <v>10.609816559</v>
      </c>
      <c r="K1592" s="1">
        <v>22.261736243</v>
      </c>
      <c r="L1592" s="1">
        <v>31.4</v>
      </c>
      <c r="M1592" s="1">
        <v>7.1</v>
      </c>
      <c r="N1592" s="1">
        <v>33.1</v>
      </c>
      <c r="O1592" s="1">
        <v>59.559436396</v>
      </c>
      <c r="P1592" s="1">
        <v>12.727457043</v>
      </c>
      <c r="Q1592" s="1">
        <v>31.97186</v>
      </c>
      <c r="R1592" s="1">
        <v>97.489539749</v>
      </c>
      <c r="S1592" s="1">
        <v>27.9</v>
      </c>
      <c r="T1592" s="1">
        <v>5644.0</v>
      </c>
      <c r="U1592" s="1">
        <v>30.368532955</v>
      </c>
      <c r="V1592" s="1">
        <v>374.92982597</v>
      </c>
      <c r="W1592" s="1">
        <v>11.885019348</v>
      </c>
      <c r="X1592" s="1">
        <v>9.2324929972</v>
      </c>
      <c r="Y1592" s="1">
        <v>73.633612989</v>
      </c>
      <c r="Z1592" s="1">
        <v>12.0</v>
      </c>
      <c r="AA1592" s="1">
        <v>9.1474342589</v>
      </c>
      <c r="AB1592" s="1">
        <v>38591.0</v>
      </c>
      <c r="AC1592" s="1">
        <v>95.064498037</v>
      </c>
      <c r="AD1592" s="1">
        <v>80.930436691</v>
      </c>
      <c r="AE1592" s="1">
        <v>9.8974536237</v>
      </c>
      <c r="AF1592" s="1">
        <v>2.4415667722</v>
      </c>
      <c r="AG1592" s="1">
        <v>0.4851060418</v>
      </c>
      <c r="AH1592" s="1">
        <v>0.2886581406</v>
      </c>
      <c r="AI1592" s="1">
        <v>0.0320731267</v>
      </c>
      <c r="AJ1592" s="1">
        <v>1.4713546887</v>
      </c>
      <c r="AK1592" s="1">
        <v>94.0343984279999</v>
      </c>
      <c r="AL1592" s="1">
        <v>0.0851825034999999</v>
      </c>
      <c r="AM1592" s="1">
        <v>48.530649882</v>
      </c>
      <c r="AN1592" s="1">
        <v>80.4762849769999</v>
      </c>
      <c r="AO1592" s="1">
        <v>18472.0</v>
      </c>
      <c r="AP1592" s="1">
        <v>19.8</v>
      </c>
      <c r="AQ1592" s="1">
        <v>10.9</v>
      </c>
      <c r="AR1592" s="1">
        <v>23.0</v>
      </c>
      <c r="AS1592" s="1">
        <v>15.2</v>
      </c>
      <c r="AT1592" s="1">
        <v>23.2</v>
      </c>
      <c r="AU1592" s="1">
        <v>26.1</v>
      </c>
      <c r="AV1592" s="1">
        <v>5.5</v>
      </c>
      <c r="AW1592" s="1">
        <v>0.2</v>
      </c>
      <c r="AX1592" s="1">
        <v>0.7606</v>
      </c>
      <c r="AY1592" s="1">
        <v>22.4</v>
      </c>
      <c r="AZ1592" s="1">
        <v>17.0</v>
      </c>
      <c r="BA1592" s="1">
        <v>21.7</v>
      </c>
      <c r="BB1592" s="1">
        <v>2.94</v>
      </c>
      <c r="BC1592" s="1" t="s">
        <v>2554</v>
      </c>
      <c r="BD1592" s="1">
        <v>23.1</v>
      </c>
      <c r="BE1592" s="1">
        <v>37.4</v>
      </c>
      <c r="BF1592" s="1">
        <v>29.7</v>
      </c>
      <c r="BG1592" s="1">
        <v>9.9</v>
      </c>
      <c r="BH1592" s="1" t="s">
        <v>2701</v>
      </c>
    </row>
    <row r="1593">
      <c r="A1593" s="1">
        <v>29223.0</v>
      </c>
      <c r="B1593" s="2" t="str">
        <f>IFERROR(__xludf.DUMMYFUNCTION("TO_TEXT(A1593)"),"29223")</f>
        <v>29223</v>
      </c>
      <c r="C1593" s="1">
        <v>13341.0</v>
      </c>
      <c r="D1593" s="1">
        <v>759.17606716509</v>
      </c>
      <c r="E1593" s="1" t="s">
        <v>1048</v>
      </c>
      <c r="F1593" s="1" t="s">
        <v>2702</v>
      </c>
      <c r="G1593" s="1">
        <v>17.5729986455156</v>
      </c>
      <c r="H1593" s="1">
        <v>23.576817608</v>
      </c>
      <c r="I1593" s="1">
        <v>4.9959505968</v>
      </c>
      <c r="J1593" s="1">
        <v>8.9613034623</v>
      </c>
      <c r="K1593" s="1">
        <v>23.563565367</v>
      </c>
      <c r="L1593" s="1">
        <v>33.9</v>
      </c>
      <c r="M1593" s="1">
        <v>6.3</v>
      </c>
      <c r="N1593" s="1">
        <v>32.8</v>
      </c>
      <c r="O1593" s="1">
        <v>65.5498853639999</v>
      </c>
      <c r="P1593" s="1">
        <v>14.9676133529999</v>
      </c>
      <c r="Q1593" s="1">
        <v>30.08424</v>
      </c>
      <c r="R1593" s="1">
        <v>95.4198473279999</v>
      </c>
      <c r="S1593" s="1">
        <v>35.8</v>
      </c>
      <c r="T1593" s="1">
        <v>2683.0</v>
      </c>
      <c r="U1593" s="1">
        <v>32.799105479</v>
      </c>
      <c r="V1593" s="1">
        <v>194.34893108</v>
      </c>
      <c r="W1593" s="1">
        <v>13.2798573979999</v>
      </c>
      <c r="X1593" s="1">
        <v>9.9099099099</v>
      </c>
      <c r="Y1593" s="1">
        <v>73.936684004</v>
      </c>
      <c r="Z1593" s="1">
        <v>13.0</v>
      </c>
      <c r="AA1593" s="1">
        <v>16.868710695</v>
      </c>
      <c r="AB1593" s="1">
        <v>33703.0</v>
      </c>
      <c r="AC1593" s="1">
        <v>67.934782609</v>
      </c>
      <c r="AD1593" s="1">
        <v>74.394273128</v>
      </c>
      <c r="AE1593" s="1">
        <v>9.9433483102</v>
      </c>
      <c r="AF1593" s="1">
        <v>0.7620789514</v>
      </c>
      <c r="AG1593" s="1">
        <v>0.533455266</v>
      </c>
      <c r="AH1593" s="1">
        <v>0.281969212</v>
      </c>
      <c r="AI1593" s="1">
        <v>0.0381039476</v>
      </c>
      <c r="AJ1593" s="1">
        <v>1.8823350099</v>
      </c>
      <c r="AK1593" s="1">
        <v>94.642584972</v>
      </c>
      <c r="AL1593" s="1">
        <v>0.126682502</v>
      </c>
      <c r="AM1593" s="1">
        <v>50.815424478</v>
      </c>
      <c r="AN1593" s="1">
        <v>100.0</v>
      </c>
      <c r="AO1593" s="1">
        <v>18378.0</v>
      </c>
      <c r="AP1593" s="1">
        <v>23.0</v>
      </c>
      <c r="AQ1593" s="1">
        <v>9.1</v>
      </c>
      <c r="AR1593" s="1">
        <v>24.7</v>
      </c>
      <c r="AS1593" s="1">
        <v>21.9</v>
      </c>
      <c r="AT1593" s="1">
        <v>21.0</v>
      </c>
      <c r="AU1593" s="1">
        <v>28.1</v>
      </c>
      <c r="AV1593" s="1">
        <v>4.4</v>
      </c>
      <c r="AW1593" s="1">
        <v>0.1</v>
      </c>
      <c r="AX1593" s="1">
        <v>0.724</v>
      </c>
      <c r="AY1593" s="1">
        <v>20.6</v>
      </c>
      <c r="AZ1593" s="1">
        <v>19.9</v>
      </c>
      <c r="BA1593" s="1">
        <v>25.0</v>
      </c>
      <c r="BB1593" s="1">
        <v>2.73</v>
      </c>
      <c r="BC1593" s="1" t="s">
        <v>2554</v>
      </c>
      <c r="BD1593" s="1">
        <v>23.8</v>
      </c>
      <c r="BE1593" s="1">
        <v>39.0</v>
      </c>
      <c r="BF1593" s="1">
        <v>27.7</v>
      </c>
      <c r="BG1593" s="1">
        <v>9.6</v>
      </c>
      <c r="BH1593" s="1" t="s">
        <v>2702</v>
      </c>
    </row>
    <row r="1594">
      <c r="A1594" s="1">
        <v>29225.0</v>
      </c>
      <c r="B1594" s="2" t="str">
        <f>IFERROR(__xludf.DUMMYFUNCTION("TO_TEXT(A1594)"),"29225")</f>
        <v>29225</v>
      </c>
      <c r="C1594" s="1">
        <v>37075.0</v>
      </c>
      <c r="D1594" s="1">
        <v>592.562434815682</v>
      </c>
      <c r="E1594" s="1" t="s">
        <v>1050</v>
      </c>
      <c r="F1594" s="1" t="s">
        <v>2703</v>
      </c>
      <c r="G1594" s="1">
        <v>62.5672466252983</v>
      </c>
      <c r="H1594" s="1">
        <v>20.094296154</v>
      </c>
      <c r="I1594" s="1">
        <v>4.7847075552</v>
      </c>
      <c r="J1594" s="1">
        <v>5.81187866429999</v>
      </c>
      <c r="K1594" s="1">
        <v>22.363147034</v>
      </c>
      <c r="L1594" s="1">
        <v>27.5</v>
      </c>
      <c r="M1594" s="1">
        <v>7.8</v>
      </c>
      <c r="N1594" s="1">
        <v>25.0</v>
      </c>
      <c r="O1594" s="1">
        <v>55.403016408</v>
      </c>
      <c r="P1594" s="1">
        <v>14.751562599</v>
      </c>
      <c r="Q1594" s="1">
        <v>25.86318</v>
      </c>
      <c r="R1594" s="1">
        <v>90.060240964</v>
      </c>
      <c r="S1594" s="1">
        <v>24.7</v>
      </c>
      <c r="T1594" s="1">
        <v>10239.0</v>
      </c>
      <c r="U1594" s="1">
        <v>21.525539603</v>
      </c>
      <c r="V1594" s="1">
        <v>180.52486932</v>
      </c>
      <c r="W1594" s="1">
        <v>14.024390244</v>
      </c>
      <c r="X1594" s="1">
        <v>8.9930822444</v>
      </c>
      <c r="Y1594" s="1">
        <v>77.472225812</v>
      </c>
      <c r="Z1594" s="1">
        <v>13.7</v>
      </c>
      <c r="AA1594" s="1">
        <v>3.7214289336</v>
      </c>
      <c r="AB1594" s="1">
        <v>51141.0</v>
      </c>
      <c r="AC1594" s="1">
        <v>51.620460758</v>
      </c>
      <c r="AD1594" s="1">
        <v>74.29608773</v>
      </c>
      <c r="AE1594" s="1">
        <v>8.0561489167</v>
      </c>
      <c r="AF1594" s="1">
        <v>1.0227824797</v>
      </c>
      <c r="AG1594" s="1">
        <v>0.7977703342</v>
      </c>
      <c r="AH1594" s="1">
        <v>0.3861003861</v>
      </c>
      <c r="AI1594" s="1">
        <v>0.0332404306</v>
      </c>
      <c r="AJ1594" s="1">
        <v>2.0762484339</v>
      </c>
      <c r="AK1594" s="1">
        <v>94.20082334</v>
      </c>
      <c r="AL1594" s="1">
        <v>1.36567121889999</v>
      </c>
      <c r="AM1594" s="1">
        <v>48.95036948</v>
      </c>
      <c r="AN1594" s="1">
        <v>73.929617148</v>
      </c>
      <c r="AO1594" s="1">
        <v>20424.0</v>
      </c>
      <c r="AP1594" s="1">
        <v>18.7</v>
      </c>
      <c r="AQ1594" s="1">
        <v>5.6</v>
      </c>
      <c r="AR1594" s="1">
        <v>14.0</v>
      </c>
      <c r="AS1594" s="1">
        <v>14.5</v>
      </c>
      <c r="AT1594" s="1">
        <v>27.2</v>
      </c>
      <c r="AU1594" s="1">
        <v>14.5</v>
      </c>
      <c r="AV1594" s="1">
        <v>5.3</v>
      </c>
      <c r="AW1594" s="1">
        <v>1.4</v>
      </c>
      <c r="AX1594" s="1">
        <v>0.6453</v>
      </c>
      <c r="AY1594" s="1">
        <v>16.2</v>
      </c>
      <c r="AZ1594" s="1">
        <v>13.4</v>
      </c>
      <c r="BA1594" s="1">
        <v>16.2</v>
      </c>
      <c r="BB1594" s="1">
        <v>2.89</v>
      </c>
      <c r="BC1594" s="1" t="s">
        <v>2554</v>
      </c>
      <c r="BD1594" s="1">
        <v>13.9</v>
      </c>
      <c r="BE1594" s="1">
        <v>37.3</v>
      </c>
      <c r="BF1594" s="1">
        <v>32.0</v>
      </c>
      <c r="BG1594" s="1">
        <v>16.8</v>
      </c>
      <c r="BH1594" s="1" t="s">
        <v>2703</v>
      </c>
    </row>
    <row r="1595">
      <c r="A1595" s="1">
        <v>29227.0</v>
      </c>
      <c r="B1595" s="2" t="str">
        <f>IFERROR(__xludf.DUMMYFUNCTION("TO_TEXT(A1595)"),"29227")</f>
        <v>29227</v>
      </c>
      <c r="C1595" s="1">
        <v>2061.0</v>
      </c>
      <c r="D1595" s="1">
        <v>266.612529107528</v>
      </c>
      <c r="E1595" s="1" t="s">
        <v>1062</v>
      </c>
      <c r="F1595" s="1" t="s">
        <v>2704</v>
      </c>
      <c r="G1595" s="1">
        <v>7.73031937733419</v>
      </c>
      <c r="H1595" s="1">
        <v>18.498004026</v>
      </c>
      <c r="I1595" s="1">
        <v>4.4434642104</v>
      </c>
      <c r="J1595" s="1">
        <v>9.5808383234</v>
      </c>
      <c r="K1595" s="1">
        <v>19.013346855</v>
      </c>
      <c r="L1595" s="1">
        <v>25.4</v>
      </c>
      <c r="M1595" s="1">
        <v>8.1</v>
      </c>
      <c r="N1595" s="1">
        <v>27.7</v>
      </c>
      <c r="O1595" s="1">
        <v>20.91202211</v>
      </c>
      <c r="P1595" s="1">
        <v>12.2987765609999</v>
      </c>
      <c r="Q1595" s="1">
        <v>48.61449</v>
      </c>
      <c r="R1595" s="1">
        <v>97.1428571429999</v>
      </c>
      <c r="S1595" s="1">
        <v>20.0</v>
      </c>
      <c r="T1595" s="1">
        <v>421.0</v>
      </c>
      <c r="U1595" s="1">
        <v>22.802850356</v>
      </c>
      <c r="V1595" s="1">
        <v>72.957198444</v>
      </c>
      <c r="W1595" s="1">
        <v>8.7431693989</v>
      </c>
      <c r="X1595" s="1">
        <v>6.6152149945</v>
      </c>
      <c r="Y1595" s="1">
        <v>72.53081727</v>
      </c>
      <c r="Z1595" s="1">
        <v>22.4</v>
      </c>
      <c r="AA1595" s="1">
        <v>3.9582944669</v>
      </c>
      <c r="AB1595" s="1">
        <v>43119.0</v>
      </c>
      <c r="AC1595" s="1">
        <v>51.097178683</v>
      </c>
      <c r="AD1595" s="1">
        <v>76.752336449</v>
      </c>
      <c r="AE1595" s="1">
        <v>8.2487309645</v>
      </c>
      <c r="AF1595" s="1">
        <v>0.931372549</v>
      </c>
      <c r="AG1595" s="1">
        <v>0.3431372549</v>
      </c>
      <c r="AH1595" s="1">
        <v>0.1960784314</v>
      </c>
      <c r="AI1595" s="1">
        <v>0.0</v>
      </c>
      <c r="AJ1595" s="1">
        <v>1.6176470588</v>
      </c>
      <c r="AK1595" s="1">
        <v>96.2745098039999</v>
      </c>
      <c r="AL1595" s="1">
        <v>0.0</v>
      </c>
      <c r="AM1595" s="1">
        <v>51.764705882</v>
      </c>
      <c r="AN1595" s="1">
        <v>100.0</v>
      </c>
      <c r="AO1595" s="1">
        <v>23292.0</v>
      </c>
      <c r="AP1595" s="1">
        <v>13.1</v>
      </c>
      <c r="AQ1595" s="1">
        <v>4.2</v>
      </c>
      <c r="AR1595" s="1">
        <v>10.9</v>
      </c>
      <c r="AS1595" s="1">
        <v>24.1</v>
      </c>
      <c r="AT1595" s="1">
        <v>20.1</v>
      </c>
      <c r="AU1595" s="1">
        <v>15.3</v>
      </c>
      <c r="AV1595" s="1">
        <v>3.8</v>
      </c>
      <c r="AW1595" s="1">
        <v>0.0</v>
      </c>
      <c r="AX1595" s="1">
        <v>0.1741</v>
      </c>
      <c r="AY1595" s="1">
        <v>14.9</v>
      </c>
      <c r="AZ1595" s="1">
        <v>12.8</v>
      </c>
      <c r="BA1595" s="1">
        <v>16.8</v>
      </c>
      <c r="BB1595" s="1">
        <v>3.06</v>
      </c>
      <c r="BC1595" s="1" t="s">
        <v>2554</v>
      </c>
      <c r="BD1595" s="1">
        <v>10.2</v>
      </c>
      <c r="BE1595" s="1">
        <v>43.6</v>
      </c>
      <c r="BF1595" s="1">
        <v>26.2</v>
      </c>
      <c r="BG1595" s="1">
        <v>20.0</v>
      </c>
      <c r="BH1595" s="1" t="s">
        <v>2704</v>
      </c>
    </row>
    <row r="1596">
      <c r="A1596" s="1">
        <v>29229.0</v>
      </c>
      <c r="B1596" s="2" t="str">
        <f>IFERROR(__xludf.DUMMYFUNCTION("TO_TEXT(A1596)"),"29229")</f>
        <v>29229</v>
      </c>
      <c r="C1596" s="1">
        <v>18378.0</v>
      </c>
      <c r="D1596" s="1">
        <v>681.771246703096</v>
      </c>
      <c r="E1596" s="1" t="s">
        <v>1585</v>
      </c>
      <c r="F1596" s="1" t="s">
        <v>2705</v>
      </c>
      <c r="G1596" s="1">
        <v>26.9562556192743</v>
      </c>
      <c r="H1596" s="1">
        <v>23.8783190919999</v>
      </c>
      <c r="I1596" s="1">
        <v>5.1814589962</v>
      </c>
      <c r="J1596" s="1">
        <v>7.17201166179999</v>
      </c>
      <c r="K1596" s="1">
        <v>24.827808585</v>
      </c>
      <c r="L1596" s="1">
        <v>29.2</v>
      </c>
      <c r="M1596" s="1">
        <v>7.0</v>
      </c>
      <c r="N1596" s="1">
        <v>30.0</v>
      </c>
      <c r="O1596" s="1">
        <v>33.765612543</v>
      </c>
      <c r="P1596" s="1">
        <v>16.500760404</v>
      </c>
      <c r="Q1596" s="1">
        <v>16.36572</v>
      </c>
      <c r="R1596" s="1">
        <v>98.598130841</v>
      </c>
      <c r="S1596" s="1">
        <v>39.9</v>
      </c>
      <c r="T1596" s="1">
        <v>4483.0</v>
      </c>
      <c r="U1596" s="1">
        <v>31.786749944</v>
      </c>
      <c r="V1596" s="1">
        <v>276.39280295</v>
      </c>
      <c r="W1596" s="1">
        <v>13.7254901959999</v>
      </c>
      <c r="X1596" s="1">
        <v>10.381150381</v>
      </c>
      <c r="Y1596" s="1">
        <v>73.212407156</v>
      </c>
      <c r="Z1596" s="1">
        <v>16.0</v>
      </c>
      <c r="AA1596" s="1">
        <v>6.05967896679999</v>
      </c>
      <c r="AB1596" s="1">
        <v>35293.0</v>
      </c>
      <c r="AC1596" s="1">
        <v>64.239631336</v>
      </c>
      <c r="AD1596" s="1">
        <v>69.37739989</v>
      </c>
      <c r="AE1596" s="1">
        <v>11.4138438879999</v>
      </c>
      <c r="AF1596" s="1">
        <v>0.538687561199999</v>
      </c>
      <c r="AG1596" s="1">
        <v>0.7073675046</v>
      </c>
      <c r="AH1596" s="1">
        <v>0.4080966373</v>
      </c>
      <c r="AI1596" s="1">
        <v>0.0816193275</v>
      </c>
      <c r="AJ1596" s="1">
        <v>1.980629013</v>
      </c>
      <c r="AK1596" s="1">
        <v>95.015779737</v>
      </c>
      <c r="AL1596" s="1">
        <v>0.9272300469</v>
      </c>
      <c r="AM1596" s="1">
        <v>50.8923713139999</v>
      </c>
      <c r="AN1596" s="1">
        <v>76.625033218</v>
      </c>
      <c r="AO1596" s="1">
        <v>18502.0</v>
      </c>
      <c r="AP1596" s="1">
        <v>25.3</v>
      </c>
      <c r="AQ1596" s="1">
        <v>9.1</v>
      </c>
      <c r="AR1596" s="1">
        <v>20.7</v>
      </c>
      <c r="AS1596" s="1">
        <v>18.7</v>
      </c>
      <c r="AT1596" s="1">
        <v>25.0</v>
      </c>
      <c r="AU1596" s="1">
        <v>20.0</v>
      </c>
      <c r="AV1596" s="1">
        <v>4.5</v>
      </c>
      <c r="AW1596" s="1">
        <v>0.3</v>
      </c>
      <c r="AX1596" s="1">
        <v>0.7972</v>
      </c>
      <c r="AY1596" s="1">
        <v>19.6</v>
      </c>
      <c r="AZ1596" s="1">
        <v>17.8</v>
      </c>
      <c r="BA1596" s="1">
        <v>24.1</v>
      </c>
      <c r="BB1596" s="1">
        <v>2.76</v>
      </c>
      <c r="BC1596" s="1" t="s">
        <v>2554</v>
      </c>
      <c r="BD1596" s="1">
        <v>19.6</v>
      </c>
      <c r="BE1596" s="1">
        <v>45.5</v>
      </c>
      <c r="BF1596" s="1">
        <v>24.8</v>
      </c>
      <c r="BG1596" s="1">
        <v>10.2</v>
      </c>
      <c r="BH1596" s="1" t="s">
        <v>2705</v>
      </c>
    </row>
    <row r="1597">
      <c r="A1597" s="1">
        <v>29510.0</v>
      </c>
      <c r="B1597" s="2" t="str">
        <f>IFERROR(__xludf.DUMMYFUNCTION("TO_TEXT(A1597)"),"29510")</f>
        <v>29510</v>
      </c>
      <c r="C1597" s="1">
        <v>316030.0</v>
      </c>
      <c r="D1597" s="1">
        <v>61.953171704488</v>
      </c>
      <c r="E1597" s="1" t="s">
        <v>2706</v>
      </c>
      <c r="F1597" s="1" t="s">
        <v>2707</v>
      </c>
      <c r="G1597" s="1">
        <v>5101.11090853329</v>
      </c>
      <c r="H1597" s="1">
        <v>21.999932693</v>
      </c>
      <c r="I1597" s="1">
        <v>4.4932521639</v>
      </c>
      <c r="J1597" s="1">
        <v>12.5589452409999</v>
      </c>
      <c r="K1597" s="1">
        <v>24.601234178</v>
      </c>
      <c r="L1597" s="1">
        <v>34.4</v>
      </c>
      <c r="M1597" s="1">
        <v>6.0</v>
      </c>
      <c r="N1597" s="1">
        <v>26.3</v>
      </c>
      <c r="O1597" s="1">
        <v>97.937950604</v>
      </c>
      <c r="P1597" s="1">
        <v>12.535590372</v>
      </c>
      <c r="Q1597" s="1">
        <v>88.13256</v>
      </c>
      <c r="R1597" s="1">
        <v>80.219146482</v>
      </c>
      <c r="S1597" s="1">
        <v>38.4</v>
      </c>
      <c r="T1597" s="1">
        <v>60345.0</v>
      </c>
      <c r="U1597" s="1">
        <v>60.9147402439999</v>
      </c>
      <c r="V1597" s="1">
        <v>1819.5144065</v>
      </c>
      <c r="W1597" s="1">
        <v>22.088998323</v>
      </c>
      <c r="X1597" s="1">
        <v>20.319235013</v>
      </c>
      <c r="Y1597" s="1">
        <v>73.871902672</v>
      </c>
      <c r="Z1597" s="1">
        <v>11.5</v>
      </c>
      <c r="AA1597" s="1">
        <v>3.3289368101</v>
      </c>
      <c r="AB1597" s="1">
        <v>43263.0</v>
      </c>
      <c r="AC1597" s="1">
        <v>92.9939856239999</v>
      </c>
      <c r="AD1597" s="1">
        <v>43.373322416</v>
      </c>
      <c r="AE1597" s="1">
        <v>20.308544187</v>
      </c>
      <c r="AF1597" s="1">
        <v>45.559341958</v>
      </c>
      <c r="AG1597" s="1">
        <v>0.3087459302</v>
      </c>
      <c r="AH1597" s="1">
        <v>3.5173921371</v>
      </c>
      <c r="AI1597" s="1">
        <v>0.0482105944</v>
      </c>
      <c r="AJ1597" s="1">
        <v>4.1305912732</v>
      </c>
      <c r="AK1597" s="1">
        <v>44.274166386</v>
      </c>
      <c r="AL1597" s="1">
        <v>1.8822034044</v>
      </c>
      <c r="AM1597" s="1">
        <v>51.607129885</v>
      </c>
      <c r="AN1597" s="1">
        <v>3.13191E-4</v>
      </c>
      <c r="AO1597" s="1">
        <v>25434.0</v>
      </c>
      <c r="AP1597" s="1">
        <v>26.7</v>
      </c>
      <c r="AQ1597" s="1">
        <v>10.6</v>
      </c>
      <c r="AR1597" s="1">
        <v>15.5</v>
      </c>
      <c r="AS1597" s="1">
        <v>11.4</v>
      </c>
      <c r="AT1597" s="1">
        <v>20.2</v>
      </c>
      <c r="AU1597" s="1">
        <v>15.5</v>
      </c>
      <c r="AV1597" s="1">
        <v>57.3</v>
      </c>
      <c r="AW1597" s="1">
        <v>1.7</v>
      </c>
      <c r="AX1597" s="1">
        <v>0.8128</v>
      </c>
      <c r="AY1597" s="1">
        <v>20.4</v>
      </c>
      <c r="AZ1597" s="1">
        <v>18.2</v>
      </c>
      <c r="BA1597" s="1">
        <v>21.8</v>
      </c>
      <c r="BB1597" s="1">
        <v>3.25</v>
      </c>
      <c r="BC1597" s="1" t="s">
        <v>2554</v>
      </c>
      <c r="BD1597" s="1">
        <v>12.2</v>
      </c>
      <c r="BE1597" s="1">
        <v>23.9</v>
      </c>
      <c r="BF1597" s="1">
        <v>27.5</v>
      </c>
      <c r="BG1597" s="1">
        <v>36.3</v>
      </c>
      <c r="BH1597" s="1" t="s">
        <v>2707</v>
      </c>
    </row>
    <row r="1598">
      <c r="A1598" s="1">
        <v>30001.0</v>
      </c>
      <c r="B1598" s="2" t="str">
        <f>IFERROR(__xludf.DUMMYFUNCTION("TO_TEXT(A1598)"),"30001")</f>
        <v>30001</v>
      </c>
      <c r="C1598" s="1">
        <v>9317.0</v>
      </c>
      <c r="D1598" s="1">
        <v>5542.68506369352</v>
      </c>
      <c r="E1598" s="1" t="s">
        <v>2708</v>
      </c>
      <c r="F1598" s="1" t="s">
        <v>2709</v>
      </c>
      <c r="G1598" s="1">
        <v>1.68095424743316</v>
      </c>
      <c r="H1598" s="1">
        <v>13.981102999</v>
      </c>
      <c r="I1598" s="1">
        <v>3.5055946527</v>
      </c>
      <c r="J1598" s="1">
        <v>7.8175895765</v>
      </c>
      <c r="K1598" s="1">
        <v>14.6122034659999</v>
      </c>
      <c r="L1598" s="1">
        <v>26.7</v>
      </c>
      <c r="M1598" s="1">
        <v>7.6</v>
      </c>
      <c r="N1598" s="1">
        <v>21.8</v>
      </c>
      <c r="O1598" s="1">
        <v>79.569543586</v>
      </c>
      <c r="P1598" s="1">
        <v>11.708225853</v>
      </c>
      <c r="Q1598" s="1">
        <v>137.79945</v>
      </c>
      <c r="R1598" s="1">
        <v>89.47</v>
      </c>
      <c r="S1598" s="1">
        <v>17.0</v>
      </c>
      <c r="T1598" s="1">
        <v>1648.0</v>
      </c>
      <c r="U1598" s="1">
        <v>14.866504854</v>
      </c>
      <c r="V1598" s="1">
        <v>106.94615261</v>
      </c>
      <c r="W1598" s="1">
        <v>14.837905237</v>
      </c>
      <c r="X1598" s="1">
        <v>12.868565717</v>
      </c>
      <c r="Y1598" s="1">
        <v>80.953495031</v>
      </c>
      <c r="Z1598" s="1">
        <v>7.8</v>
      </c>
      <c r="AA1598" s="1">
        <v>9.2726415223</v>
      </c>
      <c r="AB1598" s="1">
        <v>47674.0</v>
      </c>
      <c r="AC1598" s="1">
        <v>41.114058355</v>
      </c>
      <c r="AD1598" s="1">
        <v>67.136032185</v>
      </c>
      <c r="AE1598" s="1">
        <v>15.903036761</v>
      </c>
      <c r="AF1598" s="1">
        <v>0.3296469587</v>
      </c>
      <c r="AG1598" s="1">
        <v>1.9247128881</v>
      </c>
      <c r="AH1598" s="1">
        <v>0.4785197788</v>
      </c>
      <c r="AI1598" s="1">
        <v>0.3296469587</v>
      </c>
      <c r="AJ1598" s="1">
        <v>4.955338154</v>
      </c>
      <c r="AK1598" s="1">
        <v>90.280731604</v>
      </c>
      <c r="AL1598" s="1">
        <v>0.9982054733</v>
      </c>
      <c r="AM1598" s="1">
        <v>48.596341982</v>
      </c>
      <c r="AN1598" s="1">
        <v>50.151416829</v>
      </c>
      <c r="AO1598" s="1">
        <v>26609.0</v>
      </c>
      <c r="AP1598" s="1">
        <v>17.0</v>
      </c>
      <c r="AQ1598" s="1">
        <v>6.9</v>
      </c>
      <c r="AR1598" s="1">
        <v>6.3</v>
      </c>
      <c r="AS1598" s="1">
        <v>20.0</v>
      </c>
      <c r="AT1598" s="1">
        <v>18.7</v>
      </c>
      <c r="AU1598" s="1">
        <v>14.5</v>
      </c>
      <c r="AV1598" s="1">
        <v>8.4</v>
      </c>
      <c r="AW1598" s="1">
        <v>1.0</v>
      </c>
      <c r="AX1598" s="1">
        <v>0.3231</v>
      </c>
      <c r="AY1598" s="1">
        <v>14.5</v>
      </c>
      <c r="AZ1598" s="1">
        <v>10.0</v>
      </c>
      <c r="BA1598" s="1">
        <v>13.7</v>
      </c>
      <c r="BB1598" s="1">
        <v>3.36</v>
      </c>
      <c r="BC1598" s="1" t="s">
        <v>2710</v>
      </c>
      <c r="BD1598" s="1">
        <v>4.9</v>
      </c>
      <c r="BE1598" s="1">
        <v>28.8</v>
      </c>
      <c r="BF1598" s="1">
        <v>30.9</v>
      </c>
      <c r="BG1598" s="1">
        <v>35.4</v>
      </c>
      <c r="BH1598" s="1" t="s">
        <v>2709</v>
      </c>
    </row>
    <row r="1599">
      <c r="A1599" s="1">
        <v>30003.0</v>
      </c>
      <c r="B1599" s="2" t="str">
        <f>IFERROR(__xludf.DUMMYFUNCTION("TO_TEXT(A1599)"),"30003")</f>
        <v>30003</v>
      </c>
      <c r="C1599" s="1">
        <v>13214.0</v>
      </c>
      <c r="D1599" s="1">
        <v>4997.09396459943</v>
      </c>
      <c r="E1599" s="1" t="s">
        <v>2711</v>
      </c>
      <c r="F1599" s="1" t="s">
        <v>2712</v>
      </c>
      <c r="G1599" s="1">
        <v>2.64433690733274</v>
      </c>
      <c r="H1599" s="1">
        <v>22.656629695</v>
      </c>
      <c r="I1599" s="1">
        <v>4.6493572392</v>
      </c>
      <c r="J1599" s="1">
        <v>7.6169749728</v>
      </c>
      <c r="K1599" s="1">
        <v>28.936442869</v>
      </c>
      <c r="L1599" s="1">
        <v>37.9</v>
      </c>
      <c r="M1599" s="1">
        <v>4.7</v>
      </c>
      <c r="N1599" s="1">
        <v>25.1</v>
      </c>
      <c r="O1599" s="1">
        <v>59.424795958</v>
      </c>
      <c r="P1599" s="1">
        <v>19.419286095</v>
      </c>
      <c r="Q1599" s="1">
        <v>67.36527</v>
      </c>
      <c r="R1599" s="1">
        <v>74.55</v>
      </c>
      <c r="S1599" s="1">
        <v>33.7</v>
      </c>
      <c r="T1599" s="1">
        <v>4412.0</v>
      </c>
      <c r="U1599" s="1">
        <v>40.684496827</v>
      </c>
      <c r="V1599" s="1">
        <v>533.07305353</v>
      </c>
      <c r="W1599" s="1">
        <v>21.944444444</v>
      </c>
      <c r="X1599" s="1">
        <v>8.8034188034</v>
      </c>
      <c r="Y1599" s="1">
        <v>68.84398713</v>
      </c>
      <c r="Z1599" s="1">
        <v>14.6</v>
      </c>
      <c r="AA1599" s="1">
        <v>25.326402702</v>
      </c>
      <c r="AB1599" s="1">
        <v>40425.0</v>
      </c>
      <c r="AC1599" s="1">
        <v>99.732518151</v>
      </c>
      <c r="AD1599" s="1">
        <v>60.103064822</v>
      </c>
      <c r="AE1599" s="1">
        <v>8.4251265258</v>
      </c>
      <c r="AF1599" s="1">
        <v>0.3823661718</v>
      </c>
      <c r="AG1599" s="1">
        <v>66.03688709</v>
      </c>
      <c r="AH1599" s="1">
        <v>0.5248163143</v>
      </c>
      <c r="AI1599" s="1">
        <v>0.0224921278</v>
      </c>
      <c r="AJ1599" s="1">
        <v>6.987554356</v>
      </c>
      <c r="AK1599" s="1">
        <v>26.593192383</v>
      </c>
      <c r="AL1599" s="1">
        <v>0.9504301516</v>
      </c>
      <c r="AM1599" s="1">
        <v>50.209926526</v>
      </c>
      <c r="AN1599" s="1">
        <v>71.908278274</v>
      </c>
      <c r="AO1599" s="1">
        <v>17352.0</v>
      </c>
      <c r="AP1599" s="1">
        <v>27.8</v>
      </c>
      <c r="AQ1599" s="1">
        <v>16.8</v>
      </c>
      <c r="AR1599" s="1">
        <v>13.7</v>
      </c>
      <c r="AS1599" s="1">
        <v>11.0</v>
      </c>
      <c r="AT1599" s="1">
        <v>33.5</v>
      </c>
      <c r="AU1599" s="1">
        <v>10.5</v>
      </c>
      <c r="AV1599" s="1">
        <v>72.0</v>
      </c>
      <c r="AW1599" s="1">
        <v>1.0</v>
      </c>
      <c r="AX1599" s="1">
        <v>0.8548</v>
      </c>
      <c r="AY1599" s="1">
        <v>26.1</v>
      </c>
      <c r="AZ1599" s="1">
        <v>16.4</v>
      </c>
      <c r="BA1599" s="1">
        <v>25.8</v>
      </c>
      <c r="BB1599" s="1">
        <v>3.18</v>
      </c>
      <c r="BC1599" s="1" t="s">
        <v>2710</v>
      </c>
      <c r="BD1599" s="1">
        <v>10.5</v>
      </c>
      <c r="BE1599" s="1">
        <v>35.2</v>
      </c>
      <c r="BF1599" s="1">
        <v>36.2</v>
      </c>
      <c r="BG1599" s="1">
        <v>18.1</v>
      </c>
      <c r="BH1599" s="1" t="s">
        <v>2712</v>
      </c>
    </row>
    <row r="1600">
      <c r="A1600" s="1">
        <v>30005.0</v>
      </c>
      <c r="B1600" s="2" t="str">
        <f>IFERROR(__xludf.DUMMYFUNCTION("TO_TEXT(A1600)"),"30005")</f>
        <v>30005</v>
      </c>
      <c r="C1600" s="1">
        <v>6609.0</v>
      </c>
      <c r="D1600" s="1">
        <v>4227.12054226298</v>
      </c>
      <c r="E1600" s="1" t="s">
        <v>1085</v>
      </c>
      <c r="F1600" s="1" t="s">
        <v>2713</v>
      </c>
      <c r="G1600" s="1">
        <v>1.56347564114221</v>
      </c>
      <c r="H1600" s="1">
        <v>23.1130831119999</v>
      </c>
      <c r="I1600" s="1">
        <v>4.4932418342</v>
      </c>
      <c r="J1600" s="1">
        <v>8.28947368419999</v>
      </c>
      <c r="K1600" s="1">
        <v>26.04204289</v>
      </c>
      <c r="L1600" s="1">
        <v>39.1</v>
      </c>
      <c r="M1600" s="1">
        <v>5.6</v>
      </c>
      <c r="N1600" s="1">
        <v>27.2</v>
      </c>
      <c r="O1600" s="1">
        <v>38.9924510859999</v>
      </c>
      <c r="P1600" s="1">
        <v>17.453686887</v>
      </c>
      <c r="Q1600" s="1">
        <v>59.63029</v>
      </c>
      <c r="R1600" s="1">
        <v>81.11</v>
      </c>
      <c r="S1600" s="1">
        <v>26.7</v>
      </c>
      <c r="T1600" s="1">
        <v>2004.0</v>
      </c>
      <c r="U1600" s="1">
        <v>30.239520958</v>
      </c>
      <c r="V1600" s="1">
        <v>133.1890452</v>
      </c>
      <c r="W1600" s="1">
        <v>14.505494505</v>
      </c>
      <c r="X1600" s="1">
        <v>9.39567710629999</v>
      </c>
      <c r="Y1600" s="1">
        <v>75.072063113</v>
      </c>
      <c r="Z1600" s="1">
        <v>13.6</v>
      </c>
      <c r="AA1600" s="1">
        <v>19.659038432</v>
      </c>
      <c r="AB1600" s="1">
        <v>39237.0</v>
      </c>
      <c r="AC1600" s="1">
        <v>76.587605203</v>
      </c>
      <c r="AD1600" s="1">
        <v>58.879310345</v>
      </c>
      <c r="AE1600" s="1">
        <v>11.527514231</v>
      </c>
      <c r="AF1600" s="1">
        <v>0.3819597473</v>
      </c>
      <c r="AG1600" s="1">
        <v>50.0807991769999</v>
      </c>
      <c r="AH1600" s="1">
        <v>0.2791244307</v>
      </c>
      <c r="AI1600" s="1">
        <v>0.0146907595</v>
      </c>
      <c r="AJ1600" s="1">
        <v>3.8195974732</v>
      </c>
      <c r="AK1600" s="1">
        <v>44.26325841</v>
      </c>
      <c r="AL1600" s="1">
        <v>0.0</v>
      </c>
      <c r="AM1600" s="1">
        <v>49.757602468</v>
      </c>
      <c r="AN1600" s="1">
        <v>100.0</v>
      </c>
      <c r="AO1600" s="1">
        <v>17080.0</v>
      </c>
      <c r="AP1600" s="1">
        <v>28.6</v>
      </c>
      <c r="AQ1600" s="1">
        <v>14.2</v>
      </c>
      <c r="AR1600" s="1">
        <v>10.6</v>
      </c>
      <c r="AS1600" s="1">
        <v>14.2</v>
      </c>
      <c r="AT1600" s="1">
        <v>30.2</v>
      </c>
      <c r="AU1600" s="1">
        <v>19.2</v>
      </c>
      <c r="AV1600" s="1">
        <v>53.3</v>
      </c>
      <c r="AW1600" s="1">
        <v>0.2</v>
      </c>
      <c r="AX1600" s="1">
        <v>0.9255</v>
      </c>
      <c r="AY1600" s="1">
        <v>21.3</v>
      </c>
      <c r="AZ1600" s="1">
        <v>17.8</v>
      </c>
      <c r="BA1600" s="1">
        <v>28.6</v>
      </c>
      <c r="BB1600" s="1">
        <v>3.32</v>
      </c>
      <c r="BC1600" s="1" t="s">
        <v>2710</v>
      </c>
      <c r="BD1600" s="1">
        <v>10.1</v>
      </c>
      <c r="BE1600" s="1">
        <v>27.4</v>
      </c>
      <c r="BF1600" s="1">
        <v>39.7</v>
      </c>
      <c r="BG1600" s="1">
        <v>22.9</v>
      </c>
      <c r="BH1600" s="1" t="s">
        <v>2713</v>
      </c>
    </row>
    <row r="1601">
      <c r="A1601" s="1">
        <v>30007.0</v>
      </c>
      <c r="B1601" s="2" t="str">
        <f>IFERROR(__xludf.DUMMYFUNCTION("TO_TEXT(A1601)"),"30007")</f>
        <v>30007</v>
      </c>
      <c r="C1601" s="1">
        <v>5692.0</v>
      </c>
      <c r="D1601" s="1">
        <v>1192.3324364384</v>
      </c>
      <c r="E1601" s="1" t="s">
        <v>2714</v>
      </c>
      <c r="F1601" s="1" t="s">
        <v>2715</v>
      </c>
      <c r="G1601" s="1">
        <v>4.77383641176658</v>
      </c>
      <c r="H1601" s="1">
        <v>13.077721414</v>
      </c>
      <c r="I1601" s="1">
        <v>3.4912865359</v>
      </c>
      <c r="J1601" s="1">
        <v>3.0136986301</v>
      </c>
      <c r="K1601" s="1">
        <v>15.287036077</v>
      </c>
      <c r="L1601" s="1">
        <v>34.0</v>
      </c>
      <c r="M1601" s="1">
        <v>8.3</v>
      </c>
      <c r="N1601" s="1">
        <v>22.2</v>
      </c>
      <c r="O1601" s="1">
        <v>59.568781183</v>
      </c>
      <c r="P1601" s="1">
        <v>11.293543377</v>
      </c>
      <c r="Q1601" s="1">
        <v>33.69272</v>
      </c>
      <c r="R1601" s="1">
        <v>90.91</v>
      </c>
      <c r="S1601" s="1">
        <v>15.5</v>
      </c>
      <c r="T1601" s="1">
        <v>1141.0</v>
      </c>
      <c r="U1601" s="1">
        <v>12.8834355829999</v>
      </c>
      <c r="V1601" s="1">
        <v>437.75170723</v>
      </c>
      <c r="W1601" s="1">
        <v>10.351966874</v>
      </c>
      <c r="X1601" s="1">
        <v>8.2953131481</v>
      </c>
      <c r="Y1601" s="1">
        <v>79.4996459</v>
      </c>
      <c r="Z1601" s="1">
        <v>8.8</v>
      </c>
      <c r="AA1601" s="1">
        <v>7.2895524863</v>
      </c>
      <c r="AB1601" s="1">
        <v>52840.0</v>
      </c>
      <c r="AC1601" s="1">
        <v>39.970717423</v>
      </c>
      <c r="AD1601" s="1">
        <v>81.446280992</v>
      </c>
      <c r="AE1601" s="1">
        <v>8.5591397849</v>
      </c>
      <c r="AF1601" s="1">
        <v>0.377978636</v>
      </c>
      <c r="AG1601" s="1">
        <v>1.6762530813</v>
      </c>
      <c r="AH1601" s="1">
        <v>0.2958093673</v>
      </c>
      <c r="AI1601" s="1">
        <v>0.1314708299</v>
      </c>
      <c r="AJ1601" s="1">
        <v>2.958093673</v>
      </c>
      <c r="AK1601" s="1">
        <v>93.09778143</v>
      </c>
      <c r="AL1601" s="1">
        <v>0.1973802261</v>
      </c>
      <c r="AM1601" s="1">
        <v>48.8085456039999</v>
      </c>
      <c r="AN1601" s="1">
        <v>100.0</v>
      </c>
      <c r="AO1601" s="1">
        <v>29598.0</v>
      </c>
      <c r="AP1601" s="1">
        <v>8.3</v>
      </c>
      <c r="AQ1601" s="1">
        <v>5.6</v>
      </c>
      <c r="AR1601" s="1">
        <v>6.4</v>
      </c>
      <c r="AS1601" s="1">
        <v>20.5</v>
      </c>
      <c r="AT1601" s="1">
        <v>20.4</v>
      </c>
      <c r="AU1601" s="1">
        <v>16.3</v>
      </c>
      <c r="AV1601" s="1">
        <v>6.3</v>
      </c>
      <c r="AW1601" s="1">
        <v>0.0</v>
      </c>
      <c r="AX1601" s="1">
        <v>0.0347</v>
      </c>
      <c r="AY1601" s="1">
        <v>9.0</v>
      </c>
      <c r="AZ1601" s="1">
        <v>8.9</v>
      </c>
      <c r="BA1601" s="1">
        <v>15.3</v>
      </c>
      <c r="BB1601" s="1">
        <v>3.29</v>
      </c>
      <c r="BC1601" s="1" t="s">
        <v>2710</v>
      </c>
      <c r="BD1601" s="1">
        <v>6.8</v>
      </c>
      <c r="BE1601" s="1">
        <v>32.2</v>
      </c>
      <c r="BF1601" s="1">
        <v>33.9</v>
      </c>
      <c r="BG1601" s="1">
        <v>27.1</v>
      </c>
      <c r="BH1601" s="1" t="s">
        <v>2715</v>
      </c>
    </row>
    <row r="1602">
      <c r="A1602" s="1">
        <v>30009.0</v>
      </c>
      <c r="B1602" s="2" t="str">
        <f>IFERROR(__xludf.DUMMYFUNCTION("TO_TEXT(A1602)"),"30009")</f>
        <v>30009</v>
      </c>
      <c r="C1602" s="1">
        <v>10340.0</v>
      </c>
      <c r="D1602" s="1">
        <v>2047.98533853521</v>
      </c>
      <c r="E1602" s="1" t="s">
        <v>2716</v>
      </c>
      <c r="F1602" s="1" t="s">
        <v>2717</v>
      </c>
      <c r="G1602" s="1">
        <v>5.04886426940708</v>
      </c>
      <c r="H1602" s="1">
        <v>12.251904022</v>
      </c>
      <c r="I1602" s="1">
        <v>3.345689086</v>
      </c>
      <c r="J1602" s="1">
        <v>6.4761904762</v>
      </c>
      <c r="K1602" s="1">
        <v>14.406729612</v>
      </c>
      <c r="L1602" s="1">
        <v>27.5</v>
      </c>
      <c r="M1602" s="1">
        <v>8.0</v>
      </c>
      <c r="N1602" s="1">
        <v>21.5</v>
      </c>
      <c r="O1602" s="1">
        <v>45.356221473</v>
      </c>
      <c r="P1602" s="1">
        <v>11.7316341829999</v>
      </c>
      <c r="Q1602" s="1">
        <v>46.74645</v>
      </c>
      <c r="R1602" s="1">
        <v>92.78</v>
      </c>
      <c r="S1602" s="1">
        <v>15.2</v>
      </c>
      <c r="T1602" s="1">
        <v>1901.0</v>
      </c>
      <c r="U1602" s="1">
        <v>27.354024198</v>
      </c>
      <c r="V1602" s="1">
        <v>234.24801606</v>
      </c>
      <c r="W1602" s="1">
        <v>12.998859749</v>
      </c>
      <c r="X1602" s="1">
        <v>11.327677138</v>
      </c>
      <c r="Y1602" s="1">
        <v>81.159752308</v>
      </c>
      <c r="Z1602" s="1">
        <v>6.1</v>
      </c>
      <c r="AA1602" s="1">
        <v>10.291648352</v>
      </c>
      <c r="AB1602" s="1">
        <v>53661.0</v>
      </c>
      <c r="AC1602" s="1">
        <v>33.5976928619999</v>
      </c>
      <c r="AD1602" s="1">
        <v>78.01809755</v>
      </c>
      <c r="AE1602" s="1">
        <v>11.215166743</v>
      </c>
      <c r="AF1602" s="1">
        <v>0.5413477693</v>
      </c>
      <c r="AG1602" s="1">
        <v>1.2787007654</v>
      </c>
      <c r="AH1602" s="1">
        <v>0.326675378</v>
      </c>
      <c r="AI1602" s="1">
        <v>0.0653350756</v>
      </c>
      <c r="AJ1602" s="1">
        <v>2.5107336196</v>
      </c>
      <c r="AK1602" s="1">
        <v>94.119843196</v>
      </c>
      <c r="AL1602" s="1">
        <v>0.7585459561</v>
      </c>
      <c r="AM1602" s="1">
        <v>49.421317902</v>
      </c>
      <c r="AN1602" s="1">
        <v>100.0</v>
      </c>
      <c r="AO1602" s="1">
        <v>30461.0</v>
      </c>
      <c r="AP1602" s="1">
        <v>10.8</v>
      </c>
      <c r="AQ1602" s="1">
        <v>3.7</v>
      </c>
      <c r="AR1602" s="1">
        <v>6.1</v>
      </c>
      <c r="AS1602" s="1">
        <v>22.7</v>
      </c>
      <c r="AT1602" s="1">
        <v>18.5</v>
      </c>
      <c r="AU1602" s="1">
        <v>15.4</v>
      </c>
      <c r="AV1602" s="1">
        <v>5.2</v>
      </c>
      <c r="AW1602" s="1">
        <v>0.4</v>
      </c>
      <c r="AX1602" s="1">
        <v>0.0334</v>
      </c>
      <c r="AY1602" s="1">
        <v>10.1</v>
      </c>
      <c r="AZ1602" s="1">
        <v>9.3</v>
      </c>
      <c r="BA1602" s="1">
        <v>16.2</v>
      </c>
      <c r="BB1602" s="1">
        <v>3.2</v>
      </c>
      <c r="BC1602" s="1" t="s">
        <v>2710</v>
      </c>
      <c r="BD1602" s="1">
        <v>5.8</v>
      </c>
      <c r="BE1602" s="1">
        <v>31.1</v>
      </c>
      <c r="BF1602" s="1">
        <v>32.7</v>
      </c>
      <c r="BG1602" s="1">
        <v>30.4</v>
      </c>
      <c r="BH1602" s="1" t="s">
        <v>2717</v>
      </c>
    </row>
    <row r="1603">
      <c r="A1603" s="1">
        <v>30011.0</v>
      </c>
      <c r="B1603" s="2" t="str">
        <f>IFERROR(__xludf.DUMMYFUNCTION("TO_TEXT(A1603)"),"30011")</f>
        <v>30011</v>
      </c>
      <c r="C1603" s="1">
        <v>1295.0</v>
      </c>
      <c r="D1603" s="1">
        <v>3340.47609633635</v>
      </c>
      <c r="E1603" s="1" t="s">
        <v>1796</v>
      </c>
      <c r="F1603" s="1" t="s">
        <v>2718</v>
      </c>
      <c r="G1603" s="1">
        <v>0.387669291039167</v>
      </c>
      <c r="H1603" s="1">
        <v>12.068162928</v>
      </c>
      <c r="I1603" s="1">
        <v>3.5252695523</v>
      </c>
      <c r="J1603" s="1">
        <v>7.80443539465</v>
      </c>
      <c r="K1603" s="1">
        <v>14.457302942</v>
      </c>
      <c r="L1603" s="1">
        <v>33.5</v>
      </c>
      <c r="M1603" s="1">
        <v>5.5</v>
      </c>
      <c r="N1603" s="1">
        <v>25.4</v>
      </c>
      <c r="O1603" s="1">
        <v>21.7241379309999</v>
      </c>
      <c r="P1603" s="1">
        <v>12.693156733</v>
      </c>
      <c r="Q1603" s="1">
        <v>0.0</v>
      </c>
      <c r="R1603" s="1">
        <v>77.78</v>
      </c>
      <c r="S1603" s="1">
        <v>20.1</v>
      </c>
      <c r="T1603" s="1">
        <v>255.0</v>
      </c>
      <c r="U1603" s="1">
        <v>10.196078431</v>
      </c>
      <c r="V1603" s="1">
        <v>0.0</v>
      </c>
      <c r="W1603" s="1">
        <v>9.1588785047</v>
      </c>
      <c r="X1603" s="1">
        <v>8.8512241055</v>
      </c>
      <c r="Y1603" s="1">
        <v>77.482572377</v>
      </c>
      <c r="Z1603" s="1">
        <v>12.1</v>
      </c>
      <c r="AA1603" s="1">
        <v>37.607094393</v>
      </c>
      <c r="AB1603" s="1">
        <v>47985.0</v>
      </c>
      <c r="AC1603" s="1">
        <v>47.65625</v>
      </c>
      <c r="AD1603" s="1">
        <v>81.92</v>
      </c>
      <c r="AE1603" s="1">
        <v>12.007168459</v>
      </c>
      <c r="AF1603" s="1">
        <v>0.0807754443</v>
      </c>
      <c r="AG1603" s="1">
        <v>0.8885298869</v>
      </c>
      <c r="AH1603" s="1">
        <v>0.0807754443</v>
      </c>
      <c r="AI1603" s="1">
        <v>0.0</v>
      </c>
      <c r="AJ1603" s="1">
        <v>1.3731825525</v>
      </c>
      <c r="AK1603" s="1">
        <v>96.042003231</v>
      </c>
      <c r="AL1603" s="1">
        <v>0.0</v>
      </c>
      <c r="AM1603" s="1">
        <v>50.323101777</v>
      </c>
      <c r="AN1603" s="1">
        <v>100.0</v>
      </c>
      <c r="AO1603" s="1">
        <v>30728.0</v>
      </c>
      <c r="AP1603" s="1">
        <v>12.7</v>
      </c>
      <c r="AQ1603" s="1">
        <v>2.7</v>
      </c>
      <c r="AR1603" s="1">
        <v>8.0</v>
      </c>
      <c r="AS1603" s="1">
        <v>24.9</v>
      </c>
      <c r="AT1603" s="1">
        <v>19.9</v>
      </c>
      <c r="AU1603" s="1">
        <v>13.5</v>
      </c>
      <c r="AV1603" s="1">
        <v>3.4</v>
      </c>
      <c r="AW1603" s="1">
        <v>0.1</v>
      </c>
      <c r="AX1603" s="1">
        <v>0.0509</v>
      </c>
      <c r="AY1603" s="1">
        <v>14.2</v>
      </c>
      <c r="AZ1603" s="1">
        <v>9.3</v>
      </c>
      <c r="BA1603" s="1">
        <v>17.2</v>
      </c>
      <c r="BB1603" s="1">
        <v>3.19</v>
      </c>
      <c r="BC1603" s="1" t="s">
        <v>2710</v>
      </c>
      <c r="BD1603" s="1">
        <v>7.5</v>
      </c>
      <c r="BE1603" s="1">
        <v>32.7</v>
      </c>
      <c r="BF1603" s="1">
        <v>39.6</v>
      </c>
      <c r="BG1603" s="1">
        <v>20.2</v>
      </c>
      <c r="BH1603" s="1" t="s">
        <v>2718</v>
      </c>
    </row>
    <row r="1604">
      <c r="A1604" s="1">
        <v>30013.0</v>
      </c>
      <c r="B1604" s="2" t="str">
        <f>IFERROR(__xludf.DUMMYFUNCTION("TO_TEXT(A1604)"),"30013")</f>
        <v>30013</v>
      </c>
      <c r="C1604" s="1">
        <v>82049.0</v>
      </c>
      <c r="D1604" s="1">
        <v>2698.18758725728</v>
      </c>
      <c r="E1604" s="1" t="s">
        <v>2719</v>
      </c>
      <c r="F1604" s="1" t="s">
        <v>2720</v>
      </c>
      <c r="G1604" s="1">
        <v>30.4089309384908</v>
      </c>
      <c r="H1604" s="1">
        <v>16.129373528</v>
      </c>
      <c r="I1604" s="1">
        <v>3.818610535</v>
      </c>
      <c r="J1604" s="1">
        <v>7.9776422764</v>
      </c>
      <c r="K1604" s="1">
        <v>16.83570847</v>
      </c>
      <c r="L1604" s="1">
        <v>27.3</v>
      </c>
      <c r="M1604" s="1">
        <v>7.6</v>
      </c>
      <c r="N1604" s="1">
        <v>24.5</v>
      </c>
      <c r="O1604" s="1">
        <v>83.45076051</v>
      </c>
      <c r="P1604" s="1">
        <v>10.082418427</v>
      </c>
      <c r="Q1604" s="1">
        <v>68.58207</v>
      </c>
      <c r="R1604" s="1">
        <v>81.21</v>
      </c>
      <c r="S1604" s="1">
        <v>16.0</v>
      </c>
      <c r="T1604" s="1">
        <v>18159.0</v>
      </c>
      <c r="U1604" s="1">
        <v>30.139324853</v>
      </c>
      <c r="V1604" s="1">
        <v>241.44503948</v>
      </c>
      <c r="W1604" s="1">
        <v>12.624487405</v>
      </c>
      <c r="X1604" s="1">
        <v>10.474220712</v>
      </c>
      <c r="Y1604" s="1">
        <v>77.868738189</v>
      </c>
      <c r="Z1604" s="1">
        <v>8.9</v>
      </c>
      <c r="AA1604" s="1">
        <v>9.3986595588</v>
      </c>
      <c r="AB1604" s="1">
        <v>50054.0</v>
      </c>
      <c r="AC1604" s="1">
        <v>53.694327641</v>
      </c>
      <c r="AD1604" s="1">
        <v>64.202763907</v>
      </c>
      <c r="AE1604" s="1">
        <v>11.020885147</v>
      </c>
      <c r="AF1604" s="1">
        <v>1.5065590436</v>
      </c>
      <c r="AG1604" s="1">
        <v>4.9385740357</v>
      </c>
      <c r="AH1604" s="1">
        <v>0.9602782847</v>
      </c>
      <c r="AI1604" s="1">
        <v>0.1261590093</v>
      </c>
      <c r="AJ1604" s="1">
        <v>4.5894932817</v>
      </c>
      <c r="AK1604" s="1">
        <v>85.014024472</v>
      </c>
      <c r="AL1604" s="1">
        <v>0.1784214945</v>
      </c>
      <c r="AM1604" s="1">
        <v>49.432284458</v>
      </c>
      <c r="AN1604" s="1">
        <v>19.8212155859999</v>
      </c>
      <c r="AO1604" s="1">
        <v>26578.0</v>
      </c>
      <c r="AP1604" s="1">
        <v>14.7</v>
      </c>
      <c r="AQ1604" s="1">
        <v>5.0</v>
      </c>
      <c r="AR1604" s="1">
        <v>8.3</v>
      </c>
      <c r="AS1604" s="1">
        <v>17.1</v>
      </c>
      <c r="AT1604" s="1">
        <v>22.5</v>
      </c>
      <c r="AU1604" s="1">
        <v>15.1</v>
      </c>
      <c r="AV1604" s="1">
        <v>13.9</v>
      </c>
      <c r="AW1604" s="1">
        <v>0.1</v>
      </c>
      <c r="AX1604" s="1">
        <v>0.4034</v>
      </c>
      <c r="AY1604" s="1">
        <v>14.2</v>
      </c>
      <c r="AZ1604" s="1">
        <v>10.6</v>
      </c>
      <c r="BA1604" s="1">
        <v>16.3</v>
      </c>
      <c r="BB1604" s="1">
        <v>3.11</v>
      </c>
      <c r="BC1604" s="1" t="s">
        <v>2710</v>
      </c>
      <c r="BD1604" s="1">
        <v>8.2</v>
      </c>
      <c r="BE1604" s="1">
        <v>32.8</v>
      </c>
      <c r="BF1604" s="1">
        <v>33.3</v>
      </c>
      <c r="BG1604" s="1">
        <v>25.7</v>
      </c>
      <c r="BH1604" s="1" t="s">
        <v>2720</v>
      </c>
    </row>
    <row r="1605">
      <c r="A1605" s="1">
        <v>30015.0</v>
      </c>
      <c r="B1605" s="2" t="str">
        <f>IFERROR(__xludf.DUMMYFUNCTION("TO_TEXT(A1605)"),"30015")</f>
        <v>30015</v>
      </c>
      <c r="C1605" s="1">
        <v>5837.0</v>
      </c>
      <c r="D1605" s="1">
        <v>3972.51586025924</v>
      </c>
      <c r="E1605" s="1" t="s">
        <v>2721</v>
      </c>
      <c r="F1605" s="1" t="s">
        <v>2722</v>
      </c>
      <c r="G1605" s="1">
        <v>1.46934592719764</v>
      </c>
      <c r="H1605" s="1">
        <v>17.199853406</v>
      </c>
      <c r="I1605" s="1">
        <v>4.0935695207</v>
      </c>
      <c r="J1605" s="1">
        <v>9.5238095238</v>
      </c>
      <c r="K1605" s="1">
        <v>19.459858319</v>
      </c>
      <c r="L1605" s="1">
        <v>28.9</v>
      </c>
      <c r="M1605" s="1">
        <v>5.0</v>
      </c>
      <c r="N1605" s="1">
        <v>29.4</v>
      </c>
      <c r="O1605" s="1">
        <v>36.590400826</v>
      </c>
      <c r="P1605" s="1">
        <v>14.934921685</v>
      </c>
      <c r="Q1605" s="1">
        <v>17.34605</v>
      </c>
      <c r="R1605" s="1">
        <v>85.37</v>
      </c>
      <c r="S1605" s="1">
        <v>25.2</v>
      </c>
      <c r="T1605" s="1">
        <v>1377.0</v>
      </c>
      <c r="U1605" s="1">
        <v>24.328249818</v>
      </c>
      <c r="V1605" s="1">
        <v>204.509002055</v>
      </c>
      <c r="W1605" s="1">
        <v>9.0507726269</v>
      </c>
      <c r="X1605" s="1">
        <v>6.4096817571</v>
      </c>
      <c r="Y1605" s="1">
        <v>78.32330867</v>
      </c>
      <c r="Z1605" s="1">
        <v>9.8</v>
      </c>
      <c r="AA1605" s="1">
        <v>34.8038402269999</v>
      </c>
      <c r="AB1605" s="1">
        <v>44645.0</v>
      </c>
      <c r="AC1605" s="1">
        <v>41.430700447</v>
      </c>
      <c r="AD1605" s="1">
        <v>65.24822695</v>
      </c>
      <c r="AE1605" s="1">
        <v>7.72659732539999</v>
      </c>
      <c r="AF1605" s="1">
        <v>0.1740644038</v>
      </c>
      <c r="AG1605" s="1">
        <v>19.07745866</v>
      </c>
      <c r="AH1605" s="1">
        <v>0.45256745</v>
      </c>
      <c r="AI1605" s="1">
        <v>0.1044386423</v>
      </c>
      <c r="AJ1605" s="1">
        <v>2.6109660574</v>
      </c>
      <c r="AK1605" s="1">
        <v>76.953872933</v>
      </c>
      <c r="AL1605" s="1">
        <v>0.9132420091</v>
      </c>
      <c r="AM1605" s="1">
        <v>50.00870322</v>
      </c>
      <c r="AN1605" s="1">
        <v>100.0</v>
      </c>
      <c r="AO1605" s="1">
        <v>22247.0</v>
      </c>
      <c r="AP1605" s="1">
        <v>21.8</v>
      </c>
      <c r="AQ1605" s="1">
        <v>3.4</v>
      </c>
      <c r="AR1605" s="1">
        <v>7.0</v>
      </c>
      <c r="AS1605" s="1">
        <v>18.0</v>
      </c>
      <c r="AT1605" s="1">
        <v>24.5</v>
      </c>
      <c r="AU1605" s="1">
        <v>11.0</v>
      </c>
      <c r="AV1605" s="1">
        <v>23.7</v>
      </c>
      <c r="AW1605" s="1">
        <v>0.5</v>
      </c>
      <c r="AX1605" s="1">
        <v>0.4177</v>
      </c>
      <c r="AY1605" s="1">
        <v>15.4</v>
      </c>
      <c r="AZ1605" s="1">
        <v>11.5</v>
      </c>
      <c r="BA1605" s="1">
        <v>17.7</v>
      </c>
      <c r="BB1605" s="1">
        <v>3.15</v>
      </c>
      <c r="BC1605" s="1" t="s">
        <v>2710</v>
      </c>
      <c r="BD1605" s="1">
        <v>7.4</v>
      </c>
      <c r="BE1605" s="1">
        <v>33.9</v>
      </c>
      <c r="BF1605" s="1">
        <v>30.4</v>
      </c>
      <c r="BG1605" s="1">
        <v>28.3</v>
      </c>
      <c r="BH1605" s="1" t="s">
        <v>2722</v>
      </c>
    </row>
    <row r="1606">
      <c r="A1606" s="1">
        <v>30017.0</v>
      </c>
      <c r="B1606" s="2" t="str">
        <f>IFERROR(__xludf.DUMMYFUNCTION("TO_TEXT(A1606)"),"30017")</f>
        <v>30017</v>
      </c>
      <c r="C1606" s="1">
        <v>11980.0</v>
      </c>
      <c r="D1606" s="1">
        <v>3783.34142742848</v>
      </c>
      <c r="E1606" s="1" t="s">
        <v>561</v>
      </c>
      <c r="F1606" s="1" t="s">
        <v>2723</v>
      </c>
      <c r="G1606" s="1">
        <v>3.1665130493239</v>
      </c>
      <c r="H1606" s="1">
        <v>12.299305801</v>
      </c>
      <c r="I1606" s="1">
        <v>3.6188630257</v>
      </c>
      <c r="J1606" s="1">
        <v>7.6328502415</v>
      </c>
      <c r="K1606" s="1">
        <v>15.2007447559999</v>
      </c>
      <c r="L1606" s="1">
        <v>32.8</v>
      </c>
      <c r="M1606" s="1">
        <v>7.1</v>
      </c>
      <c r="N1606" s="1">
        <v>26.5</v>
      </c>
      <c r="O1606" s="1">
        <v>72.262586546</v>
      </c>
      <c r="P1606" s="1">
        <v>8.9853499729</v>
      </c>
      <c r="Q1606" s="1">
        <v>93.84865</v>
      </c>
      <c r="R1606" s="1">
        <v>92.81</v>
      </c>
      <c r="S1606" s="1">
        <v>16.2</v>
      </c>
      <c r="T1606" s="1">
        <v>2525.0</v>
      </c>
      <c r="U1606" s="1">
        <v>24.475247525</v>
      </c>
      <c r="V1606" s="1">
        <v>210.10999876</v>
      </c>
      <c r="W1606" s="1">
        <v>10.780287474</v>
      </c>
      <c r="X1606" s="1">
        <v>8.9740932642</v>
      </c>
      <c r="Y1606" s="1">
        <v>79.172816213</v>
      </c>
      <c r="Z1606" s="1">
        <v>11.0</v>
      </c>
      <c r="AA1606" s="1">
        <v>19.584426133</v>
      </c>
      <c r="AB1606" s="1">
        <v>50525.0</v>
      </c>
      <c r="AC1606" s="1">
        <v>44.3640747439999</v>
      </c>
      <c r="AD1606" s="1">
        <v>68.74616486</v>
      </c>
      <c r="AE1606" s="1">
        <v>9.8699637604</v>
      </c>
      <c r="AF1606" s="1">
        <v>0.4660797514</v>
      </c>
      <c r="AG1606" s="1">
        <v>2.3562920766</v>
      </c>
      <c r="AH1606" s="1">
        <v>0.6732263076</v>
      </c>
      <c r="AI1606" s="1">
        <v>0.0776799586</v>
      </c>
      <c r="AJ1606" s="1">
        <v>3.5991714138</v>
      </c>
      <c r="AK1606" s="1">
        <v>91.4379423439999</v>
      </c>
      <c r="AL1606" s="1">
        <v>0.4049311617</v>
      </c>
      <c r="AM1606" s="1">
        <v>49.887795615</v>
      </c>
      <c r="AN1606" s="1">
        <v>17.907513463</v>
      </c>
      <c r="AO1606" s="1">
        <v>26742.0</v>
      </c>
      <c r="AP1606" s="1">
        <v>11.2</v>
      </c>
      <c r="AQ1606" s="1">
        <v>2.2</v>
      </c>
      <c r="AR1606" s="1">
        <v>8.6</v>
      </c>
      <c r="AS1606" s="1">
        <v>18.5</v>
      </c>
      <c r="AT1606" s="1">
        <v>21.8</v>
      </c>
      <c r="AU1606" s="1">
        <v>16.2</v>
      </c>
      <c r="AV1606" s="1">
        <v>7.3</v>
      </c>
      <c r="AW1606" s="1">
        <v>0.3</v>
      </c>
      <c r="AX1606" s="1">
        <v>0.2862</v>
      </c>
      <c r="AY1606" s="1">
        <v>13.0</v>
      </c>
      <c r="AZ1606" s="1">
        <v>10.1</v>
      </c>
      <c r="BA1606" s="1">
        <v>15.0</v>
      </c>
      <c r="BB1606" s="1">
        <v>3.2</v>
      </c>
      <c r="BC1606" s="1" t="s">
        <v>2710</v>
      </c>
      <c r="BD1606" s="1">
        <v>8.0</v>
      </c>
      <c r="BE1606" s="1">
        <v>28.7</v>
      </c>
      <c r="BF1606" s="1">
        <v>38.6</v>
      </c>
      <c r="BG1606" s="1">
        <v>24.6</v>
      </c>
      <c r="BH1606" s="1" t="s">
        <v>2723</v>
      </c>
    </row>
    <row r="1607">
      <c r="A1607" s="1">
        <v>30019.0</v>
      </c>
      <c r="B1607" s="2" t="str">
        <f>IFERROR(__xludf.DUMMYFUNCTION("TO_TEXT(A1607)"),"30019")</f>
        <v>30019</v>
      </c>
      <c r="C1607" s="1">
        <v>1787.0</v>
      </c>
      <c r="D1607" s="1">
        <v>1426.01274989756</v>
      </c>
      <c r="E1607" s="1" t="s">
        <v>2724</v>
      </c>
      <c r="F1607" s="1" t="s">
        <v>2725</v>
      </c>
      <c r="G1607" s="1">
        <v>1.2531444758319</v>
      </c>
      <c r="H1607" s="1">
        <v>11.2154802459999</v>
      </c>
      <c r="I1607" s="1">
        <v>3.3011430455</v>
      </c>
      <c r="J1607" s="1">
        <v>7.80443539465</v>
      </c>
      <c r="K1607" s="1">
        <v>13.421796885</v>
      </c>
      <c r="L1607" s="1">
        <v>26.8</v>
      </c>
      <c r="M1607" s="1">
        <v>8.7</v>
      </c>
      <c r="N1607" s="1">
        <v>26.2</v>
      </c>
      <c r="O1607" s="1">
        <v>0.0</v>
      </c>
      <c r="P1607" s="1">
        <v>10.240496509</v>
      </c>
      <c r="Q1607" s="1">
        <v>0.0</v>
      </c>
      <c r="R1607" s="1">
        <v>93.75</v>
      </c>
      <c r="S1607" s="1">
        <v>10.1</v>
      </c>
      <c r="T1607" s="1">
        <v>348.0</v>
      </c>
      <c r="U1607" s="1">
        <v>16.954022989</v>
      </c>
      <c r="V1607" s="1">
        <v>28.003360403</v>
      </c>
      <c r="W1607" s="1">
        <v>12.290502793</v>
      </c>
      <c r="X1607" s="1">
        <v>10.549943883</v>
      </c>
      <c r="Y1607" s="1">
        <v>80.673597618</v>
      </c>
      <c r="Z1607" s="1">
        <v>18.6</v>
      </c>
      <c r="AA1607" s="1">
        <v>6.0242443975</v>
      </c>
      <c r="AB1607" s="1">
        <v>44659.0</v>
      </c>
      <c r="AC1607" s="1">
        <v>24.372759857</v>
      </c>
      <c r="AD1607" s="1">
        <v>80.724299065</v>
      </c>
      <c r="AE1607" s="1">
        <v>10.3117506</v>
      </c>
      <c r="AF1607" s="1">
        <v>0.3434459073</v>
      </c>
      <c r="AG1607" s="1">
        <v>2.9192902118</v>
      </c>
      <c r="AH1607" s="1">
        <v>0.2862049227</v>
      </c>
      <c r="AI1607" s="1">
        <v>0.0</v>
      </c>
      <c r="AJ1607" s="1">
        <v>3.6061820263</v>
      </c>
      <c r="AK1607" s="1">
        <v>91.18488838</v>
      </c>
      <c r="AL1607" s="1">
        <v>0.0</v>
      </c>
      <c r="AM1607" s="1">
        <v>48.425872925</v>
      </c>
      <c r="AN1607" s="1">
        <v>100.0</v>
      </c>
      <c r="AO1607" s="1">
        <v>33909.0</v>
      </c>
      <c r="AP1607" s="1">
        <v>4.8</v>
      </c>
      <c r="AQ1607" s="1">
        <v>2.0</v>
      </c>
      <c r="AR1607" s="1">
        <v>5.2</v>
      </c>
      <c r="AS1607" s="1">
        <v>24.1</v>
      </c>
      <c r="AT1607" s="1">
        <v>19.1</v>
      </c>
      <c r="AU1607" s="1">
        <v>13.6</v>
      </c>
      <c r="AV1607" s="1">
        <v>3.1</v>
      </c>
      <c r="AW1607" s="1">
        <v>0.0</v>
      </c>
      <c r="AX1607" s="1">
        <v>0.0048</v>
      </c>
      <c r="AY1607" s="1">
        <v>11.0</v>
      </c>
      <c r="AZ1607" s="1">
        <v>6.7</v>
      </c>
      <c r="BA1607" s="1">
        <v>11.7</v>
      </c>
      <c r="BB1607" s="1">
        <v>3.56</v>
      </c>
      <c r="BC1607" s="1" t="s">
        <v>2710</v>
      </c>
      <c r="BD1607" s="1">
        <v>4.7</v>
      </c>
      <c r="BE1607" s="1">
        <v>37.0</v>
      </c>
      <c r="BF1607" s="1">
        <v>34.3</v>
      </c>
      <c r="BG1607" s="1">
        <v>24.0</v>
      </c>
      <c r="BH1607" s="1" t="s">
        <v>2725</v>
      </c>
    </row>
    <row r="1608">
      <c r="A1608" s="1">
        <v>30021.0</v>
      </c>
      <c r="B1608" s="2" t="str">
        <f>IFERROR(__xludf.DUMMYFUNCTION("TO_TEXT(A1608)"),"30021")</f>
        <v>30021</v>
      </c>
      <c r="C1608" s="1">
        <v>9431.0</v>
      </c>
      <c r="D1608" s="1">
        <v>2372.15828391995</v>
      </c>
      <c r="E1608" s="1" t="s">
        <v>868</v>
      </c>
      <c r="F1608" s="1" t="s">
        <v>2726</v>
      </c>
      <c r="G1608" s="1">
        <v>3.9757043465141</v>
      </c>
      <c r="H1608" s="1">
        <v>12.23394212</v>
      </c>
      <c r="I1608" s="1">
        <v>3.258868596</v>
      </c>
      <c r="J1608" s="1">
        <v>6.3324538259</v>
      </c>
      <c r="K1608" s="1">
        <v>14.454886166</v>
      </c>
      <c r="L1608" s="1">
        <v>29.0</v>
      </c>
      <c r="M1608" s="1">
        <v>7.9</v>
      </c>
      <c r="N1608" s="1">
        <v>27.6</v>
      </c>
      <c r="O1608" s="1">
        <v>77.436984162</v>
      </c>
      <c r="P1608" s="1">
        <v>7.9768786127</v>
      </c>
      <c r="Q1608" s="1">
        <v>44.69274</v>
      </c>
      <c r="R1608" s="1">
        <v>86.6</v>
      </c>
      <c r="S1608" s="1">
        <v>13.4</v>
      </c>
      <c r="T1608" s="1">
        <v>1856.0</v>
      </c>
      <c r="U1608" s="1">
        <v>16.702586207</v>
      </c>
      <c r="V1608" s="1">
        <v>263.26657031</v>
      </c>
      <c r="W1608" s="1">
        <v>15.269086358</v>
      </c>
      <c r="X1608" s="1">
        <v>8.6540880503</v>
      </c>
      <c r="Y1608" s="1">
        <v>80.727000272</v>
      </c>
      <c r="Z1608" s="1">
        <v>8.4</v>
      </c>
      <c r="AA1608" s="1">
        <v>8.60051460639999</v>
      </c>
      <c r="AB1608" s="1">
        <v>56167.0</v>
      </c>
      <c r="AC1608" s="1">
        <v>28.549262995</v>
      </c>
      <c r="AD1608" s="1">
        <v>68.051359517</v>
      </c>
      <c r="AE1608" s="1">
        <v>5.8518902123</v>
      </c>
      <c r="AF1608" s="1">
        <v>0.4377880184</v>
      </c>
      <c r="AG1608" s="1">
        <v>2.3963133641</v>
      </c>
      <c r="AH1608" s="1">
        <v>0.668202765</v>
      </c>
      <c r="AI1608" s="1">
        <v>0.034562212</v>
      </c>
      <c r="AJ1608" s="1">
        <v>3.064516129</v>
      </c>
      <c r="AK1608" s="1">
        <v>92.131336406</v>
      </c>
      <c r="AL1608" s="1">
        <v>0.034904014</v>
      </c>
      <c r="AM1608" s="1">
        <v>48.479262673</v>
      </c>
      <c r="AN1608" s="1">
        <v>27.57082311</v>
      </c>
      <c r="AO1608" s="1">
        <v>28438.0</v>
      </c>
      <c r="AP1608" s="1">
        <v>15.3</v>
      </c>
      <c r="AQ1608" s="1">
        <v>2.2</v>
      </c>
      <c r="AR1608" s="1">
        <v>7.5</v>
      </c>
      <c r="AS1608" s="1">
        <v>16.9</v>
      </c>
      <c r="AT1608" s="1">
        <v>22.0</v>
      </c>
      <c r="AU1608" s="1">
        <v>14.5</v>
      </c>
      <c r="AV1608" s="1">
        <v>7.1</v>
      </c>
      <c r="AW1608" s="1">
        <v>0.0</v>
      </c>
      <c r="AX1608" s="1">
        <v>0.3044</v>
      </c>
      <c r="AY1608" s="1">
        <v>11.8</v>
      </c>
      <c r="AZ1608" s="1">
        <v>8.8</v>
      </c>
      <c r="BA1608" s="1">
        <v>13.1</v>
      </c>
      <c r="BB1608" s="1">
        <v>3.5</v>
      </c>
      <c r="BC1608" s="1" t="s">
        <v>2710</v>
      </c>
      <c r="BD1608" s="1">
        <v>7.0</v>
      </c>
      <c r="BE1608" s="1">
        <v>34.2</v>
      </c>
      <c r="BF1608" s="1">
        <v>36.7</v>
      </c>
      <c r="BG1608" s="1">
        <v>22.2</v>
      </c>
      <c r="BH1608" s="1" t="s">
        <v>2726</v>
      </c>
    </row>
    <row r="1609">
      <c r="A1609" s="1">
        <v>30023.0</v>
      </c>
      <c r="B1609" s="2" t="str">
        <f>IFERROR(__xludf.DUMMYFUNCTION("TO_TEXT(A1609)"),"30023")</f>
        <v>30023</v>
      </c>
      <c r="C1609" s="1">
        <v>9176.0</v>
      </c>
      <c r="D1609" s="1">
        <v>736.681508273361</v>
      </c>
      <c r="E1609" s="1" t="s">
        <v>2727</v>
      </c>
      <c r="F1609" s="1" t="s">
        <v>2728</v>
      </c>
      <c r="G1609" s="1">
        <v>12.4558576494023</v>
      </c>
      <c r="H1609" s="1">
        <v>17.688345802</v>
      </c>
      <c r="I1609" s="1">
        <v>3.902957146</v>
      </c>
      <c r="J1609" s="1">
        <v>9.2519685039</v>
      </c>
      <c r="K1609" s="1">
        <v>18.76629567</v>
      </c>
      <c r="L1609" s="1">
        <v>28.7</v>
      </c>
      <c r="M1609" s="1">
        <v>8.0</v>
      </c>
      <c r="N1609" s="1">
        <v>33.8</v>
      </c>
      <c r="O1609" s="1">
        <v>73.1447623139999</v>
      </c>
      <c r="P1609" s="1">
        <v>10.112009956</v>
      </c>
      <c r="Q1609" s="1">
        <v>131.78124</v>
      </c>
      <c r="R1609" s="1">
        <v>75.32</v>
      </c>
      <c r="S1609" s="1">
        <v>21.6</v>
      </c>
      <c r="T1609" s="1">
        <v>1312.0</v>
      </c>
      <c r="U1609" s="1">
        <v>36.356707317</v>
      </c>
      <c r="V1609" s="1">
        <v>389.84243868</v>
      </c>
      <c r="W1609" s="1">
        <v>14.395886889</v>
      </c>
      <c r="X1609" s="1">
        <v>10.678851175</v>
      </c>
      <c r="Y1609" s="1">
        <v>75.583901716</v>
      </c>
      <c r="Z1609" s="1">
        <v>14.5</v>
      </c>
      <c r="AA1609" s="1">
        <v>2.9523161564</v>
      </c>
      <c r="AB1609" s="1">
        <v>45641.0</v>
      </c>
      <c r="AC1609" s="1">
        <v>66.42599278</v>
      </c>
      <c r="AD1609" s="1">
        <v>68.612191958</v>
      </c>
      <c r="AE1609" s="1">
        <v>10.691144708</v>
      </c>
      <c r="AF1609" s="1">
        <v>0.4161647136</v>
      </c>
      <c r="AG1609" s="1">
        <v>3.9316613733</v>
      </c>
      <c r="AH1609" s="1">
        <v>0.4709232286</v>
      </c>
      <c r="AI1609" s="1">
        <v>0.0876136239</v>
      </c>
      <c r="AJ1609" s="1">
        <v>3.7126273135</v>
      </c>
      <c r="AK1609" s="1">
        <v>89.760157705</v>
      </c>
      <c r="AL1609" s="1">
        <v>0.0</v>
      </c>
      <c r="AM1609" s="1">
        <v>46.577592816</v>
      </c>
      <c r="AN1609" s="1">
        <v>33.641643364</v>
      </c>
      <c r="AO1609" s="1">
        <v>23192.0</v>
      </c>
      <c r="AP1609" s="1">
        <v>20.8</v>
      </c>
      <c r="AQ1609" s="1">
        <v>3.7</v>
      </c>
      <c r="AR1609" s="1">
        <v>10.5</v>
      </c>
      <c r="AS1609" s="1">
        <v>20.9</v>
      </c>
      <c r="AT1609" s="1">
        <v>15.6</v>
      </c>
      <c r="AU1609" s="1">
        <v>23.6</v>
      </c>
      <c r="AV1609" s="1">
        <v>9.3</v>
      </c>
      <c r="AW1609" s="1">
        <v>0.0</v>
      </c>
      <c r="AX1609" s="1">
        <v>0.4677</v>
      </c>
      <c r="AY1609" s="1">
        <v>15.9</v>
      </c>
      <c r="AZ1609" s="1">
        <v>14.4</v>
      </c>
      <c r="BA1609" s="1">
        <v>21.9</v>
      </c>
      <c r="BB1609" s="1">
        <v>3.33</v>
      </c>
      <c r="BC1609" s="1" t="s">
        <v>2710</v>
      </c>
      <c r="BD1609" s="1">
        <v>8.9</v>
      </c>
      <c r="BE1609" s="1">
        <v>38.1</v>
      </c>
      <c r="BF1609" s="1">
        <v>32.5</v>
      </c>
      <c r="BG1609" s="1">
        <v>20.4</v>
      </c>
      <c r="BH1609" s="1" t="s">
        <v>2728</v>
      </c>
    </row>
    <row r="1610">
      <c r="A1610" s="1">
        <v>30025.0</v>
      </c>
      <c r="B1610" s="2" t="str">
        <f>IFERROR(__xludf.DUMMYFUNCTION("TO_TEXT(A1610)"),"30025")</f>
        <v>30025</v>
      </c>
      <c r="C1610" s="1">
        <v>2913.0</v>
      </c>
      <c r="D1610" s="1">
        <v>1620.54924915712</v>
      </c>
      <c r="E1610" s="1" t="s">
        <v>2729</v>
      </c>
      <c r="F1610" s="1" t="s">
        <v>2730</v>
      </c>
      <c r="G1610" s="1">
        <v>1.79753870579071</v>
      </c>
      <c r="H1610" s="1">
        <v>10.709184716</v>
      </c>
      <c r="I1610" s="1">
        <v>3.2375975822</v>
      </c>
      <c r="J1610" s="1">
        <v>8.2278481013</v>
      </c>
      <c r="K1610" s="1">
        <v>13.49986768</v>
      </c>
      <c r="L1610" s="1">
        <v>35.1</v>
      </c>
      <c r="M1610" s="1">
        <v>8.3</v>
      </c>
      <c r="N1610" s="1">
        <v>25.9</v>
      </c>
      <c r="O1610" s="1">
        <v>53.321799308</v>
      </c>
      <c r="P1610" s="1">
        <v>9.1198725607</v>
      </c>
      <c r="Q1610" s="1">
        <v>66.46726</v>
      </c>
      <c r="R1610" s="1">
        <v>90.91</v>
      </c>
      <c r="S1610" s="1">
        <v>11.4</v>
      </c>
      <c r="T1610" s="1">
        <v>673.0</v>
      </c>
      <c r="U1610" s="1">
        <v>21.545319465</v>
      </c>
      <c r="V1610" s="1">
        <v>187.79342723</v>
      </c>
      <c r="W1610" s="1">
        <v>9.20502092049999</v>
      </c>
      <c r="X1610" s="1">
        <v>7.97649034419999</v>
      </c>
      <c r="Y1610" s="1">
        <v>78.471026514</v>
      </c>
      <c r="Z1610" s="1">
        <v>9.5</v>
      </c>
      <c r="AA1610" s="1">
        <v>6.9467405038</v>
      </c>
      <c r="AB1610" s="1">
        <v>62029.0</v>
      </c>
      <c r="AC1610" s="1">
        <v>24.131627057</v>
      </c>
      <c r="AD1610" s="1">
        <v>67.0506912439999</v>
      </c>
      <c r="AE1610" s="1">
        <v>5.0478677111</v>
      </c>
      <c r="AF1610" s="1">
        <v>0.1712328767</v>
      </c>
      <c r="AG1610" s="1">
        <v>0.8904109589</v>
      </c>
      <c r="AH1610" s="1">
        <v>0.6849315068</v>
      </c>
      <c r="AI1610" s="1">
        <v>0.1712328767</v>
      </c>
      <c r="AJ1610" s="1">
        <v>1.6780821918</v>
      </c>
      <c r="AK1610" s="1">
        <v>95.0</v>
      </c>
      <c r="AL1610" s="1">
        <v>0.0</v>
      </c>
      <c r="AM1610" s="1">
        <v>49.349315068</v>
      </c>
      <c r="AN1610" s="1">
        <v>100.0</v>
      </c>
      <c r="AO1610" s="1">
        <v>31902.0</v>
      </c>
      <c r="AP1610" s="1">
        <v>6.9</v>
      </c>
      <c r="AQ1610" s="1">
        <v>2.9</v>
      </c>
      <c r="AR1610" s="1">
        <v>3.8</v>
      </c>
      <c r="AS1610" s="1">
        <v>15.8</v>
      </c>
      <c r="AT1610" s="1">
        <v>25.3</v>
      </c>
      <c r="AU1610" s="1">
        <v>11.8</v>
      </c>
      <c r="AV1610" s="1">
        <v>5.5</v>
      </c>
      <c r="AW1610" s="1">
        <v>0.0</v>
      </c>
      <c r="AX1610" s="1">
        <v>0.0159</v>
      </c>
      <c r="AY1610" s="1">
        <v>9.7</v>
      </c>
      <c r="AZ1610" s="1">
        <v>8.2</v>
      </c>
      <c r="BA1610" s="1">
        <v>12.3</v>
      </c>
      <c r="BB1610" s="1">
        <v>3.42</v>
      </c>
      <c r="BC1610" s="1" t="s">
        <v>2710</v>
      </c>
      <c r="BD1610" s="1">
        <v>5.4</v>
      </c>
      <c r="BE1610" s="1">
        <v>37.5</v>
      </c>
      <c r="BF1610" s="1">
        <v>38.1</v>
      </c>
      <c r="BG1610" s="1">
        <v>19.0</v>
      </c>
      <c r="BH1610" s="1" t="s">
        <v>2730</v>
      </c>
    </row>
    <row r="1611">
      <c r="A1611" s="1">
        <v>30027.0</v>
      </c>
      <c r="B1611" s="2" t="str">
        <f>IFERROR(__xludf.DUMMYFUNCTION("TO_TEXT(A1611)"),"30027")</f>
        <v>30027</v>
      </c>
      <c r="C1611" s="1">
        <v>11429.0</v>
      </c>
      <c r="D1611" s="1">
        <v>4339.32723792594</v>
      </c>
      <c r="E1611" s="1" t="s">
        <v>2731</v>
      </c>
      <c r="F1611" s="1" t="s">
        <v>2732</v>
      </c>
      <c r="G1611" s="1">
        <v>2.63381841777453</v>
      </c>
      <c r="H1611" s="1">
        <v>14.152170974</v>
      </c>
      <c r="I1611" s="1">
        <v>3.6750920618</v>
      </c>
      <c r="J1611" s="1">
        <v>7.07547169809999</v>
      </c>
      <c r="K1611" s="1">
        <v>14.649975433</v>
      </c>
      <c r="L1611" s="1">
        <v>30.8</v>
      </c>
      <c r="M1611" s="1">
        <v>7.5</v>
      </c>
      <c r="N1611" s="1">
        <v>26.0</v>
      </c>
      <c r="O1611" s="1">
        <v>71.957534956</v>
      </c>
      <c r="P1611" s="1">
        <v>11.46254459</v>
      </c>
      <c r="Q1611" s="1">
        <v>70.85289</v>
      </c>
      <c r="R1611" s="1">
        <v>90.63</v>
      </c>
      <c r="S1611" s="1">
        <v>16.2</v>
      </c>
      <c r="T1611" s="1">
        <v>2261.0</v>
      </c>
      <c r="U1611" s="1">
        <v>35.161432994</v>
      </c>
      <c r="V1611" s="1">
        <v>502.02994718</v>
      </c>
      <c r="W1611" s="1">
        <v>14.822335025</v>
      </c>
      <c r="X1611" s="1">
        <v>11.838842975</v>
      </c>
      <c r="Y1611" s="1">
        <v>78.604705258</v>
      </c>
      <c r="Z1611" s="1">
        <v>11.9</v>
      </c>
      <c r="AA1611" s="1">
        <v>10.939766797</v>
      </c>
      <c r="AB1611" s="1">
        <v>49147.0</v>
      </c>
      <c r="AC1611" s="1">
        <v>44.5519019989999</v>
      </c>
      <c r="AD1611" s="1">
        <v>72.020100503</v>
      </c>
      <c r="AE1611" s="1">
        <v>11.435264055</v>
      </c>
      <c r="AF1611" s="1">
        <v>0.2339602268</v>
      </c>
      <c r="AG1611" s="1">
        <v>1.6917124089</v>
      </c>
      <c r="AH1611" s="1">
        <v>0.2789525781</v>
      </c>
      <c r="AI1611" s="1">
        <v>0.0</v>
      </c>
      <c r="AJ1611" s="1">
        <v>2.3755961487</v>
      </c>
      <c r="AK1611" s="1">
        <v>93.953027985</v>
      </c>
      <c r="AL1611" s="1">
        <v>0.0657585721</v>
      </c>
      <c r="AM1611" s="1">
        <v>48.726716458</v>
      </c>
      <c r="AN1611" s="1">
        <v>47.4365613669999</v>
      </c>
      <c r="AO1611" s="1">
        <v>25788.0</v>
      </c>
      <c r="AP1611" s="1">
        <v>14.0</v>
      </c>
      <c r="AQ1611" s="1">
        <v>3.0</v>
      </c>
      <c r="AR1611" s="1">
        <v>6.9</v>
      </c>
      <c r="AS1611" s="1">
        <v>22.7</v>
      </c>
      <c r="AT1611" s="1">
        <v>20.4</v>
      </c>
      <c r="AU1611" s="1">
        <v>14.5</v>
      </c>
      <c r="AV1611" s="1">
        <v>5.5</v>
      </c>
      <c r="AW1611" s="1">
        <v>0.0</v>
      </c>
      <c r="AX1611" s="1">
        <v>0.312</v>
      </c>
      <c r="AY1611" s="1">
        <v>13.2</v>
      </c>
      <c r="AZ1611" s="1">
        <v>10.0</v>
      </c>
      <c r="BA1611" s="1">
        <v>17.6</v>
      </c>
      <c r="BB1611" s="1">
        <v>3.16</v>
      </c>
      <c r="BC1611" s="1" t="s">
        <v>2710</v>
      </c>
      <c r="BD1611" s="1">
        <v>7.3</v>
      </c>
      <c r="BE1611" s="1">
        <v>28.5</v>
      </c>
      <c r="BF1611" s="1">
        <v>35.1</v>
      </c>
      <c r="BG1611" s="1">
        <v>29.1</v>
      </c>
      <c r="BH1611" s="1" t="s">
        <v>2732</v>
      </c>
    </row>
    <row r="1612">
      <c r="A1612" s="1">
        <v>30029.0</v>
      </c>
      <c r="B1612" s="2" t="str">
        <f>IFERROR(__xludf.DUMMYFUNCTION("TO_TEXT(A1612)"),"30029")</f>
        <v>30029</v>
      </c>
      <c r="C1612" s="1">
        <v>94696.0</v>
      </c>
      <c r="D1612" s="1">
        <v>5087.23192322781</v>
      </c>
      <c r="E1612" s="1" t="s">
        <v>2733</v>
      </c>
      <c r="F1612" s="1" t="s">
        <v>2734</v>
      </c>
      <c r="G1612" s="1">
        <v>18.6144452285785</v>
      </c>
      <c r="H1612" s="1">
        <v>13.547345029</v>
      </c>
      <c r="I1612" s="1">
        <v>3.5166370304</v>
      </c>
      <c r="J1612" s="1">
        <v>6.27071119039999</v>
      </c>
      <c r="K1612" s="1">
        <v>15.83357938</v>
      </c>
      <c r="L1612" s="1">
        <v>21.9</v>
      </c>
      <c r="M1612" s="1">
        <v>8.1</v>
      </c>
      <c r="N1612" s="1">
        <v>20.0</v>
      </c>
      <c r="O1612" s="1">
        <v>80.961859933</v>
      </c>
      <c r="P1612" s="1">
        <v>10.258735265</v>
      </c>
      <c r="Q1612" s="1">
        <v>90.0</v>
      </c>
      <c r="R1612" s="1">
        <v>87.64</v>
      </c>
      <c r="S1612" s="1">
        <v>15.5</v>
      </c>
      <c r="T1612" s="1">
        <v>21335.0</v>
      </c>
      <c r="U1612" s="1">
        <v>21.392078744</v>
      </c>
      <c r="V1612" s="1">
        <v>305.0168204</v>
      </c>
      <c r="W1612" s="1">
        <v>16.905901116</v>
      </c>
      <c r="X1612" s="1">
        <v>14.769975787</v>
      </c>
      <c r="Y1612" s="1">
        <v>79.6611151939999</v>
      </c>
      <c r="Z1612" s="1">
        <v>7.1</v>
      </c>
      <c r="AA1612" s="1">
        <v>4.3507404264</v>
      </c>
      <c r="AB1612" s="1">
        <v>54382.0</v>
      </c>
      <c r="AC1612" s="1">
        <v>45.191435944</v>
      </c>
      <c r="AD1612" s="1">
        <v>72.592282756</v>
      </c>
      <c r="AE1612" s="1">
        <v>12.9212121209999</v>
      </c>
      <c r="AF1612" s="1">
        <v>0.2732454508</v>
      </c>
      <c r="AG1612" s="1">
        <v>1.3564335103</v>
      </c>
      <c r="AH1612" s="1">
        <v>0.8432413374</v>
      </c>
      <c r="AI1612" s="1">
        <v>0.0812880732</v>
      </c>
      <c r="AJ1612" s="1">
        <v>2.8460619356</v>
      </c>
      <c r="AK1612" s="1">
        <v>92.727165886</v>
      </c>
      <c r="AL1612" s="1">
        <v>0.1991902483</v>
      </c>
      <c r="AM1612" s="1">
        <v>50.153761777</v>
      </c>
      <c r="AN1612" s="1">
        <v>51.484691184</v>
      </c>
      <c r="AO1612" s="1">
        <v>27083.0</v>
      </c>
      <c r="AP1612" s="1">
        <v>13.8</v>
      </c>
      <c r="AQ1612" s="1">
        <v>6.5</v>
      </c>
      <c r="AR1612" s="1">
        <v>5.5</v>
      </c>
      <c r="AS1612" s="1">
        <v>17.0</v>
      </c>
      <c r="AT1612" s="1">
        <v>22.4</v>
      </c>
      <c r="AU1612" s="1">
        <v>10.7</v>
      </c>
      <c r="AV1612" s="1">
        <v>6.7</v>
      </c>
      <c r="AW1612" s="1">
        <v>0.2</v>
      </c>
      <c r="AX1612" s="1">
        <v>0.1127</v>
      </c>
      <c r="AY1612" s="1">
        <v>9.4</v>
      </c>
      <c r="AZ1612" s="1">
        <v>9.7</v>
      </c>
      <c r="BA1612" s="1">
        <v>16.8</v>
      </c>
      <c r="BB1612" s="1">
        <v>3.17</v>
      </c>
      <c r="BC1612" s="1" t="s">
        <v>2710</v>
      </c>
      <c r="BD1612" s="1">
        <v>5.3</v>
      </c>
      <c r="BE1612" s="1">
        <v>29.4</v>
      </c>
      <c r="BF1612" s="1">
        <v>34.3</v>
      </c>
      <c r="BG1612" s="1">
        <v>31.0</v>
      </c>
      <c r="BH1612" s="1" t="s">
        <v>2734</v>
      </c>
    </row>
    <row r="1613">
      <c r="A1613" s="1">
        <v>30031.0</v>
      </c>
      <c r="B1613" s="2" t="str">
        <f>IFERROR(__xludf.DUMMYFUNCTION("TO_TEXT(A1613)"),"30031")</f>
        <v>30031</v>
      </c>
      <c r="C1613" s="1">
        <v>97958.0</v>
      </c>
      <c r="D1613" s="1">
        <v>2604.72576029504</v>
      </c>
      <c r="E1613" s="1" t="s">
        <v>1196</v>
      </c>
      <c r="F1613" s="1" t="s">
        <v>2735</v>
      </c>
      <c r="G1613" s="1">
        <v>37.6077979084078</v>
      </c>
      <c r="H1613" s="1">
        <v>11.240509984</v>
      </c>
      <c r="I1613" s="1">
        <v>3.1805696838</v>
      </c>
      <c r="J1613" s="1">
        <v>7.3043266894</v>
      </c>
      <c r="K1613" s="1">
        <v>14.3726808759999</v>
      </c>
      <c r="L1613" s="1">
        <v>17.0</v>
      </c>
      <c r="M1613" s="1">
        <v>8.3</v>
      </c>
      <c r="N1613" s="1">
        <v>13.1</v>
      </c>
      <c r="O1613" s="1">
        <v>81.769128506</v>
      </c>
      <c r="P1613" s="1">
        <v>8.1879310718</v>
      </c>
      <c r="Q1613" s="1">
        <v>81.62508</v>
      </c>
      <c r="R1613" s="1">
        <v>89.66</v>
      </c>
      <c r="S1613" s="1">
        <v>7.6</v>
      </c>
      <c r="T1613" s="1">
        <v>21122.0</v>
      </c>
      <c r="U1613" s="1">
        <v>18.0617365779999</v>
      </c>
      <c r="V1613" s="1">
        <v>225.79534639</v>
      </c>
      <c r="W1613" s="1">
        <v>15.342960289</v>
      </c>
      <c r="X1613" s="1">
        <v>13.486500519</v>
      </c>
      <c r="Y1613" s="1">
        <v>82.427431691</v>
      </c>
      <c r="Z1613" s="1">
        <v>4.4</v>
      </c>
      <c r="AA1613" s="1">
        <v>3.4670170984</v>
      </c>
      <c r="AB1613" s="1">
        <v>67569.0</v>
      </c>
      <c r="AC1613" s="1">
        <v>20.793331845</v>
      </c>
      <c r="AD1613" s="1">
        <v>61.286173633</v>
      </c>
      <c r="AE1613" s="1">
        <v>14.468895782</v>
      </c>
      <c r="AF1613" s="1">
        <v>0.4165325897</v>
      </c>
      <c r="AG1613" s="1">
        <v>1.0323930065</v>
      </c>
      <c r="AH1613" s="1">
        <v>1.6178626336</v>
      </c>
      <c r="AI1613" s="1">
        <v>0.0849154421</v>
      </c>
      <c r="AJ1613" s="1">
        <v>4.0142657943</v>
      </c>
      <c r="AK1613" s="1">
        <v>91.247452537</v>
      </c>
      <c r="AL1613" s="1">
        <v>0.2628054225</v>
      </c>
      <c r="AM1613" s="1">
        <v>48.0710786939999</v>
      </c>
      <c r="AN1613" s="1">
        <v>33.542613922</v>
      </c>
      <c r="AO1613" s="1">
        <v>31909.0</v>
      </c>
      <c r="AP1613" s="1">
        <v>13.5</v>
      </c>
      <c r="AQ1613" s="1">
        <v>5.3</v>
      </c>
      <c r="AR1613" s="1">
        <v>3.2</v>
      </c>
      <c r="AS1613" s="1">
        <v>11.2</v>
      </c>
      <c r="AT1613" s="1">
        <v>20.5</v>
      </c>
      <c r="AU1613" s="1">
        <v>8.0</v>
      </c>
      <c r="AV1613" s="1">
        <v>7.4</v>
      </c>
      <c r="AW1613" s="1">
        <v>0.4</v>
      </c>
      <c r="AX1613" s="1">
        <v>0.0659</v>
      </c>
      <c r="AY1613" s="1">
        <v>10.3</v>
      </c>
      <c r="AZ1613" s="1">
        <v>7.5</v>
      </c>
      <c r="BA1613" s="1">
        <v>10.4</v>
      </c>
      <c r="BB1613" s="1">
        <v>3.33</v>
      </c>
      <c r="BC1613" s="1" t="s">
        <v>2710</v>
      </c>
      <c r="BD1613" s="1">
        <v>3.2</v>
      </c>
      <c r="BE1613" s="1">
        <v>17.8</v>
      </c>
      <c r="BF1613" s="1">
        <v>28.9</v>
      </c>
      <c r="BG1613" s="1">
        <v>50.1</v>
      </c>
      <c r="BH1613" s="1" t="s">
        <v>2735</v>
      </c>
    </row>
    <row r="1614">
      <c r="A1614" s="1">
        <v>30033.0</v>
      </c>
      <c r="B1614" s="2" t="str">
        <f>IFERROR(__xludf.DUMMYFUNCTION("TO_TEXT(A1614)"),"30033")</f>
        <v>30033</v>
      </c>
      <c r="C1614" s="1">
        <v>1061.0</v>
      </c>
      <c r="D1614" s="1">
        <v>4676.55656568535</v>
      </c>
      <c r="E1614" s="1" t="s">
        <v>579</v>
      </c>
      <c r="F1614" s="1" t="s">
        <v>2736</v>
      </c>
      <c r="G1614" s="1">
        <v>0.226876331997175</v>
      </c>
      <c r="H1614" s="1">
        <v>11.983023926</v>
      </c>
      <c r="I1614" s="1">
        <v>3.4400646456</v>
      </c>
      <c r="J1614" s="1">
        <v>7.80443539465</v>
      </c>
      <c r="K1614" s="1">
        <v>14.689803627</v>
      </c>
      <c r="L1614" s="1">
        <v>26.9</v>
      </c>
      <c r="M1614" s="1">
        <v>7.4</v>
      </c>
      <c r="N1614" s="1">
        <v>32.2</v>
      </c>
      <c r="O1614" s="1">
        <v>13.432835821</v>
      </c>
      <c r="P1614" s="1">
        <v>15.086646279</v>
      </c>
      <c r="Q1614" s="1">
        <v>0.0</v>
      </c>
      <c r="R1614" s="1">
        <v>100.0</v>
      </c>
      <c r="S1614" s="1">
        <v>27.4</v>
      </c>
      <c r="T1614" s="1">
        <v>237.0</v>
      </c>
      <c r="U1614" s="1">
        <v>16.877637131</v>
      </c>
      <c r="V1614" s="1">
        <v>37.523452158</v>
      </c>
      <c r="W1614" s="1">
        <v>10.112359551</v>
      </c>
      <c r="X1614" s="1">
        <v>6.34920634919999</v>
      </c>
      <c r="Y1614" s="1">
        <v>77.482572377</v>
      </c>
      <c r="Z1614" s="1">
        <v>11.1</v>
      </c>
      <c r="AA1614" s="1">
        <v>19.645752186</v>
      </c>
      <c r="AB1614" s="1">
        <v>44580.0</v>
      </c>
      <c r="AC1614" s="1">
        <v>27.3885350319999</v>
      </c>
      <c r="AD1614" s="1">
        <v>74.496644295</v>
      </c>
      <c r="AE1614" s="1">
        <v>10.230179028</v>
      </c>
      <c r="AF1614" s="1">
        <v>0.3943217666</v>
      </c>
      <c r="AG1614" s="1">
        <v>0.5520504732</v>
      </c>
      <c r="AH1614" s="1">
        <v>0.0788643533</v>
      </c>
      <c r="AI1614" s="1">
        <v>0.0</v>
      </c>
      <c r="AJ1614" s="1">
        <v>0.8675078864</v>
      </c>
      <c r="AK1614" s="1">
        <v>97.397476341</v>
      </c>
      <c r="AL1614" s="1">
        <v>0.0</v>
      </c>
      <c r="AM1614" s="1">
        <v>49.605678233</v>
      </c>
      <c r="AN1614" s="1">
        <v>100.0</v>
      </c>
      <c r="AO1614" s="1">
        <v>28159.0</v>
      </c>
      <c r="AP1614" s="1">
        <v>6.7</v>
      </c>
      <c r="AQ1614" s="1">
        <v>0.0</v>
      </c>
      <c r="AR1614" s="1">
        <v>6.3</v>
      </c>
      <c r="AS1614" s="1">
        <v>24.0</v>
      </c>
      <c r="AT1614" s="1">
        <v>20.6</v>
      </c>
      <c r="AU1614" s="1">
        <v>12.5</v>
      </c>
      <c r="AV1614" s="1">
        <v>0.8</v>
      </c>
      <c r="AW1614" s="1">
        <v>0.0</v>
      </c>
      <c r="AX1614" s="1">
        <v>0.0096</v>
      </c>
      <c r="AY1614" s="1">
        <v>16.4</v>
      </c>
      <c r="AZ1614" s="1">
        <v>7.1</v>
      </c>
      <c r="BA1614" s="1">
        <v>10.7</v>
      </c>
      <c r="BB1614" s="1">
        <v>3.2</v>
      </c>
      <c r="BC1614" s="1" t="s">
        <v>2710</v>
      </c>
      <c r="BD1614" s="1">
        <v>2.7</v>
      </c>
      <c r="BE1614" s="1">
        <v>44.1</v>
      </c>
      <c r="BF1614" s="1">
        <v>38.9</v>
      </c>
      <c r="BG1614" s="1">
        <v>14.3</v>
      </c>
      <c r="BH1614" s="1" t="s">
        <v>2736</v>
      </c>
    </row>
    <row r="1615">
      <c r="A1615" s="1">
        <v>30035.0</v>
      </c>
      <c r="B1615" s="2" t="str">
        <f>IFERROR(__xludf.DUMMYFUNCTION("TO_TEXT(A1615)"),"30035")</f>
        <v>30035</v>
      </c>
      <c r="C1615" s="1">
        <v>13695.0</v>
      </c>
      <c r="D1615" s="1">
        <v>2994.89613946296</v>
      </c>
      <c r="E1615" s="1" t="s">
        <v>2737</v>
      </c>
      <c r="F1615" s="1" t="s">
        <v>2738</v>
      </c>
      <c r="G1615" s="1">
        <v>4.57277960979834</v>
      </c>
      <c r="H1615" s="1">
        <v>24.896424448</v>
      </c>
      <c r="I1615" s="1">
        <v>5.0423960477</v>
      </c>
      <c r="J1615" s="1">
        <v>8.60023724789999</v>
      </c>
      <c r="K1615" s="1">
        <v>30.59191378</v>
      </c>
      <c r="L1615" s="1">
        <v>36.9</v>
      </c>
      <c r="M1615" s="1">
        <v>6.0</v>
      </c>
      <c r="N1615" s="1">
        <v>31.1</v>
      </c>
      <c r="O1615" s="1">
        <v>58.347637883</v>
      </c>
      <c r="P1615" s="1">
        <v>19.904844291</v>
      </c>
      <c r="Q1615" s="1">
        <v>80.64516</v>
      </c>
      <c r="R1615" s="1">
        <v>64.06</v>
      </c>
      <c r="S1615" s="1">
        <v>35.4</v>
      </c>
      <c r="T1615" s="1">
        <v>4295.0</v>
      </c>
      <c r="U1615" s="1">
        <v>41.839348079</v>
      </c>
      <c r="V1615" s="1">
        <v>225.1025669</v>
      </c>
      <c r="W1615" s="1">
        <v>17.780429594</v>
      </c>
      <c r="X1615" s="1">
        <v>12.484700122</v>
      </c>
      <c r="Y1615" s="1">
        <v>69.614459334</v>
      </c>
      <c r="Z1615" s="1">
        <v>15.6</v>
      </c>
      <c r="AA1615" s="1">
        <v>10.4658774289999</v>
      </c>
      <c r="AB1615" s="1">
        <v>37719.0</v>
      </c>
      <c r="AC1615" s="1">
        <v>38.278688525</v>
      </c>
      <c r="AD1615" s="1">
        <v>59.238870273</v>
      </c>
      <c r="AE1615" s="1">
        <v>11.046067702</v>
      </c>
      <c r="AF1615" s="1">
        <v>0.2546010039</v>
      </c>
      <c r="AG1615" s="1">
        <v>64.6395577219999</v>
      </c>
      <c r="AH1615" s="1">
        <v>0.421910235</v>
      </c>
      <c r="AI1615" s="1">
        <v>0.0290972576</v>
      </c>
      <c r="AJ1615" s="1">
        <v>3.0770349895</v>
      </c>
      <c r="AK1615" s="1">
        <v>30.4575543759999</v>
      </c>
      <c r="AL1615" s="1">
        <v>0.2327261054</v>
      </c>
      <c r="AM1615" s="1">
        <v>51.567614752</v>
      </c>
      <c r="AN1615" s="1">
        <v>44.010747071</v>
      </c>
      <c r="AO1615" s="1">
        <v>16284.0</v>
      </c>
      <c r="AP1615" s="1">
        <v>33.3</v>
      </c>
      <c r="AQ1615" s="1">
        <v>10.8</v>
      </c>
      <c r="AR1615" s="1">
        <v>10.2</v>
      </c>
      <c r="AS1615" s="1">
        <v>11.1</v>
      </c>
      <c r="AT1615" s="1">
        <v>31.7</v>
      </c>
      <c r="AU1615" s="1">
        <v>13.5</v>
      </c>
      <c r="AV1615" s="1">
        <v>68.7</v>
      </c>
      <c r="AW1615" s="1">
        <v>0.1</v>
      </c>
      <c r="AX1615" s="1">
        <v>0.8927</v>
      </c>
      <c r="AY1615" s="1">
        <v>25.7</v>
      </c>
      <c r="AZ1615" s="1">
        <v>18.6</v>
      </c>
      <c r="BA1615" s="1">
        <v>26.6</v>
      </c>
      <c r="BB1615" s="1">
        <v>3.2</v>
      </c>
      <c r="BC1615" s="1" t="s">
        <v>2710</v>
      </c>
      <c r="BD1615" s="1">
        <v>10.4</v>
      </c>
      <c r="BE1615" s="1">
        <v>39.2</v>
      </c>
      <c r="BF1615" s="1">
        <v>28.9</v>
      </c>
      <c r="BG1615" s="1">
        <v>21.4</v>
      </c>
      <c r="BH1615" s="1" t="s">
        <v>2738</v>
      </c>
    </row>
    <row r="1616">
      <c r="A1616" s="1">
        <v>30037.0</v>
      </c>
      <c r="B1616" s="2" t="str">
        <f>IFERROR(__xludf.DUMMYFUNCTION("TO_TEXT(A1616)"),"30037")</f>
        <v>30037</v>
      </c>
      <c r="C1616" s="1">
        <v>730.0</v>
      </c>
      <c r="D1616" s="1">
        <v>1174.42205732623</v>
      </c>
      <c r="E1616" s="1" t="s">
        <v>2739</v>
      </c>
      <c r="F1616" s="1" t="s">
        <v>2740</v>
      </c>
      <c r="G1616" s="1">
        <v>0.621582331024987</v>
      </c>
      <c r="H1616" s="1">
        <v>14.5590186909999</v>
      </c>
      <c r="I1616" s="1">
        <v>3.8287520743</v>
      </c>
      <c r="J1616" s="1">
        <v>7.80443539465</v>
      </c>
      <c r="K1616" s="1">
        <v>15.540802082</v>
      </c>
      <c r="L1616" s="1">
        <v>26.2</v>
      </c>
      <c r="M1616" s="1">
        <v>4.5</v>
      </c>
      <c r="N1616" s="1">
        <v>23.8</v>
      </c>
      <c r="O1616" s="1">
        <v>1.2443438914</v>
      </c>
      <c r="P1616" s="1">
        <v>14.358108108</v>
      </c>
      <c r="Q1616" s="1">
        <v>121.6545</v>
      </c>
      <c r="R1616" s="1">
        <v>100.0</v>
      </c>
      <c r="S1616" s="1">
        <v>32.6</v>
      </c>
      <c r="T1616" s="1">
        <v>129.0</v>
      </c>
      <c r="U1616" s="1">
        <v>24.0310077519999</v>
      </c>
      <c r="V1616" s="1">
        <v>239.09145248</v>
      </c>
      <c r="W1616" s="1">
        <v>9.0909090909</v>
      </c>
      <c r="X1616" s="1">
        <v>6.7484662577</v>
      </c>
      <c r="Y1616" s="1">
        <v>77.482572377</v>
      </c>
      <c r="Z1616" s="1">
        <v>5.6</v>
      </c>
      <c r="AA1616" s="1">
        <v>42.276422858</v>
      </c>
      <c r="AB1616" s="1">
        <v>38782.0</v>
      </c>
      <c r="AC1616" s="1">
        <v>70.676691729</v>
      </c>
      <c r="AD1616" s="1">
        <v>74.480712166</v>
      </c>
      <c r="AE1616" s="1">
        <v>12.925170068</v>
      </c>
      <c r="AF1616" s="1">
        <v>0.605326876499999</v>
      </c>
      <c r="AG1616" s="1">
        <v>1.6949152542</v>
      </c>
      <c r="AH1616" s="1">
        <v>0.605326876499999</v>
      </c>
      <c r="AI1616" s="1">
        <v>0.0</v>
      </c>
      <c r="AJ1616" s="1">
        <v>3.995157385</v>
      </c>
      <c r="AK1616" s="1">
        <v>89.588377724</v>
      </c>
      <c r="AL1616" s="1">
        <v>0.2820874471</v>
      </c>
      <c r="AM1616" s="1">
        <v>50.0</v>
      </c>
      <c r="AN1616" s="1">
        <v>100.0</v>
      </c>
      <c r="AO1616" s="1">
        <v>25714.0</v>
      </c>
      <c r="AP1616" s="1">
        <v>16.3</v>
      </c>
      <c r="AQ1616" s="1">
        <v>2.5</v>
      </c>
      <c r="AR1616" s="1">
        <v>6.6</v>
      </c>
      <c r="AS1616" s="1">
        <v>24.5</v>
      </c>
      <c r="AT1616" s="1">
        <v>18.5</v>
      </c>
      <c r="AU1616" s="1">
        <v>17.4</v>
      </c>
      <c r="AV1616" s="1">
        <v>9.7</v>
      </c>
      <c r="AW1616" s="1">
        <v>0.3</v>
      </c>
      <c r="AX1616" s="1">
        <v>0.0796</v>
      </c>
      <c r="AY1616" s="1">
        <v>19.7</v>
      </c>
      <c r="AZ1616" s="1">
        <v>11.4</v>
      </c>
      <c r="BA1616" s="1">
        <v>17.8</v>
      </c>
      <c r="BB1616" s="1">
        <v>3.17</v>
      </c>
      <c r="BC1616" s="1" t="s">
        <v>2710</v>
      </c>
      <c r="BD1616" s="1">
        <v>8.0</v>
      </c>
      <c r="BE1616" s="1">
        <v>40.7</v>
      </c>
      <c r="BF1616" s="1">
        <v>28.5</v>
      </c>
      <c r="BG1616" s="1">
        <v>22.7</v>
      </c>
      <c r="BH1616" s="1" t="s">
        <v>2740</v>
      </c>
    </row>
    <row r="1617">
      <c r="A1617" s="1">
        <v>30039.0</v>
      </c>
      <c r="B1617" s="2" t="str">
        <f>IFERROR(__xludf.DUMMYFUNCTION("TO_TEXT(A1617)"),"30039")</f>
        <v>30039</v>
      </c>
      <c r="C1617" s="1">
        <v>3212.0</v>
      </c>
      <c r="D1617" s="1">
        <v>1727.16098127879</v>
      </c>
      <c r="E1617" s="1" t="s">
        <v>2741</v>
      </c>
      <c r="F1617" s="1" t="s">
        <v>2742</v>
      </c>
      <c r="G1617" s="1">
        <v>1.85969926070344</v>
      </c>
      <c r="H1617" s="1">
        <v>12.262955169</v>
      </c>
      <c r="I1617" s="1">
        <v>3.4631021817</v>
      </c>
      <c r="J1617" s="1">
        <v>9.3023255814</v>
      </c>
      <c r="K1617" s="1">
        <v>14.1929135979999</v>
      </c>
      <c r="L1617" s="1">
        <v>23.1</v>
      </c>
      <c r="M1617" s="1">
        <v>8.0</v>
      </c>
      <c r="N1617" s="1">
        <v>20.0</v>
      </c>
      <c r="O1617" s="1">
        <v>69.6005196489999</v>
      </c>
      <c r="P1617" s="1">
        <v>13.673036093</v>
      </c>
      <c r="Q1617" s="1">
        <v>29.77963</v>
      </c>
      <c r="R1617" s="1">
        <v>88.89</v>
      </c>
      <c r="S1617" s="1">
        <v>20.1</v>
      </c>
      <c r="T1617" s="1">
        <v>565.0</v>
      </c>
      <c r="U1617" s="1">
        <v>13.805309735</v>
      </c>
      <c r="V1617" s="1">
        <v>139.79496738</v>
      </c>
      <c r="W1617" s="1">
        <v>10.769230769</v>
      </c>
      <c r="X1617" s="1">
        <v>8.3591331269</v>
      </c>
      <c r="Y1617" s="1">
        <v>83.369938392</v>
      </c>
      <c r="Z1617" s="1">
        <v>10.8</v>
      </c>
      <c r="AA1617" s="1">
        <v>5.2606360574</v>
      </c>
      <c r="AB1617" s="1">
        <v>48410.0</v>
      </c>
      <c r="AC1617" s="1">
        <v>39.393939394</v>
      </c>
      <c r="AD1617" s="1">
        <v>72.421875</v>
      </c>
      <c r="AE1617" s="1">
        <v>9.5486111111</v>
      </c>
      <c r="AF1617" s="1">
        <v>0.5328596803</v>
      </c>
      <c r="AG1617" s="1">
        <v>0.7696862049</v>
      </c>
      <c r="AH1617" s="1">
        <v>0.4440497336</v>
      </c>
      <c r="AI1617" s="1">
        <v>0.0296033156</v>
      </c>
      <c r="AJ1617" s="1">
        <v>2.3386619301</v>
      </c>
      <c r="AK1617" s="1">
        <v>94.138543517</v>
      </c>
      <c r="AL1617" s="1">
        <v>0.0</v>
      </c>
      <c r="AM1617" s="1">
        <v>48.993487271</v>
      </c>
      <c r="AN1617" s="1">
        <v>100.0</v>
      </c>
      <c r="AO1617" s="1">
        <v>26720.0</v>
      </c>
      <c r="AP1617" s="1">
        <v>14.4</v>
      </c>
      <c r="AQ1617" s="1">
        <v>7.4</v>
      </c>
      <c r="AR1617" s="1">
        <v>10.5</v>
      </c>
      <c r="AS1617" s="1">
        <v>28.4</v>
      </c>
      <c r="AT1617" s="1">
        <v>18.5</v>
      </c>
      <c r="AU1617" s="1">
        <v>19.5</v>
      </c>
      <c r="AV1617" s="1">
        <v>5.3</v>
      </c>
      <c r="AW1617" s="1">
        <v>0.0</v>
      </c>
      <c r="AX1617" s="1">
        <v>0.1636</v>
      </c>
      <c r="AY1617" s="1">
        <v>12.5</v>
      </c>
      <c r="AZ1617" s="1">
        <v>10.6</v>
      </c>
      <c r="BA1617" s="1">
        <v>15.9</v>
      </c>
      <c r="BB1617" s="1">
        <v>3.3</v>
      </c>
      <c r="BC1617" s="1" t="s">
        <v>2710</v>
      </c>
      <c r="BD1617" s="1">
        <v>7.8</v>
      </c>
      <c r="BE1617" s="1">
        <v>31.5</v>
      </c>
      <c r="BF1617" s="1">
        <v>31.8</v>
      </c>
      <c r="BG1617" s="1">
        <v>28.9</v>
      </c>
      <c r="BH1617" s="1" t="s">
        <v>2742</v>
      </c>
    </row>
    <row r="1618">
      <c r="A1618" s="1">
        <v>30041.0</v>
      </c>
      <c r="B1618" s="2" t="str">
        <f>IFERROR(__xludf.DUMMYFUNCTION("TO_TEXT(A1618)"),"30041")</f>
        <v>30041</v>
      </c>
      <c r="C1618" s="1">
        <v>16529.0</v>
      </c>
      <c r="D1618" s="1">
        <v>2899.36194669541</v>
      </c>
      <c r="E1618" s="1" t="s">
        <v>2743</v>
      </c>
      <c r="F1618" s="1" t="s">
        <v>2744</v>
      </c>
      <c r="G1618" s="1">
        <v>5.7009094772866</v>
      </c>
      <c r="H1618" s="1">
        <v>16.8834086209999</v>
      </c>
      <c r="I1618" s="1">
        <v>4.1202656486</v>
      </c>
      <c r="J1618" s="1">
        <v>8.1196581197</v>
      </c>
      <c r="K1618" s="1">
        <v>22.913441557</v>
      </c>
      <c r="L1618" s="1">
        <v>38.1</v>
      </c>
      <c r="M1618" s="1">
        <v>6.4</v>
      </c>
      <c r="N1618" s="1">
        <v>27.2</v>
      </c>
      <c r="O1618" s="1">
        <v>75.6274850889999</v>
      </c>
      <c r="P1618" s="1">
        <v>12.7752981629999</v>
      </c>
      <c r="Q1618" s="1">
        <v>60.74227</v>
      </c>
      <c r="R1618" s="1">
        <v>74.89</v>
      </c>
      <c r="S1618" s="1">
        <v>17.6</v>
      </c>
      <c r="T1618" s="1">
        <v>4513.0</v>
      </c>
      <c r="U1618" s="1">
        <v>43.4079326389999</v>
      </c>
      <c r="V1618" s="1">
        <v>467.345716</v>
      </c>
      <c r="W1618" s="1">
        <v>12.663398693</v>
      </c>
      <c r="X1618" s="1">
        <v>10.8641975309999</v>
      </c>
      <c r="Y1618" s="1">
        <v>76.767565737</v>
      </c>
      <c r="Z1618" s="1">
        <v>10.5</v>
      </c>
      <c r="AA1618" s="1">
        <v>18.706153423</v>
      </c>
      <c r="AB1618" s="1">
        <v>50136.0</v>
      </c>
      <c r="AC1618" s="1">
        <v>68.10720268</v>
      </c>
      <c r="AD1618" s="1">
        <v>61.63532037</v>
      </c>
      <c r="AE1618" s="1">
        <v>12.125723739</v>
      </c>
      <c r="AF1618" s="1">
        <v>0.4587997798</v>
      </c>
      <c r="AG1618" s="1">
        <v>24.298036337</v>
      </c>
      <c r="AH1618" s="1">
        <v>0.507738422999999</v>
      </c>
      <c r="AI1618" s="1">
        <v>0.0489386432</v>
      </c>
      <c r="AJ1618" s="1">
        <v>3.6459289166</v>
      </c>
      <c r="AK1618" s="1">
        <v>69.162537469</v>
      </c>
      <c r="AL1618" s="1">
        <v>0.1465494271</v>
      </c>
      <c r="AM1618" s="1">
        <v>49.740013458</v>
      </c>
      <c r="AN1618" s="1">
        <v>40.003727634</v>
      </c>
      <c r="AO1618" s="1">
        <v>21070.0</v>
      </c>
      <c r="AP1618" s="1">
        <v>22.0</v>
      </c>
      <c r="AQ1618" s="1">
        <v>5.3</v>
      </c>
      <c r="AR1618" s="1">
        <v>9.5</v>
      </c>
      <c r="AS1618" s="1">
        <v>13.9</v>
      </c>
      <c r="AT1618" s="1">
        <v>27.2</v>
      </c>
      <c r="AU1618" s="1">
        <v>15.1</v>
      </c>
      <c r="AV1618" s="1">
        <v>29.2</v>
      </c>
      <c r="AW1618" s="1">
        <v>0.1</v>
      </c>
      <c r="AX1618" s="1">
        <v>0.645</v>
      </c>
      <c r="AY1618" s="1">
        <v>15.7</v>
      </c>
      <c r="AZ1618" s="1">
        <v>12.7</v>
      </c>
      <c r="BA1618" s="1">
        <v>19.8</v>
      </c>
      <c r="BB1618" s="1">
        <v>3.18</v>
      </c>
      <c r="BC1618" s="1" t="s">
        <v>2710</v>
      </c>
      <c r="BD1618" s="1">
        <v>9.3</v>
      </c>
      <c r="BE1618" s="1">
        <v>30.2</v>
      </c>
      <c r="BF1618" s="1">
        <v>35.1</v>
      </c>
      <c r="BG1618" s="1">
        <v>25.4</v>
      </c>
      <c r="BH1618" s="1" t="s">
        <v>2744</v>
      </c>
    </row>
    <row r="1619">
      <c r="A1619" s="1">
        <v>30043.0</v>
      </c>
      <c r="B1619" s="2" t="str">
        <f>IFERROR(__xludf.DUMMYFUNCTION("TO_TEXT(A1619)"),"30043")</f>
        <v>30043</v>
      </c>
      <c r="C1619" s="1">
        <v>11601.0</v>
      </c>
      <c r="D1619" s="1">
        <v>1656.85820131401</v>
      </c>
      <c r="E1619" s="1" t="s">
        <v>132</v>
      </c>
      <c r="F1619" s="1" t="s">
        <v>2745</v>
      </c>
      <c r="G1619" s="1">
        <v>7.00180618401717</v>
      </c>
      <c r="H1619" s="1">
        <v>11.611148878</v>
      </c>
      <c r="I1619" s="1">
        <v>3.3418437794</v>
      </c>
      <c r="J1619" s="1">
        <v>7.2231139647</v>
      </c>
      <c r="K1619" s="1">
        <v>14.519367617</v>
      </c>
      <c r="L1619" s="1">
        <v>26.5</v>
      </c>
      <c r="M1619" s="1">
        <v>8.7</v>
      </c>
      <c r="N1619" s="1">
        <v>22.8</v>
      </c>
      <c r="O1619" s="1">
        <v>56.479046116</v>
      </c>
      <c r="P1619" s="1">
        <v>8.3466581388</v>
      </c>
      <c r="Q1619" s="1">
        <v>75.68749</v>
      </c>
      <c r="R1619" s="1">
        <v>84.09</v>
      </c>
      <c r="S1619" s="1">
        <v>10.4</v>
      </c>
      <c r="T1619" s="1">
        <v>2430.0</v>
      </c>
      <c r="U1619" s="1">
        <v>24.7736625509999</v>
      </c>
      <c r="V1619" s="1">
        <v>318.07436063</v>
      </c>
      <c r="W1619" s="1">
        <v>9.2841163311</v>
      </c>
      <c r="X1619" s="1">
        <v>7.6783691959</v>
      </c>
      <c r="Y1619" s="1">
        <v>80.219745398</v>
      </c>
      <c r="Z1619" s="1">
        <v>7.1</v>
      </c>
      <c r="AA1619" s="1">
        <v>2.5494686577</v>
      </c>
      <c r="AB1619" s="1">
        <v>68381.0</v>
      </c>
      <c r="AC1619" s="1">
        <v>30.092592593</v>
      </c>
      <c r="AD1619" s="1">
        <v>84.96849685</v>
      </c>
      <c r="AE1619" s="1">
        <v>7.35122520419999</v>
      </c>
      <c r="AF1619" s="1">
        <v>0.3554600314</v>
      </c>
      <c r="AG1619" s="1">
        <v>1.8186327189</v>
      </c>
      <c r="AH1619" s="1">
        <v>0.5042572539</v>
      </c>
      <c r="AI1619" s="1">
        <v>0.0909316359</v>
      </c>
      <c r="AJ1619" s="1">
        <v>2.5791518558</v>
      </c>
      <c r="AK1619" s="1">
        <v>92.865999835</v>
      </c>
      <c r="AL1619" s="1">
        <v>0.0353950978</v>
      </c>
      <c r="AM1619" s="1">
        <v>49.483342978</v>
      </c>
      <c r="AN1619" s="1">
        <v>100.0</v>
      </c>
      <c r="AO1619" s="1">
        <v>31801.0</v>
      </c>
      <c r="AP1619" s="1">
        <v>8.5</v>
      </c>
      <c r="AQ1619" s="1">
        <v>6.2</v>
      </c>
      <c r="AR1619" s="1">
        <v>5.1</v>
      </c>
      <c r="AS1619" s="1">
        <v>18.5</v>
      </c>
      <c r="AT1619" s="1">
        <v>21.0</v>
      </c>
      <c r="AU1619" s="1">
        <v>14.2</v>
      </c>
      <c r="AV1619" s="1">
        <v>6.8</v>
      </c>
      <c r="AW1619" s="1">
        <v>0.1</v>
      </c>
      <c r="AX1619" s="1">
        <v>0.035</v>
      </c>
      <c r="AY1619" s="1">
        <v>8.0</v>
      </c>
      <c r="AZ1619" s="1">
        <v>7.8</v>
      </c>
      <c r="BA1619" s="1">
        <v>13.8</v>
      </c>
      <c r="BB1619" s="1">
        <v>3.3</v>
      </c>
      <c r="BC1619" s="1" t="s">
        <v>2710</v>
      </c>
      <c r="BD1619" s="1">
        <v>5.7</v>
      </c>
      <c r="BE1619" s="1">
        <v>26.5</v>
      </c>
      <c r="BF1619" s="1">
        <v>32.8</v>
      </c>
      <c r="BG1619" s="1">
        <v>35.0</v>
      </c>
      <c r="BH1619" s="1" t="s">
        <v>2745</v>
      </c>
    </row>
    <row r="1620">
      <c r="A1620" s="1">
        <v>30045.0</v>
      </c>
      <c r="B1620" s="2" t="str">
        <f>IFERROR(__xludf.DUMMYFUNCTION("TO_TEXT(A1620)"),"30045")</f>
        <v>30045</v>
      </c>
      <c r="C1620" s="1">
        <v>1981.0</v>
      </c>
      <c r="D1620" s="1">
        <v>1869.68607123967</v>
      </c>
      <c r="E1620" s="1" t="s">
        <v>2746</v>
      </c>
      <c r="F1620" s="1" t="s">
        <v>2747</v>
      </c>
      <c r="G1620" s="1">
        <v>1.05953615982523</v>
      </c>
      <c r="H1620" s="1">
        <v>13.26631824</v>
      </c>
      <c r="I1620" s="1">
        <v>3.5805000021</v>
      </c>
      <c r="J1620" s="1">
        <v>7.80443539465</v>
      </c>
      <c r="K1620" s="1">
        <v>14.981251345</v>
      </c>
      <c r="L1620" s="1">
        <v>31.2</v>
      </c>
      <c r="M1620" s="1">
        <v>6.6</v>
      </c>
      <c r="N1620" s="1">
        <v>29.5</v>
      </c>
      <c r="O1620" s="1">
        <v>8.5907335907</v>
      </c>
      <c r="P1620" s="1">
        <v>11.784975879</v>
      </c>
      <c r="Q1620" s="1">
        <v>0.0</v>
      </c>
      <c r="R1620" s="1">
        <v>100.0</v>
      </c>
      <c r="S1620" s="1">
        <v>16.8</v>
      </c>
      <c r="T1620" s="1">
        <v>351.0</v>
      </c>
      <c r="U1620" s="1">
        <v>32.193732194</v>
      </c>
      <c r="V1620" s="1">
        <v>179.02813299</v>
      </c>
      <c r="W1620" s="1">
        <v>8.7431693989</v>
      </c>
      <c r="X1620" s="1">
        <v>8.6187845304</v>
      </c>
      <c r="Y1620" s="1">
        <v>85.285544366</v>
      </c>
      <c r="Z1620" s="1">
        <v>9.2</v>
      </c>
      <c r="AA1620" s="1">
        <v>21.821971813</v>
      </c>
      <c r="AB1620" s="1">
        <v>50197.0</v>
      </c>
      <c r="AC1620" s="1">
        <v>26.6932270919999</v>
      </c>
      <c r="AD1620" s="1">
        <v>73.23943662</v>
      </c>
      <c r="AE1620" s="1">
        <v>12.213740458</v>
      </c>
      <c r="AF1620" s="1">
        <v>0.0512295082</v>
      </c>
      <c r="AG1620" s="1">
        <v>0.9733606557</v>
      </c>
      <c r="AH1620" s="1">
        <v>0.1536885246</v>
      </c>
      <c r="AI1620" s="1">
        <v>0.0</v>
      </c>
      <c r="AJ1620" s="1">
        <v>1.6393442623</v>
      </c>
      <c r="AK1620" s="1">
        <v>96.413934426</v>
      </c>
      <c r="AL1620" s="1">
        <v>0.0</v>
      </c>
      <c r="AM1620" s="1">
        <v>48.30942623</v>
      </c>
      <c r="AN1620" s="1">
        <v>100.0</v>
      </c>
      <c r="AO1620" s="1">
        <v>28741.0</v>
      </c>
      <c r="AP1620" s="1">
        <v>12.6</v>
      </c>
      <c r="AQ1620" s="1">
        <v>2.9</v>
      </c>
      <c r="AR1620" s="1">
        <v>5.1</v>
      </c>
      <c r="AS1620" s="1">
        <v>23.7</v>
      </c>
      <c r="AT1620" s="1">
        <v>16.3</v>
      </c>
      <c r="AU1620" s="1">
        <v>12.7</v>
      </c>
      <c r="AV1620" s="1">
        <v>2.9</v>
      </c>
      <c r="AW1620" s="1">
        <v>0.1</v>
      </c>
      <c r="AX1620" s="1">
        <v>0.0038</v>
      </c>
      <c r="AY1620" s="1">
        <v>14.5</v>
      </c>
      <c r="AZ1620" s="1">
        <v>10.6</v>
      </c>
      <c r="BA1620" s="1">
        <v>15.0</v>
      </c>
      <c r="BB1620" s="1">
        <v>3.16</v>
      </c>
      <c r="BC1620" s="1" t="s">
        <v>2710</v>
      </c>
      <c r="BD1620" s="1">
        <v>5.6</v>
      </c>
      <c r="BE1620" s="1">
        <v>32.2</v>
      </c>
      <c r="BF1620" s="1">
        <v>35.6</v>
      </c>
      <c r="BG1620" s="1">
        <v>26.6</v>
      </c>
      <c r="BH1620" s="1" t="s">
        <v>2747</v>
      </c>
    </row>
    <row r="1621">
      <c r="A1621" s="1">
        <v>30047.0</v>
      </c>
      <c r="B1621" s="2" t="str">
        <f>IFERROR(__xludf.DUMMYFUNCTION("TO_TEXT(A1621)"),"30047")</f>
        <v>30047</v>
      </c>
      <c r="C1621" s="1">
        <v>29311.0</v>
      </c>
      <c r="D1621" s="1">
        <v>1490.46168145514</v>
      </c>
      <c r="E1621" s="1" t="s">
        <v>450</v>
      </c>
      <c r="F1621" s="1" t="s">
        <v>2748</v>
      </c>
      <c r="G1621" s="1">
        <v>19.6657185922308</v>
      </c>
      <c r="H1621" s="1">
        <v>17.249311264</v>
      </c>
      <c r="I1621" s="1">
        <v>4.3022423488</v>
      </c>
      <c r="J1621" s="1">
        <v>8.6938940558</v>
      </c>
      <c r="K1621" s="1">
        <v>19.525387091</v>
      </c>
      <c r="L1621" s="1">
        <v>29.0</v>
      </c>
      <c r="M1621" s="1">
        <v>7.9</v>
      </c>
      <c r="N1621" s="1">
        <v>22.3</v>
      </c>
      <c r="O1621" s="1">
        <v>54.5293258189999</v>
      </c>
      <c r="P1621" s="1">
        <v>15.3035775709999</v>
      </c>
      <c r="Q1621" s="1">
        <v>69.36874</v>
      </c>
      <c r="R1621" s="1">
        <v>88.89</v>
      </c>
      <c r="S1621" s="1">
        <v>26.2</v>
      </c>
      <c r="T1621" s="1">
        <v>6886.0</v>
      </c>
      <c r="U1621" s="1">
        <v>38.077258205</v>
      </c>
      <c r="V1621" s="1">
        <v>445.98022027</v>
      </c>
      <c r="W1621" s="1">
        <v>18.284518828</v>
      </c>
      <c r="X1621" s="1">
        <v>14.444444444</v>
      </c>
      <c r="Y1621" s="1">
        <v>77.904741022</v>
      </c>
      <c r="Z1621" s="1">
        <v>9.4</v>
      </c>
      <c r="AA1621" s="1">
        <v>2.6731456848</v>
      </c>
      <c r="AB1621" s="1">
        <v>44833.0</v>
      </c>
      <c r="AC1621" s="1">
        <v>76.732560782</v>
      </c>
      <c r="AD1621" s="1">
        <v>72.166427547</v>
      </c>
      <c r="AE1621" s="1">
        <v>14.576634512</v>
      </c>
      <c r="AF1621" s="1">
        <v>0.5024793388</v>
      </c>
      <c r="AG1621" s="1">
        <v>24.52231405</v>
      </c>
      <c r="AH1621" s="1">
        <v>0.5123966942</v>
      </c>
      <c r="AI1621" s="1">
        <v>0.1024793388</v>
      </c>
      <c r="AJ1621" s="1">
        <v>4.5719008264</v>
      </c>
      <c r="AK1621" s="1">
        <v>65.147107438</v>
      </c>
      <c r="AL1621" s="1">
        <v>0.4910218272</v>
      </c>
      <c r="AM1621" s="1">
        <v>50.654545455</v>
      </c>
      <c r="AN1621" s="1">
        <v>83.43073819</v>
      </c>
      <c r="AO1621" s="1">
        <v>23191.0</v>
      </c>
      <c r="AP1621" s="1">
        <v>21.4</v>
      </c>
      <c r="AQ1621" s="1">
        <v>8.8</v>
      </c>
      <c r="AR1621" s="1">
        <v>9.4</v>
      </c>
      <c r="AS1621" s="1">
        <v>19.6</v>
      </c>
      <c r="AT1621" s="1">
        <v>24.5</v>
      </c>
      <c r="AU1621" s="1">
        <v>14.5</v>
      </c>
      <c r="AV1621" s="1">
        <v>34.1</v>
      </c>
      <c r="AW1621" s="1">
        <v>0.4</v>
      </c>
      <c r="AX1621" s="1">
        <v>0.6718</v>
      </c>
      <c r="AY1621" s="1">
        <v>17.2</v>
      </c>
      <c r="AZ1621" s="1">
        <v>12.8</v>
      </c>
      <c r="BA1621" s="1">
        <v>21.7</v>
      </c>
      <c r="BB1621" s="1">
        <v>3.29</v>
      </c>
      <c r="BC1621" s="1" t="s">
        <v>2710</v>
      </c>
      <c r="BD1621" s="1">
        <v>8.2</v>
      </c>
      <c r="BE1621" s="1">
        <v>28.5</v>
      </c>
      <c r="BF1621" s="1">
        <v>33.7</v>
      </c>
      <c r="BG1621" s="1">
        <v>29.6</v>
      </c>
      <c r="BH1621" s="1" t="s">
        <v>2748</v>
      </c>
    </row>
    <row r="1622">
      <c r="A1622" s="1">
        <v>30049.0</v>
      </c>
      <c r="B1622" s="2" t="str">
        <f>IFERROR(__xludf.DUMMYFUNCTION("TO_TEXT(A1622)"),"30049")</f>
        <v>30049</v>
      </c>
      <c r="C1622" s="1">
        <v>65989.0</v>
      </c>
      <c r="D1622" s="1">
        <v>3458.54102536692</v>
      </c>
      <c r="E1622" s="1" t="s">
        <v>2749</v>
      </c>
      <c r="F1622" s="1" t="s">
        <v>2750</v>
      </c>
      <c r="G1622" s="1">
        <v>19.0800107663893</v>
      </c>
      <c r="H1622" s="1">
        <v>12.591504018</v>
      </c>
      <c r="I1622" s="1">
        <v>3.425342657</v>
      </c>
      <c r="J1622" s="1">
        <v>7.440029985</v>
      </c>
      <c r="K1622" s="1">
        <v>14.140216418</v>
      </c>
      <c r="L1622" s="1">
        <v>26.7</v>
      </c>
      <c r="M1622" s="1">
        <v>8.1</v>
      </c>
      <c r="N1622" s="1">
        <v>19.6</v>
      </c>
      <c r="O1622" s="1">
        <v>78.17335752</v>
      </c>
      <c r="P1622" s="1">
        <v>7.7014564883</v>
      </c>
      <c r="Q1622" s="1">
        <v>92.95737</v>
      </c>
      <c r="R1622" s="1">
        <v>84.63</v>
      </c>
      <c r="S1622" s="1">
        <v>13.4</v>
      </c>
      <c r="T1622" s="1">
        <v>14328.0</v>
      </c>
      <c r="U1622" s="1">
        <v>28.510608599</v>
      </c>
      <c r="V1622" s="1">
        <v>424.20367794</v>
      </c>
      <c r="W1622" s="1">
        <v>11.526246964</v>
      </c>
      <c r="X1622" s="1">
        <v>9.5885239713</v>
      </c>
      <c r="Y1622" s="1">
        <v>79.457896553</v>
      </c>
      <c r="Z1622" s="1">
        <v>8.2</v>
      </c>
      <c r="AA1622" s="1">
        <v>6.4362311314</v>
      </c>
      <c r="AB1622" s="1">
        <v>63860.0</v>
      </c>
      <c r="AC1622" s="1">
        <v>35.462325193</v>
      </c>
      <c r="AD1622" s="1">
        <v>68.539568345</v>
      </c>
      <c r="AE1622" s="1">
        <v>9.7176600849</v>
      </c>
      <c r="AF1622" s="1">
        <v>0.4279475983</v>
      </c>
      <c r="AG1622" s="1">
        <v>2.2590975255</v>
      </c>
      <c r="AH1622" s="1">
        <v>0.7656477438</v>
      </c>
      <c r="AI1622" s="1">
        <v>0.0815138282</v>
      </c>
      <c r="AJ1622" s="1">
        <v>3.4061135371</v>
      </c>
      <c r="AK1622" s="1">
        <v>91.180494905</v>
      </c>
      <c r="AL1622" s="1">
        <v>0.1187930625</v>
      </c>
      <c r="AM1622" s="1">
        <v>50.56768559</v>
      </c>
      <c r="AN1622" s="1">
        <v>28.929726319</v>
      </c>
      <c r="AO1622" s="1">
        <v>29892.0</v>
      </c>
      <c r="AP1622" s="1">
        <v>12.1</v>
      </c>
      <c r="AQ1622" s="1">
        <v>4.1</v>
      </c>
      <c r="AR1622" s="1">
        <v>5.1</v>
      </c>
      <c r="AS1622" s="1">
        <v>16.1</v>
      </c>
      <c r="AT1622" s="1">
        <v>21.8</v>
      </c>
      <c r="AU1622" s="1">
        <v>13.7</v>
      </c>
      <c r="AV1622" s="1">
        <v>8.2</v>
      </c>
      <c r="AW1622" s="1">
        <v>0.1</v>
      </c>
      <c r="AX1622" s="1">
        <v>0.1767</v>
      </c>
      <c r="AY1622" s="1">
        <v>9.4</v>
      </c>
      <c r="AZ1622" s="1">
        <v>9.3</v>
      </c>
      <c r="BA1622" s="1">
        <v>15.2</v>
      </c>
      <c r="BB1622" s="1">
        <v>3.23</v>
      </c>
      <c r="BC1622" s="1" t="s">
        <v>2710</v>
      </c>
      <c r="BD1622" s="1">
        <v>4.4</v>
      </c>
      <c r="BE1622" s="1">
        <v>23.6</v>
      </c>
      <c r="BF1622" s="1">
        <v>32.0</v>
      </c>
      <c r="BG1622" s="1">
        <v>40.1</v>
      </c>
      <c r="BH1622" s="1" t="s">
        <v>2750</v>
      </c>
    </row>
    <row r="1623">
      <c r="A1623" s="1">
        <v>30051.0</v>
      </c>
      <c r="B1623" s="2" t="str">
        <f>IFERROR(__xludf.DUMMYFUNCTION("TO_TEXT(A1623)"),"30051")</f>
        <v>30051</v>
      </c>
      <c r="C1623" s="1">
        <v>2292.0</v>
      </c>
      <c r="D1623" s="1">
        <v>1429.99080668022</v>
      </c>
      <c r="E1623" s="1" t="s">
        <v>744</v>
      </c>
      <c r="F1623" s="1" t="s">
        <v>2751</v>
      </c>
      <c r="G1623" s="1">
        <v>1.60280750707829</v>
      </c>
      <c r="H1623" s="1">
        <v>12.056048462</v>
      </c>
      <c r="I1623" s="1">
        <v>3.4432190631</v>
      </c>
      <c r="J1623" s="1">
        <v>10.0591715979999</v>
      </c>
      <c r="K1623" s="1">
        <v>14.5263183979999</v>
      </c>
      <c r="L1623" s="1">
        <v>35.1</v>
      </c>
      <c r="M1623" s="1">
        <v>6.5</v>
      </c>
      <c r="N1623" s="1">
        <v>24.8</v>
      </c>
      <c r="O1623" s="1">
        <v>38.862761864</v>
      </c>
      <c r="P1623" s="1">
        <v>19.388830348</v>
      </c>
      <c r="Q1623" s="1">
        <v>41.20313</v>
      </c>
      <c r="R1623" s="1">
        <v>90.0</v>
      </c>
      <c r="S1623" s="1">
        <v>26.9</v>
      </c>
      <c r="T1623" s="1">
        <v>494.0</v>
      </c>
      <c r="U1623" s="1">
        <v>20.850202429</v>
      </c>
      <c r="V1623" s="1">
        <v>330.44196613</v>
      </c>
      <c r="W1623" s="1">
        <v>20.958083832</v>
      </c>
      <c r="X1623" s="1">
        <v>5.8041112455</v>
      </c>
      <c r="Y1623" s="1">
        <v>88.737801726</v>
      </c>
      <c r="Z1623" s="1">
        <v>14.5</v>
      </c>
      <c r="AA1623" s="1">
        <v>21.078046954</v>
      </c>
      <c r="AB1623" s="1">
        <v>42742.0</v>
      </c>
      <c r="AC1623" s="1">
        <v>29.955947137</v>
      </c>
      <c r="AD1623" s="1">
        <v>62.5282167039999</v>
      </c>
      <c r="AE1623" s="1">
        <v>8.908045977</v>
      </c>
      <c r="AF1623" s="1">
        <v>0.4526748971</v>
      </c>
      <c r="AG1623" s="1">
        <v>0.8230452675</v>
      </c>
      <c r="AH1623" s="1">
        <v>0.1646090535</v>
      </c>
      <c r="AI1623" s="1">
        <v>0.0411522634</v>
      </c>
      <c r="AJ1623" s="1">
        <v>0.8641975309</v>
      </c>
      <c r="AK1623" s="1">
        <v>96.008230453</v>
      </c>
      <c r="AL1623" s="1">
        <v>1.5313225058</v>
      </c>
      <c r="AM1623" s="1">
        <v>51.769547325</v>
      </c>
      <c r="AN1623" s="1">
        <v>100.0</v>
      </c>
      <c r="AO1623" s="1">
        <v>32427.0</v>
      </c>
      <c r="AP1623" s="1">
        <v>15.4</v>
      </c>
      <c r="AQ1623" s="1">
        <v>5.5</v>
      </c>
      <c r="AR1623" s="1">
        <v>20.8</v>
      </c>
      <c r="AS1623" s="1">
        <v>22.3</v>
      </c>
      <c r="AT1623" s="1">
        <v>19.0</v>
      </c>
      <c r="AU1623" s="1">
        <v>17.1</v>
      </c>
      <c r="AV1623" s="1">
        <v>3.2</v>
      </c>
      <c r="AW1623" s="1">
        <v>0.6</v>
      </c>
      <c r="AX1623" s="1">
        <v>0.5288</v>
      </c>
      <c r="AY1623" s="1">
        <v>19.0</v>
      </c>
      <c r="AZ1623" s="1">
        <v>11.2</v>
      </c>
      <c r="BA1623" s="1">
        <v>18.4</v>
      </c>
      <c r="BB1623" s="1">
        <v>3.12</v>
      </c>
      <c r="BC1623" s="1" t="s">
        <v>2710</v>
      </c>
      <c r="BD1623" s="1">
        <v>29.8</v>
      </c>
      <c r="BE1623" s="1">
        <v>21.5</v>
      </c>
      <c r="BF1623" s="1">
        <v>33.5</v>
      </c>
      <c r="BG1623" s="1">
        <v>15.2</v>
      </c>
      <c r="BH1623" s="1" t="s">
        <v>2751</v>
      </c>
    </row>
    <row r="1624">
      <c r="A1624" s="1">
        <v>30053.0</v>
      </c>
      <c r="B1624" s="2" t="str">
        <f>IFERROR(__xludf.DUMMYFUNCTION("TO_TEXT(A1624)"),"30053")</f>
        <v>30053</v>
      </c>
      <c r="C1624" s="1">
        <v>19268.0</v>
      </c>
      <c r="D1624" s="1">
        <v>3612.70465471029</v>
      </c>
      <c r="E1624" s="1" t="s">
        <v>353</v>
      </c>
      <c r="F1624" s="1" t="s">
        <v>2752</v>
      </c>
      <c r="G1624" s="1">
        <v>5.33340027529738</v>
      </c>
      <c r="H1624" s="1">
        <v>16.139727054</v>
      </c>
      <c r="I1624" s="1">
        <v>3.7706761697</v>
      </c>
      <c r="J1624" s="1">
        <v>6.8683565004</v>
      </c>
      <c r="K1624" s="1">
        <v>16.132728336</v>
      </c>
      <c r="L1624" s="1">
        <v>26.3</v>
      </c>
      <c r="M1624" s="1">
        <v>7.5</v>
      </c>
      <c r="N1624" s="1">
        <v>22.1</v>
      </c>
      <c r="O1624" s="1">
        <v>98.923147255</v>
      </c>
      <c r="P1624" s="1">
        <v>12.888436067</v>
      </c>
      <c r="Q1624" s="1">
        <v>77.16049</v>
      </c>
      <c r="R1624" s="1">
        <v>93.6</v>
      </c>
      <c r="S1624" s="1">
        <v>33.7</v>
      </c>
      <c r="T1624" s="1">
        <v>3486.0</v>
      </c>
      <c r="U1624" s="1">
        <v>24.211130235</v>
      </c>
      <c r="V1624" s="1">
        <v>203.2096707</v>
      </c>
      <c r="W1624" s="1">
        <v>17.330210773</v>
      </c>
      <c r="X1624" s="1">
        <v>14.107883817</v>
      </c>
      <c r="Y1624" s="1">
        <v>78.209724776</v>
      </c>
      <c r="Z1624" s="1">
        <v>9.6</v>
      </c>
      <c r="AA1624" s="1">
        <v>6.4137616565</v>
      </c>
      <c r="AB1624" s="1">
        <v>40602.0</v>
      </c>
      <c r="AC1624" s="1">
        <v>65.288579615</v>
      </c>
      <c r="AD1624" s="1">
        <v>78.266133915</v>
      </c>
      <c r="AE1624" s="1">
        <v>14.816204051</v>
      </c>
      <c r="AF1624" s="1">
        <v>0.3890067697</v>
      </c>
      <c r="AG1624" s="1">
        <v>1.2630089926</v>
      </c>
      <c r="AH1624" s="1">
        <v>0.3789026978</v>
      </c>
      <c r="AI1624" s="1">
        <v>0.1313529352</v>
      </c>
      <c r="AJ1624" s="1">
        <v>3.2888754168</v>
      </c>
      <c r="AK1624" s="1">
        <v>92.467414368</v>
      </c>
      <c r="AL1624" s="1">
        <v>0.3883914122</v>
      </c>
      <c r="AM1624" s="1">
        <v>49.555420835</v>
      </c>
      <c r="AN1624" s="1">
        <v>79.79377254</v>
      </c>
      <c r="AO1624" s="1">
        <v>22404.0</v>
      </c>
      <c r="AP1624" s="1">
        <v>17.9</v>
      </c>
      <c r="AQ1624" s="1">
        <v>11.6</v>
      </c>
      <c r="AR1624" s="1">
        <v>11.9</v>
      </c>
      <c r="AS1624" s="1">
        <v>24.8</v>
      </c>
      <c r="AT1624" s="1">
        <v>18.2</v>
      </c>
      <c r="AU1624" s="1">
        <v>21.1</v>
      </c>
      <c r="AV1624" s="1">
        <v>6.6</v>
      </c>
      <c r="AW1624" s="1">
        <v>0.4</v>
      </c>
      <c r="AX1624" s="1">
        <v>0.4527</v>
      </c>
      <c r="AY1624" s="1">
        <v>17.4</v>
      </c>
      <c r="AZ1624" s="1">
        <v>15.0</v>
      </c>
      <c r="BA1624" s="1">
        <v>27.3</v>
      </c>
      <c r="BB1624" s="1">
        <v>3.19</v>
      </c>
      <c r="BC1624" s="1" t="s">
        <v>2710</v>
      </c>
      <c r="BD1624" s="1">
        <v>10.4</v>
      </c>
      <c r="BE1624" s="1">
        <v>37.3</v>
      </c>
      <c r="BF1624" s="1">
        <v>32.7</v>
      </c>
      <c r="BG1624" s="1">
        <v>19.6</v>
      </c>
      <c r="BH1624" s="1" t="s">
        <v>2752</v>
      </c>
    </row>
    <row r="1625">
      <c r="A1625" s="1">
        <v>30055.0</v>
      </c>
      <c r="B1625" s="2" t="str">
        <f>IFERROR(__xludf.DUMMYFUNCTION("TO_TEXT(A1625)"),"30055")</f>
        <v>30055</v>
      </c>
      <c r="C1625" s="1">
        <v>1678.0</v>
      </c>
      <c r="D1625" s="1">
        <v>2642.19773584616</v>
      </c>
      <c r="E1625" s="1" t="s">
        <v>2753</v>
      </c>
      <c r="F1625" s="1" t="s">
        <v>2754</v>
      </c>
      <c r="G1625" s="1">
        <v>0.635077374124923</v>
      </c>
      <c r="H1625" s="1">
        <v>11.5868755559999</v>
      </c>
      <c r="I1625" s="1">
        <v>3.2776553253</v>
      </c>
      <c r="J1625" s="1">
        <v>7.80443539465</v>
      </c>
      <c r="K1625" s="1">
        <v>13.273183715</v>
      </c>
      <c r="L1625" s="1">
        <v>24.8</v>
      </c>
      <c r="M1625" s="1">
        <v>8.2</v>
      </c>
      <c r="N1625" s="1">
        <v>25.0</v>
      </c>
      <c r="O1625" s="1">
        <v>37.889273356</v>
      </c>
      <c r="P1625" s="1">
        <v>16.640378549</v>
      </c>
      <c r="Q1625" s="1">
        <v>0.0</v>
      </c>
      <c r="R1625" s="1">
        <v>94.44</v>
      </c>
      <c r="S1625" s="1">
        <v>17.9</v>
      </c>
      <c r="T1625" s="1">
        <v>329.0</v>
      </c>
      <c r="U1625" s="1">
        <v>0.0</v>
      </c>
      <c r="V1625" s="1">
        <v>59.189109204</v>
      </c>
      <c r="W1625" s="1">
        <v>7.4482758621</v>
      </c>
      <c r="X1625" s="1">
        <v>7.3509015257</v>
      </c>
      <c r="Y1625" s="1">
        <v>76.614949775</v>
      </c>
      <c r="Z1625" s="1">
        <v>8.8</v>
      </c>
      <c r="AA1625" s="1">
        <v>10.963050846</v>
      </c>
      <c r="AB1625" s="1">
        <v>43650.0</v>
      </c>
      <c r="AC1625" s="1">
        <v>28.448275862</v>
      </c>
      <c r="AD1625" s="1">
        <v>81.818181818</v>
      </c>
      <c r="AE1625" s="1">
        <v>11.446740859</v>
      </c>
      <c r="AF1625" s="1">
        <v>0.5373134328</v>
      </c>
      <c r="AG1625" s="1">
        <v>1.3134328358</v>
      </c>
      <c r="AH1625" s="1">
        <v>0.4179104478</v>
      </c>
      <c r="AI1625" s="1">
        <v>0.0</v>
      </c>
      <c r="AJ1625" s="1">
        <v>1.671641791</v>
      </c>
      <c r="AK1625" s="1">
        <v>94.149253731</v>
      </c>
      <c r="AL1625" s="1">
        <v>0.899165060999999</v>
      </c>
      <c r="AM1625" s="1">
        <v>48.656716418</v>
      </c>
      <c r="AN1625" s="1">
        <v>100.0</v>
      </c>
      <c r="AO1625" s="1">
        <v>28736.0</v>
      </c>
      <c r="AP1625" s="1">
        <v>10.9</v>
      </c>
      <c r="AQ1625" s="1">
        <v>0.9</v>
      </c>
      <c r="AR1625" s="1">
        <v>6.9</v>
      </c>
      <c r="AS1625" s="1">
        <v>22.8</v>
      </c>
      <c r="AT1625" s="1">
        <v>20.6</v>
      </c>
      <c r="AU1625" s="1">
        <v>13.8</v>
      </c>
      <c r="AV1625" s="1">
        <v>7.8</v>
      </c>
      <c r="AW1625" s="1">
        <v>0.0</v>
      </c>
      <c r="AX1625" s="1">
        <v>0.0057</v>
      </c>
      <c r="AY1625" s="1">
        <v>14.5</v>
      </c>
      <c r="AZ1625" s="1">
        <v>7.1</v>
      </c>
      <c r="BA1625" s="1">
        <v>9.7</v>
      </c>
      <c r="BB1625" s="1">
        <v>3.48</v>
      </c>
      <c r="BC1625" s="1" t="s">
        <v>2710</v>
      </c>
      <c r="BD1625" s="1">
        <v>7.5</v>
      </c>
      <c r="BE1625" s="1">
        <v>38.8</v>
      </c>
      <c r="BF1625" s="1">
        <v>36.5</v>
      </c>
      <c r="BG1625" s="1">
        <v>17.2</v>
      </c>
      <c r="BH1625" s="1" t="s">
        <v>2754</v>
      </c>
    </row>
    <row r="1626">
      <c r="A1626" s="1">
        <v>30057.0</v>
      </c>
      <c r="B1626" s="2" t="str">
        <f>IFERROR(__xludf.DUMMYFUNCTION("TO_TEXT(A1626)"),"30057")</f>
        <v>30057</v>
      </c>
      <c r="C1626" s="1">
        <v>7810.0</v>
      </c>
      <c r="D1626" s="1">
        <v>3588.16710658392</v>
      </c>
      <c r="E1626" s="1" t="s">
        <v>148</v>
      </c>
      <c r="F1626" s="1" t="s">
        <v>2755</v>
      </c>
      <c r="G1626" s="1">
        <v>2.17659873913605</v>
      </c>
      <c r="H1626" s="1">
        <v>11.888862419</v>
      </c>
      <c r="I1626" s="1">
        <v>3.2632445286</v>
      </c>
      <c r="J1626" s="1">
        <v>5.3613053613</v>
      </c>
      <c r="K1626" s="1">
        <v>13.847949538</v>
      </c>
      <c r="L1626" s="1">
        <v>24.1</v>
      </c>
      <c r="M1626" s="1">
        <v>7.9</v>
      </c>
      <c r="N1626" s="1">
        <v>19.6</v>
      </c>
      <c r="O1626" s="1">
        <v>35.483032115</v>
      </c>
      <c r="P1626" s="1">
        <v>13.689337276</v>
      </c>
      <c r="Q1626" s="1">
        <v>85.62691</v>
      </c>
      <c r="R1626" s="1">
        <v>89.74</v>
      </c>
      <c r="S1626" s="1">
        <v>14.6</v>
      </c>
      <c r="T1626" s="1">
        <v>1227.0</v>
      </c>
      <c r="U1626" s="1">
        <v>12.224938875</v>
      </c>
      <c r="V1626" s="1">
        <v>89.160616482</v>
      </c>
      <c r="W1626" s="1">
        <v>14.56166419</v>
      </c>
      <c r="X1626" s="1">
        <v>12.421430709</v>
      </c>
      <c r="Y1626" s="1">
        <v>82.1629750939999</v>
      </c>
      <c r="Z1626" s="1">
        <v>6.3</v>
      </c>
      <c r="AA1626" s="1">
        <v>9.7519347181</v>
      </c>
      <c r="AB1626" s="1">
        <v>53031.0</v>
      </c>
      <c r="AC1626" s="1">
        <v>30.246189918</v>
      </c>
      <c r="AD1626" s="1">
        <v>74.490089055</v>
      </c>
      <c r="AE1626" s="1">
        <v>12.134548884</v>
      </c>
      <c r="AF1626" s="1">
        <v>0.4333941606</v>
      </c>
      <c r="AG1626" s="1">
        <v>0.7641423358</v>
      </c>
      <c r="AH1626" s="1">
        <v>0.6500912409</v>
      </c>
      <c r="AI1626" s="1">
        <v>0.0114051095</v>
      </c>
      <c r="AJ1626" s="1">
        <v>6.6149635036</v>
      </c>
      <c r="AK1626" s="1">
        <v>90.1117700729999</v>
      </c>
      <c r="AL1626" s="1">
        <v>2.5202634245</v>
      </c>
      <c r="AM1626" s="1">
        <v>46.487226277</v>
      </c>
      <c r="AN1626" s="1">
        <v>100.0</v>
      </c>
      <c r="AO1626" s="1">
        <v>30030.0</v>
      </c>
      <c r="AP1626" s="1">
        <v>11.3</v>
      </c>
      <c r="AQ1626" s="1">
        <v>4.1</v>
      </c>
      <c r="AR1626" s="1">
        <v>5.5</v>
      </c>
      <c r="AS1626" s="1">
        <v>26.1</v>
      </c>
      <c r="AT1626" s="1">
        <v>15.7</v>
      </c>
      <c r="AU1626" s="1">
        <v>12.4</v>
      </c>
      <c r="AV1626" s="1">
        <v>5.7</v>
      </c>
      <c r="AW1626" s="1">
        <v>1.6</v>
      </c>
      <c r="AX1626" s="1">
        <v>0.1067</v>
      </c>
      <c r="AY1626" s="1">
        <v>9.7</v>
      </c>
      <c r="AZ1626" s="1">
        <v>9.4</v>
      </c>
      <c r="BA1626" s="1">
        <v>16.4</v>
      </c>
      <c r="BB1626" s="1">
        <v>3.33</v>
      </c>
      <c r="BC1626" s="1" t="s">
        <v>2710</v>
      </c>
      <c r="BD1626" s="1">
        <v>4.6</v>
      </c>
      <c r="BE1626" s="1">
        <v>30.8</v>
      </c>
      <c r="BF1626" s="1">
        <v>33.4</v>
      </c>
      <c r="BG1626" s="1">
        <v>31.2</v>
      </c>
      <c r="BH1626" s="1" t="s">
        <v>2755</v>
      </c>
    </row>
    <row r="1627">
      <c r="A1627" s="1">
        <v>30059.0</v>
      </c>
      <c r="B1627" s="2" t="str">
        <f>IFERROR(__xludf.DUMMYFUNCTION("TO_TEXT(A1627)"),"30059")</f>
        <v>30059</v>
      </c>
      <c r="C1627" s="1">
        <v>1960.0</v>
      </c>
      <c r="D1627" s="1">
        <v>2391.86764815803</v>
      </c>
      <c r="E1627" s="1" t="s">
        <v>2756</v>
      </c>
      <c r="F1627" s="1" t="s">
        <v>2757</v>
      </c>
      <c r="G1627" s="1">
        <v>0.81944333396097</v>
      </c>
      <c r="H1627" s="1">
        <v>15.320321343</v>
      </c>
      <c r="I1627" s="1">
        <v>3.8217184562</v>
      </c>
      <c r="J1627" s="1">
        <v>7.9365079365</v>
      </c>
      <c r="K1627" s="1">
        <v>16.979871527</v>
      </c>
      <c r="L1627" s="1">
        <v>25.9</v>
      </c>
      <c r="M1627" s="1">
        <v>4.3</v>
      </c>
      <c r="N1627" s="1">
        <v>23.0</v>
      </c>
      <c r="O1627" s="1">
        <v>63.8286620839999</v>
      </c>
      <c r="P1627" s="1">
        <v>11.559348332</v>
      </c>
      <c r="Q1627" s="1">
        <v>108.0497</v>
      </c>
      <c r="R1627" s="1">
        <v>92.86</v>
      </c>
      <c r="S1627" s="1">
        <v>31.3</v>
      </c>
      <c r="T1627" s="1">
        <v>393.0</v>
      </c>
      <c r="U1627" s="1">
        <v>16.79389313</v>
      </c>
      <c r="V1627" s="1">
        <v>106.01643255</v>
      </c>
      <c r="W1627" s="1">
        <v>10.8280254779999</v>
      </c>
      <c r="X1627" s="1">
        <v>10.318471338</v>
      </c>
      <c r="Y1627" s="1">
        <v>82.334276859</v>
      </c>
      <c r="Z1627" s="1">
        <v>7.0</v>
      </c>
      <c r="AA1627" s="1">
        <v>46.414002608</v>
      </c>
      <c r="AB1627" s="1">
        <v>44572.0</v>
      </c>
      <c r="AC1627" s="1">
        <v>61.682242991</v>
      </c>
      <c r="AD1627" s="1">
        <v>71.028037383</v>
      </c>
      <c r="AE1627" s="1">
        <v>6.3174114022</v>
      </c>
      <c r="AF1627" s="1">
        <v>0.3751339764</v>
      </c>
      <c r="AG1627" s="1">
        <v>0.7502679528</v>
      </c>
      <c r="AH1627" s="1">
        <v>0.4287245445</v>
      </c>
      <c r="AI1627" s="1">
        <v>0.0</v>
      </c>
      <c r="AJ1627" s="1">
        <v>2.3579849946</v>
      </c>
      <c r="AK1627" s="1">
        <v>94.8017148979999</v>
      </c>
      <c r="AL1627" s="1">
        <v>0.327510917</v>
      </c>
      <c r="AM1627" s="1">
        <v>49.464094319</v>
      </c>
      <c r="AN1627" s="1">
        <v>100.0</v>
      </c>
      <c r="AO1627" s="1">
        <v>19989.0</v>
      </c>
      <c r="AP1627" s="1">
        <v>15.3</v>
      </c>
      <c r="AQ1627" s="1">
        <v>3.0</v>
      </c>
      <c r="AR1627" s="1">
        <v>7.5</v>
      </c>
      <c r="AS1627" s="1">
        <v>22.1</v>
      </c>
      <c r="AT1627" s="1">
        <v>21.6</v>
      </c>
      <c r="AU1627" s="1">
        <v>16.5</v>
      </c>
      <c r="AV1627" s="1">
        <v>4.1</v>
      </c>
      <c r="AW1627" s="1">
        <v>0.2</v>
      </c>
      <c r="AX1627" s="1">
        <v>0.1525</v>
      </c>
      <c r="AY1627" s="1">
        <v>15.7</v>
      </c>
      <c r="AZ1627" s="1">
        <v>11.4</v>
      </c>
      <c r="BA1627" s="1">
        <v>17.4</v>
      </c>
      <c r="BB1627" s="1">
        <v>3.24</v>
      </c>
      <c r="BC1627" s="1" t="s">
        <v>2710</v>
      </c>
      <c r="BD1627" s="1">
        <v>4.8</v>
      </c>
      <c r="BE1627" s="1">
        <v>40.3</v>
      </c>
      <c r="BF1627" s="1">
        <v>25.7</v>
      </c>
      <c r="BG1627" s="1">
        <v>29.3</v>
      </c>
      <c r="BH1627" s="1" t="s">
        <v>2757</v>
      </c>
    </row>
    <row r="1628">
      <c r="A1628" s="1">
        <v>30061.0</v>
      </c>
      <c r="B1628" s="2" t="str">
        <f>IFERROR(__xludf.DUMMYFUNCTION("TO_TEXT(A1628)"),"30061")</f>
        <v>30061</v>
      </c>
      <c r="C1628" s="1">
        <v>4223.0</v>
      </c>
      <c r="D1628" s="1">
        <v>1219.62035320412</v>
      </c>
      <c r="E1628" s="1" t="s">
        <v>608</v>
      </c>
      <c r="F1628" s="1" t="s">
        <v>2758</v>
      </c>
      <c r="G1628" s="1">
        <v>3.46255290747286</v>
      </c>
      <c r="H1628" s="1">
        <v>16.154673629</v>
      </c>
      <c r="I1628" s="1">
        <v>3.9933512498</v>
      </c>
      <c r="J1628" s="1">
        <v>8.3333333333</v>
      </c>
      <c r="K1628" s="1">
        <v>17.79198375</v>
      </c>
      <c r="L1628" s="1">
        <v>27.7</v>
      </c>
      <c r="M1628" s="1">
        <v>5.9</v>
      </c>
      <c r="N1628" s="1">
        <v>22.8</v>
      </c>
      <c r="O1628" s="1">
        <v>100.0</v>
      </c>
      <c r="P1628" s="1">
        <v>10.641835717</v>
      </c>
      <c r="Q1628" s="1">
        <v>47.00353</v>
      </c>
      <c r="R1628" s="1">
        <v>82.86</v>
      </c>
      <c r="S1628" s="1">
        <v>24.9</v>
      </c>
      <c r="T1628" s="1">
        <v>752.0</v>
      </c>
      <c r="U1628" s="1">
        <v>41.223404255</v>
      </c>
      <c r="V1628" s="1">
        <v>93.4361130579999</v>
      </c>
      <c r="W1628" s="1">
        <v>16.049382716</v>
      </c>
      <c r="X1628" s="1">
        <v>14.366021237</v>
      </c>
      <c r="Y1628" s="1">
        <v>77.152909634</v>
      </c>
      <c r="Z1628" s="1">
        <v>8.9</v>
      </c>
      <c r="AA1628" s="1">
        <v>21.618273948</v>
      </c>
      <c r="AB1628" s="1">
        <v>43458.0</v>
      </c>
      <c r="AC1628" s="1">
        <v>100.0</v>
      </c>
      <c r="AD1628" s="1">
        <v>72.984108299</v>
      </c>
      <c r="AE1628" s="1">
        <v>11.415816327</v>
      </c>
      <c r="AF1628" s="1">
        <v>0.4633920297</v>
      </c>
      <c r="AG1628" s="1">
        <v>1.969416126</v>
      </c>
      <c r="AH1628" s="1">
        <v>0.671918442999999</v>
      </c>
      <c r="AI1628" s="1">
        <v>0.0</v>
      </c>
      <c r="AJ1628" s="1">
        <v>2.8962001854</v>
      </c>
      <c r="AK1628" s="1">
        <v>91.612604263</v>
      </c>
      <c r="AL1628" s="1">
        <v>0.0247463499</v>
      </c>
      <c r="AM1628" s="1">
        <v>49.026876738</v>
      </c>
      <c r="AN1628" s="1">
        <v>100.0</v>
      </c>
      <c r="AO1628" s="1">
        <v>21447.0</v>
      </c>
      <c r="AP1628" s="1">
        <v>20.8</v>
      </c>
      <c r="AQ1628" s="1">
        <v>6.9</v>
      </c>
      <c r="AR1628" s="1">
        <v>12.6</v>
      </c>
      <c r="AS1628" s="1">
        <v>26.7</v>
      </c>
      <c r="AT1628" s="1">
        <v>18.0</v>
      </c>
      <c r="AU1628" s="1">
        <v>22.3</v>
      </c>
      <c r="AV1628" s="1">
        <v>2.7</v>
      </c>
      <c r="AW1628" s="1">
        <v>0.0</v>
      </c>
      <c r="AX1628" s="1">
        <v>0.3868</v>
      </c>
      <c r="AY1628" s="1">
        <v>15.6</v>
      </c>
      <c r="AZ1628" s="1">
        <v>15.3</v>
      </c>
      <c r="BA1628" s="1">
        <v>28.2</v>
      </c>
      <c r="BB1628" s="1">
        <v>3.21</v>
      </c>
      <c r="BC1628" s="1" t="s">
        <v>2710</v>
      </c>
      <c r="BD1628" s="1">
        <v>11.1</v>
      </c>
      <c r="BE1628" s="1">
        <v>37.0</v>
      </c>
      <c r="BF1628" s="1">
        <v>35.8</v>
      </c>
      <c r="BG1628" s="1">
        <v>16.1</v>
      </c>
      <c r="BH1628" s="1" t="s">
        <v>2758</v>
      </c>
    </row>
    <row r="1629">
      <c r="A1629" s="1">
        <v>30063.0</v>
      </c>
      <c r="B1629" s="2" t="str">
        <f>IFERROR(__xludf.DUMMYFUNCTION("TO_TEXT(A1629)"),"30063")</f>
        <v>30063</v>
      </c>
      <c r="C1629" s="1">
        <v>113101.0</v>
      </c>
      <c r="D1629" s="1">
        <v>2593.0522875619</v>
      </c>
      <c r="E1629" s="1" t="s">
        <v>2759</v>
      </c>
      <c r="F1629" s="1" t="s">
        <v>2760</v>
      </c>
      <c r="G1629" s="1">
        <v>43.6169376693682</v>
      </c>
      <c r="H1629" s="1">
        <v>13.92346786</v>
      </c>
      <c r="I1629" s="1">
        <v>3.7980494474</v>
      </c>
      <c r="J1629" s="1">
        <v>6.7591817203</v>
      </c>
      <c r="K1629" s="1">
        <v>16.976898634</v>
      </c>
      <c r="L1629" s="1">
        <v>22.2</v>
      </c>
      <c r="M1629" s="1">
        <v>7.7</v>
      </c>
      <c r="N1629" s="1">
        <v>16.7</v>
      </c>
      <c r="O1629" s="1">
        <v>92.571752715</v>
      </c>
      <c r="P1629" s="1">
        <v>8.6359003922</v>
      </c>
      <c r="Q1629" s="1">
        <v>102.17897</v>
      </c>
      <c r="R1629" s="1">
        <v>89.03</v>
      </c>
      <c r="S1629" s="1">
        <v>13.2</v>
      </c>
      <c r="T1629" s="1">
        <v>21918.0</v>
      </c>
      <c r="U1629" s="1">
        <v>25.56802628</v>
      </c>
      <c r="V1629" s="1">
        <v>345.38297135</v>
      </c>
      <c r="W1629" s="1">
        <v>18.858113127</v>
      </c>
      <c r="X1629" s="1">
        <v>16.838266838</v>
      </c>
      <c r="Y1629" s="1">
        <v>79.461978197</v>
      </c>
      <c r="Z1629" s="1">
        <v>6.1</v>
      </c>
      <c r="AA1629" s="1">
        <v>6.60937035429999</v>
      </c>
      <c r="AB1629" s="1">
        <v>56207.0</v>
      </c>
      <c r="AC1629" s="1">
        <v>47.702060222</v>
      </c>
      <c r="AD1629" s="1">
        <v>58.741359447</v>
      </c>
      <c r="AE1629" s="1">
        <v>16.599635917</v>
      </c>
      <c r="AF1629" s="1">
        <v>0.4242745663</v>
      </c>
      <c r="AG1629" s="1">
        <v>2.6508742245</v>
      </c>
      <c r="AH1629" s="1">
        <v>1.9075519189</v>
      </c>
      <c r="AI1629" s="1">
        <v>0.1043850123</v>
      </c>
      <c r="AJ1629" s="1">
        <v>3.3260095462</v>
      </c>
      <c r="AK1629" s="1">
        <v>89.180156746</v>
      </c>
      <c r="AL1629" s="1">
        <v>0.3702019283</v>
      </c>
      <c r="AM1629" s="1">
        <v>49.900244968</v>
      </c>
      <c r="AN1629" s="1">
        <v>22.3268282419999</v>
      </c>
      <c r="AO1629" s="1">
        <v>27956.0</v>
      </c>
      <c r="AP1629" s="1">
        <v>16.1</v>
      </c>
      <c r="AQ1629" s="1">
        <v>7.0</v>
      </c>
      <c r="AR1629" s="1">
        <v>5.0</v>
      </c>
      <c r="AS1629" s="1">
        <v>13.6</v>
      </c>
      <c r="AT1629" s="1">
        <v>19.4</v>
      </c>
      <c r="AU1629" s="1">
        <v>12.2</v>
      </c>
      <c r="AV1629" s="1">
        <v>9.9</v>
      </c>
      <c r="AW1629" s="1">
        <v>0.4</v>
      </c>
      <c r="AX1629" s="1">
        <v>0.2203</v>
      </c>
      <c r="AY1629" s="1">
        <v>11.8</v>
      </c>
      <c r="AZ1629" s="1">
        <v>10.3</v>
      </c>
      <c r="BA1629" s="1">
        <v>14.5</v>
      </c>
      <c r="BB1629" s="1">
        <v>3.25</v>
      </c>
      <c r="BC1629" s="1" t="s">
        <v>2710</v>
      </c>
      <c r="BD1629" s="1">
        <v>4.4</v>
      </c>
      <c r="BE1629" s="1">
        <v>21.7</v>
      </c>
      <c r="BF1629" s="1">
        <v>31.0</v>
      </c>
      <c r="BG1629" s="1">
        <v>43.0</v>
      </c>
      <c r="BH1629" s="1" t="s">
        <v>2760</v>
      </c>
    </row>
    <row r="1630">
      <c r="A1630" s="1">
        <v>30065.0</v>
      </c>
      <c r="B1630" s="2" t="str">
        <f>IFERROR(__xludf.DUMMYFUNCTION("TO_TEXT(A1630)"),"30065")</f>
        <v>30065</v>
      </c>
      <c r="C1630" s="1">
        <v>4778.0</v>
      </c>
      <c r="D1630" s="1">
        <v>1868.95465582715</v>
      </c>
      <c r="E1630" s="1" t="s">
        <v>2761</v>
      </c>
      <c r="F1630" s="1" t="s">
        <v>2762</v>
      </c>
      <c r="G1630" s="1">
        <v>2.55650932199068</v>
      </c>
      <c r="H1630" s="1">
        <v>16.306338534</v>
      </c>
      <c r="I1630" s="1">
        <v>3.9319949318</v>
      </c>
      <c r="J1630" s="1">
        <v>8.5910652921</v>
      </c>
      <c r="K1630" s="1">
        <v>17.8096844809999</v>
      </c>
      <c r="L1630" s="1">
        <v>28.0</v>
      </c>
      <c r="M1630" s="1">
        <v>7.2</v>
      </c>
      <c r="N1630" s="1">
        <v>27.6</v>
      </c>
      <c r="O1630" s="1">
        <v>55.310709564</v>
      </c>
      <c r="P1630" s="1">
        <v>12.367802585</v>
      </c>
      <c r="Q1630" s="1">
        <v>48.31939</v>
      </c>
      <c r="R1630" s="1">
        <v>92.31</v>
      </c>
      <c r="S1630" s="1">
        <v>27.2</v>
      </c>
      <c r="T1630" s="1">
        <v>976.0</v>
      </c>
      <c r="U1630" s="1">
        <v>30.225409836</v>
      </c>
      <c r="V1630" s="1">
        <v>551.23216602</v>
      </c>
      <c r="W1630" s="1">
        <v>18.75</v>
      </c>
      <c r="X1630" s="1">
        <v>15.776081425</v>
      </c>
      <c r="Y1630" s="1">
        <v>77.331462261</v>
      </c>
      <c r="Z1630" s="1">
        <v>8.1</v>
      </c>
      <c r="AA1630" s="1">
        <v>11.180834744</v>
      </c>
      <c r="AB1630" s="1">
        <v>43371.0</v>
      </c>
      <c r="AC1630" s="1">
        <v>50.8661417319999</v>
      </c>
      <c r="AD1630" s="1">
        <v>71.40105922</v>
      </c>
      <c r="AE1630" s="1">
        <v>17.634408602</v>
      </c>
      <c r="AF1630" s="1">
        <v>0.7740270909</v>
      </c>
      <c r="AG1630" s="1">
        <v>1.9780692324</v>
      </c>
      <c r="AH1630" s="1">
        <v>1.8705654698</v>
      </c>
      <c r="AI1630" s="1">
        <v>0.0430015051</v>
      </c>
      <c r="AJ1630" s="1">
        <v>3.3111158891</v>
      </c>
      <c r="AK1630" s="1">
        <v>90.4966673829999</v>
      </c>
      <c r="AL1630" s="1">
        <v>0.3067484663</v>
      </c>
      <c r="AM1630" s="1">
        <v>49.645237583</v>
      </c>
      <c r="AN1630" s="1">
        <v>100.0</v>
      </c>
      <c r="AO1630" s="1">
        <v>23167.0</v>
      </c>
      <c r="AP1630" s="1">
        <v>17.0</v>
      </c>
      <c r="AQ1630" s="1">
        <v>5.8</v>
      </c>
      <c r="AR1630" s="1">
        <v>9.8</v>
      </c>
      <c r="AS1630" s="1">
        <v>21.2</v>
      </c>
      <c r="AT1630" s="1">
        <v>22.1</v>
      </c>
      <c r="AU1630" s="1">
        <v>15.1</v>
      </c>
      <c r="AV1630" s="1">
        <v>7.1</v>
      </c>
      <c r="AW1630" s="1">
        <v>0.0</v>
      </c>
      <c r="AX1630" s="1">
        <v>0.291</v>
      </c>
      <c r="AY1630" s="1">
        <v>16.5</v>
      </c>
      <c r="AZ1630" s="1">
        <v>12.4</v>
      </c>
      <c r="BA1630" s="1">
        <v>22.1</v>
      </c>
      <c r="BB1630" s="1">
        <v>3.17</v>
      </c>
      <c r="BC1630" s="1" t="s">
        <v>2710</v>
      </c>
      <c r="BD1630" s="1">
        <v>8.5</v>
      </c>
      <c r="BE1630" s="1">
        <v>42.8</v>
      </c>
      <c r="BF1630" s="1">
        <v>32.5</v>
      </c>
      <c r="BG1630" s="1">
        <v>16.3</v>
      </c>
      <c r="BH1630" s="1" t="s">
        <v>2762</v>
      </c>
    </row>
    <row r="1631">
      <c r="A1631" s="1">
        <v>30067.0</v>
      </c>
      <c r="B1631" s="2" t="str">
        <f>IFERROR(__xludf.DUMMYFUNCTION("TO_TEXT(A1631)"),"30067")</f>
        <v>30067</v>
      </c>
      <c r="C1631" s="1">
        <v>15843.0</v>
      </c>
      <c r="D1631" s="1">
        <v>2802.80109905731</v>
      </c>
      <c r="E1631" s="1" t="s">
        <v>621</v>
      </c>
      <c r="F1631" s="1" t="s">
        <v>2763</v>
      </c>
      <c r="G1631" s="1">
        <v>5.65255950746151</v>
      </c>
      <c r="H1631" s="1">
        <v>12.797371828</v>
      </c>
      <c r="I1631" s="1">
        <v>3.4820294048</v>
      </c>
      <c r="J1631" s="1">
        <v>7.5508228461</v>
      </c>
      <c r="K1631" s="1">
        <v>14.0840428229999</v>
      </c>
      <c r="L1631" s="1">
        <v>24.3</v>
      </c>
      <c r="M1631" s="1">
        <v>7.5</v>
      </c>
      <c r="N1631" s="1">
        <v>25.2</v>
      </c>
      <c r="O1631" s="1">
        <v>59.9897672039999</v>
      </c>
      <c r="P1631" s="1">
        <v>10.141509434</v>
      </c>
      <c r="Q1631" s="1">
        <v>134.53189</v>
      </c>
      <c r="R1631" s="1">
        <v>92.26</v>
      </c>
      <c r="S1631" s="1">
        <v>13.4</v>
      </c>
      <c r="T1631" s="1">
        <v>2898.0</v>
      </c>
      <c r="U1631" s="1">
        <v>23.464458247</v>
      </c>
      <c r="V1631" s="1">
        <v>169.82200138</v>
      </c>
      <c r="W1631" s="1">
        <v>14.586255259</v>
      </c>
      <c r="X1631" s="1">
        <v>13.5327635329999</v>
      </c>
      <c r="Y1631" s="1">
        <v>80.3020837839999</v>
      </c>
      <c r="Z1631" s="1">
        <v>7.6</v>
      </c>
      <c r="AA1631" s="1">
        <v>11.031016122</v>
      </c>
      <c r="AB1631" s="1">
        <v>61044.0</v>
      </c>
      <c r="AC1631" s="1">
        <v>33.790918691</v>
      </c>
      <c r="AD1631" s="1">
        <v>69.093745937</v>
      </c>
      <c r="AE1631" s="1">
        <v>12.915689251</v>
      </c>
      <c r="AF1631" s="1">
        <v>0.3226577438</v>
      </c>
      <c r="AG1631" s="1">
        <v>1.1472275335</v>
      </c>
      <c r="AH1631" s="1">
        <v>0.4541108987</v>
      </c>
      <c r="AI1631" s="1">
        <v>0.0478011472</v>
      </c>
      <c r="AJ1631" s="1">
        <v>3.2026768642</v>
      </c>
      <c r="AK1631" s="1">
        <v>93.158460803</v>
      </c>
      <c r="AL1631" s="1">
        <v>0.4738106056</v>
      </c>
      <c r="AM1631" s="1">
        <v>49.593690249</v>
      </c>
      <c r="AN1631" s="1">
        <v>47.73599386</v>
      </c>
      <c r="AO1631" s="1">
        <v>27597.0</v>
      </c>
      <c r="AP1631" s="1">
        <v>12.1</v>
      </c>
      <c r="AQ1631" s="1">
        <v>4.0</v>
      </c>
      <c r="AR1631" s="1">
        <v>4.6</v>
      </c>
      <c r="AS1631" s="1">
        <v>19.4</v>
      </c>
      <c r="AT1631" s="1">
        <v>19.1</v>
      </c>
      <c r="AU1631" s="1">
        <v>11.9</v>
      </c>
      <c r="AV1631" s="1">
        <v>6.0</v>
      </c>
      <c r="AW1631" s="1">
        <v>0.5</v>
      </c>
      <c r="AX1631" s="1">
        <v>0.0592</v>
      </c>
      <c r="AY1631" s="1">
        <v>11.8</v>
      </c>
      <c r="AZ1631" s="1">
        <v>9.7</v>
      </c>
      <c r="BA1631" s="1">
        <v>14.7</v>
      </c>
      <c r="BB1631" s="1">
        <v>3.37</v>
      </c>
      <c r="BC1631" s="1" t="s">
        <v>2710</v>
      </c>
      <c r="BD1631" s="1">
        <v>5.5</v>
      </c>
      <c r="BE1631" s="1">
        <v>29.9</v>
      </c>
      <c r="BF1631" s="1">
        <v>33.1</v>
      </c>
      <c r="BG1631" s="1">
        <v>31.5</v>
      </c>
      <c r="BH1631" s="1" t="s">
        <v>2763</v>
      </c>
    </row>
    <row r="1632">
      <c r="A1632" s="1">
        <v>30069.0</v>
      </c>
      <c r="B1632" s="2" t="str">
        <f>IFERROR(__xludf.DUMMYFUNCTION("TO_TEXT(A1632)"),"30069")</f>
        <v>30069</v>
      </c>
      <c r="C1632" s="1">
        <v>445.0</v>
      </c>
      <c r="D1632" s="1">
        <v>1655.62384210035</v>
      </c>
      <c r="E1632" s="1" t="s">
        <v>2764</v>
      </c>
      <c r="F1632" s="1" t="s">
        <v>2765</v>
      </c>
      <c r="G1632" s="1">
        <v>0.268780859929793</v>
      </c>
      <c r="H1632" s="1">
        <v>12.7350814409999</v>
      </c>
      <c r="I1632" s="1">
        <v>3.5540464852</v>
      </c>
      <c r="J1632" s="1">
        <v>7.80443539465</v>
      </c>
      <c r="K1632" s="1">
        <v>14.71489552</v>
      </c>
      <c r="L1632" s="1">
        <v>27.0</v>
      </c>
      <c r="M1632" s="1">
        <v>4.9</v>
      </c>
      <c r="N1632" s="1">
        <v>21.7</v>
      </c>
      <c r="O1632" s="1">
        <v>5.87044534409999</v>
      </c>
      <c r="P1632" s="1">
        <v>11.794871795</v>
      </c>
      <c r="Q1632" s="1">
        <v>0.0</v>
      </c>
      <c r="R1632" s="1">
        <v>100.0</v>
      </c>
      <c r="S1632" s="1">
        <v>31.5</v>
      </c>
      <c r="T1632" s="1">
        <v>73.0</v>
      </c>
      <c r="U1632" s="1">
        <v>32.876712329</v>
      </c>
      <c r="V1632" s="1">
        <v>204.509002055</v>
      </c>
      <c r="W1632" s="1">
        <v>9.0476190476</v>
      </c>
      <c r="X1632" s="1">
        <v>10.476190476</v>
      </c>
      <c r="Y1632" s="1">
        <v>77.482572377</v>
      </c>
      <c r="Z1632" s="1">
        <v>4.3</v>
      </c>
      <c r="AA1632" s="1">
        <v>39.506172959</v>
      </c>
      <c r="AB1632" s="1">
        <v>41009.0</v>
      </c>
      <c r="AC1632" s="1">
        <v>66.666666667</v>
      </c>
      <c r="AD1632" s="1">
        <v>67.379679144</v>
      </c>
      <c r="AE1632" s="1">
        <v>7.97101449279999</v>
      </c>
      <c r="AF1632" s="1">
        <v>0.0</v>
      </c>
      <c r="AG1632" s="1">
        <v>0.9746588694</v>
      </c>
      <c r="AH1632" s="1">
        <v>0.0</v>
      </c>
      <c r="AI1632" s="1">
        <v>0.0</v>
      </c>
      <c r="AJ1632" s="1">
        <v>2.1442495127</v>
      </c>
      <c r="AK1632" s="1">
        <v>93.567251462</v>
      </c>
      <c r="AL1632" s="1">
        <v>0.0</v>
      </c>
      <c r="AM1632" s="1">
        <v>45.614035088</v>
      </c>
      <c r="AN1632" s="1">
        <v>100.0</v>
      </c>
      <c r="AO1632" s="1">
        <v>26822.0</v>
      </c>
      <c r="AP1632" s="1">
        <v>15.5</v>
      </c>
      <c r="AQ1632" s="1">
        <v>3.9</v>
      </c>
      <c r="AR1632" s="1">
        <v>2.2</v>
      </c>
      <c r="AS1632" s="1">
        <v>19.8</v>
      </c>
      <c r="AT1632" s="1">
        <v>16.9</v>
      </c>
      <c r="AU1632" s="1">
        <v>11.2</v>
      </c>
      <c r="AV1632" s="1">
        <v>0.0</v>
      </c>
      <c r="AW1632" s="1">
        <v>0.0</v>
      </c>
      <c r="AX1632" s="1">
        <v>0.0013</v>
      </c>
      <c r="AY1632" s="1">
        <v>14.8</v>
      </c>
      <c r="AZ1632" s="1">
        <v>9.4</v>
      </c>
      <c r="BA1632" s="1">
        <v>15.6</v>
      </c>
      <c r="BB1632" s="1">
        <v>3.17</v>
      </c>
      <c r="BC1632" s="1" t="s">
        <v>2710</v>
      </c>
      <c r="BD1632" s="1">
        <v>1.1</v>
      </c>
      <c r="BE1632" s="1">
        <v>39.4</v>
      </c>
      <c r="BF1632" s="1">
        <v>26.9</v>
      </c>
      <c r="BG1632" s="1">
        <v>32.6</v>
      </c>
      <c r="BH1632" s="1" t="s">
        <v>2765</v>
      </c>
    </row>
    <row r="1633">
      <c r="A1633" s="1">
        <v>30071.0</v>
      </c>
      <c r="B1633" s="2" t="str">
        <f>IFERROR(__xludf.DUMMYFUNCTION("TO_TEXT(A1633)"),"30071")</f>
        <v>30071</v>
      </c>
      <c r="C1633" s="1">
        <v>4150.0</v>
      </c>
      <c r="D1633" s="1">
        <v>5140.45449164316</v>
      </c>
      <c r="E1633" s="1" t="s">
        <v>376</v>
      </c>
      <c r="F1633" s="1" t="s">
        <v>2766</v>
      </c>
      <c r="G1633" s="1">
        <v>0.8073216107149</v>
      </c>
      <c r="H1633" s="1">
        <v>15.782264335</v>
      </c>
      <c r="I1633" s="1">
        <v>4.0166588465</v>
      </c>
      <c r="J1633" s="1">
        <v>6.1662198391</v>
      </c>
      <c r="K1633" s="1">
        <v>17.689618448</v>
      </c>
      <c r="L1633" s="1">
        <v>34.8</v>
      </c>
      <c r="M1633" s="1">
        <v>7.3</v>
      </c>
      <c r="N1633" s="1">
        <v>29.5</v>
      </c>
      <c r="O1633" s="1">
        <v>64.613214202</v>
      </c>
      <c r="P1633" s="1">
        <v>14.236220472</v>
      </c>
      <c r="Q1633" s="1">
        <v>24.27774</v>
      </c>
      <c r="R1633" s="1">
        <v>96.3</v>
      </c>
      <c r="S1633" s="1">
        <v>22.4</v>
      </c>
      <c r="T1633" s="1">
        <v>970.0</v>
      </c>
      <c r="U1633" s="1">
        <v>5.2577319588</v>
      </c>
      <c r="V1633" s="1">
        <v>240.35572648</v>
      </c>
      <c r="W1633" s="1">
        <v>7.7777777778</v>
      </c>
      <c r="X1633" s="1">
        <v>5.3191489362</v>
      </c>
      <c r="Y1633" s="1">
        <v>78.9192716869999</v>
      </c>
      <c r="Z1633" s="1">
        <v>10.6</v>
      </c>
      <c r="AA1633" s="1">
        <v>10.761859719</v>
      </c>
      <c r="AB1633" s="1">
        <v>44730.0</v>
      </c>
      <c r="AC1633" s="1">
        <v>52.476780186</v>
      </c>
      <c r="AD1633" s="1">
        <v>76.101694915</v>
      </c>
      <c r="AE1633" s="1">
        <v>6.5748278021</v>
      </c>
      <c r="AF1633" s="1">
        <v>0.1718213058</v>
      </c>
      <c r="AG1633" s="1">
        <v>9.4010800196</v>
      </c>
      <c r="AH1633" s="1">
        <v>0.2700049092</v>
      </c>
      <c r="AI1633" s="1">
        <v>0.0245459008</v>
      </c>
      <c r="AJ1633" s="1">
        <v>3.1664212077</v>
      </c>
      <c r="AK1633" s="1">
        <v>83.23514973</v>
      </c>
      <c r="AL1633" s="1">
        <v>0.0</v>
      </c>
      <c r="AM1633" s="1">
        <v>49.7545409919999</v>
      </c>
      <c r="AN1633" s="1">
        <v>100.0</v>
      </c>
      <c r="AO1633" s="1">
        <v>22772.0</v>
      </c>
      <c r="AP1633" s="1">
        <v>16.3</v>
      </c>
      <c r="AQ1633" s="1">
        <v>7.3</v>
      </c>
      <c r="AR1633" s="1">
        <v>8.7</v>
      </c>
      <c r="AS1633" s="1">
        <v>21.1</v>
      </c>
      <c r="AT1633" s="1">
        <v>22.2</v>
      </c>
      <c r="AU1633" s="1">
        <v>17.2</v>
      </c>
      <c r="AV1633" s="1">
        <v>14.8</v>
      </c>
      <c r="AW1633" s="1">
        <v>0.0</v>
      </c>
      <c r="AX1633" s="1">
        <v>0.3521</v>
      </c>
      <c r="AY1633" s="1">
        <v>14.3</v>
      </c>
      <c r="AZ1633" s="1">
        <v>11.6</v>
      </c>
      <c r="BA1633" s="1">
        <v>18.2</v>
      </c>
      <c r="BB1633" s="1">
        <v>3.36</v>
      </c>
      <c r="BC1633" s="1" t="s">
        <v>2710</v>
      </c>
      <c r="BD1633" s="1">
        <v>9.1</v>
      </c>
      <c r="BE1633" s="1">
        <v>39.5</v>
      </c>
      <c r="BF1633" s="1">
        <v>34.2</v>
      </c>
      <c r="BG1633" s="1">
        <v>17.2</v>
      </c>
      <c r="BH1633" s="1" t="s">
        <v>2766</v>
      </c>
    </row>
    <row r="1634">
      <c r="A1634" s="1">
        <v>30073.0</v>
      </c>
      <c r="B1634" s="2" t="str">
        <f>IFERROR(__xludf.DUMMYFUNCTION("TO_TEXT(A1634)"),"30073")</f>
        <v>30073</v>
      </c>
      <c r="C1634" s="1">
        <v>6166.0</v>
      </c>
      <c r="D1634" s="1">
        <v>1624.56621421051</v>
      </c>
      <c r="E1634" s="1" t="s">
        <v>2767</v>
      </c>
      <c r="F1634" s="1" t="s">
        <v>2768</v>
      </c>
      <c r="G1634" s="1">
        <v>3.79547472184536</v>
      </c>
      <c r="H1634" s="1">
        <v>16.8234418479999</v>
      </c>
      <c r="I1634" s="1">
        <v>3.8632234007</v>
      </c>
      <c r="J1634" s="1">
        <v>6.9498069498</v>
      </c>
      <c r="K1634" s="1">
        <v>18.985571317</v>
      </c>
      <c r="L1634" s="1">
        <v>34.9</v>
      </c>
      <c r="M1634" s="1">
        <v>6.3</v>
      </c>
      <c r="N1634" s="1">
        <v>23.8</v>
      </c>
      <c r="O1634" s="1">
        <v>48.545424996</v>
      </c>
      <c r="P1634" s="1">
        <v>13.574176999</v>
      </c>
      <c r="Q1634" s="1">
        <v>50.33557</v>
      </c>
      <c r="R1634" s="1">
        <v>86.21</v>
      </c>
      <c r="S1634" s="1">
        <v>26.8</v>
      </c>
      <c r="T1634" s="1">
        <v>1510.0</v>
      </c>
      <c r="U1634" s="1">
        <v>34.437086093</v>
      </c>
      <c r="V1634" s="1">
        <v>104.61092782</v>
      </c>
      <c r="W1634" s="1">
        <v>12.9464285709999</v>
      </c>
      <c r="X1634" s="1">
        <v>8.5972850679</v>
      </c>
      <c r="Y1634" s="1">
        <v>77.369136307</v>
      </c>
      <c r="Z1634" s="1">
        <v>12.1</v>
      </c>
      <c r="AA1634" s="1">
        <v>21.595546821</v>
      </c>
      <c r="AB1634" s="1">
        <v>42890.0</v>
      </c>
      <c r="AC1634" s="1">
        <v>53.787878788</v>
      </c>
      <c r="AD1634" s="1">
        <v>73.699148534</v>
      </c>
      <c r="AE1634" s="1">
        <v>10.761154856</v>
      </c>
      <c r="AF1634" s="1">
        <v>0.3348961822</v>
      </c>
      <c r="AG1634" s="1">
        <v>14.333556597</v>
      </c>
      <c r="AH1634" s="1">
        <v>0.3851306095</v>
      </c>
      <c r="AI1634" s="1">
        <v>0.0837240455</v>
      </c>
      <c r="AJ1634" s="1">
        <v>2.0261219022</v>
      </c>
      <c r="AK1634" s="1">
        <v>81.01138647</v>
      </c>
      <c r="AL1634" s="1">
        <v>0.7994315154</v>
      </c>
      <c r="AM1634" s="1">
        <v>50.1841929</v>
      </c>
      <c r="AN1634" s="1">
        <v>58.101738989</v>
      </c>
      <c r="AO1634" s="1">
        <v>21995.0</v>
      </c>
      <c r="AP1634" s="1">
        <v>20.2</v>
      </c>
      <c r="AQ1634" s="1">
        <v>8.5</v>
      </c>
      <c r="AR1634" s="1">
        <v>10.8</v>
      </c>
      <c r="AS1634" s="1">
        <v>19.7</v>
      </c>
      <c r="AT1634" s="1">
        <v>24.6</v>
      </c>
      <c r="AU1634" s="1">
        <v>16.9</v>
      </c>
      <c r="AV1634" s="1">
        <v>19.0</v>
      </c>
      <c r="AW1634" s="1">
        <v>0.1</v>
      </c>
      <c r="AX1634" s="1">
        <v>0.8185</v>
      </c>
      <c r="AY1634" s="1">
        <v>17.5</v>
      </c>
      <c r="AZ1634" s="1">
        <v>12.5</v>
      </c>
      <c r="BA1634" s="1">
        <v>22.8</v>
      </c>
      <c r="BB1634" s="1">
        <v>3.15</v>
      </c>
      <c r="BC1634" s="1" t="s">
        <v>2710</v>
      </c>
      <c r="BD1634" s="1">
        <v>7.0</v>
      </c>
      <c r="BE1634" s="1">
        <v>33.5</v>
      </c>
      <c r="BF1634" s="1">
        <v>35.6</v>
      </c>
      <c r="BG1634" s="1">
        <v>24.0</v>
      </c>
      <c r="BH1634" s="1" t="s">
        <v>2768</v>
      </c>
    </row>
    <row r="1635">
      <c r="A1635" s="1">
        <v>30075.0</v>
      </c>
      <c r="B1635" s="2" t="str">
        <f>IFERROR(__xludf.DUMMYFUNCTION("TO_TEXT(A1635)"),"30075")</f>
        <v>30075</v>
      </c>
      <c r="C1635" s="1">
        <v>1648.0</v>
      </c>
      <c r="D1635" s="1">
        <v>3298.19487442783</v>
      </c>
      <c r="E1635" s="1" t="s">
        <v>2769</v>
      </c>
      <c r="F1635" s="1" t="s">
        <v>2770</v>
      </c>
      <c r="G1635" s="1">
        <v>0.499667261257839</v>
      </c>
      <c r="H1635" s="1">
        <v>14.185006215</v>
      </c>
      <c r="I1635" s="1">
        <v>3.6564820239</v>
      </c>
      <c r="J1635" s="1">
        <v>7.80443539465</v>
      </c>
      <c r="K1635" s="1">
        <v>15.4883704809999</v>
      </c>
      <c r="L1635" s="1">
        <v>26.8</v>
      </c>
      <c r="M1635" s="1">
        <v>7.2</v>
      </c>
      <c r="N1635" s="1">
        <v>27.4</v>
      </c>
      <c r="O1635" s="1">
        <v>17.555938038</v>
      </c>
      <c r="P1635" s="1">
        <v>14.683153014</v>
      </c>
      <c r="Q1635" s="1">
        <v>0.0</v>
      </c>
      <c r="R1635" s="1">
        <v>100.0</v>
      </c>
      <c r="S1635" s="1">
        <v>16.4</v>
      </c>
      <c r="T1635" s="1">
        <v>238.0</v>
      </c>
      <c r="U1635" s="1">
        <v>22.68907563</v>
      </c>
      <c r="V1635" s="1">
        <v>0.0</v>
      </c>
      <c r="W1635" s="1">
        <v>7.3333333333</v>
      </c>
      <c r="X1635" s="1">
        <v>7.0080862534</v>
      </c>
      <c r="Y1635" s="1">
        <v>84.328624484</v>
      </c>
      <c r="Z1635" s="1">
        <v>9.2</v>
      </c>
      <c r="AA1635" s="1">
        <v>17.931944068</v>
      </c>
      <c r="AB1635" s="1">
        <v>47378.0</v>
      </c>
      <c r="AC1635" s="1">
        <v>13.181818182</v>
      </c>
      <c r="AD1635" s="1">
        <v>72.431729519</v>
      </c>
      <c r="AE1635" s="1">
        <v>7.3529411765</v>
      </c>
      <c r="AF1635" s="1">
        <v>0.1748251748</v>
      </c>
      <c r="AG1635" s="1">
        <v>1.8648018648</v>
      </c>
      <c r="AH1635" s="1">
        <v>0.1165501166</v>
      </c>
      <c r="AI1635" s="1">
        <v>0.0</v>
      </c>
      <c r="AJ1635" s="1">
        <v>1.8065268065</v>
      </c>
      <c r="AK1635" s="1">
        <v>93.414918415</v>
      </c>
      <c r="AL1635" s="1">
        <v>0.0</v>
      </c>
      <c r="AM1635" s="1">
        <v>50.466200466</v>
      </c>
      <c r="AN1635" s="1">
        <v>100.0</v>
      </c>
      <c r="AO1635" s="1">
        <v>29393.0</v>
      </c>
      <c r="AP1635" s="1">
        <v>7.7</v>
      </c>
      <c r="AQ1635" s="1">
        <v>4.3</v>
      </c>
      <c r="AR1635" s="1">
        <v>5.1</v>
      </c>
      <c r="AS1635" s="1">
        <v>23.7</v>
      </c>
      <c r="AT1635" s="1">
        <v>16.1</v>
      </c>
      <c r="AU1635" s="1">
        <v>15.2</v>
      </c>
      <c r="AV1635" s="1">
        <v>5.6</v>
      </c>
      <c r="AW1635" s="1">
        <v>0.0</v>
      </c>
      <c r="AX1635" s="1">
        <v>0.0337</v>
      </c>
      <c r="AY1635" s="1">
        <v>13.8</v>
      </c>
      <c r="AZ1635" s="1">
        <v>9.6</v>
      </c>
      <c r="BA1635" s="1">
        <v>14.1</v>
      </c>
      <c r="BB1635" s="1">
        <v>3.19</v>
      </c>
      <c r="BC1635" s="1" t="s">
        <v>2710</v>
      </c>
      <c r="BD1635" s="1">
        <v>5.9</v>
      </c>
      <c r="BE1635" s="1">
        <v>29.7</v>
      </c>
      <c r="BF1635" s="1">
        <v>40.0</v>
      </c>
      <c r="BG1635" s="1">
        <v>24.4</v>
      </c>
      <c r="BH1635" s="1" t="s">
        <v>2770</v>
      </c>
    </row>
    <row r="1636">
      <c r="A1636" s="1">
        <v>30077.0</v>
      </c>
      <c r="B1636" s="2" t="str">
        <f>IFERROR(__xludf.DUMMYFUNCTION("TO_TEXT(A1636)"),"30077")</f>
        <v>30077</v>
      </c>
      <c r="C1636" s="1">
        <v>6928.0</v>
      </c>
      <c r="D1636" s="1">
        <v>2326.0514993025</v>
      </c>
      <c r="E1636" s="1" t="s">
        <v>1905</v>
      </c>
      <c r="F1636" s="1" t="s">
        <v>2771</v>
      </c>
      <c r="G1636" s="1">
        <v>2.97843792455904</v>
      </c>
      <c r="H1636" s="1">
        <v>14.973532769</v>
      </c>
      <c r="I1636" s="1">
        <v>3.5887287549</v>
      </c>
      <c r="J1636" s="1">
        <v>8.2191780822</v>
      </c>
      <c r="K1636" s="1">
        <v>17.886785776</v>
      </c>
      <c r="L1636" s="1">
        <v>31.6</v>
      </c>
      <c r="M1636" s="1">
        <v>7.7</v>
      </c>
      <c r="N1636" s="1">
        <v>25.9</v>
      </c>
      <c r="O1636" s="1">
        <v>83.1080119539999</v>
      </c>
      <c r="P1636" s="1">
        <v>10.78680203</v>
      </c>
      <c r="Q1636" s="1">
        <v>58.86681</v>
      </c>
      <c r="R1636" s="1">
        <v>89.47</v>
      </c>
      <c r="S1636" s="1">
        <v>20.8</v>
      </c>
      <c r="T1636" s="1">
        <v>994.0</v>
      </c>
      <c r="U1636" s="1">
        <v>21.126760563</v>
      </c>
      <c r="V1636" s="1">
        <v>456.19116582</v>
      </c>
      <c r="W1636" s="1">
        <v>8.4925690021</v>
      </c>
      <c r="X1636" s="1">
        <v>5.8798466127</v>
      </c>
      <c r="Y1636" s="1">
        <v>78.062934454</v>
      </c>
      <c r="Z1636" s="1">
        <v>11.5</v>
      </c>
      <c r="AA1636" s="1">
        <v>6.9149136806</v>
      </c>
      <c r="AB1636" s="1">
        <v>48966.0</v>
      </c>
      <c r="AC1636" s="1">
        <v>40.0</v>
      </c>
      <c r="AD1636" s="1">
        <v>68.425460637</v>
      </c>
      <c r="AE1636" s="1">
        <v>8.5739671257</v>
      </c>
      <c r="AF1636" s="1">
        <v>1.1481056257</v>
      </c>
      <c r="AG1636" s="1">
        <v>5.3960964409</v>
      </c>
      <c r="AH1636" s="1">
        <v>0.44489093</v>
      </c>
      <c r="AI1636" s="1">
        <v>0.0574052813</v>
      </c>
      <c r="AJ1636" s="1">
        <v>2.8272101033</v>
      </c>
      <c r="AK1636" s="1">
        <v>88.791618829</v>
      </c>
      <c r="AL1636" s="1">
        <v>0.0604686319</v>
      </c>
      <c r="AM1636" s="1">
        <v>37.557405281</v>
      </c>
      <c r="AN1636" s="1">
        <v>54.219439306</v>
      </c>
      <c r="AO1636" s="1">
        <v>23620.0</v>
      </c>
      <c r="AP1636" s="1">
        <v>10.5</v>
      </c>
      <c r="AQ1636" s="1">
        <v>1.5</v>
      </c>
      <c r="AR1636" s="1">
        <v>11.4</v>
      </c>
      <c r="AS1636" s="1">
        <v>18.6</v>
      </c>
      <c r="AT1636" s="1">
        <v>14.8</v>
      </c>
      <c r="AU1636" s="1">
        <v>16.1</v>
      </c>
      <c r="AV1636" s="1">
        <v>9.6</v>
      </c>
      <c r="AW1636" s="1">
        <v>0.0</v>
      </c>
      <c r="AX1636" s="1">
        <v>0.1726</v>
      </c>
      <c r="AY1636" s="1">
        <v>16.3</v>
      </c>
      <c r="AZ1636" s="1">
        <v>11.0</v>
      </c>
      <c r="BA1636" s="1">
        <v>19.2</v>
      </c>
      <c r="BB1636" s="1">
        <v>3.25</v>
      </c>
      <c r="BC1636" s="1" t="s">
        <v>2710</v>
      </c>
      <c r="BD1636" s="1">
        <v>10.6</v>
      </c>
      <c r="BE1636" s="1">
        <v>37.8</v>
      </c>
      <c r="BF1636" s="1">
        <v>31.1</v>
      </c>
      <c r="BG1636" s="1">
        <v>20.4</v>
      </c>
      <c r="BH1636" s="1" t="s">
        <v>2771</v>
      </c>
    </row>
    <row r="1637">
      <c r="A1637" s="1">
        <v>30079.0</v>
      </c>
      <c r="B1637" s="2" t="str">
        <f>IFERROR(__xludf.DUMMYFUNCTION("TO_TEXT(A1637)"),"30079")</f>
        <v>30079</v>
      </c>
      <c r="C1637" s="1">
        <v>1414.0</v>
      </c>
      <c r="D1637" s="1">
        <v>1736.60199024011</v>
      </c>
      <c r="E1637" s="1" t="s">
        <v>385</v>
      </c>
      <c r="F1637" s="1" t="s">
        <v>2772</v>
      </c>
      <c r="G1637" s="1">
        <v>0.81423377834808</v>
      </c>
      <c r="H1637" s="1">
        <v>12.353958052</v>
      </c>
      <c r="I1637" s="1">
        <v>3.3865578554</v>
      </c>
      <c r="J1637" s="1">
        <v>7.80443539465</v>
      </c>
      <c r="K1637" s="1">
        <v>13.1716558079999</v>
      </c>
      <c r="L1637" s="1">
        <v>34.9</v>
      </c>
      <c r="M1637" s="1">
        <v>5.7</v>
      </c>
      <c r="N1637" s="1">
        <v>24.3</v>
      </c>
      <c r="O1637" s="1">
        <v>3.2230703986</v>
      </c>
      <c r="P1637" s="1">
        <v>11.4473684209999</v>
      </c>
      <c r="Q1637" s="1">
        <v>0.0</v>
      </c>
      <c r="R1637" s="1">
        <v>100.0</v>
      </c>
      <c r="S1637" s="1">
        <v>23.9</v>
      </c>
      <c r="T1637" s="1">
        <v>316.0</v>
      </c>
      <c r="U1637" s="1">
        <v>5.0632911392</v>
      </c>
      <c r="V1637" s="1">
        <v>214.13276231</v>
      </c>
      <c r="W1637" s="1">
        <v>7.2727272727</v>
      </c>
      <c r="X1637" s="1">
        <v>7.962962963</v>
      </c>
      <c r="Y1637" s="1">
        <v>77.482572377</v>
      </c>
      <c r="Z1637" s="1">
        <v>8.6</v>
      </c>
      <c r="AA1637" s="1">
        <v>37.360890449</v>
      </c>
      <c r="AB1637" s="1">
        <v>42754.0</v>
      </c>
      <c r="AC1637" s="1">
        <v>48.251748252</v>
      </c>
      <c r="AD1637" s="1">
        <v>86.851851852</v>
      </c>
      <c r="AE1637" s="1">
        <v>3.5196687371</v>
      </c>
      <c r="AF1637" s="1">
        <v>0.1839926403</v>
      </c>
      <c r="AG1637" s="1">
        <v>1.1039558418</v>
      </c>
      <c r="AH1637" s="1">
        <v>0.7359705612</v>
      </c>
      <c r="AI1637" s="1">
        <v>0.0</v>
      </c>
      <c r="AJ1637" s="1">
        <v>3.9558417663</v>
      </c>
      <c r="AK1637" s="1">
        <v>90.432382705</v>
      </c>
      <c r="AL1637" s="1">
        <v>0.0</v>
      </c>
      <c r="AM1637" s="1">
        <v>49.1260349589999</v>
      </c>
      <c r="AN1637" s="1">
        <v>100.0</v>
      </c>
      <c r="AO1637" s="1">
        <v>24431.0</v>
      </c>
      <c r="AP1637" s="1">
        <v>18.3</v>
      </c>
      <c r="AQ1637" s="1">
        <v>6.9</v>
      </c>
      <c r="AR1637" s="1">
        <v>6.9</v>
      </c>
      <c r="AS1637" s="1">
        <v>25.9</v>
      </c>
      <c r="AT1637" s="1">
        <v>24.5</v>
      </c>
      <c r="AU1637" s="1">
        <v>16.1</v>
      </c>
      <c r="AV1637" s="1">
        <v>4.1</v>
      </c>
      <c r="AW1637" s="1">
        <v>0.0</v>
      </c>
      <c r="AX1637" s="1">
        <v>0.1506</v>
      </c>
      <c r="AY1637" s="1">
        <v>13.1</v>
      </c>
      <c r="AZ1637" s="1">
        <v>9.3</v>
      </c>
      <c r="BA1637" s="1">
        <v>16.9</v>
      </c>
      <c r="BB1637" s="1">
        <v>3.44</v>
      </c>
      <c r="BC1637" s="1" t="s">
        <v>2710</v>
      </c>
      <c r="BD1637" s="1">
        <v>12.0</v>
      </c>
      <c r="BE1637" s="1">
        <v>30.7</v>
      </c>
      <c r="BF1637" s="1">
        <v>35.0</v>
      </c>
      <c r="BG1637" s="1">
        <v>22.2</v>
      </c>
      <c r="BH1637" s="1" t="s">
        <v>2772</v>
      </c>
    </row>
    <row r="1638">
      <c r="A1638" s="1">
        <v>30081.0</v>
      </c>
      <c r="B1638" s="2" t="str">
        <f>IFERROR(__xludf.DUMMYFUNCTION("TO_TEXT(A1638)"),"30081")</f>
        <v>30081</v>
      </c>
      <c r="C1638" s="1">
        <v>41130.0</v>
      </c>
      <c r="D1638" s="1">
        <v>2390.98187418524</v>
      </c>
      <c r="E1638" s="1" t="s">
        <v>2773</v>
      </c>
      <c r="F1638" s="1" t="s">
        <v>2774</v>
      </c>
      <c r="G1638" s="1">
        <v>17.2021379350756</v>
      </c>
      <c r="H1638" s="1">
        <v>13.627257909</v>
      </c>
      <c r="I1638" s="1">
        <v>3.9574367581</v>
      </c>
      <c r="J1638" s="1">
        <v>6.6741237882</v>
      </c>
      <c r="K1638" s="1">
        <v>15.327363363</v>
      </c>
      <c r="L1638" s="1">
        <v>26.5</v>
      </c>
      <c r="M1638" s="1">
        <v>8.2</v>
      </c>
      <c r="N1638" s="1">
        <v>23.9</v>
      </c>
      <c r="O1638" s="1">
        <v>72.115288968</v>
      </c>
      <c r="P1638" s="1">
        <v>12.709550419</v>
      </c>
      <c r="Q1638" s="1">
        <v>61.08592</v>
      </c>
      <c r="R1638" s="1">
        <v>94.71</v>
      </c>
      <c r="S1638" s="1">
        <v>23.0</v>
      </c>
      <c r="T1638" s="1">
        <v>8213.0</v>
      </c>
      <c r="U1638" s="1">
        <v>23.864604895</v>
      </c>
      <c r="V1638" s="1">
        <v>198.24273722</v>
      </c>
      <c r="W1638" s="1">
        <v>17.671641791</v>
      </c>
      <c r="X1638" s="1">
        <v>15.68923821</v>
      </c>
      <c r="Y1638" s="1">
        <v>79.7359950999999</v>
      </c>
      <c r="Z1638" s="1">
        <v>6.6</v>
      </c>
      <c r="AA1638" s="1">
        <v>1.9534259875</v>
      </c>
      <c r="AB1638" s="1">
        <v>50055.0</v>
      </c>
      <c r="AC1638" s="1">
        <v>46.101451873</v>
      </c>
      <c r="AD1638" s="1">
        <v>76.110591536</v>
      </c>
      <c r="AE1638" s="1">
        <v>13.920540182</v>
      </c>
      <c r="AF1638" s="1">
        <v>0.356712684099999</v>
      </c>
      <c r="AG1638" s="1">
        <v>1.2137496526</v>
      </c>
      <c r="AH1638" s="1">
        <v>0.5999258779</v>
      </c>
      <c r="AI1638" s="1">
        <v>0.0996015936</v>
      </c>
      <c r="AJ1638" s="1">
        <v>3.6180857963</v>
      </c>
      <c r="AK1638" s="1">
        <v>92.6943389229999</v>
      </c>
      <c r="AL1638" s="1">
        <v>0.0300127554</v>
      </c>
      <c r="AM1638" s="1">
        <v>50.4076716389999</v>
      </c>
      <c r="AN1638" s="1">
        <v>84.626479658</v>
      </c>
      <c r="AO1638" s="1">
        <v>23042.0</v>
      </c>
      <c r="AP1638" s="1">
        <v>17.5</v>
      </c>
      <c r="AQ1638" s="1">
        <v>7.7</v>
      </c>
      <c r="AR1638" s="1">
        <v>8.9</v>
      </c>
      <c r="AS1638" s="1">
        <v>22.8</v>
      </c>
      <c r="AT1638" s="1">
        <v>20.3</v>
      </c>
      <c r="AU1638" s="1">
        <v>18.3</v>
      </c>
      <c r="AV1638" s="1">
        <v>6.7</v>
      </c>
      <c r="AW1638" s="1">
        <v>0.0</v>
      </c>
      <c r="AX1638" s="1">
        <v>0.2728</v>
      </c>
      <c r="AY1638" s="1">
        <v>11.2</v>
      </c>
      <c r="AZ1638" s="1">
        <v>11.7</v>
      </c>
      <c r="BA1638" s="1">
        <v>20.7</v>
      </c>
      <c r="BB1638" s="1">
        <v>3.82</v>
      </c>
      <c r="BC1638" s="1" t="s">
        <v>2710</v>
      </c>
      <c r="BD1638" s="1">
        <v>8.4</v>
      </c>
      <c r="BE1638" s="1">
        <v>30.4</v>
      </c>
      <c r="BF1638" s="1">
        <v>33.4</v>
      </c>
      <c r="BG1638" s="1">
        <v>27.8</v>
      </c>
      <c r="BH1638" s="1" t="s">
        <v>2774</v>
      </c>
    </row>
    <row r="1639">
      <c r="A1639" s="1">
        <v>30083.0</v>
      </c>
      <c r="B1639" s="2" t="str">
        <f>IFERROR(__xludf.DUMMYFUNCTION("TO_TEXT(A1639)"),"30083")</f>
        <v>30083</v>
      </c>
      <c r="C1639" s="1">
        <v>11392.0</v>
      </c>
      <c r="D1639" s="1">
        <v>2084.30101813334</v>
      </c>
      <c r="E1639" s="1" t="s">
        <v>1271</v>
      </c>
      <c r="F1639" s="1" t="s">
        <v>2775</v>
      </c>
      <c r="G1639" s="1">
        <v>5.46562128065478</v>
      </c>
      <c r="H1639" s="1">
        <v>11.8202849359999</v>
      </c>
      <c r="I1639" s="1">
        <v>3.2402764479</v>
      </c>
      <c r="J1639" s="1">
        <v>5.6737588652</v>
      </c>
      <c r="K1639" s="1">
        <v>14.070014976</v>
      </c>
      <c r="L1639" s="1">
        <v>30.9</v>
      </c>
      <c r="M1639" s="1">
        <v>8.1</v>
      </c>
      <c r="N1639" s="1">
        <v>28.4</v>
      </c>
      <c r="O1639" s="1">
        <v>61.2353786169999</v>
      </c>
      <c r="P1639" s="1">
        <v>10.699241786</v>
      </c>
      <c r="Q1639" s="1">
        <v>45.29396</v>
      </c>
      <c r="R1639" s="1">
        <v>86.49</v>
      </c>
      <c r="S1639" s="1">
        <v>10.3</v>
      </c>
      <c r="T1639" s="1">
        <v>2698.0</v>
      </c>
      <c r="U1639" s="1">
        <v>23.202372128</v>
      </c>
      <c r="V1639" s="1">
        <v>282.04064703</v>
      </c>
      <c r="W1639" s="1">
        <v>10.7810781079999</v>
      </c>
      <c r="X1639" s="1">
        <v>7.5371314564</v>
      </c>
      <c r="Y1639" s="1">
        <v>78.162133474</v>
      </c>
      <c r="Z1639" s="1">
        <v>7.6</v>
      </c>
      <c r="AA1639" s="1">
        <v>9.3619065645</v>
      </c>
      <c r="AB1639" s="1">
        <v>67242.0</v>
      </c>
      <c r="AC1639" s="1">
        <v>23.699124163</v>
      </c>
      <c r="AD1639" s="1">
        <v>63.4987758739999</v>
      </c>
      <c r="AE1639" s="1">
        <v>5.6661925083</v>
      </c>
      <c r="AF1639" s="1">
        <v>0.5039860717</v>
      </c>
      <c r="AG1639" s="1">
        <v>2.4008063777</v>
      </c>
      <c r="AH1639" s="1">
        <v>0.5039860717</v>
      </c>
      <c r="AI1639" s="1">
        <v>0.0641436817999999</v>
      </c>
      <c r="AJ1639" s="1">
        <v>5.2872720608</v>
      </c>
      <c r="AK1639" s="1">
        <v>89.361312196</v>
      </c>
      <c r="AL1639" s="1">
        <v>1.6086547507</v>
      </c>
      <c r="AM1639" s="1">
        <v>47.8236965089999</v>
      </c>
      <c r="AN1639" s="1">
        <v>44.202749846</v>
      </c>
      <c r="AO1639" s="1">
        <v>33949.0</v>
      </c>
      <c r="AP1639" s="1">
        <v>8.6</v>
      </c>
      <c r="AQ1639" s="1">
        <v>2.5</v>
      </c>
      <c r="AR1639" s="1">
        <v>7.8</v>
      </c>
      <c r="AS1639" s="1">
        <v>13.2</v>
      </c>
      <c r="AT1639" s="1">
        <v>24.5</v>
      </c>
      <c r="AU1639" s="1">
        <v>10.7</v>
      </c>
      <c r="AV1639" s="1">
        <v>10.0</v>
      </c>
      <c r="AW1639" s="1">
        <v>0.6</v>
      </c>
      <c r="AX1639" s="1">
        <v>0.1379</v>
      </c>
      <c r="AY1639" s="1">
        <v>8.8</v>
      </c>
      <c r="AZ1639" s="1">
        <v>7.8</v>
      </c>
      <c r="BA1639" s="1">
        <v>10.9</v>
      </c>
      <c r="BB1639" s="1">
        <v>3.56</v>
      </c>
      <c r="BC1639" s="1" t="s">
        <v>2710</v>
      </c>
      <c r="BD1639" s="1">
        <v>7.7</v>
      </c>
      <c r="BE1639" s="1">
        <v>35.2</v>
      </c>
      <c r="BF1639" s="1">
        <v>38.2</v>
      </c>
      <c r="BG1639" s="1">
        <v>18.9</v>
      </c>
      <c r="BH1639" s="1" t="s">
        <v>2775</v>
      </c>
    </row>
    <row r="1640">
      <c r="A1640" s="1">
        <v>30085.0</v>
      </c>
      <c r="B1640" s="2" t="str">
        <f>IFERROR(__xludf.DUMMYFUNCTION("TO_TEXT(A1640)"),"30085")</f>
        <v>30085</v>
      </c>
      <c r="C1640" s="1">
        <v>11230.0</v>
      </c>
      <c r="D1640" s="1">
        <v>2354.42308816552</v>
      </c>
      <c r="E1640" s="1" t="s">
        <v>2776</v>
      </c>
      <c r="F1640" s="1" t="s">
        <v>2777</v>
      </c>
      <c r="G1640" s="1">
        <v>4.76974595451746</v>
      </c>
      <c r="H1640" s="1">
        <v>23.204608041</v>
      </c>
      <c r="I1640" s="1">
        <v>4.7691950298</v>
      </c>
      <c r="J1640" s="1">
        <v>7.64993880049999</v>
      </c>
      <c r="K1640" s="1">
        <v>31.195845796</v>
      </c>
      <c r="L1640" s="1">
        <v>35.2</v>
      </c>
      <c r="M1640" s="1">
        <v>4.8</v>
      </c>
      <c r="N1640" s="1">
        <v>28.5</v>
      </c>
      <c r="O1640" s="1">
        <v>48.661870504</v>
      </c>
      <c r="P1640" s="1">
        <v>19.591623037</v>
      </c>
      <c r="Q1640" s="1">
        <v>36.04253</v>
      </c>
      <c r="R1640" s="1">
        <v>68.26</v>
      </c>
      <c r="S1640" s="1">
        <v>29.2</v>
      </c>
      <c r="T1640" s="1">
        <v>3626.0</v>
      </c>
      <c r="U1640" s="1">
        <v>48.069498069</v>
      </c>
      <c r="V1640" s="1">
        <v>610.90845163</v>
      </c>
      <c r="W1640" s="1">
        <v>9.3059936909</v>
      </c>
      <c r="X1640" s="1">
        <v>5.54455445539999</v>
      </c>
      <c r="Y1640" s="1">
        <v>68.323739418</v>
      </c>
      <c r="Z1640" s="1">
        <v>17.2</v>
      </c>
      <c r="AA1640" s="1">
        <v>30.543564196</v>
      </c>
      <c r="AB1640" s="1">
        <v>40179.0</v>
      </c>
      <c r="AC1640" s="1">
        <v>85.213232363</v>
      </c>
      <c r="AD1640" s="1">
        <v>61.406844106</v>
      </c>
      <c r="AE1640" s="1">
        <v>6.4505001725</v>
      </c>
      <c r="AF1640" s="1">
        <v>0.3436115381</v>
      </c>
      <c r="AG1640" s="1">
        <v>60.602224433</v>
      </c>
      <c r="AH1640" s="1">
        <v>0.5787141695</v>
      </c>
      <c r="AI1640" s="1">
        <v>0.0090424089</v>
      </c>
      <c r="AJ1640" s="1">
        <v>4.159508093</v>
      </c>
      <c r="AK1640" s="1">
        <v>33.393616059</v>
      </c>
      <c r="AL1640" s="1">
        <v>0.1371876531</v>
      </c>
      <c r="AM1640" s="1">
        <v>50.013563613</v>
      </c>
      <c r="AN1640" s="1">
        <v>39.731414868</v>
      </c>
      <c r="AO1640" s="1">
        <v>16885.0</v>
      </c>
      <c r="AP1640" s="1">
        <v>26.9</v>
      </c>
      <c r="AQ1640" s="1">
        <v>6.2</v>
      </c>
      <c r="AR1640" s="1">
        <v>15.1</v>
      </c>
      <c r="AS1640" s="1">
        <v>10.7</v>
      </c>
      <c r="AT1640" s="1">
        <v>32.2</v>
      </c>
      <c r="AU1640" s="1">
        <v>13.6</v>
      </c>
      <c r="AV1640" s="1">
        <v>63.9</v>
      </c>
      <c r="AW1640" s="1">
        <v>0.0</v>
      </c>
      <c r="AX1640" s="1">
        <v>0.8166</v>
      </c>
      <c r="AY1640" s="1">
        <v>24.3</v>
      </c>
      <c r="AZ1640" s="1">
        <v>15.2</v>
      </c>
      <c r="BA1640" s="1">
        <v>23.1</v>
      </c>
      <c r="BB1640" s="1">
        <v>3.63</v>
      </c>
      <c r="BC1640" s="1" t="s">
        <v>2710</v>
      </c>
      <c r="BD1640" s="1">
        <v>12.5</v>
      </c>
      <c r="BE1640" s="1">
        <v>31.6</v>
      </c>
      <c r="BF1640" s="1">
        <v>38.6</v>
      </c>
      <c r="BG1640" s="1">
        <v>17.4</v>
      </c>
      <c r="BH1640" s="1" t="s">
        <v>2777</v>
      </c>
    </row>
    <row r="1641">
      <c r="A1641" s="1">
        <v>30087.0</v>
      </c>
      <c r="B1641" s="2" t="str">
        <f>IFERROR(__xludf.DUMMYFUNCTION("TO_TEXT(A1641)"),"30087")</f>
        <v>30087</v>
      </c>
      <c r="C1641" s="1">
        <v>9348.0</v>
      </c>
      <c r="D1641" s="1">
        <v>5008.59357096875</v>
      </c>
      <c r="E1641" s="1" t="s">
        <v>2778</v>
      </c>
      <c r="F1641" s="1" t="s">
        <v>2779</v>
      </c>
      <c r="G1641" s="1">
        <v>1.86639220522577</v>
      </c>
      <c r="H1641" s="1">
        <v>17.028074252</v>
      </c>
      <c r="I1641" s="1">
        <v>4.0130131494</v>
      </c>
      <c r="J1641" s="1">
        <v>9.2643051771</v>
      </c>
      <c r="K1641" s="1">
        <v>20.996192513</v>
      </c>
      <c r="L1641" s="1">
        <v>31.9</v>
      </c>
      <c r="M1641" s="1">
        <v>7.4</v>
      </c>
      <c r="N1641" s="1">
        <v>24.6</v>
      </c>
      <c r="O1641" s="1">
        <v>54.7167767789999</v>
      </c>
      <c r="P1641" s="1">
        <v>13.823034072</v>
      </c>
      <c r="Q1641" s="1">
        <v>54.06574</v>
      </c>
      <c r="R1641" s="1">
        <v>73.73</v>
      </c>
      <c r="S1641" s="1">
        <v>22.0</v>
      </c>
      <c r="T1641" s="1">
        <v>2695.0</v>
      </c>
      <c r="U1641" s="1">
        <v>27.495361781</v>
      </c>
      <c r="V1641" s="1">
        <v>138.31994467</v>
      </c>
      <c r="W1641" s="1">
        <v>13.580246914</v>
      </c>
      <c r="X1641" s="1">
        <v>8.8473520249</v>
      </c>
      <c r="Y1641" s="1">
        <v>73.3072401789999</v>
      </c>
      <c r="Z1641" s="1">
        <v>12.5</v>
      </c>
      <c r="AA1641" s="1">
        <v>9.7774440134</v>
      </c>
      <c r="AB1641" s="1">
        <v>57674.0</v>
      </c>
      <c r="AC1641" s="1">
        <v>60.8116677239999</v>
      </c>
      <c r="AD1641" s="1">
        <v>71.051795361</v>
      </c>
      <c r="AE1641" s="1">
        <v>11.719532554</v>
      </c>
      <c r="AF1641" s="1">
        <v>0.4082533377</v>
      </c>
      <c r="AG1641" s="1">
        <v>38.883371952</v>
      </c>
      <c r="AH1641" s="1">
        <v>1.1033873993</v>
      </c>
      <c r="AI1641" s="1">
        <v>0.044135496</v>
      </c>
      <c r="AJ1641" s="1">
        <v>4.899040053</v>
      </c>
      <c r="AK1641" s="1">
        <v>54.937658612</v>
      </c>
      <c r="AL1641" s="1">
        <v>0.105054278</v>
      </c>
      <c r="AM1641" s="1">
        <v>49.641399095</v>
      </c>
      <c r="AN1641" s="1">
        <v>100.0</v>
      </c>
      <c r="AO1641" s="1">
        <v>23387.0</v>
      </c>
      <c r="AP1641" s="1">
        <v>19.7</v>
      </c>
      <c r="AQ1641" s="1">
        <v>9.6</v>
      </c>
      <c r="AR1641" s="1">
        <v>11.7</v>
      </c>
      <c r="AS1641" s="1">
        <v>13.7</v>
      </c>
      <c r="AT1641" s="1">
        <v>29.4</v>
      </c>
      <c r="AU1641" s="1">
        <v>16.3</v>
      </c>
      <c r="AV1641" s="1">
        <v>42.8</v>
      </c>
      <c r="AW1641" s="1">
        <v>0.1</v>
      </c>
      <c r="AX1641" s="1">
        <v>0.5097</v>
      </c>
      <c r="AY1641" s="1">
        <v>16.3</v>
      </c>
      <c r="AZ1641" s="1">
        <v>13.2</v>
      </c>
      <c r="BA1641" s="1">
        <v>20.6</v>
      </c>
      <c r="BB1641" s="1">
        <v>3.18</v>
      </c>
      <c r="BC1641" s="1" t="s">
        <v>2710</v>
      </c>
      <c r="BD1641" s="1">
        <v>10.0</v>
      </c>
      <c r="BE1641" s="1">
        <v>30.7</v>
      </c>
      <c r="BF1641" s="1">
        <v>41.5</v>
      </c>
      <c r="BG1641" s="1">
        <v>17.8</v>
      </c>
      <c r="BH1641" s="1" t="s">
        <v>2779</v>
      </c>
    </row>
    <row r="1642">
      <c r="A1642" s="1">
        <v>30089.0</v>
      </c>
      <c r="B1642" s="2" t="str">
        <f>IFERROR(__xludf.DUMMYFUNCTION("TO_TEXT(A1642)"),"30089")</f>
        <v>30089</v>
      </c>
      <c r="C1642" s="1">
        <v>11375.0</v>
      </c>
      <c r="D1642" s="1">
        <v>2760.40623304442</v>
      </c>
      <c r="E1642" s="1" t="s">
        <v>2780</v>
      </c>
      <c r="F1642" s="1" t="s">
        <v>2781</v>
      </c>
      <c r="G1642" s="1">
        <v>4.12077029236912</v>
      </c>
      <c r="H1642" s="1">
        <v>17.276857829</v>
      </c>
      <c r="I1642" s="1">
        <v>4.0862642223</v>
      </c>
      <c r="J1642" s="1">
        <v>8.2174462705</v>
      </c>
      <c r="K1642" s="1">
        <v>18.376930736</v>
      </c>
      <c r="L1642" s="1">
        <v>24.8</v>
      </c>
      <c r="M1642" s="1">
        <v>6.0</v>
      </c>
      <c r="N1642" s="1">
        <v>28.8</v>
      </c>
      <c r="O1642" s="1">
        <v>83.194602646</v>
      </c>
      <c r="P1642" s="1">
        <v>15.595178302</v>
      </c>
      <c r="Q1642" s="1">
        <v>76.85082</v>
      </c>
      <c r="R1642" s="1">
        <v>90.68</v>
      </c>
      <c r="S1642" s="1">
        <v>24.8</v>
      </c>
      <c r="T1642" s="1">
        <v>2026.0</v>
      </c>
      <c r="U1642" s="1">
        <v>20.58242843</v>
      </c>
      <c r="V1642" s="1">
        <v>224.58056277</v>
      </c>
      <c r="W1642" s="1">
        <v>17.576961271</v>
      </c>
      <c r="X1642" s="1">
        <v>13.855421687</v>
      </c>
      <c r="Y1642" s="1">
        <v>77.529433585</v>
      </c>
      <c r="Z1642" s="1">
        <v>10.5</v>
      </c>
      <c r="AA1642" s="1">
        <v>21.804545234</v>
      </c>
      <c r="AB1642" s="1">
        <v>39861.0</v>
      </c>
      <c r="AC1642" s="1">
        <v>74.891146589</v>
      </c>
      <c r="AD1642" s="1">
        <v>76.539471028</v>
      </c>
      <c r="AE1642" s="1">
        <v>15.107607074</v>
      </c>
      <c r="AF1642" s="1">
        <v>0.2870651807</v>
      </c>
      <c r="AG1642" s="1">
        <v>4.1540020263</v>
      </c>
      <c r="AH1642" s="1">
        <v>0.4728132388</v>
      </c>
      <c r="AI1642" s="1">
        <v>0.0506585613</v>
      </c>
      <c r="AJ1642" s="1">
        <v>3.1914893617</v>
      </c>
      <c r="AK1642" s="1">
        <v>90.0287065179999</v>
      </c>
      <c r="AL1642" s="1">
        <v>0.1637852593</v>
      </c>
      <c r="AM1642" s="1">
        <v>48.750422155</v>
      </c>
      <c r="AN1642" s="1">
        <v>100.0</v>
      </c>
      <c r="AO1642" s="1">
        <v>20810.0</v>
      </c>
      <c r="AP1642" s="1">
        <v>22.3</v>
      </c>
      <c r="AQ1642" s="1">
        <v>9.3</v>
      </c>
      <c r="AR1642" s="1">
        <v>11.9</v>
      </c>
      <c r="AS1642" s="1">
        <v>26.2</v>
      </c>
      <c r="AT1642" s="1">
        <v>18.5</v>
      </c>
      <c r="AU1642" s="1">
        <v>19.2</v>
      </c>
      <c r="AV1642" s="1">
        <v>9.7</v>
      </c>
      <c r="AW1642" s="1">
        <v>0.1</v>
      </c>
      <c r="AX1642" s="1">
        <v>0.4171</v>
      </c>
      <c r="AY1642" s="1">
        <v>16.7</v>
      </c>
      <c r="AZ1642" s="1">
        <v>14.5</v>
      </c>
      <c r="BA1642" s="1">
        <v>25.8</v>
      </c>
      <c r="BB1642" s="1">
        <v>3.19</v>
      </c>
      <c r="BC1642" s="1" t="s">
        <v>2710</v>
      </c>
      <c r="BD1642" s="1">
        <v>11.2</v>
      </c>
      <c r="BE1642" s="1">
        <v>41.9</v>
      </c>
      <c r="BF1642" s="1">
        <v>29.1</v>
      </c>
      <c r="BG1642" s="1">
        <v>17.9</v>
      </c>
      <c r="BH1642" s="1" t="s">
        <v>2781</v>
      </c>
    </row>
    <row r="1643">
      <c r="A1643" s="1">
        <v>30091.0</v>
      </c>
      <c r="B1643" s="2" t="str">
        <f>IFERROR(__xludf.DUMMYFUNCTION("TO_TEXT(A1643)"),"30091")</f>
        <v>30091</v>
      </c>
      <c r="C1643" s="1">
        <v>3645.0</v>
      </c>
      <c r="D1643" s="1">
        <v>1675.79961601003</v>
      </c>
      <c r="E1643" s="1" t="s">
        <v>1730</v>
      </c>
      <c r="F1643" s="1" t="s">
        <v>2782</v>
      </c>
      <c r="G1643" s="1">
        <v>2.17508105693359</v>
      </c>
      <c r="H1643" s="1">
        <v>12.160767491</v>
      </c>
      <c r="I1643" s="1">
        <v>3.4016142304</v>
      </c>
      <c r="J1643" s="1">
        <v>6.7796610169</v>
      </c>
      <c r="K1643" s="1">
        <v>14.510090652</v>
      </c>
      <c r="L1643" s="1">
        <v>37.9</v>
      </c>
      <c r="M1643" s="1">
        <v>7.7</v>
      </c>
      <c r="N1643" s="1">
        <v>32.5</v>
      </c>
      <c r="O1643" s="1">
        <v>64.213947991</v>
      </c>
      <c r="P1643" s="1">
        <v>10.778885197</v>
      </c>
      <c r="Q1643" s="1">
        <v>57.6535</v>
      </c>
      <c r="R1643" s="1">
        <v>96.67</v>
      </c>
      <c r="S1643" s="1">
        <v>13.2</v>
      </c>
      <c r="T1643" s="1">
        <v>754.0</v>
      </c>
      <c r="U1643" s="1">
        <v>9.9469496021</v>
      </c>
      <c r="V1643" s="1">
        <v>306.25832224</v>
      </c>
      <c r="W1643" s="1">
        <v>8.6153846154</v>
      </c>
      <c r="X1643" s="1">
        <v>8.069522036</v>
      </c>
      <c r="Y1643" s="1">
        <v>81.259272919</v>
      </c>
      <c r="Z1643" s="1">
        <v>7.6</v>
      </c>
      <c r="AA1643" s="1">
        <v>11.903698162</v>
      </c>
      <c r="AB1643" s="1">
        <v>51690.0</v>
      </c>
      <c r="AC1643" s="1">
        <v>29.354207436</v>
      </c>
      <c r="AD1643" s="1">
        <v>77.507598784</v>
      </c>
      <c r="AE1643" s="1">
        <v>12.427559562</v>
      </c>
      <c r="AF1643" s="1">
        <v>0.4672897196</v>
      </c>
      <c r="AG1643" s="1">
        <v>2.2488317757</v>
      </c>
      <c r="AH1643" s="1">
        <v>0.4964953271</v>
      </c>
      <c r="AI1643" s="1">
        <v>0.0</v>
      </c>
      <c r="AJ1643" s="1">
        <v>4.8189252336</v>
      </c>
      <c r="AK1643" s="1">
        <v>90.216121495</v>
      </c>
      <c r="AL1643" s="1">
        <v>0.1496110114</v>
      </c>
      <c r="AM1643" s="1">
        <v>49.328271028</v>
      </c>
      <c r="AN1643" s="1">
        <v>100.0</v>
      </c>
      <c r="AO1643" s="1">
        <v>31997.0</v>
      </c>
      <c r="AP1643" s="1">
        <v>11.0</v>
      </c>
      <c r="AQ1643" s="1">
        <v>2.6</v>
      </c>
      <c r="AR1643" s="1">
        <v>8.7</v>
      </c>
      <c r="AS1643" s="1">
        <v>22.1</v>
      </c>
      <c r="AT1643" s="1">
        <v>21.7</v>
      </c>
      <c r="AU1643" s="1">
        <v>13.1</v>
      </c>
      <c r="AV1643" s="1">
        <v>8.5</v>
      </c>
      <c r="AW1643" s="1">
        <v>0.1</v>
      </c>
      <c r="AX1643" s="1">
        <v>0.0681</v>
      </c>
      <c r="AY1643" s="1">
        <v>12.3</v>
      </c>
      <c r="AZ1643" s="1">
        <v>8.5</v>
      </c>
      <c r="BA1643" s="1">
        <v>13.7</v>
      </c>
      <c r="BB1643" s="1">
        <v>3.63</v>
      </c>
      <c r="BC1643" s="1" t="s">
        <v>2710</v>
      </c>
      <c r="BD1643" s="1">
        <v>8.1</v>
      </c>
      <c r="BE1643" s="1">
        <v>32.1</v>
      </c>
      <c r="BF1643" s="1">
        <v>35.9</v>
      </c>
      <c r="BG1643" s="1">
        <v>23.9</v>
      </c>
      <c r="BH1643" s="1" t="s">
        <v>2782</v>
      </c>
    </row>
    <row r="1644">
      <c r="A1644" s="1">
        <v>30093.0</v>
      </c>
      <c r="B1644" s="2" t="str">
        <f>IFERROR(__xludf.DUMMYFUNCTION("TO_TEXT(A1644)"),"30093")</f>
        <v>30093</v>
      </c>
      <c r="C1644" s="1">
        <v>34560.0</v>
      </c>
      <c r="D1644" s="1">
        <v>717.981499605722</v>
      </c>
      <c r="E1644" s="1" t="s">
        <v>2783</v>
      </c>
      <c r="F1644" s="1" t="s">
        <v>2784</v>
      </c>
      <c r="G1644" s="1">
        <v>48.1349450076061</v>
      </c>
      <c r="H1644" s="1">
        <v>15.901433785</v>
      </c>
      <c r="I1644" s="1">
        <v>3.9337627041</v>
      </c>
      <c r="J1644" s="1">
        <v>9.0942698706</v>
      </c>
      <c r="K1644" s="1">
        <v>17.362566529</v>
      </c>
      <c r="L1644" s="1">
        <v>25.2</v>
      </c>
      <c r="M1644" s="1">
        <v>7.8</v>
      </c>
      <c r="N1644" s="1">
        <v>22.5</v>
      </c>
      <c r="O1644" s="1">
        <v>63.0350877189999</v>
      </c>
      <c r="P1644" s="1">
        <v>9.5585286719</v>
      </c>
      <c r="Q1644" s="1">
        <v>72.25016</v>
      </c>
      <c r="R1644" s="1">
        <v>85.71</v>
      </c>
      <c r="S1644" s="1">
        <v>20.1</v>
      </c>
      <c r="T1644" s="1">
        <v>6865.0</v>
      </c>
      <c r="U1644" s="1">
        <v>34.173343044</v>
      </c>
      <c r="V1644" s="1">
        <v>318.48969592</v>
      </c>
      <c r="W1644" s="1">
        <v>17.943548387</v>
      </c>
      <c r="X1644" s="1">
        <v>15.798376184</v>
      </c>
      <c r="Y1644" s="1">
        <v>76.646058352</v>
      </c>
      <c r="Z1644" s="1">
        <v>7.9</v>
      </c>
      <c r="AA1644" s="1">
        <v>4.0863419289</v>
      </c>
      <c r="AB1644" s="1">
        <v>47302.0</v>
      </c>
      <c r="AC1644" s="1">
        <v>51.401010565</v>
      </c>
      <c r="AD1644" s="1">
        <v>66.8623829</v>
      </c>
      <c r="AE1644" s="1">
        <v>15.961902189</v>
      </c>
      <c r="AF1644" s="1">
        <v>0.6944245992</v>
      </c>
      <c r="AG1644" s="1">
        <v>2.3118909496</v>
      </c>
      <c r="AH1644" s="1">
        <v>0.843025748</v>
      </c>
      <c r="AI1644" s="1">
        <v>0.100020004</v>
      </c>
      <c r="AJ1644" s="1">
        <v>5.0810162032</v>
      </c>
      <c r="AK1644" s="1">
        <v>89.68650873</v>
      </c>
      <c r="AL1644" s="1">
        <v>0.3884980116</v>
      </c>
      <c r="AM1644" s="1">
        <v>49.798531135</v>
      </c>
      <c r="AN1644" s="1">
        <v>11.441520468</v>
      </c>
      <c r="AO1644" s="1">
        <v>25583.0</v>
      </c>
      <c r="AP1644" s="1">
        <v>19.4</v>
      </c>
      <c r="AQ1644" s="1">
        <v>7.0</v>
      </c>
      <c r="AR1644" s="1">
        <v>9.2</v>
      </c>
      <c r="AS1644" s="1">
        <v>17.1</v>
      </c>
      <c r="AT1644" s="1">
        <v>19.9</v>
      </c>
      <c r="AU1644" s="1">
        <v>17.7</v>
      </c>
      <c r="AV1644" s="1">
        <v>8.8</v>
      </c>
      <c r="AW1644" s="1">
        <v>0.3</v>
      </c>
      <c r="AX1644" s="1">
        <v>0.4791</v>
      </c>
      <c r="AY1644" s="1">
        <v>15.3</v>
      </c>
      <c r="AZ1644" s="1">
        <v>12.9</v>
      </c>
      <c r="BA1644" s="1">
        <v>20.3</v>
      </c>
      <c r="BB1644" s="1">
        <v>3.39</v>
      </c>
      <c r="BC1644" s="1" t="s">
        <v>2710</v>
      </c>
      <c r="BD1644" s="1">
        <v>7.5</v>
      </c>
      <c r="BE1644" s="1">
        <v>32.0</v>
      </c>
      <c r="BF1644" s="1">
        <v>33.3</v>
      </c>
      <c r="BG1644" s="1">
        <v>27.2</v>
      </c>
      <c r="BH1644" s="1" t="s">
        <v>2784</v>
      </c>
    </row>
    <row r="1645">
      <c r="A1645" s="1">
        <v>30095.0</v>
      </c>
      <c r="B1645" s="2" t="str">
        <f>IFERROR(__xludf.DUMMYFUNCTION("TO_TEXT(A1645)"),"30095")</f>
        <v>30095</v>
      </c>
      <c r="C1645" s="1">
        <v>9342.0</v>
      </c>
      <c r="D1645" s="1">
        <v>1796.64261804286</v>
      </c>
      <c r="E1645" s="1" t="s">
        <v>2785</v>
      </c>
      <c r="F1645" s="1" t="s">
        <v>2786</v>
      </c>
      <c r="G1645" s="1">
        <v>5.19969854114701</v>
      </c>
      <c r="H1645" s="1">
        <v>11.512124179</v>
      </c>
      <c r="I1645" s="1">
        <v>3.2810875356</v>
      </c>
      <c r="J1645" s="1">
        <v>8.8888888889</v>
      </c>
      <c r="K1645" s="1">
        <v>13.448808168</v>
      </c>
      <c r="L1645" s="1">
        <v>25.1</v>
      </c>
      <c r="M1645" s="1">
        <v>8.6</v>
      </c>
      <c r="N1645" s="1">
        <v>23.4</v>
      </c>
      <c r="O1645" s="1">
        <v>36.327739388</v>
      </c>
      <c r="P1645" s="1">
        <v>8.263229308</v>
      </c>
      <c r="Q1645" s="1">
        <v>21.23368</v>
      </c>
      <c r="R1645" s="1">
        <v>92.16</v>
      </c>
      <c r="S1645" s="1">
        <v>10.9</v>
      </c>
      <c r="T1645" s="1">
        <v>2046.0</v>
      </c>
      <c r="U1645" s="1">
        <v>12.3167155429999</v>
      </c>
      <c r="V1645" s="1">
        <v>210.99272075</v>
      </c>
      <c r="W1645" s="1">
        <v>10.832232497</v>
      </c>
      <c r="X1645" s="1">
        <v>6.79144385029999</v>
      </c>
      <c r="Y1645" s="1">
        <v>81.708894707</v>
      </c>
      <c r="Z1645" s="1">
        <v>8.8</v>
      </c>
      <c r="AA1645" s="1">
        <v>4.6278317057</v>
      </c>
      <c r="AB1645" s="1">
        <v>66226.0</v>
      </c>
      <c r="AC1645" s="1">
        <v>24.046076314</v>
      </c>
      <c r="AD1645" s="1">
        <v>79.413347686</v>
      </c>
      <c r="AE1645" s="1">
        <v>8.1201334816</v>
      </c>
      <c r="AF1645" s="1">
        <v>0.2202643172</v>
      </c>
      <c r="AG1645" s="1">
        <v>1.216698133</v>
      </c>
      <c r="AH1645" s="1">
        <v>0.9125235997</v>
      </c>
      <c r="AI1645" s="1">
        <v>0.031466331</v>
      </c>
      <c r="AJ1645" s="1">
        <v>4.4052863436</v>
      </c>
      <c r="AK1645" s="1">
        <v>92.143906021</v>
      </c>
      <c r="AL1645" s="1">
        <v>0.2675585284</v>
      </c>
      <c r="AM1645" s="1">
        <v>48.793790644</v>
      </c>
      <c r="AN1645" s="1">
        <v>100.0</v>
      </c>
      <c r="AO1645" s="1">
        <v>30958.0</v>
      </c>
      <c r="AP1645" s="1">
        <v>7.3</v>
      </c>
      <c r="AQ1645" s="1">
        <v>3.8</v>
      </c>
      <c r="AR1645" s="1">
        <v>5.0</v>
      </c>
      <c r="AS1645" s="1">
        <v>19.8</v>
      </c>
      <c r="AT1645" s="1">
        <v>21.3</v>
      </c>
      <c r="AU1645" s="1">
        <v>13.5</v>
      </c>
      <c r="AV1645" s="1">
        <v>6.4</v>
      </c>
      <c r="AW1645" s="1">
        <v>0.4</v>
      </c>
      <c r="AX1645" s="1">
        <v>0.0614</v>
      </c>
      <c r="AY1645" s="1">
        <v>9.3</v>
      </c>
      <c r="AZ1645" s="1">
        <v>7.4</v>
      </c>
      <c r="BA1645" s="1">
        <v>13.0</v>
      </c>
      <c r="BB1645" s="1">
        <v>3.17</v>
      </c>
      <c r="BC1645" s="1" t="s">
        <v>2710</v>
      </c>
      <c r="BD1645" s="1">
        <v>6.0</v>
      </c>
      <c r="BE1645" s="1">
        <v>35.5</v>
      </c>
      <c r="BF1645" s="1">
        <v>33.4</v>
      </c>
      <c r="BG1645" s="1">
        <v>25.0</v>
      </c>
      <c r="BH1645" s="1" t="s">
        <v>2786</v>
      </c>
    </row>
    <row r="1646">
      <c r="A1646" s="1">
        <v>30097.0</v>
      </c>
      <c r="B1646" s="2" t="str">
        <f>IFERROR(__xludf.DUMMYFUNCTION("TO_TEXT(A1646)"),"30097")</f>
        <v>30097</v>
      </c>
      <c r="C1646" s="1">
        <v>3634.0</v>
      </c>
      <c r="D1646" s="1">
        <v>1855.46434075061</v>
      </c>
      <c r="E1646" s="1" t="s">
        <v>2787</v>
      </c>
      <c r="F1646" s="1" t="s">
        <v>2788</v>
      </c>
      <c r="G1646" s="1">
        <v>1.95853939102376</v>
      </c>
      <c r="H1646" s="1">
        <v>11.521491776</v>
      </c>
      <c r="I1646" s="1">
        <v>3.3900319279</v>
      </c>
      <c r="J1646" s="1">
        <v>6.3063063063</v>
      </c>
      <c r="K1646" s="1">
        <v>13.952056479</v>
      </c>
      <c r="L1646" s="1">
        <v>28.0</v>
      </c>
      <c r="M1646" s="1">
        <v>8.2</v>
      </c>
      <c r="N1646" s="1">
        <v>20.5</v>
      </c>
      <c r="O1646" s="1">
        <v>70.556012051</v>
      </c>
      <c r="P1646" s="1">
        <v>9.8765432099</v>
      </c>
      <c r="Q1646" s="1">
        <v>54.18586</v>
      </c>
      <c r="R1646" s="1">
        <v>90.0</v>
      </c>
      <c r="S1646" s="1">
        <v>12.4</v>
      </c>
      <c r="T1646" s="1">
        <v>766.0</v>
      </c>
      <c r="U1646" s="1">
        <v>23.368146214</v>
      </c>
      <c r="V1646" s="1">
        <v>95.524017467</v>
      </c>
      <c r="W1646" s="1">
        <v>14.1868512109999</v>
      </c>
      <c r="X1646" s="1">
        <v>12.85814116</v>
      </c>
      <c r="Y1646" s="1">
        <v>82.835031991</v>
      </c>
      <c r="Z1646" s="1">
        <v>5.0</v>
      </c>
      <c r="AA1646" s="1">
        <v>6.558608689</v>
      </c>
      <c r="AB1646" s="1">
        <v>52747.0</v>
      </c>
      <c r="AC1646" s="1">
        <v>22.243346008</v>
      </c>
      <c r="AD1646" s="1">
        <v>74.40206852</v>
      </c>
      <c r="AE1646" s="1">
        <v>12.150170648</v>
      </c>
      <c r="AF1646" s="1">
        <v>0.3773584906</v>
      </c>
      <c r="AG1646" s="1">
        <v>1.1320754717</v>
      </c>
      <c r="AH1646" s="1">
        <v>0.566037735799999</v>
      </c>
      <c r="AI1646" s="1">
        <v>0.0269541779</v>
      </c>
      <c r="AJ1646" s="1">
        <v>2.4797843666</v>
      </c>
      <c r="AK1646" s="1">
        <v>93.4770889489999</v>
      </c>
      <c r="AL1646" s="1">
        <v>0.0</v>
      </c>
      <c r="AM1646" s="1">
        <v>48.921832884</v>
      </c>
      <c r="AN1646" s="1">
        <v>100.0</v>
      </c>
      <c r="AO1646" s="1">
        <v>26935.0</v>
      </c>
      <c r="AP1646" s="1">
        <v>11.8</v>
      </c>
      <c r="AQ1646" s="1">
        <v>0.4</v>
      </c>
      <c r="AR1646" s="1">
        <v>6.0</v>
      </c>
      <c r="AS1646" s="1">
        <v>23.8</v>
      </c>
      <c r="AT1646" s="1">
        <v>23.3</v>
      </c>
      <c r="AU1646" s="1">
        <v>15.1</v>
      </c>
      <c r="AV1646" s="1">
        <v>6.4</v>
      </c>
      <c r="AW1646" s="1">
        <v>0.0</v>
      </c>
      <c r="AX1646" s="1">
        <v>0.0605</v>
      </c>
      <c r="AY1646" s="1">
        <v>10.3</v>
      </c>
      <c r="AZ1646" s="1">
        <v>8.2</v>
      </c>
      <c r="BA1646" s="1">
        <v>14.0</v>
      </c>
      <c r="BB1646" s="1">
        <v>3.23</v>
      </c>
      <c r="BC1646" s="1" t="s">
        <v>2710</v>
      </c>
      <c r="BD1646" s="1">
        <v>5.4</v>
      </c>
      <c r="BE1646" s="1">
        <v>36.6</v>
      </c>
      <c r="BF1646" s="1">
        <v>32.6</v>
      </c>
      <c r="BG1646" s="1">
        <v>25.4</v>
      </c>
      <c r="BH1646" s="1" t="s">
        <v>2788</v>
      </c>
    </row>
    <row r="1647">
      <c r="A1647" s="1">
        <v>30099.0</v>
      </c>
      <c r="B1647" s="2" t="str">
        <f>IFERROR(__xludf.DUMMYFUNCTION("TO_TEXT(A1647)"),"30099")</f>
        <v>30099</v>
      </c>
      <c r="C1647" s="1">
        <v>6067.0</v>
      </c>
      <c r="D1647" s="1">
        <v>2271.60224429244</v>
      </c>
      <c r="E1647" s="1" t="s">
        <v>1144</v>
      </c>
      <c r="F1647" s="1" t="s">
        <v>2789</v>
      </c>
      <c r="G1647" s="1">
        <v>2.6708020804451</v>
      </c>
      <c r="H1647" s="1">
        <v>12.401746787</v>
      </c>
      <c r="I1647" s="1">
        <v>3.4604943792</v>
      </c>
      <c r="J1647" s="1">
        <v>8.9445438283</v>
      </c>
      <c r="K1647" s="1">
        <v>14.887896657</v>
      </c>
      <c r="L1647" s="1">
        <v>24.3</v>
      </c>
      <c r="M1647" s="1">
        <v>7.5</v>
      </c>
      <c r="N1647" s="1">
        <v>28.0</v>
      </c>
      <c r="O1647" s="1">
        <v>26.691915034</v>
      </c>
      <c r="P1647" s="1">
        <v>12.017075774</v>
      </c>
      <c r="Q1647" s="1">
        <v>16.43385</v>
      </c>
      <c r="R1647" s="1">
        <v>93.55</v>
      </c>
      <c r="S1647" s="1">
        <v>21.5</v>
      </c>
      <c r="T1647" s="1">
        <v>1443.0</v>
      </c>
      <c r="U1647" s="1">
        <v>16.83991684</v>
      </c>
      <c r="V1647" s="1">
        <v>221.54755067</v>
      </c>
      <c r="W1647" s="1">
        <v>12.133891213</v>
      </c>
      <c r="X1647" s="1">
        <v>8.1263157895</v>
      </c>
      <c r="Y1647" s="1">
        <v>79.762959628</v>
      </c>
      <c r="Z1647" s="1">
        <v>6.6</v>
      </c>
      <c r="AA1647" s="1">
        <v>12.671873618</v>
      </c>
      <c r="AB1647" s="1">
        <v>48368.0</v>
      </c>
      <c r="AC1647" s="1">
        <v>35.25390625</v>
      </c>
      <c r="AD1647" s="1">
        <v>69.696969697</v>
      </c>
      <c r="AE1647" s="1">
        <v>12.449977768</v>
      </c>
      <c r="AF1647" s="1">
        <v>0.2271989614</v>
      </c>
      <c r="AG1647" s="1">
        <v>1.7202207076</v>
      </c>
      <c r="AH1647" s="1">
        <v>1.0873093152</v>
      </c>
      <c r="AI1647" s="1">
        <v>0.0162284972</v>
      </c>
      <c r="AJ1647" s="1">
        <v>1.5903927296</v>
      </c>
      <c r="AK1647" s="1">
        <v>93.2489451479999</v>
      </c>
      <c r="AL1647" s="1">
        <v>0.0</v>
      </c>
      <c r="AM1647" s="1">
        <v>50.795196365</v>
      </c>
      <c r="AN1647" s="1">
        <v>100.0</v>
      </c>
      <c r="AO1647" s="1">
        <v>25740.0</v>
      </c>
      <c r="AP1647" s="1">
        <v>10.6</v>
      </c>
      <c r="AQ1647" s="1">
        <v>5.5</v>
      </c>
      <c r="AR1647" s="1">
        <v>7.1</v>
      </c>
      <c r="AS1647" s="1">
        <v>22.0</v>
      </c>
      <c r="AT1647" s="1">
        <v>23.7</v>
      </c>
      <c r="AU1647" s="1">
        <v>15.5</v>
      </c>
      <c r="AV1647" s="1">
        <v>5.9</v>
      </c>
      <c r="AW1647" s="1">
        <v>0.1</v>
      </c>
      <c r="AX1647" s="1">
        <v>0.283</v>
      </c>
      <c r="AY1647" s="1">
        <v>13.5</v>
      </c>
      <c r="AZ1647" s="1">
        <v>10.7</v>
      </c>
      <c r="BA1647" s="1">
        <v>18.3</v>
      </c>
      <c r="BB1647" s="1">
        <v>3.2</v>
      </c>
      <c r="BC1647" s="1" t="s">
        <v>2710</v>
      </c>
      <c r="BD1647" s="1">
        <v>8.0</v>
      </c>
      <c r="BE1647" s="1">
        <v>31.8</v>
      </c>
      <c r="BF1647" s="1">
        <v>35.3</v>
      </c>
      <c r="BG1647" s="1">
        <v>24.9</v>
      </c>
      <c r="BH1647" s="1" t="s">
        <v>2789</v>
      </c>
    </row>
    <row r="1648">
      <c r="A1648" s="1">
        <v>30101.0</v>
      </c>
      <c r="B1648" s="2" t="str">
        <f>IFERROR(__xludf.DUMMYFUNCTION("TO_TEXT(A1648)"),"30101")</f>
        <v>30101</v>
      </c>
      <c r="C1648" s="1">
        <v>5114.0</v>
      </c>
      <c r="D1648" s="1">
        <v>1915.02171904303</v>
      </c>
      <c r="E1648" s="1" t="s">
        <v>2790</v>
      </c>
      <c r="F1648" s="1" t="s">
        <v>2791</v>
      </c>
      <c r="G1648" s="1">
        <v>2.67046579636472</v>
      </c>
      <c r="H1648" s="1">
        <v>14.330549134</v>
      </c>
      <c r="I1648" s="1">
        <v>3.5718440913</v>
      </c>
      <c r="J1648" s="1">
        <v>9.5477386935</v>
      </c>
      <c r="K1648" s="1">
        <v>17.622494399</v>
      </c>
      <c r="L1648" s="1">
        <v>25.9</v>
      </c>
      <c r="M1648" s="1">
        <v>7.2</v>
      </c>
      <c r="N1648" s="1">
        <v>23.4</v>
      </c>
      <c r="O1648" s="1">
        <v>69.233658903</v>
      </c>
      <c r="P1648" s="1">
        <v>13.423212192</v>
      </c>
      <c r="Q1648" s="1">
        <v>40.93328</v>
      </c>
      <c r="R1648" s="1">
        <v>87.5</v>
      </c>
      <c r="S1648" s="1">
        <v>17.9</v>
      </c>
      <c r="T1648" s="1">
        <v>972.0</v>
      </c>
      <c r="U1648" s="1">
        <v>20.781893004</v>
      </c>
      <c r="V1648" s="1">
        <v>473.37278107</v>
      </c>
      <c r="W1648" s="1">
        <v>15.2849740929999</v>
      </c>
      <c r="X1648" s="1">
        <v>6.5939771547</v>
      </c>
      <c r="Y1648" s="1">
        <v>76.663812935</v>
      </c>
      <c r="Z1648" s="1">
        <v>5.2</v>
      </c>
      <c r="AA1648" s="1">
        <v>11.767997167</v>
      </c>
      <c r="AB1648" s="1">
        <v>46326.0</v>
      </c>
      <c r="AC1648" s="1">
        <v>42.679127726</v>
      </c>
      <c r="AD1648" s="1">
        <v>57.79768177</v>
      </c>
      <c r="AE1648" s="1">
        <v>10.442260442</v>
      </c>
      <c r="AF1648" s="1">
        <v>1.0508963528</v>
      </c>
      <c r="AG1648" s="1">
        <v>5.3162991964</v>
      </c>
      <c r="AH1648" s="1">
        <v>0.7212033794</v>
      </c>
      <c r="AI1648" s="1">
        <v>0.0824232434</v>
      </c>
      <c r="AJ1648" s="1">
        <v>4.3066144653</v>
      </c>
      <c r="AK1648" s="1">
        <v>86.23531836</v>
      </c>
      <c r="AL1648" s="1">
        <v>0.8456659619</v>
      </c>
      <c r="AM1648" s="1">
        <v>44.137646816</v>
      </c>
      <c r="AN1648" s="1">
        <v>42.956423742</v>
      </c>
      <c r="AO1648" s="1">
        <v>23705.0</v>
      </c>
      <c r="AP1648" s="1">
        <v>16.9</v>
      </c>
      <c r="AQ1648" s="1">
        <v>1.0</v>
      </c>
      <c r="AR1648" s="1">
        <v>15.9</v>
      </c>
      <c r="AS1648" s="1">
        <v>15.2</v>
      </c>
      <c r="AT1648" s="1">
        <v>19.2</v>
      </c>
      <c r="AU1648" s="1">
        <v>16.9</v>
      </c>
      <c r="AV1648" s="1">
        <v>11.8</v>
      </c>
      <c r="AW1648" s="1">
        <v>0.2</v>
      </c>
      <c r="AX1648" s="1">
        <v>0.4432</v>
      </c>
      <c r="AY1648" s="1">
        <v>15.8</v>
      </c>
      <c r="AZ1648" s="1">
        <v>11.9</v>
      </c>
      <c r="BA1648" s="1">
        <v>17.9</v>
      </c>
      <c r="BB1648" s="1">
        <v>3.12</v>
      </c>
      <c r="BC1648" s="1" t="s">
        <v>2710</v>
      </c>
      <c r="BD1648" s="1">
        <v>11.2</v>
      </c>
      <c r="BE1648" s="1">
        <v>40.0</v>
      </c>
      <c r="BF1648" s="1">
        <v>33.5</v>
      </c>
      <c r="BG1648" s="1">
        <v>15.2</v>
      </c>
      <c r="BH1648" s="1" t="s">
        <v>2791</v>
      </c>
    </row>
    <row r="1649">
      <c r="A1649" s="1">
        <v>30103.0</v>
      </c>
      <c r="B1649" s="2" t="str">
        <f>IFERROR(__xludf.DUMMYFUNCTION("TO_TEXT(A1649)"),"30103")</f>
        <v>30103</v>
      </c>
      <c r="C1649" s="1">
        <v>846.0</v>
      </c>
      <c r="D1649" s="1">
        <v>977.80023969757</v>
      </c>
      <c r="E1649" s="1" t="s">
        <v>2792</v>
      </c>
      <c r="F1649" s="1" t="s">
        <v>2793</v>
      </c>
      <c r="G1649" s="1">
        <v>0.865207396821323</v>
      </c>
      <c r="H1649" s="1">
        <v>15.036315435</v>
      </c>
      <c r="I1649" s="1">
        <v>3.7316631963</v>
      </c>
      <c r="J1649" s="1">
        <v>7.80443539465</v>
      </c>
      <c r="K1649" s="1">
        <v>16.2850147429999</v>
      </c>
      <c r="L1649" s="1">
        <v>33.0</v>
      </c>
      <c r="M1649" s="1">
        <v>4.6</v>
      </c>
      <c r="N1649" s="1">
        <v>24.9</v>
      </c>
      <c r="O1649" s="1">
        <v>11.281337047</v>
      </c>
      <c r="P1649" s="1">
        <v>14.226804124</v>
      </c>
      <c r="Q1649" s="1">
        <v>0.0</v>
      </c>
      <c r="R1649" s="1">
        <v>50.0</v>
      </c>
      <c r="S1649" s="1">
        <v>22.0</v>
      </c>
      <c r="T1649" s="1">
        <v>153.0</v>
      </c>
      <c r="U1649" s="1">
        <v>12.418300654</v>
      </c>
      <c r="V1649" s="1">
        <v>0.0</v>
      </c>
      <c r="W1649" s="1">
        <v>14.864864865</v>
      </c>
      <c r="X1649" s="1">
        <v>12.154696133</v>
      </c>
      <c r="Y1649" s="1">
        <v>77.482572377</v>
      </c>
      <c r="Z1649" s="1">
        <v>10.6</v>
      </c>
      <c r="AA1649" s="1">
        <v>41.787122618</v>
      </c>
      <c r="AB1649" s="1">
        <v>50774.0</v>
      </c>
      <c r="AC1649" s="1">
        <v>0.0</v>
      </c>
      <c r="AD1649" s="1">
        <v>67.3972602739999</v>
      </c>
      <c r="AE1649" s="1">
        <v>12.624584718</v>
      </c>
      <c r="AF1649" s="1">
        <v>0.0</v>
      </c>
      <c r="AG1649" s="1">
        <v>3.3873343152</v>
      </c>
      <c r="AH1649" s="1">
        <v>0.88365243</v>
      </c>
      <c r="AI1649" s="1">
        <v>0.0</v>
      </c>
      <c r="AJ1649" s="1">
        <v>3.8291605302</v>
      </c>
      <c r="AK1649" s="1">
        <v>90.27982327</v>
      </c>
      <c r="AL1649" s="1">
        <v>0.0</v>
      </c>
      <c r="AM1649" s="1">
        <v>49.926362297</v>
      </c>
      <c r="AN1649" s="1">
        <v>100.0</v>
      </c>
      <c r="AO1649" s="1">
        <v>21255.0</v>
      </c>
      <c r="AP1649" s="1">
        <v>19.1</v>
      </c>
      <c r="AQ1649" s="1">
        <v>0.0</v>
      </c>
      <c r="AR1649" s="1">
        <v>7.8</v>
      </c>
      <c r="AS1649" s="1">
        <v>20.2</v>
      </c>
      <c r="AT1649" s="1">
        <v>19.4</v>
      </c>
      <c r="AU1649" s="1">
        <v>14.8</v>
      </c>
      <c r="AV1649" s="1">
        <v>8.5</v>
      </c>
      <c r="AW1649" s="1">
        <v>0.0</v>
      </c>
      <c r="AX1649" s="1">
        <v>0.1184</v>
      </c>
      <c r="AY1649" s="1">
        <v>12.2</v>
      </c>
      <c r="AZ1649" s="1">
        <v>11.9</v>
      </c>
      <c r="BA1649" s="1">
        <v>18.9</v>
      </c>
      <c r="BB1649" s="1">
        <v>3.16</v>
      </c>
      <c r="BC1649" s="1" t="s">
        <v>2710</v>
      </c>
      <c r="BD1649" s="1">
        <v>10.2</v>
      </c>
      <c r="BE1649" s="1">
        <v>31.5</v>
      </c>
      <c r="BF1649" s="1">
        <v>32.9</v>
      </c>
      <c r="BG1649" s="1">
        <v>25.4</v>
      </c>
      <c r="BH1649" s="1" t="s">
        <v>2793</v>
      </c>
    </row>
    <row r="1650">
      <c r="A1650" s="1">
        <v>30105.0</v>
      </c>
      <c r="B1650" s="2" t="str">
        <f>IFERROR(__xludf.DUMMYFUNCTION("TO_TEXT(A1650)"),"30105")</f>
        <v>30105</v>
      </c>
      <c r="C1650" s="1">
        <v>7576.0</v>
      </c>
      <c r="D1650" s="1">
        <v>4926.09899950196</v>
      </c>
      <c r="E1650" s="1" t="s">
        <v>1148</v>
      </c>
      <c r="F1650" s="1" t="s">
        <v>2794</v>
      </c>
      <c r="G1650" s="1">
        <v>1.53793092683804</v>
      </c>
      <c r="H1650" s="1">
        <v>14.315096149</v>
      </c>
      <c r="I1650" s="1">
        <v>3.6853966545</v>
      </c>
      <c r="J1650" s="1">
        <v>6.1889250814</v>
      </c>
      <c r="K1650" s="1">
        <v>16.034640448</v>
      </c>
      <c r="L1650" s="1">
        <v>30.6</v>
      </c>
      <c r="M1650" s="1">
        <v>7.6</v>
      </c>
      <c r="N1650" s="1">
        <v>30.8</v>
      </c>
      <c r="O1650" s="1">
        <v>63.57714751</v>
      </c>
      <c r="P1650" s="1">
        <v>12.398445779</v>
      </c>
      <c r="Q1650" s="1">
        <v>67.26759</v>
      </c>
      <c r="R1650" s="1">
        <v>92.21</v>
      </c>
      <c r="S1650" s="1">
        <v>16.8</v>
      </c>
      <c r="T1650" s="1">
        <v>1631.0</v>
      </c>
      <c r="U1650" s="1">
        <v>24.58614347</v>
      </c>
      <c r="V1650" s="1">
        <v>136.05442177</v>
      </c>
      <c r="W1650" s="1">
        <v>7.3134328358</v>
      </c>
      <c r="X1650" s="1">
        <v>6.7146282974</v>
      </c>
      <c r="Y1650" s="1">
        <v>79.15194421</v>
      </c>
      <c r="Z1650" s="1">
        <v>11.9</v>
      </c>
      <c r="AA1650" s="1">
        <v>14.68190929</v>
      </c>
      <c r="AB1650" s="1">
        <v>48390.0</v>
      </c>
      <c r="AC1650" s="1">
        <v>38.727858293</v>
      </c>
      <c r="AD1650" s="1">
        <v>76.25145518</v>
      </c>
      <c r="AE1650" s="1">
        <v>8.0195898378</v>
      </c>
      <c r="AF1650" s="1">
        <v>0.4840661557</v>
      </c>
      <c r="AG1650" s="1">
        <v>9.3048272153</v>
      </c>
      <c r="AH1650" s="1">
        <v>1.0219174398</v>
      </c>
      <c r="AI1650" s="1">
        <v>0.0537851284</v>
      </c>
      <c r="AJ1650" s="1">
        <v>2.7295952669</v>
      </c>
      <c r="AK1650" s="1">
        <v>84.630899556</v>
      </c>
      <c r="AL1650" s="1">
        <v>0.1267962806</v>
      </c>
      <c r="AM1650" s="1">
        <v>49.885706602</v>
      </c>
      <c r="AN1650" s="1">
        <v>55.204233953</v>
      </c>
      <c r="AO1650" s="1">
        <v>27820.0</v>
      </c>
      <c r="AP1650" s="1">
        <v>9.6</v>
      </c>
      <c r="AQ1650" s="1">
        <v>4.6</v>
      </c>
      <c r="AR1650" s="1">
        <v>6.5</v>
      </c>
      <c r="AS1650" s="1">
        <v>20.8</v>
      </c>
      <c r="AT1650" s="1">
        <v>22.6</v>
      </c>
      <c r="AU1650" s="1">
        <v>14.4</v>
      </c>
      <c r="AV1650" s="1">
        <v>14.7</v>
      </c>
      <c r="AW1650" s="1">
        <v>0.3</v>
      </c>
      <c r="AX1650" s="1">
        <v>0.0898</v>
      </c>
      <c r="AY1650" s="1">
        <v>12.8</v>
      </c>
      <c r="AZ1650" s="1">
        <v>8.8</v>
      </c>
      <c r="BA1650" s="1">
        <v>14.1</v>
      </c>
      <c r="BB1650" s="1">
        <v>3.69</v>
      </c>
      <c r="BC1650" s="1" t="s">
        <v>2710</v>
      </c>
      <c r="BD1650" s="1">
        <v>6.1</v>
      </c>
      <c r="BE1650" s="1">
        <v>34.5</v>
      </c>
      <c r="BF1650" s="1">
        <v>37.9</v>
      </c>
      <c r="BG1650" s="1">
        <v>21.5</v>
      </c>
      <c r="BH1650" s="1" t="s">
        <v>2794</v>
      </c>
    </row>
    <row r="1651">
      <c r="A1651" s="1">
        <v>30107.0</v>
      </c>
      <c r="B1651" s="2" t="str">
        <f>IFERROR(__xludf.DUMMYFUNCTION("TO_TEXT(A1651)"),"30107")</f>
        <v>30107</v>
      </c>
      <c r="C1651" s="1">
        <v>2109.0</v>
      </c>
      <c r="D1651" s="1">
        <v>1422.48033706265</v>
      </c>
      <c r="E1651" s="1" t="s">
        <v>2795</v>
      </c>
      <c r="F1651" s="1" t="s">
        <v>2796</v>
      </c>
      <c r="G1651" s="1">
        <v>1.48262154846722</v>
      </c>
      <c r="H1651" s="1">
        <v>15.879222864</v>
      </c>
      <c r="I1651" s="1">
        <v>3.9153089576</v>
      </c>
      <c r="J1651" s="1">
        <v>6.7415730337</v>
      </c>
      <c r="K1651" s="1">
        <v>17.482515961</v>
      </c>
      <c r="L1651" s="1">
        <v>32.1</v>
      </c>
      <c r="M1651" s="1">
        <v>4.0</v>
      </c>
      <c r="N1651" s="1">
        <v>24.9</v>
      </c>
      <c r="O1651" s="1">
        <v>49.769372694</v>
      </c>
      <c r="P1651" s="1">
        <v>17.226092464</v>
      </c>
      <c r="Q1651" s="1">
        <v>48.31939</v>
      </c>
      <c r="R1651" s="1">
        <v>94.74</v>
      </c>
      <c r="S1651" s="1">
        <v>27.8</v>
      </c>
      <c r="T1651" s="1">
        <v>520.0</v>
      </c>
      <c r="U1651" s="1">
        <v>24.230769231</v>
      </c>
      <c r="V1651" s="1">
        <v>236.18327822</v>
      </c>
      <c r="W1651" s="1">
        <v>14.367816092</v>
      </c>
      <c r="X1651" s="1">
        <v>5.49065420559999</v>
      </c>
      <c r="Y1651" s="1">
        <v>77.916990978</v>
      </c>
      <c r="Z1651" s="1">
        <v>9.3</v>
      </c>
      <c r="AA1651" s="1">
        <v>45.684200649</v>
      </c>
      <c r="AB1651" s="1">
        <v>38449.0</v>
      </c>
      <c r="AC1651" s="1">
        <v>56.739811912</v>
      </c>
      <c r="AD1651" s="1">
        <v>70.523751523</v>
      </c>
      <c r="AE1651" s="1">
        <v>7.0539419087</v>
      </c>
      <c r="AF1651" s="1">
        <v>0.4025044723</v>
      </c>
      <c r="AG1651" s="1">
        <v>5.1431127013</v>
      </c>
      <c r="AH1651" s="1">
        <v>0.4919499106</v>
      </c>
      <c r="AI1651" s="1">
        <v>0.0</v>
      </c>
      <c r="AJ1651" s="1">
        <v>6.8872987478</v>
      </c>
      <c r="AK1651" s="1">
        <v>88.729874776</v>
      </c>
      <c r="AL1651" s="1">
        <v>1.2948207171</v>
      </c>
      <c r="AM1651" s="1">
        <v>48.524150268</v>
      </c>
      <c r="AN1651" s="1">
        <v>100.0</v>
      </c>
      <c r="AO1651" s="1">
        <v>19407.0</v>
      </c>
      <c r="AP1651" s="1">
        <v>17.6</v>
      </c>
      <c r="AQ1651" s="1">
        <v>2.8</v>
      </c>
      <c r="AR1651" s="1">
        <v>24.1</v>
      </c>
      <c r="AS1651" s="1">
        <v>22.0</v>
      </c>
      <c r="AT1651" s="1">
        <v>23.2</v>
      </c>
      <c r="AU1651" s="1">
        <v>13.4</v>
      </c>
      <c r="AV1651" s="1">
        <v>5.0</v>
      </c>
      <c r="AW1651" s="1">
        <v>1.0</v>
      </c>
      <c r="AX1651" s="1">
        <v>0.5575</v>
      </c>
      <c r="AY1651" s="1">
        <v>18.3</v>
      </c>
      <c r="AZ1651" s="1">
        <v>11.8</v>
      </c>
      <c r="BA1651" s="1">
        <v>22.9</v>
      </c>
      <c r="BB1651" s="1">
        <v>3.19</v>
      </c>
      <c r="BC1651" s="1" t="s">
        <v>2710</v>
      </c>
      <c r="BD1651" s="1">
        <v>18.2</v>
      </c>
      <c r="BE1651" s="1">
        <v>34.2</v>
      </c>
      <c r="BF1651" s="1">
        <v>28.1</v>
      </c>
      <c r="BG1651" s="1">
        <v>19.6</v>
      </c>
      <c r="BH1651" s="1" t="s">
        <v>2796</v>
      </c>
    </row>
    <row r="1652">
      <c r="A1652" s="1">
        <v>30109.0</v>
      </c>
      <c r="B1652" s="2" t="str">
        <f>IFERROR(__xludf.DUMMYFUNCTION("TO_TEXT(A1652)"),"30109")</f>
        <v>30109</v>
      </c>
      <c r="C1652" s="1">
        <v>1143.0</v>
      </c>
      <c r="D1652" s="1">
        <v>888.609391205706</v>
      </c>
      <c r="E1652" s="1" t="s">
        <v>2797</v>
      </c>
      <c r="F1652" s="1" t="s">
        <v>2798</v>
      </c>
      <c r="G1652" s="1">
        <v>1.28627945114234</v>
      </c>
      <c r="H1652" s="1">
        <v>13.800875335</v>
      </c>
      <c r="I1652" s="1">
        <v>3.5180776819</v>
      </c>
      <c r="J1652" s="1">
        <v>7.80443539465</v>
      </c>
      <c r="K1652" s="1">
        <v>16.230652431</v>
      </c>
      <c r="L1652" s="1">
        <v>30.3</v>
      </c>
      <c r="M1652" s="1">
        <v>5.5</v>
      </c>
      <c r="N1652" s="1">
        <v>28.8</v>
      </c>
      <c r="O1652" s="1">
        <v>2.7531956735</v>
      </c>
      <c r="P1652" s="1">
        <v>11.483870968</v>
      </c>
      <c r="Q1652" s="1">
        <v>0.0</v>
      </c>
      <c r="R1652" s="1">
        <v>100.0</v>
      </c>
      <c r="S1652" s="1">
        <v>13.4</v>
      </c>
      <c r="T1652" s="1">
        <v>336.0</v>
      </c>
      <c r="U1652" s="1">
        <v>33.928571429</v>
      </c>
      <c r="V1652" s="1">
        <v>0.0</v>
      </c>
      <c r="W1652" s="1">
        <v>10.101010101</v>
      </c>
      <c r="X1652" s="1">
        <v>9.0721649485</v>
      </c>
      <c r="Y1652" s="1">
        <v>77.482572377</v>
      </c>
      <c r="Z1652" s="1">
        <v>7.7</v>
      </c>
      <c r="AA1652" s="1">
        <v>37.761505989</v>
      </c>
      <c r="AB1652" s="1">
        <v>49532.0</v>
      </c>
      <c r="AC1652" s="1">
        <v>40.425531915</v>
      </c>
      <c r="AD1652" s="1">
        <v>78.672032193</v>
      </c>
      <c r="AE1652" s="1">
        <v>11.739130435</v>
      </c>
      <c r="AF1652" s="1">
        <v>0.0</v>
      </c>
      <c r="AG1652" s="1">
        <v>1.1605415861</v>
      </c>
      <c r="AH1652" s="1">
        <v>0.580270793</v>
      </c>
      <c r="AI1652" s="1">
        <v>0.1934235977</v>
      </c>
      <c r="AJ1652" s="1">
        <v>4.0618955513</v>
      </c>
      <c r="AK1652" s="1">
        <v>92.940038685</v>
      </c>
      <c r="AL1652" s="1">
        <v>1.4285714286</v>
      </c>
      <c r="AM1652" s="1">
        <v>48.259187621</v>
      </c>
      <c r="AN1652" s="1">
        <v>100.0</v>
      </c>
      <c r="AO1652" s="1">
        <v>23985.0</v>
      </c>
      <c r="AP1652" s="1">
        <v>13.2</v>
      </c>
      <c r="AQ1652" s="1">
        <v>2.7</v>
      </c>
      <c r="AR1652" s="1">
        <v>12.1</v>
      </c>
      <c r="AS1652" s="1">
        <v>28.8</v>
      </c>
      <c r="AT1652" s="1">
        <v>22.0</v>
      </c>
      <c r="AU1652" s="1">
        <v>13.8</v>
      </c>
      <c r="AV1652" s="1">
        <v>1.5</v>
      </c>
      <c r="AW1652" s="1">
        <v>0.0</v>
      </c>
      <c r="AX1652" s="1">
        <v>0.148</v>
      </c>
      <c r="AY1652" s="1">
        <v>11.3</v>
      </c>
      <c r="AZ1652" s="1">
        <v>9.7</v>
      </c>
      <c r="BA1652" s="1">
        <v>19.8</v>
      </c>
      <c r="BB1652" s="1">
        <v>3.59</v>
      </c>
      <c r="BC1652" s="1" t="s">
        <v>2710</v>
      </c>
      <c r="BD1652" s="1">
        <v>11.3</v>
      </c>
      <c r="BE1652" s="1">
        <v>37.2</v>
      </c>
      <c r="BF1652" s="1">
        <v>28.1</v>
      </c>
      <c r="BG1652" s="1">
        <v>23.4</v>
      </c>
      <c r="BH1652" s="1" t="s">
        <v>2798</v>
      </c>
    </row>
    <row r="1653">
      <c r="A1653" s="1">
        <v>30111.0</v>
      </c>
      <c r="B1653" s="2" t="str">
        <f>IFERROR(__xludf.DUMMYFUNCTION("TO_TEXT(A1653)"),"30111")</f>
        <v>30111</v>
      </c>
      <c r="C1653" s="1">
        <v>155344.0</v>
      </c>
      <c r="D1653" s="1">
        <v>2633.49788712573</v>
      </c>
      <c r="E1653" s="1" t="s">
        <v>2799</v>
      </c>
      <c r="F1653" s="1" t="s">
        <v>2800</v>
      </c>
      <c r="G1653" s="1">
        <v>58.987706335146</v>
      </c>
      <c r="H1653" s="1">
        <v>13.0568146759999</v>
      </c>
      <c r="I1653" s="1">
        <v>3.8001668393</v>
      </c>
      <c r="J1653" s="1">
        <v>7.9921317208</v>
      </c>
      <c r="K1653" s="1">
        <v>16.188982732</v>
      </c>
      <c r="L1653" s="1">
        <v>26.8</v>
      </c>
      <c r="M1653" s="1">
        <v>8.2</v>
      </c>
      <c r="N1653" s="1">
        <v>22.1</v>
      </c>
      <c r="O1653" s="1">
        <v>84.89849431</v>
      </c>
      <c r="P1653" s="1">
        <v>9.0391763932</v>
      </c>
      <c r="Q1653" s="1">
        <v>98.12555</v>
      </c>
      <c r="R1653" s="1">
        <v>85.99</v>
      </c>
      <c r="S1653" s="1">
        <v>12.0</v>
      </c>
      <c r="T1653" s="1">
        <v>36336.0</v>
      </c>
      <c r="U1653" s="1">
        <v>28.3355350069999</v>
      </c>
      <c r="V1653" s="1">
        <v>362.01968879</v>
      </c>
      <c r="W1653" s="1">
        <v>13.520653218</v>
      </c>
      <c r="X1653" s="1">
        <v>10.812772134</v>
      </c>
      <c r="Y1653" s="1">
        <v>78.303335522</v>
      </c>
      <c r="Z1653" s="1">
        <v>8.3</v>
      </c>
      <c r="AA1653" s="1">
        <v>6.8875161237</v>
      </c>
      <c r="AB1653" s="1">
        <v>59975.0</v>
      </c>
      <c r="AC1653" s="1">
        <v>36.190273944</v>
      </c>
      <c r="AD1653" s="1">
        <v>68.31680123</v>
      </c>
      <c r="AE1653" s="1">
        <v>12.47862175</v>
      </c>
      <c r="AF1653" s="1">
        <v>0.6569374973</v>
      </c>
      <c r="AG1653" s="1">
        <v>4.845226275</v>
      </c>
      <c r="AH1653" s="1">
        <v>0.7506072925</v>
      </c>
      <c r="AI1653" s="1">
        <v>0.0855517463</v>
      </c>
      <c r="AJ1653" s="1">
        <v>5.77505510909999</v>
      </c>
      <c r="AK1653" s="1">
        <v>86.142490493</v>
      </c>
      <c r="AL1653" s="1">
        <v>0.2973690628</v>
      </c>
      <c r="AM1653" s="1">
        <v>50.836471271</v>
      </c>
      <c r="AN1653" s="1">
        <v>16.68829238</v>
      </c>
      <c r="AO1653" s="1">
        <v>30519.0</v>
      </c>
      <c r="AP1653" s="1">
        <v>10.4</v>
      </c>
      <c r="AQ1653" s="1">
        <v>3.7</v>
      </c>
      <c r="AR1653" s="1">
        <v>6.9</v>
      </c>
      <c r="AS1653" s="1">
        <v>15.4</v>
      </c>
      <c r="AT1653" s="1">
        <v>23.5</v>
      </c>
      <c r="AU1653" s="1">
        <v>13.0</v>
      </c>
      <c r="AV1653" s="1">
        <v>12.7</v>
      </c>
      <c r="AW1653" s="1">
        <v>0.3</v>
      </c>
      <c r="AX1653" s="1">
        <v>0.235</v>
      </c>
      <c r="AY1653" s="1">
        <v>11.3</v>
      </c>
      <c r="AZ1653" s="1">
        <v>8.7</v>
      </c>
      <c r="BA1653" s="1">
        <v>13.6</v>
      </c>
      <c r="BB1653" s="1">
        <v>3.15</v>
      </c>
      <c r="BC1653" s="1" t="s">
        <v>2710</v>
      </c>
      <c r="BD1653" s="1">
        <v>5.9</v>
      </c>
      <c r="BE1653" s="1">
        <v>30.2</v>
      </c>
      <c r="BF1653" s="1">
        <v>31.8</v>
      </c>
      <c r="BG1653" s="1">
        <v>32.1</v>
      </c>
      <c r="BH1653" s="1" t="s">
        <v>2800</v>
      </c>
    </row>
    <row r="1654">
      <c r="A1654" s="1">
        <v>31001.0</v>
      </c>
      <c r="B1654" s="2" t="str">
        <f>IFERROR(__xludf.DUMMYFUNCTION("TO_TEXT(A1654)"),"31001")</f>
        <v>31001</v>
      </c>
      <c r="C1654" s="1">
        <v>31536.0</v>
      </c>
      <c r="D1654" s="1">
        <v>563.272274159384</v>
      </c>
      <c r="E1654" s="1" t="s">
        <v>532</v>
      </c>
      <c r="F1654" s="1" t="s">
        <v>2801</v>
      </c>
      <c r="G1654" s="1">
        <v>55.9871334818737</v>
      </c>
      <c r="H1654" s="1">
        <v>15.752684918</v>
      </c>
      <c r="I1654" s="1">
        <v>3.3831759634</v>
      </c>
      <c r="J1654" s="1">
        <v>6.07657183</v>
      </c>
      <c r="K1654" s="1">
        <v>14.59706455</v>
      </c>
      <c r="L1654" s="1">
        <v>36.7</v>
      </c>
      <c r="M1654" s="1">
        <v>7.7</v>
      </c>
      <c r="N1654" s="1">
        <v>25.5</v>
      </c>
      <c r="O1654" s="1">
        <v>81.628618799</v>
      </c>
      <c r="P1654" s="1">
        <v>8.7603305785</v>
      </c>
      <c r="Q1654" s="1">
        <v>88.38942</v>
      </c>
      <c r="R1654" s="1">
        <v>87.01977579</v>
      </c>
      <c r="S1654" s="1">
        <v>14.4</v>
      </c>
      <c r="T1654" s="1">
        <v>7415.0</v>
      </c>
      <c r="U1654" s="1">
        <v>26.176668914</v>
      </c>
      <c r="V1654" s="1">
        <v>230.58942447</v>
      </c>
      <c r="W1654" s="1">
        <v>10.455974843</v>
      </c>
      <c r="X1654" s="1">
        <v>9.0542144836</v>
      </c>
      <c r="Y1654" s="1">
        <v>78.58840525</v>
      </c>
      <c r="Z1654" s="1">
        <v>11.0</v>
      </c>
      <c r="AA1654" s="1">
        <v>9.2913527348</v>
      </c>
      <c r="AB1654" s="1">
        <v>55167.0</v>
      </c>
      <c r="AC1654" s="1">
        <v>51.2851165569999</v>
      </c>
      <c r="AD1654" s="1">
        <v>68.245476003</v>
      </c>
      <c r="AE1654" s="1">
        <v>10.140570407</v>
      </c>
      <c r="AF1654" s="1">
        <v>0.9964774206</v>
      </c>
      <c r="AG1654" s="1">
        <v>1.3106534226</v>
      </c>
      <c r="AH1654" s="1">
        <v>1.3328678874</v>
      </c>
      <c r="AI1654" s="1">
        <v>0.104725334</v>
      </c>
      <c r="AJ1654" s="1">
        <v>10.866046777</v>
      </c>
      <c r="AK1654" s="1">
        <v>85.233727905</v>
      </c>
      <c r="AL1654" s="1">
        <v>1.9611163799</v>
      </c>
      <c r="AM1654" s="1">
        <v>50.157088001</v>
      </c>
      <c r="AN1654" s="1">
        <v>22.484376993</v>
      </c>
      <c r="AO1654" s="1">
        <v>27609.0</v>
      </c>
      <c r="AP1654" s="1">
        <v>11.2</v>
      </c>
      <c r="AQ1654" s="1">
        <v>5.4</v>
      </c>
      <c r="AR1654" s="1">
        <v>9.1</v>
      </c>
      <c r="AS1654" s="1">
        <v>16.5</v>
      </c>
      <c r="AT1654" s="1">
        <v>23.7</v>
      </c>
      <c r="AU1654" s="1">
        <v>12.6</v>
      </c>
      <c r="AV1654" s="1">
        <v>12.7</v>
      </c>
      <c r="AW1654" s="1">
        <v>2.6</v>
      </c>
      <c r="AX1654" s="1">
        <v>0.2356</v>
      </c>
      <c r="AY1654" s="1">
        <v>10.6</v>
      </c>
      <c r="AZ1654" s="1">
        <v>12.9</v>
      </c>
      <c r="BA1654" s="1">
        <v>18.4</v>
      </c>
      <c r="BB1654" s="1">
        <v>2.98</v>
      </c>
      <c r="BC1654" s="1" t="s">
        <v>2802</v>
      </c>
      <c r="BD1654" s="1">
        <v>10.0</v>
      </c>
      <c r="BE1654" s="1">
        <v>28.1</v>
      </c>
      <c r="BF1654" s="1">
        <v>37.6</v>
      </c>
      <c r="BG1654" s="1">
        <v>24.3</v>
      </c>
      <c r="BH1654" s="1" t="s">
        <v>2801</v>
      </c>
    </row>
    <row r="1655">
      <c r="A1655" s="1">
        <v>31003.0</v>
      </c>
      <c r="B1655" s="2" t="str">
        <f>IFERROR(__xludf.DUMMYFUNCTION("TO_TEXT(A1655)"),"31003")</f>
        <v>31003</v>
      </c>
      <c r="C1655" s="1">
        <v>6421.0</v>
      </c>
      <c r="D1655" s="1">
        <v>857.217408250314</v>
      </c>
      <c r="E1655" s="1" t="s">
        <v>2803</v>
      </c>
      <c r="F1655" s="1" t="s">
        <v>2804</v>
      </c>
      <c r="G1655" s="1">
        <v>7.4905151694318</v>
      </c>
      <c r="H1655" s="1">
        <v>13.622175287</v>
      </c>
      <c r="I1655" s="1">
        <v>3.4526310015</v>
      </c>
      <c r="J1655" s="1">
        <v>5.2901023891</v>
      </c>
      <c r="K1655" s="1">
        <v>14.201672857</v>
      </c>
      <c r="L1655" s="1">
        <v>32.5</v>
      </c>
      <c r="M1655" s="1">
        <v>7.9</v>
      </c>
      <c r="N1655" s="1">
        <v>24.9</v>
      </c>
      <c r="O1655" s="1">
        <v>49.66342558</v>
      </c>
      <c r="P1655" s="1">
        <v>10.97107438</v>
      </c>
      <c r="Q1655" s="1">
        <v>47.15498</v>
      </c>
      <c r="R1655" s="1">
        <v>94.793926247</v>
      </c>
      <c r="S1655" s="1">
        <v>16.7</v>
      </c>
      <c r="T1655" s="1">
        <v>1494.0</v>
      </c>
      <c r="U1655" s="1">
        <v>22.891566265</v>
      </c>
      <c r="V1655" s="1">
        <v>97.847358121</v>
      </c>
      <c r="W1655" s="1">
        <v>9.8360655738</v>
      </c>
      <c r="X1655" s="1">
        <v>7.44680851059999</v>
      </c>
      <c r="Y1655" s="1">
        <v>80.015174777</v>
      </c>
      <c r="Z1655" s="1">
        <v>9.5</v>
      </c>
      <c r="AA1655" s="1">
        <v>7.4757021407</v>
      </c>
      <c r="AB1655" s="1">
        <v>55371.0</v>
      </c>
      <c r="AC1655" s="1">
        <v>44.9766355139999</v>
      </c>
      <c r="AD1655" s="1">
        <v>77.158878505</v>
      </c>
      <c r="AE1655" s="1">
        <v>8.938547486</v>
      </c>
      <c r="AF1655" s="1">
        <v>0.2998737374</v>
      </c>
      <c r="AG1655" s="1">
        <v>0.5208333333</v>
      </c>
      <c r="AH1655" s="1">
        <v>0.4892676768</v>
      </c>
      <c r="AI1655" s="1">
        <v>0.0</v>
      </c>
      <c r="AJ1655" s="1">
        <v>3.2196969697</v>
      </c>
      <c r="AK1655" s="1">
        <v>95.075757576</v>
      </c>
      <c r="AL1655" s="1">
        <v>0.9237487403</v>
      </c>
      <c r="AM1655" s="1">
        <v>49.747474747</v>
      </c>
      <c r="AN1655" s="1">
        <v>100.0</v>
      </c>
      <c r="AO1655" s="1">
        <v>27048.0</v>
      </c>
      <c r="AP1655" s="1">
        <v>11.8</v>
      </c>
      <c r="AQ1655" s="1">
        <v>1.8</v>
      </c>
      <c r="AR1655" s="1">
        <v>9.0</v>
      </c>
      <c r="AS1655" s="1">
        <v>22.2</v>
      </c>
      <c r="AT1655" s="1">
        <v>23.1</v>
      </c>
      <c r="AU1655" s="1">
        <v>15.9</v>
      </c>
      <c r="AV1655" s="1">
        <v>4.6</v>
      </c>
      <c r="AW1655" s="1">
        <v>1.3</v>
      </c>
      <c r="AX1655" s="1">
        <v>0.1264</v>
      </c>
      <c r="AY1655" s="1">
        <v>12.2</v>
      </c>
      <c r="AZ1655" s="1">
        <v>12.6</v>
      </c>
      <c r="BA1655" s="1">
        <v>19.6</v>
      </c>
      <c r="BB1655" s="1">
        <v>3.02</v>
      </c>
      <c r="BC1655" s="1" t="s">
        <v>2802</v>
      </c>
      <c r="BD1655" s="1">
        <v>7.0</v>
      </c>
      <c r="BE1655" s="1">
        <v>33.8</v>
      </c>
      <c r="BF1655" s="1">
        <v>40.8</v>
      </c>
      <c r="BG1655" s="1">
        <v>18.4</v>
      </c>
      <c r="BH1655" s="1" t="s">
        <v>2804</v>
      </c>
    </row>
    <row r="1656">
      <c r="A1656" s="1">
        <v>31005.0</v>
      </c>
      <c r="B1656" s="2" t="str">
        <f>IFERROR(__xludf.DUMMYFUNCTION("TO_TEXT(A1656)"),"31005")</f>
        <v>31005</v>
      </c>
      <c r="C1656" s="1">
        <v>437.0</v>
      </c>
      <c r="D1656" s="1">
        <v>715.354238044664</v>
      </c>
      <c r="E1656" s="1" t="s">
        <v>2805</v>
      </c>
      <c r="F1656" s="1" t="s">
        <v>2806</v>
      </c>
      <c r="G1656" s="1">
        <v>0.610886155080996</v>
      </c>
      <c r="H1656" s="1">
        <v>13.9752613529999</v>
      </c>
      <c r="I1656" s="1">
        <v>3.4383669974</v>
      </c>
      <c r="J1656" s="1">
        <v>7.80443539465</v>
      </c>
      <c r="K1656" s="1">
        <v>14.652893382</v>
      </c>
      <c r="L1656" s="1">
        <v>34.5</v>
      </c>
      <c r="M1656" s="1">
        <v>4.1</v>
      </c>
      <c r="N1656" s="1">
        <v>23.9</v>
      </c>
      <c r="O1656" s="1">
        <v>0.0</v>
      </c>
      <c r="P1656" s="1">
        <v>14.9855907779999</v>
      </c>
      <c r="Q1656" s="1">
        <v>0.0</v>
      </c>
      <c r="R1656" s="1">
        <v>89.912280702</v>
      </c>
      <c r="S1656" s="1">
        <v>17.5</v>
      </c>
      <c r="T1656" s="1">
        <v>111.0</v>
      </c>
      <c r="U1656" s="1">
        <v>6.3063063063</v>
      </c>
      <c r="V1656" s="1">
        <v>0.0</v>
      </c>
      <c r="W1656" s="1">
        <v>13.513513514</v>
      </c>
      <c r="X1656" s="1">
        <v>13.2596685079999</v>
      </c>
      <c r="Y1656" s="1">
        <v>77.482572377</v>
      </c>
      <c r="Z1656" s="1">
        <v>3.8</v>
      </c>
      <c r="AA1656" s="1">
        <v>44.117647674</v>
      </c>
      <c r="AB1656" s="1">
        <v>46862.0</v>
      </c>
      <c r="AC1656" s="1">
        <v>2.7027027027</v>
      </c>
      <c r="AD1656" s="1">
        <v>67.875647668</v>
      </c>
      <c r="AE1656" s="1">
        <v>17.5</v>
      </c>
      <c r="AF1656" s="1">
        <v>0.0</v>
      </c>
      <c r="AG1656" s="1">
        <v>0.4301075269</v>
      </c>
      <c r="AH1656" s="1">
        <v>0.2150537634</v>
      </c>
      <c r="AI1656" s="1">
        <v>0.0</v>
      </c>
      <c r="AJ1656" s="1">
        <v>4.3010752688</v>
      </c>
      <c r="AK1656" s="1">
        <v>94.193548387</v>
      </c>
      <c r="AL1656" s="1">
        <v>0.0</v>
      </c>
      <c r="AM1656" s="1">
        <v>50.537634409</v>
      </c>
      <c r="AN1656" s="1">
        <v>100.0</v>
      </c>
      <c r="AO1656" s="1">
        <v>21174.0</v>
      </c>
      <c r="AP1656" s="1">
        <v>8.0</v>
      </c>
      <c r="AQ1656" s="1">
        <v>3.7</v>
      </c>
      <c r="AR1656" s="1">
        <v>5.0</v>
      </c>
      <c r="AS1656" s="1">
        <v>20.6</v>
      </c>
      <c r="AT1656" s="1">
        <v>31.6</v>
      </c>
      <c r="AU1656" s="1">
        <v>9.2</v>
      </c>
      <c r="AV1656" s="1">
        <v>2.5</v>
      </c>
      <c r="AW1656" s="1">
        <v>0.0</v>
      </c>
      <c r="AX1656" s="1">
        <v>0.008</v>
      </c>
      <c r="AY1656" s="1">
        <v>13.6</v>
      </c>
      <c r="AZ1656" s="1">
        <v>12.9</v>
      </c>
      <c r="BA1656" s="1">
        <v>19.1</v>
      </c>
      <c r="BB1656" s="1">
        <v>3.09</v>
      </c>
      <c r="BC1656" s="1" t="s">
        <v>2802</v>
      </c>
      <c r="BD1656" s="1">
        <v>6.3</v>
      </c>
      <c r="BE1656" s="1">
        <v>25.9</v>
      </c>
      <c r="BF1656" s="1">
        <v>41.6</v>
      </c>
      <c r="BG1656" s="1">
        <v>26.2</v>
      </c>
      <c r="BH1656" s="1" t="s">
        <v>2806</v>
      </c>
    </row>
    <row r="1657">
      <c r="A1657" s="1">
        <v>31007.0</v>
      </c>
      <c r="B1657" s="2" t="str">
        <f>IFERROR(__xludf.DUMMYFUNCTION("TO_TEXT(A1657)"),"31007")</f>
        <v>31007</v>
      </c>
      <c r="C1657" s="1">
        <v>793.0</v>
      </c>
      <c r="D1657" s="1">
        <v>746.210390188864</v>
      </c>
      <c r="E1657" s="1" t="s">
        <v>2807</v>
      </c>
      <c r="F1657" s="1" t="s">
        <v>2808</v>
      </c>
      <c r="G1657" s="1">
        <v>1.06270297281614</v>
      </c>
      <c r="H1657" s="1">
        <v>13.9396507059999</v>
      </c>
      <c r="I1657" s="1">
        <v>3.4713024382</v>
      </c>
      <c r="J1657" s="1">
        <v>7.80443539465</v>
      </c>
      <c r="K1657" s="1">
        <v>14.566528007</v>
      </c>
      <c r="L1657" s="1">
        <v>28.8</v>
      </c>
      <c r="M1657" s="1">
        <v>4.6</v>
      </c>
      <c r="N1657" s="1">
        <v>22.6</v>
      </c>
      <c r="O1657" s="1">
        <v>4.4927536232</v>
      </c>
      <c r="P1657" s="1">
        <v>10.0178890879999</v>
      </c>
      <c r="Q1657" s="1">
        <v>0.0</v>
      </c>
      <c r="R1657" s="1">
        <v>89.912280702</v>
      </c>
      <c r="S1657" s="1">
        <v>25.0</v>
      </c>
      <c r="T1657" s="1">
        <v>154.0</v>
      </c>
      <c r="U1657" s="1">
        <v>23.3766233769999</v>
      </c>
      <c r="V1657" s="1">
        <v>204.509002055</v>
      </c>
      <c r="W1657" s="1">
        <v>12.3809523809999</v>
      </c>
      <c r="X1657" s="1">
        <v>10.4918032789999</v>
      </c>
      <c r="Y1657" s="1">
        <v>77.482572377</v>
      </c>
      <c r="Z1657" s="1">
        <v>9.6</v>
      </c>
      <c r="AA1657" s="1">
        <v>44.5746291819999</v>
      </c>
      <c r="AB1657" s="1">
        <v>53865.0</v>
      </c>
      <c r="AC1657" s="1">
        <v>60.666666667</v>
      </c>
      <c r="AD1657" s="1">
        <v>73.11827957</v>
      </c>
      <c r="AE1657" s="1">
        <v>8.1447963801</v>
      </c>
      <c r="AF1657" s="1">
        <v>1.9178082192</v>
      </c>
      <c r="AG1657" s="1">
        <v>0.2739726027</v>
      </c>
      <c r="AH1657" s="1">
        <v>0.0</v>
      </c>
      <c r="AI1657" s="1">
        <v>0.0</v>
      </c>
      <c r="AJ1657" s="1">
        <v>5.7534246575</v>
      </c>
      <c r="AK1657" s="1">
        <v>91.506849315</v>
      </c>
      <c r="AL1657" s="1">
        <v>0.462962963</v>
      </c>
      <c r="AM1657" s="1">
        <v>52.054794521</v>
      </c>
      <c r="AN1657" s="1">
        <v>100.0</v>
      </c>
      <c r="AO1657" s="1">
        <v>30095.0</v>
      </c>
      <c r="AP1657" s="1">
        <v>12.0</v>
      </c>
      <c r="AQ1657" s="1">
        <v>7.3</v>
      </c>
      <c r="AR1657" s="1">
        <v>4.0</v>
      </c>
      <c r="AS1657" s="1">
        <v>16.1</v>
      </c>
      <c r="AT1657" s="1">
        <v>23.3</v>
      </c>
      <c r="AU1657" s="1">
        <v>15.4</v>
      </c>
      <c r="AV1657" s="1">
        <v>13.1</v>
      </c>
      <c r="AW1657" s="1">
        <v>0.3</v>
      </c>
      <c r="AX1657" s="1">
        <v>0.0802</v>
      </c>
      <c r="AY1657" s="1">
        <v>11.3</v>
      </c>
      <c r="AZ1657" s="1">
        <v>12.1</v>
      </c>
      <c r="BA1657" s="1">
        <v>18.0</v>
      </c>
      <c r="BB1657" s="1">
        <v>3.13</v>
      </c>
      <c r="BC1657" s="1" t="s">
        <v>2802</v>
      </c>
      <c r="BD1657" s="1">
        <v>3.0</v>
      </c>
      <c r="BE1657" s="1">
        <v>25.6</v>
      </c>
      <c r="BF1657" s="1">
        <v>48.1</v>
      </c>
      <c r="BG1657" s="1">
        <v>23.3</v>
      </c>
      <c r="BH1657" s="1" t="s">
        <v>2808</v>
      </c>
    </row>
    <row r="1658">
      <c r="A1658" s="1">
        <v>31009.0</v>
      </c>
      <c r="B1658" s="2" t="str">
        <f>IFERROR(__xludf.DUMMYFUNCTION("TO_TEXT(A1658)"),"31009")</f>
        <v>31009</v>
      </c>
      <c r="C1658" s="1">
        <v>580.0</v>
      </c>
      <c r="D1658" s="1">
        <v>710.687966416178</v>
      </c>
      <c r="E1658" s="1" t="s">
        <v>1085</v>
      </c>
      <c r="F1658" s="1" t="s">
        <v>2809</v>
      </c>
      <c r="G1658" s="1">
        <v>0.816110624364157</v>
      </c>
      <c r="H1658" s="1">
        <v>11.843522452</v>
      </c>
      <c r="I1658" s="1">
        <v>3.3289389659</v>
      </c>
      <c r="J1658" s="1">
        <v>7.80443539465</v>
      </c>
      <c r="K1658" s="1">
        <v>13.149453877</v>
      </c>
      <c r="L1658" s="1">
        <v>35.0</v>
      </c>
      <c r="M1658" s="1">
        <v>5.1</v>
      </c>
      <c r="N1658" s="1">
        <v>32.5</v>
      </c>
      <c r="O1658" s="1">
        <v>10.041841004</v>
      </c>
      <c r="P1658" s="1">
        <v>14.049586777</v>
      </c>
      <c r="Q1658" s="1">
        <v>0.0</v>
      </c>
      <c r="R1658" s="1">
        <v>100.0</v>
      </c>
      <c r="S1658" s="1">
        <v>24.2</v>
      </c>
      <c r="T1658" s="1">
        <v>105.0</v>
      </c>
      <c r="U1658" s="1">
        <v>5.7142857143</v>
      </c>
      <c r="V1658" s="1">
        <v>204.509002055</v>
      </c>
      <c r="W1658" s="1">
        <v>7.6</v>
      </c>
      <c r="X1658" s="1">
        <v>5.0</v>
      </c>
      <c r="Y1658" s="1">
        <v>77.482572377</v>
      </c>
      <c r="Z1658" s="1">
        <v>6.9</v>
      </c>
      <c r="AA1658" s="1">
        <v>34.6801346919999</v>
      </c>
      <c r="AB1658" s="1">
        <v>44467.0</v>
      </c>
      <c r="AC1658" s="1">
        <v>47.826086957</v>
      </c>
      <c r="AD1658" s="1">
        <v>66.513761468</v>
      </c>
      <c r="AE1658" s="1">
        <v>2.3952095808</v>
      </c>
      <c r="AF1658" s="1">
        <v>0.4201680672</v>
      </c>
      <c r="AG1658" s="1">
        <v>0.2100840336</v>
      </c>
      <c r="AH1658" s="1">
        <v>0.0</v>
      </c>
      <c r="AI1658" s="1">
        <v>0.0</v>
      </c>
      <c r="AJ1658" s="1">
        <v>1.68067226889999</v>
      </c>
      <c r="AK1658" s="1">
        <v>96.638655462</v>
      </c>
      <c r="AL1658" s="1">
        <v>1.3274336283</v>
      </c>
      <c r="AM1658" s="1">
        <v>49.579831933</v>
      </c>
      <c r="AN1658" s="1">
        <v>100.0</v>
      </c>
      <c r="AO1658" s="1">
        <v>23001.0</v>
      </c>
      <c r="AP1658" s="1">
        <v>16.2</v>
      </c>
      <c r="AQ1658" s="1">
        <v>1.0</v>
      </c>
      <c r="AR1658" s="1">
        <v>1.3</v>
      </c>
      <c r="AS1658" s="1">
        <v>18.6</v>
      </c>
      <c r="AT1658" s="1">
        <v>24.8</v>
      </c>
      <c r="AU1658" s="1">
        <v>9.0</v>
      </c>
      <c r="AV1658" s="1">
        <v>1.4</v>
      </c>
      <c r="AW1658" s="1">
        <v>0.6</v>
      </c>
      <c r="AX1658" s="1">
        <v>0.078</v>
      </c>
      <c r="AY1658" s="1">
        <v>15.9</v>
      </c>
      <c r="AZ1658" s="1">
        <v>13.7</v>
      </c>
      <c r="BA1658" s="1">
        <v>22.0</v>
      </c>
      <c r="BB1658" s="1">
        <v>3.03</v>
      </c>
      <c r="BC1658" s="1" t="s">
        <v>2802</v>
      </c>
      <c r="BD1658" s="1">
        <v>5.0</v>
      </c>
      <c r="BE1658" s="1">
        <v>31.0</v>
      </c>
      <c r="BF1658" s="1">
        <v>41.0</v>
      </c>
      <c r="BG1658" s="1">
        <v>23.0</v>
      </c>
      <c r="BH1658" s="1" t="s">
        <v>2809</v>
      </c>
    </row>
    <row r="1659">
      <c r="A1659" s="1">
        <v>31011.0</v>
      </c>
      <c r="B1659" s="2" t="str">
        <f>IFERROR(__xludf.DUMMYFUNCTION("TO_TEXT(A1659)"),"31011")</f>
        <v>31011</v>
      </c>
      <c r="C1659" s="1">
        <v>5353.0</v>
      </c>
      <c r="D1659" s="1">
        <v>686.55346244557</v>
      </c>
      <c r="E1659" s="1" t="s">
        <v>293</v>
      </c>
      <c r="F1659" s="1" t="s">
        <v>2810</v>
      </c>
      <c r="G1659" s="1">
        <v>7.79691647163514</v>
      </c>
      <c r="H1659" s="1">
        <v>11.774538275</v>
      </c>
      <c r="I1659" s="1">
        <v>3.3275090516</v>
      </c>
      <c r="J1659" s="1">
        <v>6.3063063063</v>
      </c>
      <c r="K1659" s="1">
        <v>13.8790668459999</v>
      </c>
      <c r="L1659" s="1">
        <v>33.3</v>
      </c>
      <c r="M1659" s="1">
        <v>8.3</v>
      </c>
      <c r="N1659" s="1">
        <v>30.8</v>
      </c>
      <c r="O1659" s="1">
        <v>48.319709355</v>
      </c>
      <c r="P1659" s="1">
        <v>9.1192704584</v>
      </c>
      <c r="Q1659" s="1">
        <v>149.47683</v>
      </c>
      <c r="R1659" s="1">
        <v>95.8636933379999</v>
      </c>
      <c r="S1659" s="1">
        <v>13.1</v>
      </c>
      <c r="T1659" s="1">
        <v>1240.0</v>
      </c>
      <c r="U1659" s="1">
        <v>12.741935484</v>
      </c>
      <c r="V1659" s="1">
        <v>204.509002055</v>
      </c>
      <c r="W1659" s="1">
        <v>9.1722595078</v>
      </c>
      <c r="X1659" s="1">
        <v>7.3957866428</v>
      </c>
      <c r="Y1659" s="1">
        <v>81.304019283</v>
      </c>
      <c r="Z1659" s="1">
        <v>10.7</v>
      </c>
      <c r="AA1659" s="1">
        <v>5.5473632234</v>
      </c>
      <c r="AB1659" s="1">
        <v>51911.0</v>
      </c>
      <c r="AC1659" s="1">
        <v>39.116022099</v>
      </c>
      <c r="AD1659" s="1">
        <v>77.938596491</v>
      </c>
      <c r="AE1659" s="1">
        <v>6.3377093708</v>
      </c>
      <c r="AF1659" s="1">
        <v>0.3817522428</v>
      </c>
      <c r="AG1659" s="1">
        <v>0.3054017942</v>
      </c>
      <c r="AH1659" s="1">
        <v>0.3244894064</v>
      </c>
      <c r="AI1659" s="1">
        <v>0.0190876121</v>
      </c>
      <c r="AJ1659" s="1">
        <v>2.4432143539</v>
      </c>
      <c r="AK1659" s="1">
        <v>96.106127123</v>
      </c>
      <c r="AL1659" s="1">
        <v>0.2612540193</v>
      </c>
      <c r="AM1659" s="1">
        <v>49.933193358</v>
      </c>
      <c r="AN1659" s="1">
        <v>100.0</v>
      </c>
      <c r="AO1659" s="1">
        <v>28288.0</v>
      </c>
      <c r="AP1659" s="1">
        <v>7.5</v>
      </c>
      <c r="AQ1659" s="1">
        <v>1.5</v>
      </c>
      <c r="AR1659" s="1">
        <v>6.5</v>
      </c>
      <c r="AS1659" s="1">
        <v>21.3</v>
      </c>
      <c r="AT1659" s="1">
        <v>23.1</v>
      </c>
      <c r="AU1659" s="1">
        <v>11.8</v>
      </c>
      <c r="AV1659" s="1">
        <v>3.1</v>
      </c>
      <c r="AW1659" s="1">
        <v>0.4</v>
      </c>
      <c r="AX1659" s="1">
        <v>0.043</v>
      </c>
      <c r="AY1659" s="1">
        <v>10.0</v>
      </c>
      <c r="AZ1659" s="1">
        <v>9.9</v>
      </c>
      <c r="BA1659" s="1">
        <v>14.7</v>
      </c>
      <c r="BB1659" s="1">
        <v>3.01</v>
      </c>
      <c r="BC1659" s="1" t="s">
        <v>2802</v>
      </c>
      <c r="BD1659" s="1">
        <v>5.1</v>
      </c>
      <c r="BE1659" s="1">
        <v>37.6</v>
      </c>
      <c r="BF1659" s="1">
        <v>36.3</v>
      </c>
      <c r="BG1659" s="1">
        <v>21.1</v>
      </c>
      <c r="BH1659" s="1" t="s">
        <v>2810</v>
      </c>
    </row>
    <row r="1660">
      <c r="A1660" s="1">
        <v>31013.0</v>
      </c>
      <c r="B1660" s="2" t="str">
        <f>IFERROR(__xludf.DUMMYFUNCTION("TO_TEXT(A1660)"),"31013")</f>
        <v>31013</v>
      </c>
      <c r="C1660" s="1">
        <v>11279.0</v>
      </c>
      <c r="D1660" s="1">
        <v>1075.29203408415</v>
      </c>
      <c r="E1660" s="1" t="s">
        <v>2811</v>
      </c>
      <c r="F1660" s="1" t="s">
        <v>2812</v>
      </c>
      <c r="G1660" s="1">
        <v>10.489243519419</v>
      </c>
      <c r="H1660" s="1">
        <v>15.354106557</v>
      </c>
      <c r="I1660" s="1">
        <v>3.2803456946</v>
      </c>
      <c r="J1660" s="1">
        <v>7.12277413309999</v>
      </c>
      <c r="K1660" s="1">
        <v>15.51019114</v>
      </c>
      <c r="L1660" s="1">
        <v>36.1</v>
      </c>
      <c r="M1660" s="1">
        <v>7.6</v>
      </c>
      <c r="N1660" s="1">
        <v>23.4</v>
      </c>
      <c r="O1660" s="1">
        <v>72.91298196</v>
      </c>
      <c r="P1660" s="1">
        <v>9.7174755069</v>
      </c>
      <c r="Q1660" s="1">
        <v>45.93055</v>
      </c>
      <c r="R1660" s="1">
        <v>84.116291581</v>
      </c>
      <c r="S1660" s="1">
        <v>18.9</v>
      </c>
      <c r="T1660" s="1">
        <v>2800.0</v>
      </c>
      <c r="U1660" s="1">
        <v>34.892857143</v>
      </c>
      <c r="V1660" s="1">
        <v>220.68234983</v>
      </c>
      <c r="W1660" s="1">
        <v>10.275423729</v>
      </c>
      <c r="X1660" s="1">
        <v>7.6301806589</v>
      </c>
      <c r="Y1660" s="1">
        <v>78.543469806</v>
      </c>
      <c r="Z1660" s="1">
        <v>11.1</v>
      </c>
      <c r="AA1660" s="1">
        <v>12.949309151</v>
      </c>
      <c r="AB1660" s="1">
        <v>57952.0</v>
      </c>
      <c r="AC1660" s="1">
        <v>47.771051183</v>
      </c>
      <c r="AD1660" s="1">
        <v>66.277858779</v>
      </c>
      <c r="AE1660" s="1">
        <v>7.75210537679999</v>
      </c>
      <c r="AF1660" s="1">
        <v>0.8819160787</v>
      </c>
      <c r="AG1660" s="1">
        <v>4.5209803193</v>
      </c>
      <c r="AH1660" s="1">
        <v>0.7612328258</v>
      </c>
      <c r="AI1660" s="1">
        <v>0.0278499814</v>
      </c>
      <c r="AJ1660" s="1">
        <v>12.746008169</v>
      </c>
      <c r="AK1660" s="1">
        <v>81.0341626439999</v>
      </c>
      <c r="AL1660" s="1">
        <v>0.5224458204</v>
      </c>
      <c r="AM1660" s="1">
        <v>50.2784998139999</v>
      </c>
      <c r="AN1660" s="1">
        <v>24.955783516</v>
      </c>
      <c r="AO1660" s="1">
        <v>27751.0</v>
      </c>
      <c r="AP1660" s="1">
        <v>14.0</v>
      </c>
      <c r="AQ1660" s="1">
        <v>4.2</v>
      </c>
      <c r="AR1660" s="1">
        <v>8.5</v>
      </c>
      <c r="AS1660" s="1">
        <v>15.8</v>
      </c>
      <c r="AT1660" s="1">
        <v>25.4</v>
      </c>
      <c r="AU1660" s="1">
        <v>10.2</v>
      </c>
      <c r="AV1660" s="1">
        <v>17.5</v>
      </c>
      <c r="AW1660" s="1">
        <v>0.1</v>
      </c>
      <c r="AX1660" s="1">
        <v>0.1671</v>
      </c>
      <c r="AY1660" s="1">
        <v>10.3</v>
      </c>
      <c r="AZ1660" s="1">
        <v>11.7</v>
      </c>
      <c r="BA1660" s="1">
        <v>16.8</v>
      </c>
      <c r="BB1660" s="1">
        <v>3.05</v>
      </c>
      <c r="BC1660" s="1" t="s">
        <v>2802</v>
      </c>
      <c r="BD1660" s="1">
        <v>9.3</v>
      </c>
      <c r="BE1660" s="1">
        <v>33.0</v>
      </c>
      <c r="BF1660" s="1">
        <v>40.5</v>
      </c>
      <c r="BG1660" s="1">
        <v>17.1</v>
      </c>
      <c r="BH1660" s="1" t="s">
        <v>2812</v>
      </c>
    </row>
    <row r="1661">
      <c r="A1661" s="1">
        <v>31015.0</v>
      </c>
      <c r="B1661" s="2" t="str">
        <f>IFERROR(__xludf.DUMMYFUNCTION("TO_TEXT(A1661)"),"31015")</f>
        <v>31015</v>
      </c>
      <c r="C1661" s="1">
        <v>2006.0</v>
      </c>
      <c r="D1661" s="1">
        <v>539.934915605772</v>
      </c>
      <c r="E1661" s="1" t="s">
        <v>1774</v>
      </c>
      <c r="F1661" s="1" t="s">
        <v>2813</v>
      </c>
      <c r="G1661" s="1">
        <v>3.71526260299243</v>
      </c>
      <c r="H1661" s="1">
        <v>13.012156574</v>
      </c>
      <c r="I1661" s="1">
        <v>3.2688609106</v>
      </c>
      <c r="J1661" s="1">
        <v>7.80443539465</v>
      </c>
      <c r="K1661" s="1">
        <v>13.31625689</v>
      </c>
      <c r="L1661" s="1">
        <v>36.2</v>
      </c>
      <c r="M1661" s="1">
        <v>4.9</v>
      </c>
      <c r="N1661" s="1">
        <v>30.5</v>
      </c>
      <c r="O1661" s="1">
        <v>1.3816102906</v>
      </c>
      <c r="P1661" s="1">
        <v>14.21319797</v>
      </c>
      <c r="Q1661" s="1">
        <v>151.74507</v>
      </c>
      <c r="R1661" s="1">
        <v>100.0</v>
      </c>
      <c r="S1661" s="1">
        <v>25.1</v>
      </c>
      <c r="T1661" s="1">
        <v>452.0</v>
      </c>
      <c r="U1661" s="1">
        <v>14.82300885</v>
      </c>
      <c r="V1661" s="1">
        <v>204.509002055</v>
      </c>
      <c r="W1661" s="1">
        <v>10.43956044</v>
      </c>
      <c r="X1661" s="1">
        <v>9.2222222222</v>
      </c>
      <c r="Y1661" s="1">
        <v>79.733372695</v>
      </c>
      <c r="Z1661" s="1">
        <v>16.0</v>
      </c>
      <c r="AA1661" s="1">
        <v>41.22308258</v>
      </c>
      <c r="AB1661" s="1">
        <v>42431.0</v>
      </c>
      <c r="AC1661" s="1">
        <v>55.192878338</v>
      </c>
      <c r="AD1661" s="1">
        <v>81.284606866</v>
      </c>
      <c r="AE1661" s="1">
        <v>6.79012345679999</v>
      </c>
      <c r="AF1661" s="1">
        <v>0.1023017903</v>
      </c>
      <c r="AG1661" s="1">
        <v>1.4833759591</v>
      </c>
      <c r="AH1661" s="1">
        <v>0.869565217399999</v>
      </c>
      <c r="AI1661" s="1">
        <v>0.1023017903</v>
      </c>
      <c r="AJ1661" s="1">
        <v>2.2506393862</v>
      </c>
      <c r="AK1661" s="1">
        <v>95.089514066</v>
      </c>
      <c r="AL1661" s="1">
        <v>0.3094378546</v>
      </c>
      <c r="AM1661" s="1">
        <v>49.820971867</v>
      </c>
      <c r="AN1661" s="1">
        <v>100.0</v>
      </c>
      <c r="AO1661" s="1">
        <v>25507.0</v>
      </c>
      <c r="AP1661" s="1">
        <v>12.5</v>
      </c>
      <c r="AQ1661" s="1">
        <v>1.0</v>
      </c>
      <c r="AR1661" s="1">
        <v>5.2</v>
      </c>
      <c r="AS1661" s="1">
        <v>25.9</v>
      </c>
      <c r="AT1661" s="1">
        <v>23.8</v>
      </c>
      <c r="AU1661" s="1">
        <v>17.4</v>
      </c>
      <c r="AV1661" s="1">
        <v>4.0</v>
      </c>
      <c r="AW1661" s="1">
        <v>0.2</v>
      </c>
      <c r="AX1661" s="1">
        <v>0.1248</v>
      </c>
      <c r="AY1661" s="1">
        <v>14.1</v>
      </c>
      <c r="AZ1661" s="1">
        <v>12.8</v>
      </c>
      <c r="BA1661" s="1">
        <v>17.6</v>
      </c>
      <c r="BB1661" s="1">
        <v>3.32</v>
      </c>
      <c r="BC1661" s="1" t="s">
        <v>2802</v>
      </c>
      <c r="BD1661" s="1">
        <v>4.0</v>
      </c>
      <c r="BE1661" s="1">
        <v>43.9</v>
      </c>
      <c r="BF1661" s="1">
        <v>35.4</v>
      </c>
      <c r="BG1661" s="1">
        <v>16.7</v>
      </c>
      <c r="BH1661" s="1" t="s">
        <v>2813</v>
      </c>
    </row>
    <row r="1662">
      <c r="A1662" s="1">
        <v>31017.0</v>
      </c>
      <c r="B1662" s="2" t="str">
        <f>IFERROR(__xludf.DUMMYFUNCTION("TO_TEXT(A1662)"),"31017")</f>
        <v>31017</v>
      </c>
      <c r="C1662" s="1">
        <v>3022.0</v>
      </c>
      <c r="D1662" s="1">
        <v>1221.35500253987</v>
      </c>
      <c r="E1662" s="1" t="s">
        <v>1158</v>
      </c>
      <c r="F1662" s="1" t="s">
        <v>2814</v>
      </c>
      <c r="G1662" s="1">
        <v>2.47430107848709</v>
      </c>
      <c r="H1662" s="1">
        <v>15.009043012</v>
      </c>
      <c r="I1662" s="1">
        <v>3.6478563595</v>
      </c>
      <c r="J1662" s="1">
        <v>5.5555555556</v>
      </c>
      <c r="K1662" s="1">
        <v>15.625614318</v>
      </c>
      <c r="L1662" s="1">
        <v>38.5</v>
      </c>
      <c r="M1662" s="1">
        <v>7.8</v>
      </c>
      <c r="N1662" s="1">
        <v>27.6</v>
      </c>
      <c r="O1662" s="1">
        <v>75.898251192</v>
      </c>
      <c r="P1662" s="1">
        <v>12.041181737</v>
      </c>
      <c r="Q1662" s="1">
        <v>99.5355</v>
      </c>
      <c r="R1662" s="1">
        <v>92.0</v>
      </c>
      <c r="S1662" s="1">
        <v>17.1</v>
      </c>
      <c r="T1662" s="1">
        <v>599.0</v>
      </c>
      <c r="U1662" s="1">
        <v>26.711185309</v>
      </c>
      <c r="V1662" s="1">
        <v>0.0</v>
      </c>
      <c r="W1662" s="1">
        <v>13.3333333329999</v>
      </c>
      <c r="X1662" s="1">
        <v>10.227272727</v>
      </c>
      <c r="Y1662" s="1">
        <v>77.213502466</v>
      </c>
      <c r="Z1662" s="1">
        <v>8.6</v>
      </c>
      <c r="AA1662" s="1">
        <v>4.3394255866</v>
      </c>
      <c r="AB1662" s="1">
        <v>46191.0</v>
      </c>
      <c r="AC1662" s="1">
        <v>45.823927765</v>
      </c>
      <c r="AD1662" s="1">
        <v>74.19804742</v>
      </c>
      <c r="AE1662" s="1">
        <v>6.66167664669999</v>
      </c>
      <c r="AF1662" s="1">
        <v>0.47090481</v>
      </c>
      <c r="AG1662" s="1">
        <v>0.8745375042</v>
      </c>
      <c r="AH1662" s="1">
        <v>0.1681802893</v>
      </c>
      <c r="AI1662" s="1">
        <v>0.0672721157</v>
      </c>
      <c r="AJ1662" s="1">
        <v>1.9172552977</v>
      </c>
      <c r="AK1662" s="1">
        <v>95.425496132</v>
      </c>
      <c r="AL1662" s="1">
        <v>0.6313574184</v>
      </c>
      <c r="AM1662" s="1">
        <v>51.2277161119999</v>
      </c>
      <c r="AN1662" s="1">
        <v>100.0</v>
      </c>
      <c r="AO1662" s="1">
        <v>30135.0</v>
      </c>
      <c r="AP1662" s="1">
        <v>17.3</v>
      </c>
      <c r="AQ1662" s="1">
        <v>0.4</v>
      </c>
      <c r="AR1662" s="1">
        <v>7.5</v>
      </c>
      <c r="AS1662" s="1">
        <v>24.9</v>
      </c>
      <c r="AT1662" s="1">
        <v>20.7</v>
      </c>
      <c r="AU1662" s="1">
        <v>14.3</v>
      </c>
      <c r="AV1662" s="1">
        <v>3.2</v>
      </c>
      <c r="AW1662" s="1">
        <v>0.0</v>
      </c>
      <c r="AX1662" s="1">
        <v>0.127</v>
      </c>
      <c r="AY1662" s="1">
        <v>11.6</v>
      </c>
      <c r="AZ1662" s="1">
        <v>13.5</v>
      </c>
      <c r="BA1662" s="1">
        <v>22.1</v>
      </c>
      <c r="BB1662" s="1">
        <v>3.35</v>
      </c>
      <c r="BC1662" s="1" t="s">
        <v>2802</v>
      </c>
      <c r="BD1662" s="1">
        <v>4.9</v>
      </c>
      <c r="BE1662" s="1">
        <v>40.8</v>
      </c>
      <c r="BF1662" s="1">
        <v>33.6</v>
      </c>
      <c r="BG1662" s="1">
        <v>20.7</v>
      </c>
      <c r="BH1662" s="1" t="s">
        <v>2814</v>
      </c>
    </row>
    <row r="1663">
      <c r="A1663" s="1">
        <v>31019.0</v>
      </c>
      <c r="B1663" s="2" t="str">
        <f>IFERROR(__xludf.DUMMYFUNCTION("TO_TEXT(A1663)"),"31019")</f>
        <v>31019</v>
      </c>
      <c r="C1663" s="1">
        <v>48402.0</v>
      </c>
      <c r="D1663" s="1">
        <v>968.095801835892</v>
      </c>
      <c r="E1663" s="1" t="s">
        <v>2815</v>
      </c>
      <c r="F1663" s="1" t="s">
        <v>2816</v>
      </c>
      <c r="G1663" s="1">
        <v>49.9971179589982</v>
      </c>
      <c r="H1663" s="1">
        <v>14.8796760109999</v>
      </c>
      <c r="I1663" s="1">
        <v>3.1619167456</v>
      </c>
      <c r="J1663" s="1">
        <v>6.7487179487</v>
      </c>
      <c r="K1663" s="1">
        <v>14.796608322</v>
      </c>
      <c r="L1663" s="1">
        <v>29.5</v>
      </c>
      <c r="M1663" s="1">
        <v>7.7</v>
      </c>
      <c r="N1663" s="1">
        <v>19.7</v>
      </c>
      <c r="O1663" s="1">
        <v>89.080734025</v>
      </c>
      <c r="P1663" s="1">
        <v>9.6176413065</v>
      </c>
      <c r="Q1663" s="1">
        <v>90.485</v>
      </c>
      <c r="R1663" s="1">
        <v>88.314013352</v>
      </c>
      <c r="S1663" s="1">
        <v>11.6</v>
      </c>
      <c r="T1663" s="1">
        <v>11305.0</v>
      </c>
      <c r="U1663" s="1">
        <v>26.917293233</v>
      </c>
      <c r="V1663" s="1">
        <v>193.34642769</v>
      </c>
      <c r="W1663" s="1">
        <v>11.1561318209999</v>
      </c>
      <c r="X1663" s="1">
        <v>9.0433360589</v>
      </c>
      <c r="Y1663" s="1">
        <v>81.0891426869999</v>
      </c>
      <c r="Z1663" s="1">
        <v>8.4</v>
      </c>
      <c r="AA1663" s="1">
        <v>7.8794296563</v>
      </c>
      <c r="AB1663" s="1">
        <v>59193.0</v>
      </c>
      <c r="AC1663" s="1">
        <v>40.487099108</v>
      </c>
      <c r="AD1663" s="1">
        <v>63.532481085</v>
      </c>
      <c r="AE1663" s="1">
        <v>10.899681958</v>
      </c>
      <c r="AF1663" s="1">
        <v>1.0924115691</v>
      </c>
      <c r="AG1663" s="1">
        <v>0.60465585</v>
      </c>
      <c r="AH1663" s="1">
        <v>1.7736571601</v>
      </c>
      <c r="AI1663" s="1">
        <v>0.108838053</v>
      </c>
      <c r="AJ1663" s="1">
        <v>9.1847223622</v>
      </c>
      <c r="AK1663" s="1">
        <v>86.485941751</v>
      </c>
      <c r="AL1663" s="1">
        <v>1.6874863029</v>
      </c>
      <c r="AM1663" s="1">
        <v>49.968759448</v>
      </c>
      <c r="AN1663" s="1">
        <v>32.261073272</v>
      </c>
      <c r="AO1663" s="1">
        <v>27218.0</v>
      </c>
      <c r="AP1663" s="1">
        <v>13.6</v>
      </c>
      <c r="AQ1663" s="1">
        <v>3.3</v>
      </c>
      <c r="AR1663" s="1">
        <v>6.4</v>
      </c>
      <c r="AS1663" s="1">
        <v>12.9</v>
      </c>
      <c r="AT1663" s="1">
        <v>23.3</v>
      </c>
      <c r="AU1663" s="1">
        <v>10.0</v>
      </c>
      <c r="AV1663" s="1">
        <v>12.3</v>
      </c>
      <c r="AW1663" s="1">
        <v>1.1</v>
      </c>
      <c r="AX1663" s="1">
        <v>0.1907</v>
      </c>
      <c r="AY1663" s="1">
        <v>11.6</v>
      </c>
      <c r="AZ1663" s="1">
        <v>11.7</v>
      </c>
      <c r="BA1663" s="1">
        <v>16.1</v>
      </c>
      <c r="BB1663" s="1">
        <v>3.26</v>
      </c>
      <c r="BC1663" s="1" t="s">
        <v>2802</v>
      </c>
      <c r="BD1663" s="1">
        <v>6.9</v>
      </c>
      <c r="BE1663" s="1">
        <v>25.6</v>
      </c>
      <c r="BF1663" s="1">
        <v>32.9</v>
      </c>
      <c r="BG1663" s="1">
        <v>34.6</v>
      </c>
      <c r="BH1663" s="1" t="s">
        <v>2816</v>
      </c>
    </row>
    <row r="1664">
      <c r="A1664" s="1">
        <v>31021.0</v>
      </c>
      <c r="B1664" s="2" t="str">
        <f>IFERROR(__xludf.DUMMYFUNCTION("TO_TEXT(A1664)"),"31021")</f>
        <v>31021</v>
      </c>
      <c r="C1664" s="1">
        <v>6594.0</v>
      </c>
      <c r="D1664" s="1">
        <v>491.585623159084</v>
      </c>
      <c r="E1664" s="1" t="s">
        <v>2817</v>
      </c>
      <c r="F1664" s="1" t="s">
        <v>2818</v>
      </c>
      <c r="G1664" s="1">
        <v>13.4137364669553</v>
      </c>
      <c r="H1664" s="1">
        <v>14.5316752229999</v>
      </c>
      <c r="I1664" s="1">
        <v>3.5435899192</v>
      </c>
      <c r="J1664" s="1">
        <v>6.1349693252</v>
      </c>
      <c r="K1664" s="1">
        <v>17.03178364</v>
      </c>
      <c r="L1664" s="1">
        <v>36.0</v>
      </c>
      <c r="M1664" s="1">
        <v>8.4</v>
      </c>
      <c r="N1664" s="1">
        <v>32.5</v>
      </c>
      <c r="O1664" s="1">
        <v>47.083697871</v>
      </c>
      <c r="P1664" s="1">
        <v>11.036857027</v>
      </c>
      <c r="Q1664" s="1">
        <v>45.90666</v>
      </c>
      <c r="R1664" s="1">
        <v>94.548688692</v>
      </c>
      <c r="S1664" s="1">
        <v>13.8</v>
      </c>
      <c r="T1664" s="1">
        <v>1452.0</v>
      </c>
      <c r="U1664" s="1">
        <v>23.829201102</v>
      </c>
      <c r="V1664" s="1">
        <v>82.3723229</v>
      </c>
      <c r="W1664" s="1">
        <v>9.5575221239</v>
      </c>
      <c r="X1664" s="1">
        <v>7.6129491284</v>
      </c>
      <c r="Y1664" s="1">
        <v>78.5885259539999</v>
      </c>
      <c r="Z1664" s="1">
        <v>10.7</v>
      </c>
      <c r="AA1664" s="1">
        <v>0.2607160901</v>
      </c>
      <c r="AB1664" s="1">
        <v>57548.0</v>
      </c>
      <c r="AC1664" s="1">
        <v>39.245585875</v>
      </c>
      <c r="AD1664" s="1">
        <v>75.265501884</v>
      </c>
      <c r="AE1664" s="1">
        <v>7.4475777296</v>
      </c>
      <c r="AF1664" s="1">
        <v>0.5086313194</v>
      </c>
      <c r="AG1664" s="1">
        <v>2.2503082614</v>
      </c>
      <c r="AH1664" s="1">
        <v>0.4315659679</v>
      </c>
      <c r="AI1664" s="1">
        <v>0.0924784217</v>
      </c>
      <c r="AJ1664" s="1">
        <v>3.421701603</v>
      </c>
      <c r="AK1664" s="1">
        <v>92.41676942</v>
      </c>
      <c r="AL1664" s="1">
        <v>0.419828839</v>
      </c>
      <c r="AM1664" s="1">
        <v>50.369913687</v>
      </c>
      <c r="AN1664" s="1">
        <v>100.0</v>
      </c>
      <c r="AO1664" s="1">
        <v>24613.0</v>
      </c>
      <c r="AP1664" s="1">
        <v>10.0</v>
      </c>
      <c r="AQ1664" s="1">
        <v>2.8</v>
      </c>
      <c r="AR1664" s="1">
        <v>10.1</v>
      </c>
      <c r="AS1664" s="1">
        <v>23.9</v>
      </c>
      <c r="AT1664" s="1">
        <v>22.2</v>
      </c>
      <c r="AU1664" s="1">
        <v>15.9</v>
      </c>
      <c r="AV1664" s="1">
        <v>6.1</v>
      </c>
      <c r="AW1664" s="1">
        <v>0.3</v>
      </c>
      <c r="AX1664" s="1">
        <v>0.1188</v>
      </c>
      <c r="AY1664" s="1">
        <v>10.1</v>
      </c>
      <c r="AZ1664" s="1">
        <v>13.2</v>
      </c>
      <c r="BA1664" s="1">
        <v>19.8</v>
      </c>
      <c r="BB1664" s="1">
        <v>3.01</v>
      </c>
      <c r="BC1664" s="1" t="s">
        <v>2802</v>
      </c>
      <c r="BD1664" s="1">
        <v>8.7</v>
      </c>
      <c r="BE1664" s="1">
        <v>35.7</v>
      </c>
      <c r="BF1664" s="1">
        <v>34.2</v>
      </c>
      <c r="BG1664" s="1">
        <v>21.3</v>
      </c>
      <c r="BH1664" s="1" t="s">
        <v>2818</v>
      </c>
    </row>
    <row r="1665">
      <c r="A1665" s="1">
        <v>31023.0</v>
      </c>
      <c r="B1665" s="2" t="str">
        <f>IFERROR(__xludf.DUMMYFUNCTION("TO_TEXT(A1665)"),"31023")</f>
        <v>31023</v>
      </c>
      <c r="C1665" s="1">
        <v>8205.0</v>
      </c>
      <c r="D1665" s="1">
        <v>584.900086570984</v>
      </c>
      <c r="E1665" s="1" t="s">
        <v>72</v>
      </c>
      <c r="F1665" s="1" t="s">
        <v>2819</v>
      </c>
      <c r="G1665" s="1">
        <v>14.0280369047341</v>
      </c>
      <c r="H1665" s="1">
        <v>12.718314191</v>
      </c>
      <c r="I1665" s="1">
        <v>3.1981034488</v>
      </c>
      <c r="J1665" s="1">
        <v>6.4873417722</v>
      </c>
      <c r="K1665" s="1">
        <v>13.6482121209999</v>
      </c>
      <c r="L1665" s="1">
        <v>33.7</v>
      </c>
      <c r="M1665" s="1">
        <v>8.3</v>
      </c>
      <c r="N1665" s="1">
        <v>25.4</v>
      </c>
      <c r="O1665" s="1">
        <v>42.02501489</v>
      </c>
      <c r="P1665" s="1">
        <v>8.7519747235</v>
      </c>
      <c r="Q1665" s="1">
        <v>99.34186</v>
      </c>
      <c r="R1665" s="1">
        <v>92.359824781</v>
      </c>
      <c r="S1665" s="1">
        <v>10.9</v>
      </c>
      <c r="T1665" s="1">
        <v>1894.0</v>
      </c>
      <c r="U1665" s="1">
        <v>23.389651531</v>
      </c>
      <c r="V1665" s="1">
        <v>61.117222833</v>
      </c>
      <c r="W1665" s="1">
        <v>10.91954023</v>
      </c>
      <c r="X1665" s="1">
        <v>7.3760932945</v>
      </c>
      <c r="Y1665" s="1">
        <v>78.8398299139999</v>
      </c>
      <c r="Z1665" s="1">
        <v>9.5</v>
      </c>
      <c r="AA1665" s="1">
        <v>5.2770843324</v>
      </c>
      <c r="AB1665" s="1">
        <v>57208.0</v>
      </c>
      <c r="AC1665" s="1">
        <v>40.418848168</v>
      </c>
      <c r="AD1665" s="1">
        <v>78.264732011</v>
      </c>
      <c r="AE1665" s="1">
        <v>7.7419354839</v>
      </c>
      <c r="AF1665" s="1">
        <v>0.5832712832</v>
      </c>
      <c r="AG1665" s="1">
        <v>0.4467609829</v>
      </c>
      <c r="AH1665" s="1">
        <v>0.5212211467</v>
      </c>
      <c r="AI1665" s="1">
        <v>0.0124100273</v>
      </c>
      <c r="AJ1665" s="1">
        <v>3.7105981633</v>
      </c>
      <c r="AK1665" s="1">
        <v>94.266567386</v>
      </c>
      <c r="AL1665" s="1">
        <v>1.1884325895</v>
      </c>
      <c r="AM1665" s="1">
        <v>49.441548771</v>
      </c>
      <c r="AN1665" s="1">
        <v>65.705777248</v>
      </c>
      <c r="AO1665" s="1">
        <v>28045.0</v>
      </c>
      <c r="AP1665" s="1">
        <v>8.7</v>
      </c>
      <c r="AQ1665" s="1">
        <v>4.5</v>
      </c>
      <c r="AR1665" s="1">
        <v>8.9</v>
      </c>
      <c r="AS1665" s="1">
        <v>20.4</v>
      </c>
      <c r="AT1665" s="1">
        <v>23.8</v>
      </c>
      <c r="AU1665" s="1">
        <v>12.9</v>
      </c>
      <c r="AV1665" s="1">
        <v>4.7</v>
      </c>
      <c r="AW1665" s="1">
        <v>1.2</v>
      </c>
      <c r="AX1665" s="1">
        <v>0.1598</v>
      </c>
      <c r="AY1665" s="1">
        <v>8.2</v>
      </c>
      <c r="AZ1665" s="1">
        <v>10.3</v>
      </c>
      <c r="BA1665" s="1">
        <v>15.4</v>
      </c>
      <c r="BB1665" s="1">
        <v>3.01</v>
      </c>
      <c r="BC1665" s="1" t="s">
        <v>2802</v>
      </c>
      <c r="BD1665" s="1">
        <v>7.0</v>
      </c>
      <c r="BE1665" s="1">
        <v>37.6</v>
      </c>
      <c r="BF1665" s="1">
        <v>34.1</v>
      </c>
      <c r="BG1665" s="1">
        <v>21.4</v>
      </c>
      <c r="BH1665" s="1" t="s">
        <v>2819</v>
      </c>
    </row>
    <row r="1666">
      <c r="A1666" s="1">
        <v>31025.0</v>
      </c>
      <c r="B1666" s="2" t="str">
        <f>IFERROR(__xludf.DUMMYFUNCTION("TO_TEXT(A1666)"),"31025")</f>
        <v>31025</v>
      </c>
      <c r="C1666" s="1">
        <v>25463.0</v>
      </c>
      <c r="D1666" s="1">
        <v>557.447718538712</v>
      </c>
      <c r="E1666" s="1" t="s">
        <v>1164</v>
      </c>
      <c r="F1666" s="1" t="s">
        <v>2820</v>
      </c>
      <c r="G1666" s="1">
        <v>45.6778261946223</v>
      </c>
      <c r="H1666" s="1">
        <v>12.759021989</v>
      </c>
      <c r="I1666" s="1">
        <v>3.1443220602</v>
      </c>
      <c r="J1666" s="1">
        <v>7.4265085095</v>
      </c>
      <c r="K1666" s="1">
        <v>15.587730758</v>
      </c>
      <c r="L1666" s="1">
        <v>39.8</v>
      </c>
      <c r="M1666" s="1">
        <v>8.5</v>
      </c>
      <c r="N1666" s="1">
        <v>27.1</v>
      </c>
      <c r="O1666" s="1">
        <v>65.7382829519999</v>
      </c>
      <c r="P1666" s="1">
        <v>7.0036370419</v>
      </c>
      <c r="Q1666" s="1">
        <v>30.90115</v>
      </c>
      <c r="R1666" s="1">
        <v>96.043154491</v>
      </c>
      <c r="S1666" s="1">
        <v>9.4</v>
      </c>
      <c r="T1666" s="1">
        <v>6142.0</v>
      </c>
      <c r="U1666" s="1">
        <v>21.344838815</v>
      </c>
      <c r="V1666" s="1">
        <v>125.62074313</v>
      </c>
      <c r="W1666" s="1">
        <v>11.179804225</v>
      </c>
      <c r="X1666" s="1">
        <v>8.7461139896</v>
      </c>
      <c r="Y1666" s="1">
        <v>79.970055251</v>
      </c>
      <c r="Z1666" s="1">
        <v>11.7</v>
      </c>
      <c r="AA1666" s="1">
        <v>5.2281752507</v>
      </c>
      <c r="AB1666" s="1">
        <v>75177.0</v>
      </c>
      <c r="AC1666" s="1">
        <v>30.098723814</v>
      </c>
      <c r="AD1666" s="1">
        <v>81.51924038</v>
      </c>
      <c r="AE1666" s="1">
        <v>7.5541037158</v>
      </c>
      <c r="AF1666" s="1">
        <v>0.6078213999</v>
      </c>
      <c r="AG1666" s="1">
        <v>0.592530295499999</v>
      </c>
      <c r="AH1666" s="1">
        <v>0.4778470125</v>
      </c>
      <c r="AI1666" s="1">
        <v>0.0535188654</v>
      </c>
      <c r="AJ1666" s="1">
        <v>3.3563974158</v>
      </c>
      <c r="AK1666" s="1">
        <v>93.631255017</v>
      </c>
      <c r="AL1666" s="1">
        <v>0.223398974</v>
      </c>
      <c r="AM1666" s="1">
        <v>49.619633778</v>
      </c>
      <c r="AN1666" s="1">
        <v>72.956697437</v>
      </c>
      <c r="AO1666" s="1">
        <v>30637.0</v>
      </c>
      <c r="AP1666" s="1">
        <v>7.0</v>
      </c>
      <c r="AQ1666" s="1">
        <v>3.5</v>
      </c>
      <c r="AR1666" s="1">
        <v>5.3</v>
      </c>
      <c r="AS1666" s="1">
        <v>16.0</v>
      </c>
      <c r="AT1666" s="1">
        <v>24.4</v>
      </c>
      <c r="AU1666" s="1">
        <v>10.2</v>
      </c>
      <c r="AV1666" s="1">
        <v>5.6</v>
      </c>
      <c r="AW1666" s="1">
        <v>0.2</v>
      </c>
      <c r="AX1666" s="1">
        <v>0.021</v>
      </c>
      <c r="AY1666" s="1">
        <v>5.3</v>
      </c>
      <c r="AZ1666" s="1">
        <v>9.5</v>
      </c>
      <c r="BA1666" s="1">
        <v>14.4</v>
      </c>
      <c r="BB1666" s="1">
        <v>3.46</v>
      </c>
      <c r="BC1666" s="1" t="s">
        <v>2802</v>
      </c>
      <c r="BD1666" s="1">
        <v>5.6</v>
      </c>
      <c r="BE1666" s="1">
        <v>29.9</v>
      </c>
      <c r="BF1666" s="1">
        <v>36.8</v>
      </c>
      <c r="BG1666" s="1">
        <v>27.7</v>
      </c>
      <c r="BH1666" s="1" t="s">
        <v>2820</v>
      </c>
    </row>
    <row r="1667">
      <c r="A1667" s="1">
        <v>31027.0</v>
      </c>
      <c r="B1667" s="2" t="str">
        <f>IFERROR(__xludf.DUMMYFUNCTION("TO_TEXT(A1667)"),"31027")</f>
        <v>31027</v>
      </c>
      <c r="C1667" s="1">
        <v>8657.0</v>
      </c>
      <c r="D1667" s="1">
        <v>740.311431940588</v>
      </c>
      <c r="E1667" s="1" t="s">
        <v>1466</v>
      </c>
      <c r="F1667" s="1" t="s">
        <v>2821</v>
      </c>
      <c r="G1667" s="1">
        <v>11.6937272970475</v>
      </c>
      <c r="H1667" s="1">
        <v>11.240074301</v>
      </c>
      <c r="I1667" s="1">
        <v>3.2165232221</v>
      </c>
      <c r="J1667" s="1">
        <v>3.7634408602</v>
      </c>
      <c r="K1667" s="1">
        <v>12.6355095159999</v>
      </c>
      <c r="L1667" s="1">
        <v>36.4</v>
      </c>
      <c r="M1667" s="1">
        <v>8.3</v>
      </c>
      <c r="N1667" s="1">
        <v>26.3</v>
      </c>
      <c r="O1667" s="1">
        <v>51.671938545</v>
      </c>
      <c r="P1667" s="1">
        <v>9.6629213483</v>
      </c>
      <c r="Q1667" s="1">
        <v>11.72333</v>
      </c>
      <c r="R1667" s="1">
        <v>79.799783049</v>
      </c>
      <c r="S1667" s="1">
        <v>11.7</v>
      </c>
      <c r="T1667" s="1">
        <v>2117.0</v>
      </c>
      <c r="U1667" s="1">
        <v>13.179026925</v>
      </c>
      <c r="V1667" s="1">
        <v>40.704774089</v>
      </c>
      <c r="W1667" s="1">
        <v>7.1428571429</v>
      </c>
      <c r="X1667" s="1">
        <v>5.4298642534</v>
      </c>
      <c r="Y1667" s="1">
        <v>80.553445811</v>
      </c>
      <c r="Z1667" s="1">
        <v>8.8</v>
      </c>
      <c r="AA1667" s="1">
        <v>4.749342037</v>
      </c>
      <c r="AB1667" s="1">
        <v>64570.0</v>
      </c>
      <c r="AC1667" s="1">
        <v>37.449556094</v>
      </c>
      <c r="AD1667" s="1">
        <v>81.423611111</v>
      </c>
      <c r="AE1667" s="1">
        <v>5.7221542228</v>
      </c>
      <c r="AF1667" s="1">
        <v>0.2959981056</v>
      </c>
      <c r="AG1667" s="1">
        <v>0.6393559081</v>
      </c>
      <c r="AH1667" s="1">
        <v>0.1657589391</v>
      </c>
      <c r="AI1667" s="1">
        <v>0.0</v>
      </c>
      <c r="AJ1667" s="1">
        <v>1.9654274213</v>
      </c>
      <c r="AK1667" s="1">
        <v>96.305943642</v>
      </c>
      <c r="AL1667" s="1">
        <v>0.0879396985</v>
      </c>
      <c r="AM1667" s="1">
        <v>49.38432394</v>
      </c>
      <c r="AN1667" s="1">
        <v>100.0</v>
      </c>
      <c r="AO1667" s="1">
        <v>28663.0</v>
      </c>
      <c r="AP1667" s="1">
        <v>10.4</v>
      </c>
      <c r="AQ1667" s="1">
        <v>1.8</v>
      </c>
      <c r="AR1667" s="1">
        <v>7.2</v>
      </c>
      <c r="AS1667" s="1">
        <v>21.2</v>
      </c>
      <c r="AT1667" s="1">
        <v>24.8</v>
      </c>
      <c r="AU1667" s="1">
        <v>10.5</v>
      </c>
      <c r="AV1667" s="1">
        <v>2.9</v>
      </c>
      <c r="AW1667" s="1">
        <v>0.1</v>
      </c>
      <c r="AX1667" s="1">
        <v>0.0229</v>
      </c>
      <c r="AY1667" s="1">
        <v>8.6</v>
      </c>
      <c r="AZ1667" s="1">
        <v>10.3</v>
      </c>
      <c r="BA1667" s="1">
        <v>16.3</v>
      </c>
      <c r="BB1667" s="1">
        <v>3.0</v>
      </c>
      <c r="BC1667" s="1" t="s">
        <v>2802</v>
      </c>
      <c r="BD1667" s="1">
        <v>7.5</v>
      </c>
      <c r="BE1667" s="1">
        <v>35.4</v>
      </c>
      <c r="BF1667" s="1">
        <v>36.1</v>
      </c>
      <c r="BG1667" s="1">
        <v>21.0</v>
      </c>
      <c r="BH1667" s="1" t="s">
        <v>2821</v>
      </c>
    </row>
    <row r="1668">
      <c r="A1668" s="1">
        <v>31029.0</v>
      </c>
      <c r="B1668" s="2" t="str">
        <f>IFERROR(__xludf.DUMMYFUNCTION("TO_TEXT(A1668)"),"31029")</f>
        <v>31029</v>
      </c>
      <c r="C1668" s="1">
        <v>4061.0</v>
      </c>
      <c r="D1668" s="1">
        <v>894.41820390343</v>
      </c>
      <c r="E1668" s="1" t="s">
        <v>1601</v>
      </c>
      <c r="F1668" s="1" t="s">
        <v>2822</v>
      </c>
      <c r="G1668" s="1">
        <v>4.54038164952026</v>
      </c>
      <c r="H1668" s="1">
        <v>14.482269712</v>
      </c>
      <c r="I1668" s="1">
        <v>3.2817849494</v>
      </c>
      <c r="J1668" s="1">
        <v>5.7926829268</v>
      </c>
      <c r="K1668" s="1">
        <v>14.415867912</v>
      </c>
      <c r="L1668" s="1">
        <v>32.2</v>
      </c>
      <c r="M1668" s="1">
        <v>8.0</v>
      </c>
      <c r="N1668" s="1">
        <v>28.9</v>
      </c>
      <c r="O1668" s="1">
        <v>78.013111447</v>
      </c>
      <c r="P1668" s="1">
        <v>16.894252144</v>
      </c>
      <c r="Q1668" s="1">
        <v>48.31939</v>
      </c>
      <c r="R1668" s="1">
        <v>92.22760205</v>
      </c>
      <c r="S1668" s="1">
        <v>11.6</v>
      </c>
      <c r="T1668" s="1">
        <v>807.0</v>
      </c>
      <c r="U1668" s="1">
        <v>24.6592317219999</v>
      </c>
      <c r="V1668" s="1">
        <v>125.56504269</v>
      </c>
      <c r="W1668" s="1">
        <v>8.2595870206</v>
      </c>
      <c r="X1668" s="1">
        <v>7.86516853929999</v>
      </c>
      <c r="Y1668" s="1">
        <v>78.706446383</v>
      </c>
      <c r="Z1668" s="1">
        <v>7.6</v>
      </c>
      <c r="AA1668" s="1">
        <v>11.916268482</v>
      </c>
      <c r="AB1668" s="1">
        <v>54866.0</v>
      </c>
      <c r="AC1668" s="1">
        <v>41.251596424</v>
      </c>
      <c r="AD1668" s="1">
        <v>77.187864644</v>
      </c>
      <c r="AE1668" s="1">
        <v>6.25</v>
      </c>
      <c r="AF1668" s="1">
        <v>0.4777470455</v>
      </c>
      <c r="AG1668" s="1">
        <v>0.4526024642</v>
      </c>
      <c r="AH1668" s="1">
        <v>0.1760120694</v>
      </c>
      <c r="AI1668" s="1">
        <v>0.0</v>
      </c>
      <c r="AJ1668" s="1">
        <v>15.061604224</v>
      </c>
      <c r="AK1668" s="1">
        <v>83.32914257</v>
      </c>
      <c r="AL1668" s="1">
        <v>5.1188811189</v>
      </c>
      <c r="AM1668" s="1">
        <v>50.465174755</v>
      </c>
      <c r="AN1668" s="1">
        <v>100.0</v>
      </c>
      <c r="AO1668" s="1">
        <v>29239.0</v>
      </c>
      <c r="AP1668" s="1">
        <v>9.8</v>
      </c>
      <c r="AQ1668" s="1">
        <v>1.5</v>
      </c>
      <c r="AR1668" s="1">
        <v>11.1</v>
      </c>
      <c r="AS1668" s="1">
        <v>20.9</v>
      </c>
      <c r="AT1668" s="1">
        <v>25.2</v>
      </c>
      <c r="AU1668" s="1">
        <v>12.6</v>
      </c>
      <c r="AV1668" s="1">
        <v>15.2</v>
      </c>
      <c r="AW1668" s="1">
        <v>4.2</v>
      </c>
      <c r="AX1668" s="1">
        <v>0.228</v>
      </c>
      <c r="AY1668" s="1">
        <v>9.1</v>
      </c>
      <c r="AZ1668" s="1">
        <v>10.4</v>
      </c>
      <c r="BA1668" s="1">
        <v>14.6</v>
      </c>
      <c r="BB1668" s="1">
        <v>3.06</v>
      </c>
      <c r="BC1668" s="1" t="s">
        <v>2802</v>
      </c>
      <c r="BD1668" s="1">
        <v>11.9</v>
      </c>
      <c r="BE1668" s="1">
        <v>25.8</v>
      </c>
      <c r="BF1668" s="1">
        <v>41.3</v>
      </c>
      <c r="BG1668" s="1">
        <v>21.0</v>
      </c>
      <c r="BH1668" s="1" t="s">
        <v>2822</v>
      </c>
    </row>
    <row r="1669">
      <c r="A1669" s="1">
        <v>31031.0</v>
      </c>
      <c r="B1669" s="2" t="str">
        <f>IFERROR(__xludf.DUMMYFUNCTION("TO_TEXT(A1669)"),"31031")</f>
        <v>31031</v>
      </c>
      <c r="C1669" s="1">
        <v>5781.0</v>
      </c>
      <c r="D1669" s="1">
        <v>5960.51908976913</v>
      </c>
      <c r="E1669" s="1" t="s">
        <v>2823</v>
      </c>
      <c r="F1669" s="1" t="s">
        <v>2824</v>
      </c>
      <c r="G1669" s="1">
        <v>0.969881970501988</v>
      </c>
      <c r="H1669" s="1">
        <v>14.2801622959999</v>
      </c>
      <c r="I1669" s="1">
        <v>3.351043634</v>
      </c>
      <c r="J1669" s="1">
        <v>7.27969348659999</v>
      </c>
      <c r="K1669" s="1">
        <v>14.34746814</v>
      </c>
      <c r="L1669" s="1">
        <v>27.5</v>
      </c>
      <c r="M1669" s="1">
        <v>7.2</v>
      </c>
      <c r="N1669" s="1">
        <v>31.3</v>
      </c>
      <c r="O1669" s="1">
        <v>64.53702083</v>
      </c>
      <c r="P1669" s="1">
        <v>14.932626463</v>
      </c>
      <c r="Q1669" s="1">
        <v>68.75215</v>
      </c>
      <c r="R1669" s="1">
        <v>94.0</v>
      </c>
      <c r="S1669" s="1">
        <v>16.3</v>
      </c>
      <c r="T1669" s="1">
        <v>1237.0</v>
      </c>
      <c r="U1669" s="1">
        <v>29.021827001</v>
      </c>
      <c r="V1669" s="1">
        <v>239.66446974</v>
      </c>
      <c r="W1669" s="1">
        <v>8.1784386617</v>
      </c>
      <c r="X1669" s="1">
        <v>7.2334079045</v>
      </c>
      <c r="Y1669" s="1">
        <v>80.415987366</v>
      </c>
      <c r="Z1669" s="1">
        <v>7.8</v>
      </c>
      <c r="AA1669" s="1">
        <v>14.922072106</v>
      </c>
      <c r="AB1669" s="1">
        <v>49782.0</v>
      </c>
      <c r="AC1669" s="1">
        <v>46.194225722</v>
      </c>
      <c r="AD1669" s="1">
        <v>61.0288386589999</v>
      </c>
      <c r="AE1669" s="1">
        <v>11.0694183859999</v>
      </c>
      <c r="AF1669" s="1">
        <v>0.3645200486</v>
      </c>
      <c r="AG1669" s="1">
        <v>6.35306370419999</v>
      </c>
      <c r="AH1669" s="1">
        <v>0.5554591217</v>
      </c>
      <c r="AI1669" s="1">
        <v>0.0347161951</v>
      </c>
      <c r="AJ1669" s="1">
        <v>2.9682346815</v>
      </c>
      <c r="AK1669" s="1">
        <v>87.901406006</v>
      </c>
      <c r="AL1669" s="1">
        <v>1.9505851756</v>
      </c>
      <c r="AM1669" s="1">
        <v>49.296997049</v>
      </c>
      <c r="AN1669" s="1">
        <v>52.511815158</v>
      </c>
      <c r="AO1669" s="1">
        <v>27891.0</v>
      </c>
      <c r="AP1669" s="1">
        <v>8.0</v>
      </c>
      <c r="AQ1669" s="1">
        <v>2.3</v>
      </c>
      <c r="AR1669" s="1">
        <v>8.8</v>
      </c>
      <c r="AS1669" s="1">
        <v>21.2</v>
      </c>
      <c r="AT1669" s="1">
        <v>21.0</v>
      </c>
      <c r="AU1669" s="1">
        <v>13.4</v>
      </c>
      <c r="AV1669" s="1">
        <v>11.0</v>
      </c>
      <c r="AW1669" s="1">
        <v>4.2</v>
      </c>
      <c r="AX1669" s="1">
        <v>0.1582</v>
      </c>
      <c r="AY1669" s="1">
        <v>10.7</v>
      </c>
      <c r="AZ1669" s="1">
        <v>12.6</v>
      </c>
      <c r="BA1669" s="1">
        <v>16.3</v>
      </c>
      <c r="BB1669" s="1">
        <v>3.38</v>
      </c>
      <c r="BC1669" s="1" t="s">
        <v>2802</v>
      </c>
      <c r="BD1669" s="1">
        <v>5.0</v>
      </c>
      <c r="BE1669" s="1">
        <v>31.5</v>
      </c>
      <c r="BF1669" s="1">
        <v>40.5</v>
      </c>
      <c r="BG1669" s="1">
        <v>22.9</v>
      </c>
      <c r="BH1669" s="1" t="s">
        <v>2824</v>
      </c>
    </row>
    <row r="1670">
      <c r="A1670" s="1">
        <v>31033.0</v>
      </c>
      <c r="B1670" s="2" t="str">
        <f>IFERROR(__xludf.DUMMYFUNCTION("TO_TEXT(A1670)"),"31033")</f>
        <v>31033</v>
      </c>
      <c r="C1670" s="1">
        <v>10090.0</v>
      </c>
      <c r="D1670" s="1">
        <v>1196.28599311864</v>
      </c>
      <c r="E1670" s="1" t="s">
        <v>551</v>
      </c>
      <c r="F1670" s="1" t="s">
        <v>2825</v>
      </c>
      <c r="G1670" s="1">
        <v>8.43443796720884</v>
      </c>
      <c r="H1670" s="1">
        <v>12.351560892</v>
      </c>
      <c r="I1670" s="1">
        <v>3.3018975807</v>
      </c>
      <c r="J1670" s="1">
        <v>8.6549707602</v>
      </c>
      <c r="K1670" s="1">
        <v>13.959402913</v>
      </c>
      <c r="L1670" s="1">
        <v>29.3</v>
      </c>
      <c r="M1670" s="1">
        <v>8.1</v>
      </c>
      <c r="N1670" s="1">
        <v>24.3</v>
      </c>
      <c r="O1670" s="1">
        <v>62.782556511</v>
      </c>
      <c r="P1670" s="1">
        <v>6.7916877851</v>
      </c>
      <c r="Q1670" s="1">
        <v>62.00909</v>
      </c>
      <c r="R1670" s="1">
        <v>90.027674396</v>
      </c>
      <c r="S1670" s="1">
        <v>14.3</v>
      </c>
      <c r="T1670" s="1">
        <v>2340.0</v>
      </c>
      <c r="U1670" s="1">
        <v>27.4358974359999</v>
      </c>
      <c r="V1670" s="1">
        <v>290.19723575</v>
      </c>
      <c r="W1670" s="1">
        <v>7.73542600899999</v>
      </c>
      <c r="X1670" s="1">
        <v>6.1205915813</v>
      </c>
      <c r="Y1670" s="1">
        <v>78.951796685</v>
      </c>
      <c r="Z1670" s="1">
        <v>8.8</v>
      </c>
      <c r="AA1670" s="1">
        <v>5.9619781063</v>
      </c>
      <c r="AB1670" s="1">
        <v>53132.0</v>
      </c>
      <c r="AC1670" s="1">
        <v>36.010037641</v>
      </c>
      <c r="AD1670" s="1">
        <v>68.764095625</v>
      </c>
      <c r="AE1670" s="1">
        <v>6.6791219057</v>
      </c>
      <c r="AF1670" s="1">
        <v>0.4833512352</v>
      </c>
      <c r="AG1670" s="1">
        <v>1.0526315789</v>
      </c>
      <c r="AH1670" s="1">
        <v>1.0741138561</v>
      </c>
      <c r="AI1670" s="1">
        <v>0.0537056928</v>
      </c>
      <c r="AJ1670" s="1">
        <v>7.0139634801</v>
      </c>
      <c r="AK1670" s="1">
        <v>89.4092373789999</v>
      </c>
      <c r="AL1670" s="1">
        <v>0.0544602984</v>
      </c>
      <c r="AM1670" s="1">
        <v>49.709989259</v>
      </c>
      <c r="AN1670" s="1">
        <v>36.25725145</v>
      </c>
      <c r="AO1670" s="1">
        <v>30929.0</v>
      </c>
      <c r="AP1670" s="1">
        <v>10.0</v>
      </c>
      <c r="AQ1670" s="1">
        <v>2.4</v>
      </c>
      <c r="AR1670" s="1">
        <v>6.3</v>
      </c>
      <c r="AS1670" s="1">
        <v>17.1</v>
      </c>
      <c r="AT1670" s="1">
        <v>23.9</v>
      </c>
      <c r="AU1670" s="1">
        <v>11.8</v>
      </c>
      <c r="AV1670" s="1">
        <v>10.0</v>
      </c>
      <c r="AW1670" s="1">
        <v>0.5</v>
      </c>
      <c r="AX1670" s="1">
        <v>0.0602</v>
      </c>
      <c r="AY1670" s="1">
        <v>10.1</v>
      </c>
      <c r="AZ1670" s="1">
        <v>12.2</v>
      </c>
      <c r="BA1670" s="1">
        <v>16.9</v>
      </c>
      <c r="BB1670" s="1">
        <v>3.08</v>
      </c>
      <c r="BC1670" s="1" t="s">
        <v>2802</v>
      </c>
      <c r="BD1670" s="1">
        <v>6.4</v>
      </c>
      <c r="BE1670" s="1">
        <v>27.6</v>
      </c>
      <c r="BF1670" s="1">
        <v>40.6</v>
      </c>
      <c r="BG1670" s="1">
        <v>25.4</v>
      </c>
      <c r="BH1670" s="1" t="s">
        <v>2825</v>
      </c>
    </row>
    <row r="1671">
      <c r="A1671" s="1">
        <v>31035.0</v>
      </c>
      <c r="B1671" s="2" t="str">
        <f>IFERROR(__xludf.DUMMYFUNCTION("TO_TEXT(A1671)"),"31035")</f>
        <v>31035</v>
      </c>
      <c r="C1671" s="1">
        <v>6313.0</v>
      </c>
      <c r="D1671" s="1">
        <v>572.289228838514</v>
      </c>
      <c r="E1671" s="1" t="s">
        <v>86</v>
      </c>
      <c r="F1671" s="1" t="s">
        <v>2826</v>
      </c>
      <c r="G1671" s="1">
        <v>11.0311354501857</v>
      </c>
      <c r="H1671" s="1">
        <v>13.409486432</v>
      </c>
      <c r="I1671" s="1">
        <v>3.421560522</v>
      </c>
      <c r="J1671" s="1">
        <v>7.2072072072</v>
      </c>
      <c r="K1671" s="1">
        <v>14.787980012</v>
      </c>
      <c r="L1671" s="1">
        <v>35.2</v>
      </c>
      <c r="M1671" s="1">
        <v>7.4</v>
      </c>
      <c r="N1671" s="1">
        <v>27.0</v>
      </c>
      <c r="O1671" s="1">
        <v>52.583307857</v>
      </c>
      <c r="P1671" s="1">
        <v>11.795810454</v>
      </c>
      <c r="Q1671" s="1">
        <v>32.23207</v>
      </c>
      <c r="R1671" s="1">
        <v>97.531898646</v>
      </c>
      <c r="S1671" s="1">
        <v>14.6</v>
      </c>
      <c r="T1671" s="1">
        <v>1505.0</v>
      </c>
      <c r="U1671" s="1">
        <v>23.588039867</v>
      </c>
      <c r="V1671" s="1">
        <v>124.35233161</v>
      </c>
      <c r="W1671" s="1">
        <v>8.4615384615</v>
      </c>
      <c r="X1671" s="1">
        <v>5.988258317</v>
      </c>
      <c r="Y1671" s="1">
        <v>79.853639942</v>
      </c>
      <c r="Z1671" s="1">
        <v>9.8</v>
      </c>
      <c r="AA1671" s="1">
        <v>14.5212673909999</v>
      </c>
      <c r="AB1671" s="1">
        <v>56259.0</v>
      </c>
      <c r="AC1671" s="1">
        <v>46.221441125</v>
      </c>
      <c r="AD1671" s="1">
        <v>78.632478632</v>
      </c>
      <c r="AE1671" s="1">
        <v>7.0541082164</v>
      </c>
      <c r="AF1671" s="1">
        <v>0.4505954297</v>
      </c>
      <c r="AG1671" s="1">
        <v>1.2874155134</v>
      </c>
      <c r="AH1671" s="1">
        <v>0.2735757966</v>
      </c>
      <c r="AI1671" s="1">
        <v>0.2896684905</v>
      </c>
      <c r="AJ1671" s="1">
        <v>9.2532990023</v>
      </c>
      <c r="AK1671" s="1">
        <v>88.831670422</v>
      </c>
      <c r="AL1671" s="1">
        <v>1.7010309278</v>
      </c>
      <c r="AM1671" s="1">
        <v>48.664306405</v>
      </c>
      <c r="AN1671" s="1">
        <v>100.0</v>
      </c>
      <c r="AO1671" s="1">
        <v>25472.0</v>
      </c>
      <c r="AP1671" s="1">
        <v>9.9</v>
      </c>
      <c r="AQ1671" s="1">
        <v>2.8</v>
      </c>
      <c r="AR1671" s="1">
        <v>10.4</v>
      </c>
      <c r="AS1671" s="1">
        <v>19.2</v>
      </c>
      <c r="AT1671" s="1">
        <v>24.2</v>
      </c>
      <c r="AU1671" s="1">
        <v>16.0</v>
      </c>
      <c r="AV1671" s="1">
        <v>10.7</v>
      </c>
      <c r="AW1671" s="1">
        <v>2.9</v>
      </c>
      <c r="AX1671" s="1">
        <v>0.1942</v>
      </c>
      <c r="AY1671" s="1">
        <v>10.6</v>
      </c>
      <c r="AZ1671" s="1">
        <v>12.1</v>
      </c>
      <c r="BA1671" s="1">
        <v>19.2</v>
      </c>
      <c r="BB1671" s="1">
        <v>2.85</v>
      </c>
      <c r="BC1671" s="1" t="s">
        <v>2802</v>
      </c>
      <c r="BD1671" s="1">
        <v>8.5</v>
      </c>
      <c r="BE1671" s="1">
        <v>34.4</v>
      </c>
      <c r="BF1671" s="1">
        <v>37.2</v>
      </c>
      <c r="BG1671" s="1">
        <v>19.9</v>
      </c>
      <c r="BH1671" s="1" t="s">
        <v>2826</v>
      </c>
    </row>
    <row r="1672">
      <c r="A1672" s="1">
        <v>31037.0</v>
      </c>
      <c r="B1672" s="2" t="str">
        <f>IFERROR(__xludf.DUMMYFUNCTION("TO_TEXT(A1672)"),"31037")</f>
        <v>31037</v>
      </c>
      <c r="C1672" s="1">
        <v>10499.0</v>
      </c>
      <c r="D1672" s="1">
        <v>411.64831527736</v>
      </c>
      <c r="E1672" s="1" t="s">
        <v>2827</v>
      </c>
      <c r="F1672" s="1" t="s">
        <v>2828</v>
      </c>
      <c r="G1672" s="1">
        <v>25.5047806837883</v>
      </c>
      <c r="H1672" s="1">
        <v>18.504992362</v>
      </c>
      <c r="I1672" s="1">
        <v>3.2660314692</v>
      </c>
      <c r="J1672" s="1">
        <v>5.291005291</v>
      </c>
      <c r="K1672" s="1">
        <v>14.87880765</v>
      </c>
      <c r="L1672" s="1">
        <v>31.6</v>
      </c>
      <c r="M1672" s="1">
        <v>9.2</v>
      </c>
      <c r="N1672" s="1">
        <v>29.1</v>
      </c>
      <c r="O1672" s="1">
        <v>78.288159772</v>
      </c>
      <c r="P1672" s="1">
        <v>16.653773898</v>
      </c>
      <c r="Q1672" s="1">
        <v>48.31939</v>
      </c>
      <c r="R1672" s="1">
        <v>88.460365766</v>
      </c>
      <c r="S1672" s="1">
        <v>12.7</v>
      </c>
      <c r="T1672" s="1">
        <v>3160.0</v>
      </c>
      <c r="U1672" s="1">
        <v>15.601265823</v>
      </c>
      <c r="V1672" s="1">
        <v>204.509002055</v>
      </c>
      <c r="W1672" s="1">
        <v>13.25136612</v>
      </c>
      <c r="X1672" s="1">
        <v>5.7205720572</v>
      </c>
      <c r="Y1672" s="1">
        <v>80.996236866</v>
      </c>
      <c r="Z1672" s="1">
        <v>6.7</v>
      </c>
      <c r="AA1672" s="1">
        <v>6.4906899257</v>
      </c>
      <c r="AB1672" s="1">
        <v>55787.0</v>
      </c>
      <c r="AC1672" s="1">
        <v>59.675036928</v>
      </c>
      <c r="AD1672" s="1">
        <v>70.979020979</v>
      </c>
      <c r="AE1672" s="1">
        <v>5.5881531154</v>
      </c>
      <c r="AF1672" s="1">
        <v>3.7864166896</v>
      </c>
      <c r="AG1672" s="1">
        <v>3.3452807646</v>
      </c>
      <c r="AH1672" s="1">
        <v>1.1120301443</v>
      </c>
      <c r="AI1672" s="1">
        <v>0.4962779156</v>
      </c>
      <c r="AJ1672" s="1">
        <v>47.0361180039999</v>
      </c>
      <c r="AK1672" s="1">
        <v>47.6059185739999</v>
      </c>
      <c r="AL1672" s="1">
        <v>18.056688418</v>
      </c>
      <c r="AM1672" s="1">
        <v>46.732837055</v>
      </c>
      <c r="AN1672" s="1">
        <v>40.513552068</v>
      </c>
      <c r="AO1672" s="1">
        <v>23619.0</v>
      </c>
      <c r="AP1672" s="1">
        <v>12.0</v>
      </c>
      <c r="AQ1672" s="1">
        <v>5.4</v>
      </c>
      <c r="AR1672" s="1">
        <v>28.5</v>
      </c>
      <c r="AS1672" s="1">
        <v>13.1</v>
      </c>
      <c r="AT1672" s="1">
        <v>29.9</v>
      </c>
      <c r="AU1672" s="1">
        <v>7.9</v>
      </c>
      <c r="AV1672" s="1">
        <v>47.5</v>
      </c>
      <c r="AW1672" s="1">
        <v>18.5</v>
      </c>
      <c r="AX1672" s="1">
        <v>0.5778</v>
      </c>
      <c r="AY1672" s="1">
        <v>8.2</v>
      </c>
      <c r="AZ1672" s="1">
        <v>9.4</v>
      </c>
      <c r="BA1672" s="1">
        <v>12.5</v>
      </c>
      <c r="BB1672" s="1">
        <v>2.97</v>
      </c>
      <c r="BC1672" s="1" t="s">
        <v>2802</v>
      </c>
      <c r="BD1672" s="1">
        <v>30.7</v>
      </c>
      <c r="BE1672" s="1">
        <v>28.9</v>
      </c>
      <c r="BF1672" s="1">
        <v>24.9</v>
      </c>
      <c r="BG1672" s="1">
        <v>15.4</v>
      </c>
      <c r="BH1672" s="1" t="s">
        <v>2828</v>
      </c>
    </row>
    <row r="1673">
      <c r="A1673" s="1">
        <v>31039.0</v>
      </c>
      <c r="B1673" s="2" t="str">
        <f>IFERROR(__xludf.DUMMYFUNCTION("TO_TEXT(A1673)"),"31039")</f>
        <v>31039</v>
      </c>
      <c r="C1673" s="1">
        <v>9055.0</v>
      </c>
      <c r="D1673" s="1">
        <v>570.618528418722</v>
      </c>
      <c r="E1673" s="1" t="s">
        <v>2829</v>
      </c>
      <c r="F1673" s="1" t="s">
        <v>2830</v>
      </c>
      <c r="G1673" s="1">
        <v>15.8687451406333</v>
      </c>
      <c r="H1673" s="1">
        <v>12.463198004</v>
      </c>
      <c r="I1673" s="1">
        <v>3.2791239617</v>
      </c>
      <c r="J1673" s="1">
        <v>5.3164556962</v>
      </c>
      <c r="K1673" s="1">
        <v>13.068475377</v>
      </c>
      <c r="L1673" s="1">
        <v>35.5</v>
      </c>
      <c r="M1673" s="1">
        <v>8.7</v>
      </c>
      <c r="N1673" s="1">
        <v>27.6</v>
      </c>
      <c r="O1673" s="1">
        <v>69.898238319</v>
      </c>
      <c r="P1673" s="1">
        <v>12.619149239</v>
      </c>
      <c r="Q1673" s="1">
        <v>44.238</v>
      </c>
      <c r="R1673" s="1">
        <v>97.718497718</v>
      </c>
      <c r="S1673" s="1">
        <v>11.3</v>
      </c>
      <c r="T1673" s="1">
        <v>2212.0</v>
      </c>
      <c r="U1673" s="1">
        <v>22.3779385169999</v>
      </c>
      <c r="V1673" s="1">
        <v>22.12511754</v>
      </c>
      <c r="W1673" s="1">
        <v>9.5112285337</v>
      </c>
      <c r="X1673" s="1">
        <v>6.9425901202</v>
      </c>
      <c r="Y1673" s="1">
        <v>83.9407066</v>
      </c>
      <c r="Z1673" s="1">
        <v>9.6</v>
      </c>
      <c r="AA1673" s="1">
        <v>1.2130782676</v>
      </c>
      <c r="AB1673" s="1">
        <v>59219.0</v>
      </c>
      <c r="AC1673" s="1">
        <v>51.224489796</v>
      </c>
      <c r="AD1673" s="1">
        <v>69.243070362</v>
      </c>
      <c r="AE1673" s="1">
        <v>5.3251121076</v>
      </c>
      <c r="AF1673" s="1">
        <v>0.2572706935</v>
      </c>
      <c r="AG1673" s="1">
        <v>0.8277404922</v>
      </c>
      <c r="AH1673" s="1">
        <v>0.5033557047</v>
      </c>
      <c r="AI1673" s="1">
        <v>0.0559284116</v>
      </c>
      <c r="AJ1673" s="1">
        <v>10.536912752</v>
      </c>
      <c r="AK1673" s="1">
        <v>87.5950783</v>
      </c>
      <c r="AL1673" s="1">
        <v>1.2532513597</v>
      </c>
      <c r="AM1673" s="1">
        <v>49.8993288589999</v>
      </c>
      <c r="AN1673" s="1">
        <v>65.204070467</v>
      </c>
      <c r="AO1673" s="1">
        <v>26061.0</v>
      </c>
      <c r="AP1673" s="1">
        <v>12.4</v>
      </c>
      <c r="AQ1673" s="1">
        <v>2.5</v>
      </c>
      <c r="AR1673" s="1">
        <v>12.3</v>
      </c>
      <c r="AS1673" s="1">
        <v>21.3</v>
      </c>
      <c r="AT1673" s="1">
        <v>24.5</v>
      </c>
      <c r="AU1673" s="1">
        <v>12.3</v>
      </c>
      <c r="AV1673" s="1">
        <v>11.2</v>
      </c>
      <c r="AW1673" s="1">
        <v>2.1</v>
      </c>
      <c r="AX1673" s="1">
        <v>0.3251</v>
      </c>
      <c r="AY1673" s="1">
        <v>8.9</v>
      </c>
      <c r="AZ1673" s="1">
        <v>10.1</v>
      </c>
      <c r="BA1673" s="1">
        <v>14.2</v>
      </c>
      <c r="BB1673" s="1">
        <v>2.98</v>
      </c>
      <c r="BC1673" s="1" t="s">
        <v>2802</v>
      </c>
      <c r="BD1673" s="1">
        <v>11.6</v>
      </c>
      <c r="BE1673" s="1">
        <v>35.1</v>
      </c>
      <c r="BF1673" s="1">
        <v>29.5</v>
      </c>
      <c r="BG1673" s="1">
        <v>23.8</v>
      </c>
      <c r="BH1673" s="1" t="s">
        <v>2830</v>
      </c>
    </row>
    <row r="1674">
      <c r="A1674" s="1">
        <v>31041.0</v>
      </c>
      <c r="B1674" s="2" t="str">
        <f>IFERROR(__xludf.DUMMYFUNCTION("TO_TEXT(A1674)"),"31041")</f>
        <v>31041</v>
      </c>
      <c r="C1674" s="1">
        <v>10784.0</v>
      </c>
      <c r="D1674" s="1">
        <v>2575.59284662808</v>
      </c>
      <c r="E1674" s="1" t="s">
        <v>561</v>
      </c>
      <c r="F1674" s="1" t="s">
        <v>2831</v>
      </c>
      <c r="G1674" s="1">
        <v>4.18699718556766</v>
      </c>
      <c r="H1674" s="1">
        <v>13.8080784579999</v>
      </c>
      <c r="I1674" s="1">
        <v>3.3520519243</v>
      </c>
      <c r="J1674" s="1">
        <v>6.4130434783</v>
      </c>
      <c r="K1674" s="1">
        <v>14.799182332</v>
      </c>
      <c r="L1674" s="1">
        <v>36.0</v>
      </c>
      <c r="M1674" s="1">
        <v>7.0</v>
      </c>
      <c r="N1674" s="1">
        <v>29.6</v>
      </c>
      <c r="O1674" s="1">
        <v>48.7613127339999</v>
      </c>
      <c r="P1674" s="1">
        <v>11.255051105</v>
      </c>
      <c r="Q1674" s="1">
        <v>55.06103</v>
      </c>
      <c r="R1674" s="1">
        <v>96.5481443029999</v>
      </c>
      <c r="S1674" s="1">
        <v>15.6</v>
      </c>
      <c r="T1674" s="1">
        <v>2492.0</v>
      </c>
      <c r="U1674" s="1">
        <v>35.674157303</v>
      </c>
      <c r="V1674" s="1">
        <v>139.23051933</v>
      </c>
      <c r="W1674" s="1">
        <v>10.251046025</v>
      </c>
      <c r="X1674" s="1">
        <v>8.1722689076</v>
      </c>
      <c r="Y1674" s="1">
        <v>80.051958322</v>
      </c>
      <c r="Z1674" s="1">
        <v>11.0</v>
      </c>
      <c r="AA1674" s="1">
        <v>17.039872778</v>
      </c>
      <c r="AB1674" s="1">
        <v>49995.0</v>
      </c>
      <c r="AC1674" s="1">
        <v>40.566037736</v>
      </c>
      <c r="AD1674" s="1">
        <v>69.541890219</v>
      </c>
      <c r="AE1674" s="1">
        <v>8.6376558058</v>
      </c>
      <c r="AF1674" s="1">
        <v>0.5627306273</v>
      </c>
      <c r="AG1674" s="1">
        <v>0.6365313653</v>
      </c>
      <c r="AH1674" s="1">
        <v>0.221402214</v>
      </c>
      <c r="AI1674" s="1">
        <v>0.0184501845</v>
      </c>
      <c r="AJ1674" s="1">
        <v>3.4594095941</v>
      </c>
      <c r="AK1674" s="1">
        <v>94.169741697</v>
      </c>
      <c r="AL1674" s="1">
        <v>0.8568895893</v>
      </c>
      <c r="AM1674" s="1">
        <v>50.2214022139999</v>
      </c>
      <c r="AN1674" s="1">
        <v>67.666148642</v>
      </c>
      <c r="AO1674" s="1">
        <v>29986.0</v>
      </c>
      <c r="AP1674" s="1">
        <v>10.9</v>
      </c>
      <c r="AQ1674" s="1">
        <v>2.3</v>
      </c>
      <c r="AR1674" s="1">
        <v>7.7</v>
      </c>
      <c r="AS1674" s="1">
        <v>21.0</v>
      </c>
      <c r="AT1674" s="1">
        <v>23.4</v>
      </c>
      <c r="AU1674" s="1">
        <v>12.8</v>
      </c>
      <c r="AV1674" s="1">
        <v>4.7</v>
      </c>
      <c r="AW1674" s="1">
        <v>1.1</v>
      </c>
      <c r="AX1674" s="1">
        <v>0.1041</v>
      </c>
      <c r="AY1674" s="1">
        <v>11.8</v>
      </c>
      <c r="AZ1674" s="1">
        <v>12.2</v>
      </c>
      <c r="BA1674" s="1">
        <v>18.3</v>
      </c>
      <c r="BB1674" s="1">
        <v>2.97</v>
      </c>
      <c r="BC1674" s="1" t="s">
        <v>2802</v>
      </c>
      <c r="BD1674" s="1">
        <v>6.6</v>
      </c>
      <c r="BE1674" s="1">
        <v>30.0</v>
      </c>
      <c r="BF1674" s="1">
        <v>39.4</v>
      </c>
      <c r="BG1674" s="1">
        <v>24.0</v>
      </c>
      <c r="BH1674" s="1" t="s">
        <v>2831</v>
      </c>
    </row>
    <row r="1675">
      <c r="A1675" s="1">
        <v>31043.0</v>
      </c>
      <c r="B1675" s="2" t="str">
        <f>IFERROR(__xludf.DUMMYFUNCTION("TO_TEXT(A1675)"),"31043")</f>
        <v>31043</v>
      </c>
      <c r="C1675" s="1">
        <v>20697.0</v>
      </c>
      <c r="D1675" s="1">
        <v>264.254460949686</v>
      </c>
      <c r="E1675" s="1" t="s">
        <v>2317</v>
      </c>
      <c r="F1675" s="1" t="s">
        <v>2832</v>
      </c>
      <c r="G1675" s="1">
        <v>78.3222350367084</v>
      </c>
      <c r="H1675" s="1">
        <v>20.431433523</v>
      </c>
      <c r="I1675" s="1">
        <v>3.202420066</v>
      </c>
      <c r="J1675" s="1">
        <v>6.1008994916</v>
      </c>
      <c r="K1675" s="1">
        <v>16.892203528</v>
      </c>
      <c r="L1675" s="1">
        <v>38.6</v>
      </c>
      <c r="M1675" s="1">
        <v>8.2</v>
      </c>
      <c r="N1675" s="1">
        <v>32.3</v>
      </c>
      <c r="O1675" s="1">
        <v>86.070646482</v>
      </c>
      <c r="P1675" s="1">
        <v>16.058820097</v>
      </c>
      <c r="Q1675" s="1">
        <v>9.90786</v>
      </c>
      <c r="R1675" s="1">
        <v>87.296216549</v>
      </c>
      <c r="S1675" s="1">
        <v>18.0</v>
      </c>
      <c r="T1675" s="1">
        <v>5824.0</v>
      </c>
      <c r="U1675" s="1">
        <v>30.837912088</v>
      </c>
      <c r="V1675" s="1">
        <v>234.14634146</v>
      </c>
      <c r="W1675" s="1">
        <v>14.490772386</v>
      </c>
      <c r="X1675" s="1">
        <v>8.3714483714</v>
      </c>
      <c r="Y1675" s="1">
        <v>78.533577127</v>
      </c>
      <c r="Z1675" s="1">
        <v>10.9</v>
      </c>
      <c r="AA1675" s="1">
        <v>7.81978254059999</v>
      </c>
      <c r="AB1675" s="1">
        <v>55522.0</v>
      </c>
      <c r="AC1675" s="1">
        <v>64.313635318</v>
      </c>
      <c r="AD1675" s="1">
        <v>65.826180258</v>
      </c>
      <c r="AE1675" s="1">
        <v>8.5994746302</v>
      </c>
      <c r="AF1675" s="1">
        <v>5.3975999602</v>
      </c>
      <c r="AG1675" s="1">
        <v>4.0382412986</v>
      </c>
      <c r="AH1675" s="1">
        <v>3.9087785689</v>
      </c>
      <c r="AI1675" s="1">
        <v>0.4879749041</v>
      </c>
      <c r="AJ1675" s="1">
        <v>39.042971668</v>
      </c>
      <c r="AK1675" s="1">
        <v>47.567594483</v>
      </c>
      <c r="AL1675" s="1">
        <v>10.024819251</v>
      </c>
      <c r="AM1675" s="1">
        <v>49.325300005</v>
      </c>
      <c r="AN1675" s="1">
        <v>21.089212606</v>
      </c>
      <c r="AO1675" s="1">
        <v>21710.0</v>
      </c>
      <c r="AP1675" s="1">
        <v>16.0</v>
      </c>
      <c r="AQ1675" s="1">
        <v>6.8</v>
      </c>
      <c r="AR1675" s="1">
        <v>25.7</v>
      </c>
      <c r="AS1675" s="1">
        <v>13.0</v>
      </c>
      <c r="AT1675" s="1">
        <v>29.1</v>
      </c>
      <c r="AU1675" s="1">
        <v>8.6</v>
      </c>
      <c r="AV1675" s="1">
        <v>49.3</v>
      </c>
      <c r="AW1675" s="1">
        <v>10.1</v>
      </c>
      <c r="AX1675" s="1">
        <v>0.8144</v>
      </c>
      <c r="AY1675" s="1">
        <v>10.6</v>
      </c>
      <c r="AZ1675" s="1">
        <v>11.9</v>
      </c>
      <c r="BA1675" s="1">
        <v>17.4</v>
      </c>
      <c r="BB1675" s="1">
        <v>2.8</v>
      </c>
      <c r="BC1675" s="1" t="s">
        <v>2802</v>
      </c>
      <c r="BD1675" s="1">
        <v>23.5</v>
      </c>
      <c r="BE1675" s="1">
        <v>35.3</v>
      </c>
      <c r="BF1675" s="1">
        <v>28.2</v>
      </c>
      <c r="BG1675" s="1">
        <v>13.0</v>
      </c>
      <c r="BH1675" s="1" t="s">
        <v>2832</v>
      </c>
    </row>
    <row r="1676">
      <c r="A1676" s="1">
        <v>31045.0</v>
      </c>
      <c r="B1676" s="2" t="str">
        <f>IFERROR(__xludf.DUMMYFUNCTION("TO_TEXT(A1676)"),"31045")</f>
        <v>31045</v>
      </c>
      <c r="C1676" s="1">
        <v>9082.0</v>
      </c>
      <c r="D1676" s="1">
        <v>1396.46293371575</v>
      </c>
      <c r="E1676" s="1" t="s">
        <v>2833</v>
      </c>
      <c r="F1676" s="1" t="s">
        <v>2834</v>
      </c>
      <c r="G1676" s="1">
        <v>6.50357398018025</v>
      </c>
      <c r="H1676" s="1">
        <v>13.224712705</v>
      </c>
      <c r="I1676" s="1">
        <v>3.5106614042</v>
      </c>
      <c r="J1676" s="1">
        <v>6.99844479</v>
      </c>
      <c r="K1676" s="1">
        <v>14.954954992</v>
      </c>
      <c r="L1676" s="1">
        <v>28.0</v>
      </c>
      <c r="M1676" s="1">
        <v>7.4</v>
      </c>
      <c r="N1676" s="1">
        <v>20.7</v>
      </c>
      <c r="O1676" s="1">
        <v>88.477455892</v>
      </c>
      <c r="P1676" s="1">
        <v>11.006045574</v>
      </c>
      <c r="Q1676" s="1">
        <v>78.74016</v>
      </c>
      <c r="R1676" s="1">
        <v>53.3009266289999</v>
      </c>
      <c r="S1676" s="1">
        <v>19.2</v>
      </c>
      <c r="T1676" s="1">
        <v>1553.0</v>
      </c>
      <c r="U1676" s="1">
        <v>31.809401159</v>
      </c>
      <c r="V1676" s="1">
        <v>143.65434554</v>
      </c>
      <c r="W1676" s="1">
        <v>15.37414966</v>
      </c>
      <c r="X1676" s="1">
        <v>12.548476454</v>
      </c>
      <c r="Y1676" s="1">
        <v>79.786423734</v>
      </c>
      <c r="Z1676" s="1">
        <v>7.6</v>
      </c>
      <c r="AA1676" s="1">
        <v>8.7080129254</v>
      </c>
      <c r="AB1676" s="1">
        <v>47487.0</v>
      </c>
      <c r="AC1676" s="1">
        <v>45.695897023</v>
      </c>
      <c r="AD1676" s="1">
        <v>64.670162848</v>
      </c>
      <c r="AE1676" s="1">
        <v>12.0561282929999</v>
      </c>
      <c r="AF1676" s="1">
        <v>1.743919229</v>
      </c>
      <c r="AG1676" s="1">
        <v>4.0614960991</v>
      </c>
      <c r="AH1676" s="1">
        <v>2.1225332721</v>
      </c>
      <c r="AI1676" s="1">
        <v>0.390087196</v>
      </c>
      <c r="AJ1676" s="1">
        <v>5.3809086737</v>
      </c>
      <c r="AK1676" s="1">
        <v>84.993116108</v>
      </c>
      <c r="AL1676" s="1">
        <v>0.0357015352</v>
      </c>
      <c r="AM1676" s="1">
        <v>50.114731528</v>
      </c>
      <c r="AN1676" s="1">
        <v>39.936832934</v>
      </c>
      <c r="AO1676" s="1">
        <v>23307.0</v>
      </c>
      <c r="AP1676" s="1">
        <v>16.0</v>
      </c>
      <c r="AQ1676" s="1">
        <v>1.9</v>
      </c>
      <c r="AR1676" s="1">
        <v>5.6</v>
      </c>
      <c r="AS1676" s="1">
        <v>17.9</v>
      </c>
      <c r="AT1676" s="1">
        <v>18.2</v>
      </c>
      <c r="AU1676" s="1">
        <v>10.4</v>
      </c>
      <c r="AV1676" s="1">
        <v>14.1</v>
      </c>
      <c r="AW1676" s="1">
        <v>1.1</v>
      </c>
      <c r="AX1676" s="1">
        <v>0.2751</v>
      </c>
      <c r="AY1676" s="1">
        <v>16.4</v>
      </c>
      <c r="AZ1676" s="1">
        <v>12.3</v>
      </c>
      <c r="BA1676" s="1">
        <v>17.9</v>
      </c>
      <c r="BB1676" s="1">
        <v>3.06</v>
      </c>
      <c r="BC1676" s="1" t="s">
        <v>2802</v>
      </c>
      <c r="BD1676" s="1">
        <v>3.9</v>
      </c>
      <c r="BE1676" s="1">
        <v>25.7</v>
      </c>
      <c r="BF1676" s="1">
        <v>33.5</v>
      </c>
      <c r="BG1676" s="1">
        <v>36.9</v>
      </c>
      <c r="BH1676" s="1" t="s">
        <v>2834</v>
      </c>
    </row>
    <row r="1677">
      <c r="A1677" s="1">
        <v>31047.0</v>
      </c>
      <c r="B1677" s="2" t="str">
        <f>IFERROR(__xludf.DUMMYFUNCTION("TO_TEXT(A1677)"),"31047")</f>
        <v>31047</v>
      </c>
      <c r="C1677" s="1">
        <v>23924.0</v>
      </c>
      <c r="D1677" s="1">
        <v>1013.11133324327</v>
      </c>
      <c r="E1677" s="1" t="s">
        <v>868</v>
      </c>
      <c r="F1677" s="1" t="s">
        <v>2835</v>
      </c>
      <c r="G1677" s="1">
        <v>23.6143839427915</v>
      </c>
      <c r="H1677" s="1">
        <v>18.186039891</v>
      </c>
      <c r="I1677" s="1">
        <v>3.4043941413</v>
      </c>
      <c r="J1677" s="1">
        <v>6.7211948791</v>
      </c>
      <c r="K1677" s="1">
        <v>13.9574911229999</v>
      </c>
      <c r="L1677" s="1">
        <v>35.6</v>
      </c>
      <c r="M1677" s="1">
        <v>7.9</v>
      </c>
      <c r="N1677" s="1">
        <v>25.9</v>
      </c>
      <c r="O1677" s="1">
        <v>82.117898545</v>
      </c>
      <c r="P1677" s="1">
        <v>14.761171032</v>
      </c>
      <c r="Q1677" s="1">
        <v>59.04931</v>
      </c>
      <c r="R1677" s="1">
        <v>94.624094724</v>
      </c>
      <c r="S1677" s="1">
        <v>16.3</v>
      </c>
      <c r="T1677" s="1">
        <v>6412.0</v>
      </c>
      <c r="U1677" s="1">
        <v>30.021834061</v>
      </c>
      <c r="V1677" s="1">
        <v>152.18478986</v>
      </c>
      <c r="W1677" s="1">
        <v>13.93629124</v>
      </c>
      <c r="X1677" s="1">
        <v>8.3742156303</v>
      </c>
      <c r="Y1677" s="1">
        <v>80.4370502169999</v>
      </c>
      <c r="Z1677" s="1">
        <v>11.4</v>
      </c>
      <c r="AA1677" s="1">
        <v>11.895361622</v>
      </c>
      <c r="AB1677" s="1">
        <v>56818.0</v>
      </c>
      <c r="AC1677" s="1">
        <v>62.251655629</v>
      </c>
      <c r="AD1677" s="1">
        <v>67.767033456</v>
      </c>
      <c r="AE1677" s="1">
        <v>8.4279872785</v>
      </c>
      <c r="AF1677" s="1">
        <v>5.7151292758</v>
      </c>
      <c r="AG1677" s="1">
        <v>1.8684887595</v>
      </c>
      <c r="AH1677" s="1">
        <v>1.2231641992</v>
      </c>
      <c r="AI1677" s="1">
        <v>0.2699396854</v>
      </c>
      <c r="AJ1677" s="1">
        <v>34.050360623</v>
      </c>
      <c r="AK1677" s="1">
        <v>58.0876460419999</v>
      </c>
      <c r="AL1677" s="1">
        <v>9.738771769</v>
      </c>
      <c r="AM1677" s="1">
        <v>48.0113037239999</v>
      </c>
      <c r="AN1677" s="1">
        <v>26.654608238</v>
      </c>
      <c r="AO1677" s="1">
        <v>24042.0</v>
      </c>
      <c r="AP1677" s="1">
        <v>15.2</v>
      </c>
      <c r="AQ1677" s="1">
        <v>4.7</v>
      </c>
      <c r="AR1677" s="1">
        <v>24.1</v>
      </c>
      <c r="AS1677" s="1">
        <v>14.7</v>
      </c>
      <c r="AT1677" s="1">
        <v>27.7</v>
      </c>
      <c r="AU1677" s="1">
        <v>11.9</v>
      </c>
      <c r="AV1677" s="1">
        <v>39.0</v>
      </c>
      <c r="AW1677" s="1">
        <v>10.1</v>
      </c>
      <c r="AX1677" s="1">
        <v>0.7112</v>
      </c>
      <c r="AY1677" s="1">
        <v>11.9</v>
      </c>
      <c r="AZ1677" s="1">
        <v>11.6</v>
      </c>
      <c r="BA1677" s="1">
        <v>16.5</v>
      </c>
      <c r="BB1677" s="1">
        <v>2.9</v>
      </c>
      <c r="BC1677" s="1" t="s">
        <v>2802</v>
      </c>
      <c r="BD1677" s="1">
        <v>22.0</v>
      </c>
      <c r="BE1677" s="1">
        <v>31.6</v>
      </c>
      <c r="BF1677" s="1">
        <v>30.6</v>
      </c>
      <c r="BG1677" s="1">
        <v>15.8</v>
      </c>
      <c r="BH1677" s="1" t="s">
        <v>2835</v>
      </c>
    </row>
    <row r="1678">
      <c r="A1678" s="1">
        <v>31049.0</v>
      </c>
      <c r="B1678" s="2" t="str">
        <f>IFERROR(__xludf.DUMMYFUNCTION("TO_TEXT(A1678)"),"31049")</f>
        <v>31049</v>
      </c>
      <c r="C1678" s="1">
        <v>1932.0</v>
      </c>
      <c r="D1678" s="1">
        <v>439.850861348837</v>
      </c>
      <c r="E1678" s="1" t="s">
        <v>2836</v>
      </c>
      <c r="F1678" s="1" t="s">
        <v>2837</v>
      </c>
      <c r="G1678" s="1">
        <v>4.39239790067789</v>
      </c>
      <c r="H1678" s="1">
        <v>13.938524342</v>
      </c>
      <c r="I1678" s="1">
        <v>3.3869235321</v>
      </c>
      <c r="J1678" s="1">
        <v>7.80443539465</v>
      </c>
      <c r="K1678" s="1">
        <v>13.949620688</v>
      </c>
      <c r="L1678" s="1">
        <v>35.5</v>
      </c>
      <c r="M1678" s="1">
        <v>7.9</v>
      </c>
      <c r="N1678" s="1">
        <v>26.6</v>
      </c>
      <c r="O1678" s="1">
        <v>77.640391551</v>
      </c>
      <c r="P1678" s="1">
        <v>11.806543385</v>
      </c>
      <c r="Q1678" s="1">
        <v>0.0</v>
      </c>
      <c r="R1678" s="1">
        <v>82.350080171</v>
      </c>
      <c r="S1678" s="1">
        <v>20.2</v>
      </c>
      <c r="T1678" s="1">
        <v>362.0</v>
      </c>
      <c r="U1678" s="1">
        <v>22.928176796</v>
      </c>
      <c r="V1678" s="1">
        <v>0.0</v>
      </c>
      <c r="W1678" s="1">
        <v>7.6470588235</v>
      </c>
      <c r="X1678" s="1">
        <v>4.6318289786</v>
      </c>
      <c r="Y1678" s="1">
        <v>79.825636099</v>
      </c>
      <c r="Z1678" s="1">
        <v>12.0</v>
      </c>
      <c r="AA1678" s="1">
        <v>9.7734703806</v>
      </c>
      <c r="AB1678" s="1">
        <v>47097.0</v>
      </c>
      <c r="AC1678" s="1">
        <v>52.331606218</v>
      </c>
      <c r="AD1678" s="1">
        <v>75.72815534</v>
      </c>
      <c r="AE1678" s="1">
        <v>6.8789808917</v>
      </c>
      <c r="AF1678" s="1">
        <v>0.2191780822</v>
      </c>
      <c r="AG1678" s="1">
        <v>1.5890410959</v>
      </c>
      <c r="AH1678" s="1">
        <v>0.3835616438</v>
      </c>
      <c r="AI1678" s="1">
        <v>0.0</v>
      </c>
      <c r="AJ1678" s="1">
        <v>6.7397260274</v>
      </c>
      <c r="AK1678" s="1">
        <v>90.630136986</v>
      </c>
      <c r="AL1678" s="1">
        <v>1.2899607403</v>
      </c>
      <c r="AM1678" s="1">
        <v>50.410958904</v>
      </c>
      <c r="AN1678" s="1">
        <v>100.0</v>
      </c>
      <c r="AO1678" s="1">
        <v>28640.0</v>
      </c>
      <c r="AP1678" s="1">
        <v>10.5</v>
      </c>
      <c r="AQ1678" s="1">
        <v>4.7</v>
      </c>
      <c r="AR1678" s="1">
        <v>9.1</v>
      </c>
      <c r="AS1678" s="1">
        <v>25.1</v>
      </c>
      <c r="AT1678" s="1">
        <v>19.4</v>
      </c>
      <c r="AU1678" s="1">
        <v>12.8</v>
      </c>
      <c r="AV1678" s="1">
        <v>8.4</v>
      </c>
      <c r="AW1678" s="1">
        <v>2.2</v>
      </c>
      <c r="AX1678" s="1">
        <v>0.084</v>
      </c>
      <c r="AY1678" s="1">
        <v>11.2</v>
      </c>
      <c r="AZ1678" s="1">
        <v>12.8</v>
      </c>
      <c r="BA1678" s="1">
        <v>18.9</v>
      </c>
      <c r="BB1678" s="1">
        <v>3.17</v>
      </c>
      <c r="BC1678" s="1" t="s">
        <v>2802</v>
      </c>
      <c r="BD1678" s="1">
        <v>10.8</v>
      </c>
      <c r="BE1678" s="1">
        <v>33.6</v>
      </c>
      <c r="BF1678" s="1">
        <v>39.7</v>
      </c>
      <c r="BG1678" s="1">
        <v>15.9</v>
      </c>
      <c r="BH1678" s="1" t="s">
        <v>2837</v>
      </c>
    </row>
    <row r="1679">
      <c r="A1679" s="1">
        <v>31051.0</v>
      </c>
      <c r="B1679" s="2" t="str">
        <f>IFERROR(__xludf.DUMMYFUNCTION("TO_TEXT(A1679)"),"31051")</f>
        <v>31051</v>
      </c>
      <c r="C1679" s="1">
        <v>5809.0</v>
      </c>
      <c r="D1679" s="1">
        <v>476.231421913154</v>
      </c>
      <c r="E1679" s="1" t="s">
        <v>2838</v>
      </c>
      <c r="F1679" s="1" t="s">
        <v>2839</v>
      </c>
      <c r="G1679" s="1">
        <v>12.1978511553555</v>
      </c>
      <c r="H1679" s="1">
        <v>12.520026599</v>
      </c>
      <c r="I1679" s="1">
        <v>3.1975011143</v>
      </c>
      <c r="J1679" s="1">
        <v>5.4511278195</v>
      </c>
      <c r="K1679" s="1">
        <v>13.083836095</v>
      </c>
      <c r="L1679" s="1">
        <v>35.9</v>
      </c>
      <c r="M1679" s="1">
        <v>8.0</v>
      </c>
      <c r="N1679" s="1">
        <v>33.4</v>
      </c>
      <c r="O1679" s="1">
        <v>37.083333333</v>
      </c>
      <c r="P1679" s="1">
        <v>10.81556386</v>
      </c>
      <c r="Q1679" s="1">
        <v>34.75843</v>
      </c>
      <c r="R1679" s="1">
        <v>95.245367771</v>
      </c>
      <c r="S1679" s="1">
        <v>11.0</v>
      </c>
      <c r="T1679" s="1">
        <v>1446.0</v>
      </c>
      <c r="U1679" s="1">
        <v>20.954356846</v>
      </c>
      <c r="V1679" s="1">
        <v>27.731558514</v>
      </c>
      <c r="W1679" s="1">
        <v>10.262008734</v>
      </c>
      <c r="X1679" s="1">
        <v>7.9120879121</v>
      </c>
      <c r="Y1679" s="1">
        <v>80.251009315</v>
      </c>
      <c r="Z1679" s="1">
        <v>9.2</v>
      </c>
      <c r="AA1679" s="1">
        <v>10.280121264</v>
      </c>
      <c r="AB1679" s="1">
        <v>54635.0</v>
      </c>
      <c r="AC1679" s="1">
        <v>33.103448276</v>
      </c>
      <c r="AD1679" s="1">
        <v>78.494158373</v>
      </c>
      <c r="AE1679" s="1">
        <v>8.583106267</v>
      </c>
      <c r="AF1679" s="1">
        <v>0.3503240497</v>
      </c>
      <c r="AG1679" s="1">
        <v>0.9984235418</v>
      </c>
      <c r="AH1679" s="1">
        <v>0.2977754423</v>
      </c>
      <c r="AI1679" s="1">
        <v>0.1926782274</v>
      </c>
      <c r="AJ1679" s="1">
        <v>14.941320722</v>
      </c>
      <c r="AK1679" s="1">
        <v>82.95673498</v>
      </c>
      <c r="AL1679" s="1">
        <v>2.9691876751</v>
      </c>
      <c r="AM1679" s="1">
        <v>49.0628831669999</v>
      </c>
      <c r="AN1679" s="1">
        <v>100.0</v>
      </c>
      <c r="AO1679" s="1">
        <v>24983.0</v>
      </c>
      <c r="AP1679" s="1">
        <v>11.9</v>
      </c>
      <c r="AQ1679" s="1">
        <v>3.4</v>
      </c>
      <c r="AR1679" s="1">
        <v>11.5</v>
      </c>
      <c r="AS1679" s="1">
        <v>19.3</v>
      </c>
      <c r="AT1679" s="1">
        <v>25.2</v>
      </c>
      <c r="AU1679" s="1">
        <v>12.8</v>
      </c>
      <c r="AV1679" s="1">
        <v>13.9</v>
      </c>
      <c r="AW1679" s="1">
        <v>2.5</v>
      </c>
      <c r="AX1679" s="1">
        <v>0.3031</v>
      </c>
      <c r="AY1679" s="1">
        <v>8.7</v>
      </c>
      <c r="AZ1679" s="1">
        <v>11.9</v>
      </c>
      <c r="BA1679" s="1">
        <v>18.5</v>
      </c>
      <c r="BB1679" s="1">
        <v>2.97</v>
      </c>
      <c r="BC1679" s="1" t="s">
        <v>2802</v>
      </c>
      <c r="BD1679" s="1">
        <v>12.1</v>
      </c>
      <c r="BE1679" s="1">
        <v>35.3</v>
      </c>
      <c r="BF1679" s="1">
        <v>31.4</v>
      </c>
      <c r="BG1679" s="1">
        <v>21.2</v>
      </c>
      <c r="BH1679" s="1" t="s">
        <v>2839</v>
      </c>
    </row>
    <row r="1680">
      <c r="A1680" s="1">
        <v>31053.0</v>
      </c>
      <c r="B1680" s="2" t="str">
        <f>IFERROR(__xludf.DUMMYFUNCTION("TO_TEXT(A1680)"),"31053")</f>
        <v>31053</v>
      </c>
      <c r="C1680" s="1">
        <v>36679.0</v>
      </c>
      <c r="D1680" s="1">
        <v>528.719360230738</v>
      </c>
      <c r="E1680" s="1" t="s">
        <v>873</v>
      </c>
      <c r="F1680" s="1" t="s">
        <v>2840</v>
      </c>
      <c r="G1680" s="1">
        <v>69.3732871517944</v>
      </c>
      <c r="H1680" s="1">
        <v>13.4464490579999</v>
      </c>
      <c r="I1680" s="1">
        <v>3.6281124932</v>
      </c>
      <c r="J1680" s="1">
        <v>6.8313953488</v>
      </c>
      <c r="K1680" s="1">
        <v>17.399007275</v>
      </c>
      <c r="L1680" s="1">
        <v>35.2</v>
      </c>
      <c r="M1680" s="1">
        <v>7.7</v>
      </c>
      <c r="N1680" s="1">
        <v>29.4</v>
      </c>
      <c r="O1680" s="1">
        <v>90.098389251</v>
      </c>
      <c r="P1680" s="1">
        <v>10.716027025</v>
      </c>
      <c r="Q1680" s="1">
        <v>68.1069</v>
      </c>
      <c r="R1680" s="1">
        <v>87.494726056</v>
      </c>
      <c r="S1680" s="1">
        <v>11.9</v>
      </c>
      <c r="T1680" s="1">
        <v>8665.0</v>
      </c>
      <c r="U1680" s="1">
        <v>32.787074437</v>
      </c>
      <c r="V1680" s="1">
        <v>196.75894297</v>
      </c>
      <c r="W1680" s="1">
        <v>9.8572850979</v>
      </c>
      <c r="X1680" s="1">
        <v>7.51252086809999</v>
      </c>
      <c r="Y1680" s="1">
        <v>78.428746215</v>
      </c>
      <c r="Z1680" s="1">
        <v>12.0</v>
      </c>
      <c r="AA1680" s="1">
        <v>8.9355044047</v>
      </c>
      <c r="AB1680" s="1">
        <v>51682.0</v>
      </c>
      <c r="AC1680" s="1">
        <v>56.05815832</v>
      </c>
      <c r="AD1680" s="1">
        <v>62.476290143</v>
      </c>
      <c r="AE1680" s="1">
        <v>8.3491076257</v>
      </c>
      <c r="AF1680" s="1">
        <v>0.937729336</v>
      </c>
      <c r="AG1680" s="1">
        <v>1.5384197222</v>
      </c>
      <c r="AH1680" s="1">
        <v>0.7474654127</v>
      </c>
      <c r="AI1680" s="1">
        <v>0.3750917344</v>
      </c>
      <c r="AJ1680" s="1">
        <v>13.3673996359999</v>
      </c>
      <c r="AK1680" s="1">
        <v>83.082819168</v>
      </c>
      <c r="AL1680" s="1">
        <v>3.957328657</v>
      </c>
      <c r="AM1680" s="1">
        <v>50.376450762</v>
      </c>
      <c r="AN1680" s="1">
        <v>25.128778174</v>
      </c>
      <c r="AO1680" s="1">
        <v>26141.0</v>
      </c>
      <c r="AP1680" s="1">
        <v>11.8</v>
      </c>
      <c r="AQ1680" s="1">
        <v>4.3</v>
      </c>
      <c r="AR1680" s="1">
        <v>12.4</v>
      </c>
      <c r="AS1680" s="1">
        <v>18.7</v>
      </c>
      <c r="AT1680" s="1">
        <v>23.4</v>
      </c>
      <c r="AU1680" s="1">
        <v>13.4</v>
      </c>
      <c r="AV1680" s="1">
        <v>14.3</v>
      </c>
      <c r="AW1680" s="1">
        <v>3.7</v>
      </c>
      <c r="AX1680" s="1">
        <v>0.454</v>
      </c>
      <c r="AY1680" s="1">
        <v>9.5</v>
      </c>
      <c r="AZ1680" s="1">
        <v>12.8</v>
      </c>
      <c r="BA1680" s="1">
        <v>18.8</v>
      </c>
      <c r="BB1680" s="1">
        <v>2.9</v>
      </c>
      <c r="BC1680" s="1" t="s">
        <v>2802</v>
      </c>
      <c r="BD1680" s="1">
        <v>11.1</v>
      </c>
      <c r="BE1680" s="1">
        <v>35.2</v>
      </c>
      <c r="BF1680" s="1">
        <v>34.8</v>
      </c>
      <c r="BG1680" s="1">
        <v>19.0</v>
      </c>
      <c r="BH1680" s="1" t="s">
        <v>2840</v>
      </c>
    </row>
    <row r="1681">
      <c r="A1681" s="1">
        <v>31055.0</v>
      </c>
      <c r="B1681" s="2" t="str">
        <f>IFERROR(__xludf.DUMMYFUNCTION("TO_TEXT(A1681)"),"31055")</f>
        <v>31055</v>
      </c>
      <c r="C1681" s="1">
        <v>543253.0</v>
      </c>
      <c r="D1681" s="1">
        <v>328.483166490189</v>
      </c>
      <c r="E1681" s="1" t="s">
        <v>569</v>
      </c>
      <c r="F1681" s="1" t="s">
        <v>2841</v>
      </c>
      <c r="G1681" s="1">
        <v>1653.8229517348</v>
      </c>
      <c r="H1681" s="1">
        <v>14.528618852</v>
      </c>
      <c r="I1681" s="1">
        <v>3.7233846636</v>
      </c>
      <c r="J1681" s="1">
        <v>7.88922582049999</v>
      </c>
      <c r="K1681" s="1">
        <v>15.8936135429999</v>
      </c>
      <c r="L1681" s="1">
        <v>30.1</v>
      </c>
      <c r="M1681" s="1">
        <v>8.0</v>
      </c>
      <c r="N1681" s="1">
        <v>21.9</v>
      </c>
      <c r="O1681" s="1">
        <v>98.374233722</v>
      </c>
      <c r="P1681" s="1">
        <v>9.9827811288</v>
      </c>
      <c r="Q1681" s="1">
        <v>109.50465</v>
      </c>
      <c r="R1681" s="1">
        <v>85.637057843</v>
      </c>
      <c r="S1681" s="1">
        <v>13.3</v>
      </c>
      <c r="T1681" s="1">
        <v>141017.0</v>
      </c>
      <c r="U1681" s="1">
        <v>32.302488352</v>
      </c>
      <c r="V1681" s="1">
        <v>486.48732443</v>
      </c>
      <c r="W1681" s="1">
        <v>15.521737069</v>
      </c>
      <c r="X1681" s="1">
        <v>13.147122562</v>
      </c>
      <c r="Y1681" s="1">
        <v>79.131369362</v>
      </c>
      <c r="Z1681" s="1">
        <v>8.8</v>
      </c>
      <c r="AA1681" s="1">
        <v>3.1212800979</v>
      </c>
      <c r="AB1681" s="1">
        <v>64580.0</v>
      </c>
      <c r="AC1681" s="1">
        <v>50.215989615</v>
      </c>
      <c r="AD1681" s="1">
        <v>61.474509586</v>
      </c>
      <c r="AE1681" s="1">
        <v>13.029731924</v>
      </c>
      <c r="AF1681" s="1">
        <v>11.042548688</v>
      </c>
      <c r="AG1681" s="1">
        <v>1.2228337567</v>
      </c>
      <c r="AH1681" s="1">
        <v>4.1925980807</v>
      </c>
      <c r="AI1681" s="1">
        <v>0.0950818515</v>
      </c>
      <c r="AJ1681" s="1">
        <v>12.828288174</v>
      </c>
      <c r="AK1681" s="1">
        <v>69.121330793</v>
      </c>
      <c r="AL1681" s="1">
        <v>3.8395837883</v>
      </c>
      <c r="AM1681" s="1">
        <v>50.628351679</v>
      </c>
      <c r="AN1681" s="1">
        <v>2.1705246466</v>
      </c>
      <c r="AO1681" s="1">
        <v>30548.0</v>
      </c>
      <c r="AP1681" s="1">
        <v>14.2</v>
      </c>
      <c r="AQ1681" s="1">
        <v>4.9</v>
      </c>
      <c r="AR1681" s="1">
        <v>10.6</v>
      </c>
      <c r="AS1681" s="1">
        <v>11.5</v>
      </c>
      <c r="AT1681" s="1">
        <v>25.9</v>
      </c>
      <c r="AU1681" s="1">
        <v>10.3</v>
      </c>
      <c r="AV1681" s="1">
        <v>29.4</v>
      </c>
      <c r="AW1681" s="1">
        <v>3.8</v>
      </c>
      <c r="AX1681" s="1">
        <v>0.49</v>
      </c>
      <c r="AY1681" s="1">
        <v>10.2</v>
      </c>
      <c r="AZ1681" s="1">
        <v>12.4</v>
      </c>
      <c r="BA1681" s="1">
        <v>16.9</v>
      </c>
      <c r="BB1681" s="1">
        <v>3.03</v>
      </c>
      <c r="BC1681" s="1" t="s">
        <v>2802</v>
      </c>
      <c r="BD1681" s="1">
        <v>9.4</v>
      </c>
      <c r="BE1681" s="1">
        <v>21.4</v>
      </c>
      <c r="BF1681" s="1">
        <v>29.5</v>
      </c>
      <c r="BG1681" s="1">
        <v>39.7</v>
      </c>
      <c r="BH1681" s="1" t="s">
        <v>2841</v>
      </c>
    </row>
    <row r="1682">
      <c r="A1682" s="1">
        <v>31057.0</v>
      </c>
      <c r="B1682" s="2" t="str">
        <f>IFERROR(__xludf.DUMMYFUNCTION("TO_TEXT(A1682)"),"31057")</f>
        <v>31057</v>
      </c>
      <c r="C1682" s="1">
        <v>1823.0</v>
      </c>
      <c r="D1682" s="1">
        <v>919.678034199503</v>
      </c>
      <c r="E1682" s="1" t="s">
        <v>2842</v>
      </c>
      <c r="F1682" s="1" t="s">
        <v>2843</v>
      </c>
      <c r="G1682" s="1">
        <v>1.9822154408491</v>
      </c>
      <c r="H1682" s="1">
        <v>16.439363247</v>
      </c>
      <c r="I1682" s="1">
        <v>3.6886118946</v>
      </c>
      <c r="J1682" s="1">
        <v>7.80443539465</v>
      </c>
      <c r="K1682" s="1">
        <v>15.6888851009999</v>
      </c>
      <c r="L1682" s="1">
        <v>34.5</v>
      </c>
      <c r="M1682" s="1">
        <v>7.8</v>
      </c>
      <c r="N1682" s="1">
        <v>25.1</v>
      </c>
      <c r="O1682" s="1">
        <v>21.812749004</v>
      </c>
      <c r="P1682" s="1">
        <v>16.951672862</v>
      </c>
      <c r="Q1682" s="1">
        <v>55.52471</v>
      </c>
      <c r="R1682" s="1">
        <v>96.0</v>
      </c>
      <c r="S1682" s="1">
        <v>21.4</v>
      </c>
      <c r="T1682" s="1">
        <v>540.0</v>
      </c>
      <c r="U1682" s="1">
        <v>27.962962963</v>
      </c>
      <c r="V1682" s="1">
        <v>204.509002055</v>
      </c>
      <c r="W1682" s="1">
        <v>5.5214723926</v>
      </c>
      <c r="X1682" s="1">
        <v>5.3020961776</v>
      </c>
      <c r="Y1682" s="1">
        <v>77.562190907</v>
      </c>
      <c r="Z1682" s="1">
        <v>7.3</v>
      </c>
      <c r="AA1682" s="1">
        <v>10.924795048</v>
      </c>
      <c r="AB1682" s="1">
        <v>48574.0</v>
      </c>
      <c r="AC1682" s="1">
        <v>55.208333333</v>
      </c>
      <c r="AD1682" s="1">
        <v>70.404624277</v>
      </c>
      <c r="AE1682" s="1">
        <v>9.7393689986</v>
      </c>
      <c r="AF1682" s="1">
        <v>0.4519774011</v>
      </c>
      <c r="AG1682" s="1">
        <v>1.6384180791</v>
      </c>
      <c r="AH1682" s="1">
        <v>0.2259887006</v>
      </c>
      <c r="AI1682" s="1">
        <v>0.2259887006</v>
      </c>
      <c r="AJ1682" s="1">
        <v>8.1920903955</v>
      </c>
      <c r="AK1682" s="1">
        <v>88.587570621</v>
      </c>
      <c r="AL1682" s="1">
        <v>1.9895287958</v>
      </c>
      <c r="AM1682" s="1">
        <v>50.0</v>
      </c>
      <c r="AN1682" s="1">
        <v>100.0</v>
      </c>
      <c r="AO1682" s="1">
        <v>28161.0</v>
      </c>
      <c r="AP1682" s="1">
        <v>8.5</v>
      </c>
      <c r="AQ1682" s="1">
        <v>3.7</v>
      </c>
      <c r="AR1682" s="1">
        <v>9.8</v>
      </c>
      <c r="AS1682" s="1">
        <v>23.7</v>
      </c>
      <c r="AT1682" s="1">
        <v>20.1</v>
      </c>
      <c r="AU1682" s="1">
        <v>12.4</v>
      </c>
      <c r="AV1682" s="1">
        <v>7.1</v>
      </c>
      <c r="AW1682" s="1">
        <v>0.1</v>
      </c>
      <c r="AX1682" s="1">
        <v>0.0226</v>
      </c>
      <c r="AY1682" s="1">
        <v>13.4</v>
      </c>
      <c r="AZ1682" s="1">
        <v>10.8</v>
      </c>
      <c r="BA1682" s="1">
        <v>15.6</v>
      </c>
      <c r="BB1682" s="1">
        <v>2.9</v>
      </c>
      <c r="BC1682" s="1" t="s">
        <v>2802</v>
      </c>
      <c r="BD1682" s="1">
        <v>16.9</v>
      </c>
      <c r="BE1682" s="1">
        <v>24.3</v>
      </c>
      <c r="BF1682" s="1">
        <v>35.6</v>
      </c>
      <c r="BG1682" s="1">
        <v>23.3</v>
      </c>
      <c r="BH1682" s="1" t="s">
        <v>2843</v>
      </c>
    </row>
    <row r="1683">
      <c r="A1683" s="1">
        <v>31059.0</v>
      </c>
      <c r="B1683" s="2" t="str">
        <f>IFERROR(__xludf.DUMMYFUNCTION("TO_TEXT(A1683)"),"31059")</f>
        <v>31059</v>
      </c>
      <c r="C1683" s="1">
        <v>5676.0</v>
      </c>
      <c r="D1683" s="1">
        <v>575.370276080172</v>
      </c>
      <c r="E1683" s="1" t="s">
        <v>2323</v>
      </c>
      <c r="F1683" s="1" t="s">
        <v>2844</v>
      </c>
      <c r="G1683" s="1">
        <v>9.86495172929147</v>
      </c>
      <c r="H1683" s="1">
        <v>12.386691859</v>
      </c>
      <c r="I1683" s="1">
        <v>3.3847466974</v>
      </c>
      <c r="J1683" s="1">
        <v>4.4811320755</v>
      </c>
      <c r="K1683" s="1">
        <v>13.77712701</v>
      </c>
      <c r="L1683" s="1">
        <v>32.4</v>
      </c>
      <c r="M1683" s="1">
        <v>8.2</v>
      </c>
      <c r="N1683" s="1">
        <v>28.1</v>
      </c>
      <c r="O1683" s="1">
        <v>63.5483870969999</v>
      </c>
      <c r="P1683" s="1">
        <v>8.3095238095</v>
      </c>
      <c r="Q1683" s="1">
        <v>71.6589</v>
      </c>
      <c r="R1683" s="1">
        <v>91.9204474829999</v>
      </c>
      <c r="S1683" s="1">
        <v>11.8</v>
      </c>
      <c r="T1683" s="1">
        <v>1037.0</v>
      </c>
      <c r="U1683" s="1">
        <v>20.9257473479999</v>
      </c>
      <c r="V1683" s="1">
        <v>17.985611511</v>
      </c>
      <c r="W1683" s="1">
        <v>6.9105691057</v>
      </c>
      <c r="X1683" s="1">
        <v>6.5690376569</v>
      </c>
      <c r="Y1683" s="1">
        <v>80.288328244</v>
      </c>
      <c r="Z1683" s="1">
        <v>12.8</v>
      </c>
      <c r="AA1683" s="1">
        <v>5.7940506537</v>
      </c>
      <c r="AB1683" s="1">
        <v>56697.0</v>
      </c>
      <c r="AC1683" s="1">
        <v>30.4075235109999</v>
      </c>
      <c r="AD1683" s="1">
        <v>75.61752988</v>
      </c>
      <c r="AE1683" s="1">
        <v>7.50954603309999</v>
      </c>
      <c r="AF1683" s="1">
        <v>0.705626922399999</v>
      </c>
      <c r="AG1683" s="1">
        <v>0.8503709065</v>
      </c>
      <c r="AH1683" s="1">
        <v>0.6694409264</v>
      </c>
      <c r="AI1683" s="1">
        <v>0.0</v>
      </c>
      <c r="AJ1683" s="1">
        <v>4.1071105482</v>
      </c>
      <c r="AK1683" s="1">
        <v>93.323683734</v>
      </c>
      <c r="AL1683" s="1">
        <v>0.5270092227</v>
      </c>
      <c r="AM1683" s="1">
        <v>49.990953501</v>
      </c>
      <c r="AN1683" s="1">
        <v>100.0</v>
      </c>
      <c r="AO1683" s="1">
        <v>29361.0</v>
      </c>
      <c r="AP1683" s="1">
        <v>10.1</v>
      </c>
      <c r="AQ1683" s="1">
        <v>2.7</v>
      </c>
      <c r="AR1683" s="1">
        <v>8.3</v>
      </c>
      <c r="AS1683" s="1">
        <v>23.4</v>
      </c>
      <c r="AT1683" s="1">
        <v>20.8</v>
      </c>
      <c r="AU1683" s="1">
        <v>16.1</v>
      </c>
      <c r="AV1683" s="1">
        <v>6.0</v>
      </c>
      <c r="AW1683" s="1">
        <v>0.4</v>
      </c>
      <c r="AX1683" s="1">
        <v>0.0723</v>
      </c>
      <c r="AY1683" s="1">
        <v>8.5</v>
      </c>
      <c r="AZ1683" s="1">
        <v>12.1</v>
      </c>
      <c r="BA1683" s="1">
        <v>17.2</v>
      </c>
      <c r="BB1683" s="1">
        <v>3.02</v>
      </c>
      <c r="BC1683" s="1" t="s">
        <v>2802</v>
      </c>
      <c r="BD1683" s="1">
        <v>7.9</v>
      </c>
      <c r="BE1683" s="1">
        <v>33.5</v>
      </c>
      <c r="BF1683" s="1">
        <v>37.2</v>
      </c>
      <c r="BG1683" s="1">
        <v>21.4</v>
      </c>
      <c r="BH1683" s="1" t="s">
        <v>2844</v>
      </c>
    </row>
    <row r="1684">
      <c r="A1684" s="1">
        <v>31061.0</v>
      </c>
      <c r="B1684" s="2" t="str">
        <f>IFERROR(__xludf.DUMMYFUNCTION("TO_TEXT(A1684)"),"31061")</f>
        <v>31061</v>
      </c>
      <c r="C1684" s="1">
        <v>3076.0</v>
      </c>
      <c r="D1684" s="1">
        <v>575.81544550854</v>
      </c>
      <c r="E1684" s="1" t="s">
        <v>118</v>
      </c>
      <c r="F1684" s="1" t="s">
        <v>2845</v>
      </c>
      <c r="G1684" s="1">
        <v>5.34198938912342</v>
      </c>
      <c r="H1684" s="1">
        <v>14.391008079</v>
      </c>
      <c r="I1684" s="1">
        <v>3.4725821373</v>
      </c>
      <c r="J1684" s="1">
        <v>6.103286385</v>
      </c>
      <c r="K1684" s="1">
        <v>14.715714372</v>
      </c>
      <c r="L1684" s="1">
        <v>30.3</v>
      </c>
      <c r="M1684" s="1">
        <v>7.2</v>
      </c>
      <c r="N1684" s="1">
        <v>28.7</v>
      </c>
      <c r="O1684" s="1">
        <v>50.945736434</v>
      </c>
      <c r="P1684" s="1">
        <v>10.528756957</v>
      </c>
      <c r="Q1684" s="1">
        <v>66.88963</v>
      </c>
      <c r="R1684" s="1">
        <v>93.0</v>
      </c>
      <c r="S1684" s="1">
        <v>18.4</v>
      </c>
      <c r="T1684" s="1">
        <v>562.0</v>
      </c>
      <c r="U1684" s="1">
        <v>25.800711744</v>
      </c>
      <c r="V1684" s="1">
        <v>33.400133601</v>
      </c>
      <c r="W1684" s="1">
        <v>7.9136690647</v>
      </c>
      <c r="X1684" s="1">
        <v>5.5555555556</v>
      </c>
      <c r="Y1684" s="1">
        <v>77.235582873</v>
      </c>
      <c r="Z1684" s="1">
        <v>6.4</v>
      </c>
      <c r="AA1684" s="1">
        <v>15.19008837</v>
      </c>
      <c r="AB1684" s="1">
        <v>48778.0</v>
      </c>
      <c r="AC1684" s="1">
        <v>53.532608696</v>
      </c>
      <c r="AD1684" s="1">
        <v>83.53028065</v>
      </c>
      <c r="AE1684" s="1">
        <v>7.2852760736</v>
      </c>
      <c r="AF1684" s="1">
        <v>0.1653986107</v>
      </c>
      <c r="AG1684" s="1">
        <v>0.562355276199999</v>
      </c>
      <c r="AH1684" s="1">
        <v>0.1984783328</v>
      </c>
      <c r="AI1684" s="1">
        <v>0.0</v>
      </c>
      <c r="AJ1684" s="1">
        <v>2.1832616606</v>
      </c>
      <c r="AK1684" s="1">
        <v>95.765795567</v>
      </c>
      <c r="AL1684" s="1">
        <v>0.4192872117</v>
      </c>
      <c r="AM1684" s="1">
        <v>50.77737347</v>
      </c>
      <c r="AN1684" s="1">
        <v>100.0</v>
      </c>
      <c r="AO1684" s="1">
        <v>28373.0</v>
      </c>
      <c r="AP1684" s="1">
        <v>13.1</v>
      </c>
      <c r="AQ1684" s="1">
        <v>3.4</v>
      </c>
      <c r="AR1684" s="1">
        <v>8.8</v>
      </c>
      <c r="AS1684" s="1">
        <v>25.9</v>
      </c>
      <c r="AT1684" s="1">
        <v>19.2</v>
      </c>
      <c r="AU1684" s="1">
        <v>16.2</v>
      </c>
      <c r="AV1684" s="1">
        <v>3.5</v>
      </c>
      <c r="AW1684" s="1">
        <v>0.1</v>
      </c>
      <c r="AX1684" s="1">
        <v>0.056</v>
      </c>
      <c r="AY1684" s="1">
        <v>14.3</v>
      </c>
      <c r="AZ1684" s="1">
        <v>13.5</v>
      </c>
      <c r="BA1684" s="1">
        <v>21.3</v>
      </c>
      <c r="BB1684" s="1">
        <v>3.18</v>
      </c>
      <c r="BC1684" s="1" t="s">
        <v>2802</v>
      </c>
      <c r="BD1684" s="1">
        <v>7.5</v>
      </c>
      <c r="BE1684" s="1">
        <v>35.3</v>
      </c>
      <c r="BF1684" s="1">
        <v>39.9</v>
      </c>
      <c r="BG1684" s="1">
        <v>17.3</v>
      </c>
      <c r="BH1684" s="1" t="s">
        <v>2845</v>
      </c>
    </row>
    <row r="1685">
      <c r="A1685" s="1">
        <v>31063.0</v>
      </c>
      <c r="B1685" s="2" t="str">
        <f>IFERROR(__xludf.DUMMYFUNCTION("TO_TEXT(A1685)"),"31063")</f>
        <v>31063</v>
      </c>
      <c r="C1685" s="1">
        <v>2599.0</v>
      </c>
      <c r="D1685" s="1">
        <v>974.591126669633</v>
      </c>
      <c r="E1685" s="1" t="s">
        <v>2846</v>
      </c>
      <c r="F1685" s="1" t="s">
        <v>2847</v>
      </c>
      <c r="G1685" s="1">
        <v>2.66675935054045</v>
      </c>
      <c r="H1685" s="1">
        <v>12.113988113</v>
      </c>
      <c r="I1685" s="1">
        <v>3.2579200256</v>
      </c>
      <c r="J1685" s="1">
        <v>6.8571428571</v>
      </c>
      <c r="K1685" s="1">
        <v>13.852092609</v>
      </c>
      <c r="L1685" s="1">
        <v>43.5</v>
      </c>
      <c r="M1685" s="1">
        <v>5.8</v>
      </c>
      <c r="N1685" s="1">
        <v>29.8</v>
      </c>
      <c r="O1685" s="1">
        <v>61.502177068</v>
      </c>
      <c r="P1685" s="1">
        <v>11.410459588</v>
      </c>
      <c r="Q1685" s="1">
        <v>48.31939</v>
      </c>
      <c r="R1685" s="1">
        <v>92.1052631579999</v>
      </c>
      <c r="S1685" s="1">
        <v>19.3</v>
      </c>
      <c r="T1685" s="1">
        <v>518.0</v>
      </c>
      <c r="U1685" s="1">
        <v>20.27027027</v>
      </c>
      <c r="V1685" s="1">
        <v>204.509002055</v>
      </c>
      <c r="W1685" s="1">
        <v>9.1324200913</v>
      </c>
      <c r="X1685" s="1">
        <v>8.6476540938</v>
      </c>
      <c r="Y1685" s="1">
        <v>86.604044214</v>
      </c>
      <c r="Z1685" s="1">
        <v>11.1</v>
      </c>
      <c r="AA1685" s="1">
        <v>31.603234178</v>
      </c>
      <c r="AB1685" s="1">
        <v>43650.0</v>
      </c>
      <c r="AC1685" s="1">
        <v>36.11615245</v>
      </c>
      <c r="AD1685" s="1">
        <v>74.910394265</v>
      </c>
      <c r="AE1685" s="1">
        <v>7.02087286529999</v>
      </c>
      <c r="AF1685" s="1">
        <v>0.4601226994</v>
      </c>
      <c r="AG1685" s="1">
        <v>0.536809816</v>
      </c>
      <c r="AH1685" s="1">
        <v>0.1917177914</v>
      </c>
      <c r="AI1685" s="1">
        <v>0.0</v>
      </c>
      <c r="AJ1685" s="1">
        <v>2.3389570552</v>
      </c>
      <c r="AK1685" s="1">
        <v>95.5904907979999</v>
      </c>
      <c r="AL1685" s="1">
        <v>0.1204819277</v>
      </c>
      <c r="AM1685" s="1">
        <v>48.88803681</v>
      </c>
      <c r="AN1685" s="1">
        <v>100.0</v>
      </c>
      <c r="AO1685" s="1">
        <v>26798.0</v>
      </c>
      <c r="AP1685" s="1">
        <v>11.0</v>
      </c>
      <c r="AQ1685" s="1">
        <v>2.6</v>
      </c>
      <c r="AR1685" s="1">
        <v>4.6</v>
      </c>
      <c r="AS1685" s="1">
        <v>22.5</v>
      </c>
      <c r="AT1685" s="1">
        <v>20.6</v>
      </c>
      <c r="AU1685" s="1">
        <v>14.0</v>
      </c>
      <c r="AV1685" s="1">
        <v>3.2</v>
      </c>
      <c r="AW1685" s="1">
        <v>0.0</v>
      </c>
      <c r="AX1685" s="1">
        <v>0.057</v>
      </c>
      <c r="AY1685" s="1">
        <v>12.9</v>
      </c>
      <c r="AZ1685" s="1">
        <v>12.6</v>
      </c>
      <c r="BA1685" s="1">
        <v>20.1</v>
      </c>
      <c r="BB1685" s="1">
        <v>3.0</v>
      </c>
      <c r="BC1685" s="1" t="s">
        <v>2802</v>
      </c>
      <c r="BD1685" s="1">
        <v>4.1</v>
      </c>
      <c r="BE1685" s="1">
        <v>29.2</v>
      </c>
      <c r="BF1685" s="1">
        <v>45.2</v>
      </c>
      <c r="BG1685" s="1">
        <v>21.5</v>
      </c>
      <c r="BH1685" s="1" t="s">
        <v>2847</v>
      </c>
    </row>
    <row r="1686">
      <c r="A1686" s="1">
        <v>31065.0</v>
      </c>
      <c r="B1686" s="2" t="str">
        <f>IFERROR(__xludf.DUMMYFUNCTION("TO_TEXT(A1686)"),"31065")</f>
        <v>31065</v>
      </c>
      <c r="C1686" s="1">
        <v>4850.0</v>
      </c>
      <c r="D1686" s="1">
        <v>719.131309817314</v>
      </c>
      <c r="E1686" s="1" t="s">
        <v>2848</v>
      </c>
      <c r="F1686" s="1" t="s">
        <v>2849</v>
      </c>
      <c r="G1686" s="1">
        <v>6.74424814187562</v>
      </c>
      <c r="H1686" s="1">
        <v>15.281318707</v>
      </c>
      <c r="I1686" s="1">
        <v>3.5548814693</v>
      </c>
      <c r="J1686" s="1">
        <v>4.2328042328</v>
      </c>
      <c r="K1686" s="1">
        <v>15.532819382</v>
      </c>
      <c r="L1686" s="1">
        <v>34.1</v>
      </c>
      <c r="M1686" s="1">
        <v>7.5</v>
      </c>
      <c r="N1686" s="1">
        <v>30.3</v>
      </c>
      <c r="O1686" s="1">
        <v>67.150635209</v>
      </c>
      <c r="P1686" s="1">
        <v>11.492329149</v>
      </c>
      <c r="Q1686" s="1">
        <v>62.76151</v>
      </c>
      <c r="R1686" s="1">
        <v>100.0</v>
      </c>
      <c r="S1686" s="1">
        <v>17.6</v>
      </c>
      <c r="T1686" s="1">
        <v>1063.0</v>
      </c>
      <c r="U1686" s="1">
        <v>20.696142992</v>
      </c>
      <c r="V1686" s="1">
        <v>62.034739454</v>
      </c>
      <c r="W1686" s="1">
        <v>12.5842696629999</v>
      </c>
      <c r="X1686" s="1">
        <v>9.5884215287</v>
      </c>
      <c r="Y1686" s="1">
        <v>78.622940433</v>
      </c>
      <c r="Z1686" s="1">
        <v>10.3</v>
      </c>
      <c r="AA1686" s="1">
        <v>9.6150246547</v>
      </c>
      <c r="AB1686" s="1">
        <v>49685.0</v>
      </c>
      <c r="AC1686" s="1">
        <v>44.647758463</v>
      </c>
      <c r="AD1686" s="1">
        <v>71.895424837</v>
      </c>
      <c r="AE1686" s="1">
        <v>9.2885375494</v>
      </c>
      <c r="AF1686" s="1">
        <v>0.4453870626</v>
      </c>
      <c r="AG1686" s="1">
        <v>0.721102863199999</v>
      </c>
      <c r="AH1686" s="1">
        <v>0.3393425239</v>
      </c>
      <c r="AI1686" s="1">
        <v>0.0636267232</v>
      </c>
      <c r="AJ1686" s="1">
        <v>4.4750795334</v>
      </c>
      <c r="AK1686" s="1">
        <v>92.9798515379999</v>
      </c>
      <c r="AL1686" s="1">
        <v>0.221680337</v>
      </c>
      <c r="AM1686" s="1">
        <v>50.2014846239999</v>
      </c>
      <c r="AN1686" s="1">
        <v>100.0</v>
      </c>
      <c r="AO1686" s="1">
        <v>23307.0</v>
      </c>
      <c r="AP1686" s="1">
        <v>15.6</v>
      </c>
      <c r="AQ1686" s="1">
        <v>3.7</v>
      </c>
      <c r="AR1686" s="1">
        <v>11.8</v>
      </c>
      <c r="AS1686" s="1">
        <v>23.4</v>
      </c>
      <c r="AT1686" s="1">
        <v>22.9</v>
      </c>
      <c r="AU1686" s="1">
        <v>16.5</v>
      </c>
      <c r="AV1686" s="1">
        <v>5.4</v>
      </c>
      <c r="AW1686" s="1">
        <v>0.0</v>
      </c>
      <c r="AX1686" s="1">
        <v>0.2738</v>
      </c>
      <c r="AY1686" s="1">
        <v>12.2</v>
      </c>
      <c r="AZ1686" s="1">
        <v>13.2</v>
      </c>
      <c r="BA1686" s="1">
        <v>18.3</v>
      </c>
      <c r="BB1686" s="1">
        <v>3.12</v>
      </c>
      <c r="BC1686" s="1" t="s">
        <v>2802</v>
      </c>
      <c r="BD1686" s="1">
        <v>11.3</v>
      </c>
      <c r="BE1686" s="1">
        <v>33.0</v>
      </c>
      <c r="BF1686" s="1">
        <v>38.3</v>
      </c>
      <c r="BG1686" s="1">
        <v>17.4</v>
      </c>
      <c r="BH1686" s="1" t="s">
        <v>2849</v>
      </c>
    </row>
    <row r="1687">
      <c r="A1687" s="1">
        <v>31067.0</v>
      </c>
      <c r="B1687" s="2" t="str">
        <f>IFERROR(__xludf.DUMMYFUNCTION("TO_TEXT(A1687)"),"31067")</f>
        <v>31067</v>
      </c>
      <c r="C1687" s="1">
        <v>21778.0</v>
      </c>
      <c r="D1687" s="1">
        <v>851.462200409862</v>
      </c>
      <c r="E1687" s="1" t="s">
        <v>2850</v>
      </c>
      <c r="F1687" s="1" t="s">
        <v>2851</v>
      </c>
      <c r="G1687" s="1">
        <v>25.5771776944612</v>
      </c>
      <c r="H1687" s="1">
        <v>13.321736209</v>
      </c>
      <c r="I1687" s="1">
        <v>3.359903395</v>
      </c>
      <c r="J1687" s="1">
        <v>6.7462686567</v>
      </c>
      <c r="K1687" s="1">
        <v>14.594565328</v>
      </c>
      <c r="L1687" s="1">
        <v>38.6</v>
      </c>
      <c r="M1687" s="1">
        <v>7.8</v>
      </c>
      <c r="N1687" s="1">
        <v>29.1</v>
      </c>
      <c r="O1687" s="1">
        <v>67.424140558</v>
      </c>
      <c r="P1687" s="1">
        <v>8.6540156278</v>
      </c>
      <c r="Q1687" s="1">
        <v>78.70006</v>
      </c>
      <c r="R1687" s="1">
        <v>87.380602815</v>
      </c>
      <c r="S1687" s="1">
        <v>13.9</v>
      </c>
      <c r="T1687" s="1">
        <v>4744.0</v>
      </c>
      <c r="U1687" s="1">
        <v>23.840640809</v>
      </c>
      <c r="V1687" s="1">
        <v>436.78837848</v>
      </c>
      <c r="W1687" s="1">
        <v>9.5675675676</v>
      </c>
      <c r="X1687" s="1">
        <v>8.192244675</v>
      </c>
      <c r="Y1687" s="1">
        <v>78.345218776</v>
      </c>
      <c r="Z1687" s="1">
        <v>10.9</v>
      </c>
      <c r="AA1687" s="1">
        <v>7.82866971179999</v>
      </c>
      <c r="AB1687" s="1">
        <v>49931.0</v>
      </c>
      <c r="AC1687" s="1">
        <v>45.791680103</v>
      </c>
      <c r="AD1687" s="1">
        <v>68.526200873</v>
      </c>
      <c r="AE1687" s="1">
        <v>8.2637164145</v>
      </c>
      <c r="AF1687" s="1">
        <v>0.730470385699999</v>
      </c>
      <c r="AG1687" s="1">
        <v>0.6699855767</v>
      </c>
      <c r="AH1687" s="1">
        <v>0.562973991499999</v>
      </c>
      <c r="AI1687" s="1">
        <v>0.0232633881</v>
      </c>
      <c r="AJ1687" s="1">
        <v>2.726469083</v>
      </c>
      <c r="AK1687" s="1">
        <v>94.207416368</v>
      </c>
      <c r="AL1687" s="1">
        <v>0.2263779528</v>
      </c>
      <c r="AM1687" s="1">
        <v>50.053505793</v>
      </c>
      <c r="AN1687" s="1">
        <v>44.399623504</v>
      </c>
      <c r="AO1687" s="1">
        <v>26347.0</v>
      </c>
      <c r="AP1687" s="1">
        <v>10.4</v>
      </c>
      <c r="AQ1687" s="1">
        <v>3.6</v>
      </c>
      <c r="AR1687" s="1">
        <v>10.7</v>
      </c>
      <c r="AS1687" s="1">
        <v>20.6</v>
      </c>
      <c r="AT1687" s="1">
        <v>22.3</v>
      </c>
      <c r="AU1687" s="1">
        <v>15.5</v>
      </c>
      <c r="AV1687" s="1">
        <v>4.8</v>
      </c>
      <c r="AW1687" s="1">
        <v>0.4</v>
      </c>
      <c r="AX1687" s="1">
        <v>0.15</v>
      </c>
      <c r="AY1687" s="1">
        <v>11.2</v>
      </c>
      <c r="AZ1687" s="1">
        <v>12.7</v>
      </c>
      <c r="BA1687" s="1">
        <v>18.4</v>
      </c>
      <c r="BB1687" s="1">
        <v>3.01</v>
      </c>
      <c r="BC1687" s="1" t="s">
        <v>2802</v>
      </c>
      <c r="BD1687" s="1">
        <v>10.0</v>
      </c>
      <c r="BE1687" s="1">
        <v>35.7</v>
      </c>
      <c r="BF1687" s="1">
        <v>33.5</v>
      </c>
      <c r="BG1687" s="1">
        <v>20.8</v>
      </c>
      <c r="BH1687" s="1" t="s">
        <v>2851</v>
      </c>
    </row>
    <row r="1688">
      <c r="A1688" s="1">
        <v>31069.0</v>
      </c>
      <c r="B1688" s="2" t="str">
        <f>IFERROR(__xludf.DUMMYFUNCTION("TO_TEXT(A1688)"),"31069")</f>
        <v>31069</v>
      </c>
      <c r="C1688" s="1">
        <v>1930.0</v>
      </c>
      <c r="D1688" s="1">
        <v>1704.28124625965</v>
      </c>
      <c r="E1688" s="1" t="s">
        <v>2852</v>
      </c>
      <c r="F1688" s="1" t="s">
        <v>2853</v>
      </c>
      <c r="G1688" s="1">
        <v>1.13244219769227</v>
      </c>
      <c r="H1688" s="1">
        <v>14.251051644</v>
      </c>
      <c r="I1688" s="1">
        <v>3.4122022701</v>
      </c>
      <c r="J1688" s="1">
        <v>7.5757575758</v>
      </c>
      <c r="K1688" s="1">
        <v>14.261431551</v>
      </c>
      <c r="L1688" s="1">
        <v>28.9</v>
      </c>
      <c r="M1688" s="1">
        <v>5.7</v>
      </c>
      <c r="N1688" s="1">
        <v>31.0</v>
      </c>
      <c r="O1688" s="1">
        <v>56.441419543</v>
      </c>
      <c r="P1688" s="1">
        <v>13.175425611</v>
      </c>
      <c r="Q1688" s="1">
        <v>0.0</v>
      </c>
      <c r="R1688" s="1">
        <v>100.0</v>
      </c>
      <c r="S1688" s="1">
        <v>26.2</v>
      </c>
      <c r="T1688" s="1">
        <v>374.0</v>
      </c>
      <c r="U1688" s="1">
        <v>14.705882353</v>
      </c>
      <c r="V1688" s="1">
        <v>204.509002055</v>
      </c>
      <c r="W1688" s="1">
        <v>9.8265895954</v>
      </c>
      <c r="X1688" s="1">
        <v>8.0378250591</v>
      </c>
      <c r="Y1688" s="1">
        <v>82.5606008869999</v>
      </c>
      <c r="Z1688" s="1">
        <v>12.4</v>
      </c>
      <c r="AA1688" s="1">
        <v>33.2826496009999</v>
      </c>
      <c r="AB1688" s="1">
        <v>39192.0</v>
      </c>
      <c r="AC1688" s="1">
        <v>52.8</v>
      </c>
      <c r="AD1688" s="1">
        <v>77.152698048</v>
      </c>
      <c r="AE1688" s="1">
        <v>5.4263565891</v>
      </c>
      <c r="AF1688" s="1">
        <v>0.36900369</v>
      </c>
      <c r="AG1688" s="1">
        <v>1.2651555087</v>
      </c>
      <c r="AH1688" s="1">
        <v>0.0</v>
      </c>
      <c r="AI1688" s="1">
        <v>0.0</v>
      </c>
      <c r="AJ1688" s="1">
        <v>5.85134422769999</v>
      </c>
      <c r="AK1688" s="1">
        <v>91.3020558779999</v>
      </c>
      <c r="AL1688" s="1">
        <v>0.0</v>
      </c>
      <c r="AM1688" s="1">
        <v>47.70690564</v>
      </c>
      <c r="AN1688" s="1">
        <v>100.0</v>
      </c>
      <c r="AO1688" s="1">
        <v>30900.0</v>
      </c>
      <c r="AP1688" s="1">
        <v>11.6</v>
      </c>
      <c r="AQ1688" s="1">
        <v>2.3</v>
      </c>
      <c r="AR1688" s="1">
        <v>5.6</v>
      </c>
      <c r="AS1688" s="1">
        <v>23.9</v>
      </c>
      <c r="AT1688" s="1">
        <v>19.5</v>
      </c>
      <c r="AU1688" s="1">
        <v>13.5</v>
      </c>
      <c r="AV1688" s="1">
        <v>7.1</v>
      </c>
      <c r="AW1688" s="1">
        <v>0.0</v>
      </c>
      <c r="AX1688" s="1">
        <v>0.0137</v>
      </c>
      <c r="AY1688" s="1">
        <v>15.0</v>
      </c>
      <c r="AZ1688" s="1">
        <v>11.8</v>
      </c>
      <c r="BA1688" s="1">
        <v>16.7</v>
      </c>
      <c r="BB1688" s="1">
        <v>3.09</v>
      </c>
      <c r="BC1688" s="1" t="s">
        <v>2802</v>
      </c>
      <c r="BD1688" s="1">
        <v>5.9</v>
      </c>
      <c r="BE1688" s="1">
        <v>31.9</v>
      </c>
      <c r="BF1688" s="1">
        <v>39.8</v>
      </c>
      <c r="BG1688" s="1">
        <v>22.5</v>
      </c>
      <c r="BH1688" s="1" t="s">
        <v>2853</v>
      </c>
    </row>
    <row r="1689">
      <c r="A1689" s="1">
        <v>31071.0</v>
      </c>
      <c r="B1689" s="2" t="str">
        <f>IFERROR(__xludf.DUMMYFUNCTION("TO_TEXT(A1689)"),"31071")</f>
        <v>31071</v>
      </c>
      <c r="C1689" s="1">
        <v>1968.0</v>
      </c>
      <c r="D1689" s="1">
        <v>569.791713379637</v>
      </c>
      <c r="E1689" s="1" t="s">
        <v>579</v>
      </c>
      <c r="F1689" s="1" t="s">
        <v>2854</v>
      </c>
      <c r="G1689" s="1">
        <v>3.45389368393424</v>
      </c>
      <c r="H1689" s="1">
        <v>14.035316214</v>
      </c>
      <c r="I1689" s="1">
        <v>3.4341953388</v>
      </c>
      <c r="J1689" s="1">
        <v>8.1300813008</v>
      </c>
      <c r="K1689" s="1">
        <v>13.341986965</v>
      </c>
      <c r="L1689" s="1">
        <v>27.5</v>
      </c>
      <c r="M1689" s="1">
        <v>8.5</v>
      </c>
      <c r="N1689" s="1">
        <v>29.8</v>
      </c>
      <c r="O1689" s="1">
        <v>70.034163006</v>
      </c>
      <c r="P1689" s="1">
        <v>10.71922545</v>
      </c>
      <c r="Q1689" s="1">
        <v>49.60317</v>
      </c>
      <c r="R1689" s="1">
        <v>92.0</v>
      </c>
      <c r="S1689" s="1">
        <v>18.2</v>
      </c>
      <c r="T1689" s="1">
        <v>405.0</v>
      </c>
      <c r="U1689" s="1">
        <v>20.9876543209999</v>
      </c>
      <c r="V1689" s="1">
        <v>49.431537321</v>
      </c>
      <c r="W1689" s="1">
        <v>6.52173913039999</v>
      </c>
      <c r="X1689" s="1">
        <v>6.46929824559999</v>
      </c>
      <c r="Y1689" s="1">
        <v>75.092103539</v>
      </c>
      <c r="Z1689" s="1">
        <v>6.8</v>
      </c>
      <c r="AA1689" s="1">
        <v>3.010833241</v>
      </c>
      <c r="AB1689" s="1">
        <v>46245.0</v>
      </c>
      <c r="AC1689" s="1">
        <v>40.361445783</v>
      </c>
      <c r="AD1689" s="1">
        <v>78.103837472</v>
      </c>
      <c r="AE1689" s="1">
        <v>7.9254079254</v>
      </c>
      <c r="AF1689" s="1">
        <v>0.2013085053</v>
      </c>
      <c r="AG1689" s="1">
        <v>0.2516356316</v>
      </c>
      <c r="AH1689" s="1">
        <v>0.1006542526</v>
      </c>
      <c r="AI1689" s="1">
        <v>0.0503271263</v>
      </c>
      <c r="AJ1689" s="1">
        <v>1.409159537</v>
      </c>
      <c r="AK1689" s="1">
        <v>97.684952189</v>
      </c>
      <c r="AL1689" s="1">
        <v>0.0</v>
      </c>
      <c r="AM1689" s="1">
        <v>50.075490689</v>
      </c>
      <c r="AN1689" s="1">
        <v>100.0</v>
      </c>
      <c r="AO1689" s="1">
        <v>24379.0</v>
      </c>
      <c r="AP1689" s="1">
        <v>7.3</v>
      </c>
      <c r="AQ1689" s="1">
        <v>3.0</v>
      </c>
      <c r="AR1689" s="1">
        <v>5.7</v>
      </c>
      <c r="AS1689" s="1">
        <v>26.9</v>
      </c>
      <c r="AT1689" s="1">
        <v>20.5</v>
      </c>
      <c r="AU1689" s="1">
        <v>13.8</v>
      </c>
      <c r="AV1689" s="1">
        <v>3.1</v>
      </c>
      <c r="AW1689" s="1">
        <v>0.0</v>
      </c>
      <c r="AX1689" s="1">
        <v>0.0564</v>
      </c>
      <c r="AY1689" s="1">
        <v>12.1</v>
      </c>
      <c r="AZ1689" s="1">
        <v>11.4</v>
      </c>
      <c r="BA1689" s="1">
        <v>17.2</v>
      </c>
      <c r="BB1689" s="1">
        <v>3.25</v>
      </c>
      <c r="BC1689" s="1" t="s">
        <v>2802</v>
      </c>
      <c r="BD1689" s="1">
        <v>3.7</v>
      </c>
      <c r="BE1689" s="1">
        <v>31.3</v>
      </c>
      <c r="BF1689" s="1">
        <v>39.6</v>
      </c>
      <c r="BG1689" s="1">
        <v>25.5</v>
      </c>
      <c r="BH1689" s="1" t="s">
        <v>2854</v>
      </c>
    </row>
    <row r="1690">
      <c r="A1690" s="1">
        <v>31073.0</v>
      </c>
      <c r="B1690" s="2" t="str">
        <f>IFERROR(__xludf.DUMMYFUNCTION("TO_TEXT(A1690)"),"31073")</f>
        <v>31073</v>
      </c>
      <c r="C1690" s="1">
        <v>1977.0</v>
      </c>
      <c r="D1690" s="1">
        <v>458.15490349648</v>
      </c>
      <c r="E1690" s="1" t="s">
        <v>2855</v>
      </c>
      <c r="F1690" s="1" t="s">
        <v>2856</v>
      </c>
      <c r="G1690" s="1">
        <v>4.31513443359924</v>
      </c>
      <c r="H1690" s="1">
        <v>11.489130306</v>
      </c>
      <c r="I1690" s="1">
        <v>3.0686292671</v>
      </c>
      <c r="J1690" s="1">
        <v>13.3333333329999</v>
      </c>
      <c r="K1690" s="1">
        <v>12.2879039059999</v>
      </c>
      <c r="L1690" s="1">
        <v>25.2</v>
      </c>
      <c r="M1690" s="1">
        <v>6.9</v>
      </c>
      <c r="N1690" s="1">
        <v>21.2</v>
      </c>
      <c r="O1690" s="1">
        <v>33.85518591</v>
      </c>
      <c r="P1690" s="1">
        <v>8.6284610431</v>
      </c>
      <c r="Q1690" s="1">
        <v>48.31939</v>
      </c>
      <c r="R1690" s="1">
        <v>86.0</v>
      </c>
      <c r="S1690" s="1">
        <v>15.6</v>
      </c>
      <c r="T1690" s="1">
        <v>387.0</v>
      </c>
      <c r="U1690" s="1">
        <v>16.5374677</v>
      </c>
      <c r="V1690" s="1">
        <v>76.647930506</v>
      </c>
      <c r="W1690" s="1">
        <v>3.5802469136</v>
      </c>
      <c r="X1690" s="1">
        <v>4.2183622829</v>
      </c>
      <c r="Y1690" s="1">
        <v>80.195511854</v>
      </c>
      <c r="Z1690" s="1">
        <v>6.9</v>
      </c>
      <c r="AA1690" s="1">
        <v>21.342964171</v>
      </c>
      <c r="AB1690" s="1">
        <v>59722.0</v>
      </c>
      <c r="AC1690" s="1">
        <v>51.583710407</v>
      </c>
      <c r="AD1690" s="1">
        <v>72.748004561</v>
      </c>
      <c r="AE1690" s="1">
        <v>7.7586206897</v>
      </c>
      <c r="AF1690" s="1">
        <v>0.6513026052</v>
      </c>
      <c r="AG1690" s="1">
        <v>0.6012024048</v>
      </c>
      <c r="AH1690" s="1">
        <v>0.4008016032</v>
      </c>
      <c r="AI1690" s="1">
        <v>0.0</v>
      </c>
      <c r="AJ1690" s="1">
        <v>5.9118236473</v>
      </c>
      <c r="AK1690" s="1">
        <v>91.0320641279999</v>
      </c>
      <c r="AL1690" s="1">
        <v>0.1536885246</v>
      </c>
      <c r="AM1690" s="1">
        <v>48.74749499</v>
      </c>
      <c r="AN1690" s="1">
        <v>100.0</v>
      </c>
      <c r="AO1690" s="1">
        <v>29393.0</v>
      </c>
      <c r="AP1690" s="1">
        <v>5.8</v>
      </c>
      <c r="AQ1690" s="1">
        <v>4.6</v>
      </c>
      <c r="AR1690" s="1">
        <v>6.9</v>
      </c>
      <c r="AS1690" s="1">
        <v>20.0</v>
      </c>
      <c r="AT1690" s="1">
        <v>21.6</v>
      </c>
      <c r="AU1690" s="1">
        <v>14.3</v>
      </c>
      <c r="AV1690" s="1">
        <v>1.8</v>
      </c>
      <c r="AW1690" s="1">
        <v>0.1</v>
      </c>
      <c r="AX1690" s="1">
        <v>0.0067</v>
      </c>
      <c r="AY1690" s="1">
        <v>8.9</v>
      </c>
      <c r="AZ1690" s="1">
        <v>10.4</v>
      </c>
      <c r="BA1690" s="1">
        <v>14.7</v>
      </c>
      <c r="BB1690" s="1">
        <v>2.96</v>
      </c>
      <c r="BC1690" s="1" t="s">
        <v>2802</v>
      </c>
      <c r="BD1690" s="1">
        <v>7.0</v>
      </c>
      <c r="BE1690" s="1">
        <v>27.5</v>
      </c>
      <c r="BF1690" s="1">
        <v>35.9</v>
      </c>
      <c r="BG1690" s="1">
        <v>29.5</v>
      </c>
      <c r="BH1690" s="1" t="s">
        <v>2856</v>
      </c>
    </row>
    <row r="1691">
      <c r="A1691" s="1">
        <v>31075.0</v>
      </c>
      <c r="B1691" s="2" t="str">
        <f>IFERROR(__xludf.DUMMYFUNCTION("TO_TEXT(A1691)"),"31075")</f>
        <v>31075</v>
      </c>
      <c r="C1691" s="1">
        <v>647.0</v>
      </c>
      <c r="D1691" s="1">
        <v>776.223592863603</v>
      </c>
      <c r="E1691" s="1" t="s">
        <v>332</v>
      </c>
      <c r="F1691" s="1" t="s">
        <v>2857</v>
      </c>
      <c r="G1691" s="1">
        <v>0.833522719417895</v>
      </c>
      <c r="H1691" s="1">
        <v>15.95873996</v>
      </c>
      <c r="I1691" s="1">
        <v>3.6838798814</v>
      </c>
      <c r="J1691" s="1">
        <v>7.80443539465</v>
      </c>
      <c r="K1691" s="1">
        <v>16.39898566</v>
      </c>
      <c r="L1691" s="1">
        <v>33.4</v>
      </c>
      <c r="M1691" s="1">
        <v>4.0</v>
      </c>
      <c r="N1691" s="1">
        <v>37.6</v>
      </c>
      <c r="O1691" s="1">
        <v>5.2117263844</v>
      </c>
      <c r="P1691" s="1">
        <v>8.4848484848</v>
      </c>
      <c r="Q1691" s="1">
        <v>0.0</v>
      </c>
      <c r="R1691" s="1">
        <v>100.0</v>
      </c>
      <c r="S1691" s="1">
        <v>17.9</v>
      </c>
      <c r="T1691" s="1">
        <v>157.0</v>
      </c>
      <c r="U1691" s="1">
        <v>7.6433121019</v>
      </c>
      <c r="V1691" s="1">
        <v>204.509002055</v>
      </c>
      <c r="W1691" s="1">
        <v>10.740740741</v>
      </c>
      <c r="X1691" s="1">
        <v>12.030075188</v>
      </c>
      <c r="Y1691" s="1">
        <v>77.482572377</v>
      </c>
      <c r="Z1691" s="1">
        <v>7.2</v>
      </c>
      <c r="AA1691" s="1">
        <v>47.124600601</v>
      </c>
      <c r="AB1691" s="1">
        <v>56724.0</v>
      </c>
      <c r="AC1691" s="1">
        <v>44.375</v>
      </c>
      <c r="AD1691" s="1">
        <v>75.085324232</v>
      </c>
      <c r="AE1691" s="1">
        <v>15.8798283259999</v>
      </c>
      <c r="AF1691" s="1">
        <v>0.1515151515</v>
      </c>
      <c r="AG1691" s="1">
        <v>0.1515151515</v>
      </c>
      <c r="AH1691" s="1">
        <v>0.1515151515</v>
      </c>
      <c r="AI1691" s="1">
        <v>0.0</v>
      </c>
      <c r="AJ1691" s="1">
        <v>1.2121212121</v>
      </c>
      <c r="AK1691" s="1">
        <v>97.2727272729999</v>
      </c>
      <c r="AL1691" s="1">
        <v>0.0</v>
      </c>
      <c r="AM1691" s="1">
        <v>47.121212121</v>
      </c>
      <c r="AN1691" s="1">
        <v>100.0</v>
      </c>
      <c r="AO1691" s="1">
        <v>21925.0</v>
      </c>
      <c r="AP1691" s="1">
        <v>16.6</v>
      </c>
      <c r="AQ1691" s="1">
        <v>4.9</v>
      </c>
      <c r="AR1691" s="1">
        <v>2.6</v>
      </c>
      <c r="AS1691" s="1">
        <v>27.4</v>
      </c>
      <c r="AT1691" s="1">
        <v>19.9</v>
      </c>
      <c r="AU1691" s="1">
        <v>10.8</v>
      </c>
      <c r="AV1691" s="1">
        <v>3.1</v>
      </c>
      <c r="AW1691" s="1">
        <v>0.0</v>
      </c>
      <c r="AX1691" s="1">
        <v>0.0755</v>
      </c>
      <c r="AY1691" s="1">
        <v>9.6</v>
      </c>
      <c r="AZ1691" s="1">
        <v>14.2</v>
      </c>
      <c r="BA1691" s="1">
        <v>23.2</v>
      </c>
      <c r="BB1691" s="1">
        <v>3.09</v>
      </c>
      <c r="BC1691" s="1" t="s">
        <v>2802</v>
      </c>
      <c r="BD1691" s="1">
        <v>3.0</v>
      </c>
      <c r="BE1691" s="1">
        <v>35.8</v>
      </c>
      <c r="BF1691" s="1">
        <v>34.3</v>
      </c>
      <c r="BG1691" s="1">
        <v>26.8</v>
      </c>
      <c r="BH1691" s="1" t="s">
        <v>2857</v>
      </c>
    </row>
    <row r="1692">
      <c r="A1692" s="1">
        <v>31077.0</v>
      </c>
      <c r="B1692" s="2" t="str">
        <f>IFERROR(__xludf.DUMMYFUNCTION("TO_TEXT(A1692)"),"31077")</f>
        <v>31077</v>
      </c>
      <c r="C1692" s="1">
        <v>2447.0</v>
      </c>
      <c r="D1692" s="1">
        <v>569.810955545012</v>
      </c>
      <c r="E1692" s="1" t="s">
        <v>1642</v>
      </c>
      <c r="F1692" s="1" t="s">
        <v>2858</v>
      </c>
      <c r="G1692" s="1">
        <v>4.29440672592807</v>
      </c>
      <c r="H1692" s="1">
        <v>13.175390819</v>
      </c>
      <c r="I1692" s="1">
        <v>3.3582054571</v>
      </c>
      <c r="J1692" s="1">
        <v>9.595959596</v>
      </c>
      <c r="K1692" s="1">
        <v>13.269739179</v>
      </c>
      <c r="L1692" s="1">
        <v>38.4</v>
      </c>
      <c r="M1692" s="1">
        <v>5.0</v>
      </c>
      <c r="N1692" s="1">
        <v>31.7</v>
      </c>
      <c r="O1692" s="1">
        <v>0.3152088258</v>
      </c>
      <c r="P1692" s="1">
        <v>16.367842684</v>
      </c>
      <c r="Q1692" s="1">
        <v>48.31939</v>
      </c>
      <c r="R1692" s="1">
        <v>93.0</v>
      </c>
      <c r="S1692" s="1">
        <v>19.2</v>
      </c>
      <c r="T1692" s="1">
        <v>560.0</v>
      </c>
      <c r="U1692" s="1">
        <v>16.071428571</v>
      </c>
      <c r="V1692" s="1">
        <v>204.509002055</v>
      </c>
      <c r="W1692" s="1">
        <v>7.8048780488</v>
      </c>
      <c r="X1692" s="1">
        <v>5.54455445539999</v>
      </c>
      <c r="Y1692" s="1">
        <v>82.021440499</v>
      </c>
      <c r="Z1692" s="1">
        <v>10.0</v>
      </c>
      <c r="AA1692" s="1">
        <v>40.070948844</v>
      </c>
      <c r="AB1692" s="1">
        <v>45221.0</v>
      </c>
      <c r="AC1692" s="1">
        <v>53.0150753769999</v>
      </c>
      <c r="AD1692" s="1">
        <v>79.883945841</v>
      </c>
      <c r="AE1692" s="1">
        <v>9.6212896622</v>
      </c>
      <c r="AF1692" s="1">
        <v>0.6791171477</v>
      </c>
      <c r="AG1692" s="1">
        <v>0.1273344652</v>
      </c>
      <c r="AH1692" s="1">
        <v>0.1273344652</v>
      </c>
      <c r="AI1692" s="1">
        <v>0.0</v>
      </c>
      <c r="AJ1692" s="1">
        <v>2.5042444822</v>
      </c>
      <c r="AK1692" s="1">
        <v>96.095076401</v>
      </c>
      <c r="AL1692" s="1">
        <v>0.1765225066</v>
      </c>
      <c r="AM1692" s="1">
        <v>50.764006791</v>
      </c>
      <c r="AN1692" s="1">
        <v>100.0</v>
      </c>
      <c r="AO1692" s="1">
        <v>25054.0</v>
      </c>
      <c r="AP1692" s="1">
        <v>8.7</v>
      </c>
      <c r="AQ1692" s="1">
        <v>1.6</v>
      </c>
      <c r="AR1692" s="1">
        <v>6.8</v>
      </c>
      <c r="AS1692" s="1">
        <v>23.8</v>
      </c>
      <c r="AT1692" s="1">
        <v>24.0</v>
      </c>
      <c r="AU1692" s="1">
        <v>14.6</v>
      </c>
      <c r="AV1692" s="1">
        <v>3.7</v>
      </c>
      <c r="AW1692" s="1">
        <v>0.2</v>
      </c>
      <c r="AX1692" s="1">
        <v>0.0414</v>
      </c>
      <c r="AY1692" s="1">
        <v>12.5</v>
      </c>
      <c r="AZ1692" s="1">
        <v>11.6</v>
      </c>
      <c r="BA1692" s="1">
        <v>17.9</v>
      </c>
      <c r="BB1692" s="1">
        <v>3.24</v>
      </c>
      <c r="BC1692" s="1" t="s">
        <v>2802</v>
      </c>
      <c r="BD1692" s="1">
        <v>6.1</v>
      </c>
      <c r="BE1692" s="1">
        <v>34.3</v>
      </c>
      <c r="BF1692" s="1">
        <v>43.3</v>
      </c>
      <c r="BG1692" s="1">
        <v>16.3</v>
      </c>
      <c r="BH1692" s="1" t="s">
        <v>2858</v>
      </c>
    </row>
    <row r="1693">
      <c r="A1693" s="1">
        <v>31079.0</v>
      </c>
      <c r="B1693" s="2" t="str">
        <f>IFERROR(__xludf.DUMMYFUNCTION("TO_TEXT(A1693)"),"31079")</f>
        <v>31079</v>
      </c>
      <c r="C1693" s="1">
        <v>61105.0</v>
      </c>
      <c r="D1693" s="1">
        <v>546.264014262066</v>
      </c>
      <c r="E1693" s="1" t="s">
        <v>915</v>
      </c>
      <c r="F1693" s="1" t="s">
        <v>2859</v>
      </c>
      <c r="G1693" s="1">
        <v>111.859830420177</v>
      </c>
      <c r="H1693" s="1">
        <v>17.548527122</v>
      </c>
      <c r="I1693" s="1">
        <v>3.5098378656</v>
      </c>
      <c r="J1693" s="1">
        <v>7.0826556262</v>
      </c>
      <c r="K1693" s="1">
        <v>15.71880189</v>
      </c>
      <c r="L1693" s="1">
        <v>34.9</v>
      </c>
      <c r="M1693" s="1">
        <v>7.8</v>
      </c>
      <c r="N1693" s="1">
        <v>27.9</v>
      </c>
      <c r="O1693" s="1">
        <v>89.2862627329999</v>
      </c>
      <c r="P1693" s="1">
        <v>13.439631122</v>
      </c>
      <c r="Q1693" s="1">
        <v>63.39505</v>
      </c>
      <c r="R1693" s="1">
        <v>87.160295019</v>
      </c>
      <c r="S1693" s="1">
        <v>18.4</v>
      </c>
      <c r="T1693" s="1">
        <v>16523.0</v>
      </c>
      <c r="U1693" s="1">
        <v>40.041154754</v>
      </c>
      <c r="V1693" s="1">
        <v>288.29412479</v>
      </c>
      <c r="W1693" s="1">
        <v>16.637128932</v>
      </c>
      <c r="X1693" s="1">
        <v>12.304948729</v>
      </c>
      <c r="Y1693" s="1">
        <v>78.299063249</v>
      </c>
      <c r="Z1693" s="1">
        <v>10.3</v>
      </c>
      <c r="AA1693" s="1">
        <v>10.961779774</v>
      </c>
      <c r="AB1693" s="1">
        <v>53792.0</v>
      </c>
      <c r="AC1693" s="1">
        <v>62.466180208</v>
      </c>
      <c r="AD1693" s="1">
        <v>62.098819414</v>
      </c>
      <c r="AE1693" s="1">
        <v>10.677654857</v>
      </c>
      <c r="AF1693" s="1">
        <v>3.0613404321</v>
      </c>
      <c r="AG1693" s="1">
        <v>1.9348450663</v>
      </c>
      <c r="AH1693" s="1">
        <v>1.4462642232</v>
      </c>
      <c r="AI1693" s="1">
        <v>0.449624231</v>
      </c>
      <c r="AJ1693" s="1">
        <v>28.547080689</v>
      </c>
      <c r="AK1693" s="1">
        <v>65.658123265</v>
      </c>
      <c r="AL1693" s="1">
        <v>6.1589217035</v>
      </c>
      <c r="AM1693" s="1">
        <v>49.551187365</v>
      </c>
      <c r="AN1693" s="1">
        <v>14.6245329059999</v>
      </c>
      <c r="AO1693" s="1">
        <v>24617.0</v>
      </c>
      <c r="AP1693" s="1">
        <v>14.8</v>
      </c>
      <c r="AQ1693" s="1">
        <v>5.3</v>
      </c>
      <c r="AR1693" s="1">
        <v>16.8</v>
      </c>
      <c r="AS1693" s="1">
        <v>14.1</v>
      </c>
      <c r="AT1693" s="1">
        <v>27.1</v>
      </c>
      <c r="AU1693" s="1">
        <v>11.8</v>
      </c>
      <c r="AV1693" s="1">
        <v>31.1</v>
      </c>
      <c r="AW1693" s="1">
        <v>7.1</v>
      </c>
      <c r="AX1693" s="1">
        <v>0.6683</v>
      </c>
      <c r="AY1693" s="1">
        <v>10.2</v>
      </c>
      <c r="AZ1693" s="1">
        <v>12.2</v>
      </c>
      <c r="BA1693" s="1">
        <v>17.4</v>
      </c>
      <c r="BB1693" s="1">
        <v>2.76</v>
      </c>
      <c r="BC1693" s="1" t="s">
        <v>2802</v>
      </c>
      <c r="BD1693" s="1">
        <v>15.4</v>
      </c>
      <c r="BE1693" s="1">
        <v>31.3</v>
      </c>
      <c r="BF1693" s="1">
        <v>31.8</v>
      </c>
      <c r="BG1693" s="1">
        <v>21.5</v>
      </c>
      <c r="BH1693" s="1" t="s">
        <v>2859</v>
      </c>
    </row>
    <row r="1694">
      <c r="A1694" s="1">
        <v>31081.0</v>
      </c>
      <c r="B1694" s="2" t="str">
        <f>IFERROR(__xludf.DUMMYFUNCTION("TO_TEXT(A1694)"),"31081")</f>
        <v>31081</v>
      </c>
      <c r="C1694" s="1">
        <v>9118.0</v>
      </c>
      <c r="D1694" s="1">
        <v>541.905070559132</v>
      </c>
      <c r="E1694" s="1" t="s">
        <v>719</v>
      </c>
      <c r="F1694" s="1" t="s">
        <v>2860</v>
      </c>
      <c r="G1694" s="1">
        <v>16.8258252143538</v>
      </c>
      <c r="H1694" s="1">
        <v>12.371543249</v>
      </c>
      <c r="I1694" s="1">
        <v>3.1662916393</v>
      </c>
      <c r="J1694" s="1">
        <v>5.5706521739</v>
      </c>
      <c r="K1694" s="1">
        <v>12.539783362</v>
      </c>
      <c r="L1694" s="1">
        <v>30.6</v>
      </c>
      <c r="M1694" s="1">
        <v>8.7</v>
      </c>
      <c r="N1694" s="1">
        <v>25.3</v>
      </c>
      <c r="O1694" s="1">
        <v>67.492327926</v>
      </c>
      <c r="P1694" s="1">
        <v>6.9773706897</v>
      </c>
      <c r="Q1694" s="1">
        <v>97.75171</v>
      </c>
      <c r="R1694" s="1">
        <v>97.8024819029999</v>
      </c>
      <c r="S1694" s="1">
        <v>8.1</v>
      </c>
      <c r="T1694" s="1">
        <v>2211.0</v>
      </c>
      <c r="U1694" s="1">
        <v>18.317503392</v>
      </c>
      <c r="V1694" s="1">
        <v>202.05329838</v>
      </c>
      <c r="W1694" s="1">
        <v>8.636977058</v>
      </c>
      <c r="X1694" s="1">
        <v>7.1332072413</v>
      </c>
      <c r="Y1694" s="1">
        <v>82.185458006</v>
      </c>
      <c r="Z1694" s="1">
        <v>9.4</v>
      </c>
      <c r="AA1694" s="1">
        <v>2.750913276</v>
      </c>
      <c r="AB1694" s="1">
        <v>60608.0</v>
      </c>
      <c r="AC1694" s="1">
        <v>31.889516635</v>
      </c>
      <c r="AD1694" s="1">
        <v>80.832657475</v>
      </c>
      <c r="AE1694" s="1">
        <v>4.2635658915</v>
      </c>
      <c r="AF1694" s="1">
        <v>0.3448275862</v>
      </c>
      <c r="AG1694" s="1">
        <v>0.3340517241</v>
      </c>
      <c r="AH1694" s="1">
        <v>0.3340517241</v>
      </c>
      <c r="AI1694" s="1">
        <v>0.0107758621</v>
      </c>
      <c r="AJ1694" s="1">
        <v>3.4267241379</v>
      </c>
      <c r="AK1694" s="1">
        <v>94.881465517</v>
      </c>
      <c r="AL1694" s="1">
        <v>0.1387443635</v>
      </c>
      <c r="AM1694" s="1">
        <v>49.806034483</v>
      </c>
      <c r="AN1694" s="1">
        <v>51.052170101</v>
      </c>
      <c r="AO1694" s="1">
        <v>31565.0</v>
      </c>
      <c r="AP1694" s="1">
        <v>9.0</v>
      </c>
      <c r="AQ1694" s="1">
        <v>2.1</v>
      </c>
      <c r="AR1694" s="1">
        <v>6.5</v>
      </c>
      <c r="AS1694" s="1">
        <v>17.9</v>
      </c>
      <c r="AT1694" s="1">
        <v>24.4</v>
      </c>
      <c r="AU1694" s="1">
        <v>11.9</v>
      </c>
      <c r="AV1694" s="1">
        <v>4.5</v>
      </c>
      <c r="AW1694" s="1">
        <v>0.2</v>
      </c>
      <c r="AX1694" s="1">
        <v>0.0083</v>
      </c>
      <c r="AY1694" s="1">
        <v>6.5</v>
      </c>
      <c r="AZ1694" s="1">
        <v>9.3</v>
      </c>
      <c r="BA1694" s="1">
        <v>14.7</v>
      </c>
      <c r="BB1694" s="1">
        <v>2.85</v>
      </c>
      <c r="BC1694" s="1" t="s">
        <v>2802</v>
      </c>
      <c r="BD1694" s="1">
        <v>4.9</v>
      </c>
      <c r="BE1694" s="1">
        <v>30.0</v>
      </c>
      <c r="BF1694" s="1">
        <v>40.1</v>
      </c>
      <c r="BG1694" s="1">
        <v>25.0</v>
      </c>
      <c r="BH1694" s="1" t="s">
        <v>2860</v>
      </c>
    </row>
    <row r="1695">
      <c r="A1695" s="1">
        <v>31083.0</v>
      </c>
      <c r="B1695" s="2" t="str">
        <f>IFERROR(__xludf.DUMMYFUNCTION("TO_TEXT(A1695)"),"31083")</f>
        <v>31083</v>
      </c>
      <c r="C1695" s="1">
        <v>3465.0</v>
      </c>
      <c r="D1695" s="1">
        <v>553.466132397682</v>
      </c>
      <c r="E1695" s="1" t="s">
        <v>1833</v>
      </c>
      <c r="F1695" s="1" t="s">
        <v>2861</v>
      </c>
      <c r="G1695" s="1">
        <v>6.26054567239589</v>
      </c>
      <c r="H1695" s="1">
        <v>14.39520188</v>
      </c>
      <c r="I1695" s="1">
        <v>3.5065201356</v>
      </c>
      <c r="J1695" s="1">
        <v>6.7924528302</v>
      </c>
      <c r="K1695" s="1">
        <v>15.038838129</v>
      </c>
      <c r="L1695" s="1">
        <v>34.7</v>
      </c>
      <c r="M1695" s="1">
        <v>8.3</v>
      </c>
      <c r="N1695" s="1">
        <v>28.2</v>
      </c>
      <c r="O1695" s="1">
        <v>55.828220859</v>
      </c>
      <c r="P1695" s="1">
        <v>9.7791798107</v>
      </c>
      <c r="Q1695" s="1">
        <v>87.13331</v>
      </c>
      <c r="R1695" s="1">
        <v>100.0</v>
      </c>
      <c r="S1695" s="1">
        <v>15.7</v>
      </c>
      <c r="T1695" s="1">
        <v>774.0</v>
      </c>
      <c r="U1695" s="1">
        <v>14.857881137</v>
      </c>
      <c r="V1695" s="1">
        <v>204.509002055</v>
      </c>
      <c r="W1695" s="1">
        <v>6.9182389937</v>
      </c>
      <c r="X1695" s="1">
        <v>6.3653723743</v>
      </c>
      <c r="Y1695" s="1">
        <v>78.632382693</v>
      </c>
      <c r="Z1695" s="1">
        <v>11.1</v>
      </c>
      <c r="AA1695" s="1">
        <v>1.824655053</v>
      </c>
      <c r="AB1695" s="1">
        <v>49321.0</v>
      </c>
      <c r="AC1695" s="1">
        <v>32.142857143</v>
      </c>
      <c r="AD1695" s="1">
        <v>80.078895464</v>
      </c>
      <c r="AE1695" s="1">
        <v>7.8321678322</v>
      </c>
      <c r="AF1695" s="1">
        <v>0.2352249338</v>
      </c>
      <c r="AG1695" s="1">
        <v>0.5880623346</v>
      </c>
      <c r="AH1695" s="1">
        <v>0.2058218171</v>
      </c>
      <c r="AI1695" s="1">
        <v>0.0</v>
      </c>
      <c r="AJ1695" s="1">
        <v>2.2640399882</v>
      </c>
      <c r="AK1695" s="1">
        <v>96.030579241</v>
      </c>
      <c r="AL1695" s="1">
        <v>0.4347826087</v>
      </c>
      <c r="AM1695" s="1">
        <v>48.191708321</v>
      </c>
      <c r="AN1695" s="1">
        <v>100.0</v>
      </c>
      <c r="AO1695" s="1">
        <v>25997.0</v>
      </c>
      <c r="AP1695" s="1">
        <v>15.9</v>
      </c>
      <c r="AQ1695" s="1">
        <v>1.9</v>
      </c>
      <c r="AR1695" s="1">
        <v>8.6</v>
      </c>
      <c r="AS1695" s="1">
        <v>25.3</v>
      </c>
      <c r="AT1695" s="1">
        <v>22.5</v>
      </c>
      <c r="AU1695" s="1">
        <v>16.3</v>
      </c>
      <c r="AV1695" s="1">
        <v>6.6</v>
      </c>
      <c r="AW1695" s="1">
        <v>0.2</v>
      </c>
      <c r="AX1695" s="1">
        <v>0.1283</v>
      </c>
      <c r="AY1695" s="1">
        <v>11.0</v>
      </c>
      <c r="AZ1695" s="1">
        <v>12.3</v>
      </c>
      <c r="BA1695" s="1">
        <v>18.8</v>
      </c>
      <c r="BB1695" s="1">
        <v>3.31</v>
      </c>
      <c r="BC1695" s="1" t="s">
        <v>2802</v>
      </c>
      <c r="BD1695" s="1">
        <v>7.0</v>
      </c>
      <c r="BE1695" s="1">
        <v>27.2</v>
      </c>
      <c r="BF1695" s="1">
        <v>43.5</v>
      </c>
      <c r="BG1695" s="1">
        <v>22.4</v>
      </c>
      <c r="BH1695" s="1" t="s">
        <v>2861</v>
      </c>
    </row>
    <row r="1696">
      <c r="A1696" s="1">
        <v>31085.0</v>
      </c>
      <c r="B1696" s="2" t="str">
        <f>IFERROR(__xludf.DUMMYFUNCTION("TO_TEXT(A1696)"),"31085")</f>
        <v>31085</v>
      </c>
      <c r="C1696" s="1">
        <v>1013.0</v>
      </c>
      <c r="D1696" s="1">
        <v>713.061480198428</v>
      </c>
      <c r="E1696" s="1" t="s">
        <v>2862</v>
      </c>
      <c r="F1696" s="1" t="s">
        <v>2863</v>
      </c>
      <c r="G1696" s="1">
        <v>1.42063486547907</v>
      </c>
      <c r="H1696" s="1">
        <v>15.315361404</v>
      </c>
      <c r="I1696" s="1">
        <v>3.4904623018</v>
      </c>
      <c r="J1696" s="1">
        <v>7.80443539465</v>
      </c>
      <c r="K1696" s="1">
        <v>14.154292432</v>
      </c>
      <c r="L1696" s="1">
        <v>25.3</v>
      </c>
      <c r="M1696" s="1">
        <v>5.7</v>
      </c>
      <c r="N1696" s="1">
        <v>25.6</v>
      </c>
      <c r="O1696" s="1">
        <v>6.3081695967</v>
      </c>
      <c r="P1696" s="1">
        <v>26.911314985</v>
      </c>
      <c r="Q1696" s="1">
        <v>0.0</v>
      </c>
      <c r="R1696" s="1">
        <v>89.912280702</v>
      </c>
      <c r="S1696" s="1">
        <v>18.7</v>
      </c>
      <c r="T1696" s="1">
        <v>205.0</v>
      </c>
      <c r="U1696" s="1">
        <v>9.2682926829</v>
      </c>
      <c r="V1696" s="1">
        <v>323.97408207</v>
      </c>
      <c r="W1696" s="1">
        <v>11.363636364</v>
      </c>
      <c r="X1696" s="1">
        <v>10.779816514</v>
      </c>
      <c r="Y1696" s="1">
        <v>77.482572377</v>
      </c>
      <c r="Z1696" s="1">
        <v>8.0</v>
      </c>
      <c r="AA1696" s="1">
        <v>32.576419332</v>
      </c>
      <c r="AB1696" s="1">
        <v>47047.0</v>
      </c>
      <c r="AC1696" s="1">
        <v>53.043478261</v>
      </c>
      <c r="AD1696" s="1">
        <v>70.217917676</v>
      </c>
      <c r="AE1696" s="1">
        <v>10.481586402</v>
      </c>
      <c r="AF1696" s="1">
        <v>0.327510917</v>
      </c>
      <c r="AG1696" s="1">
        <v>0.5458515284</v>
      </c>
      <c r="AH1696" s="1">
        <v>0.4366812227</v>
      </c>
      <c r="AI1696" s="1">
        <v>0.1091703057</v>
      </c>
      <c r="AJ1696" s="1">
        <v>4.6943231441</v>
      </c>
      <c r="AK1696" s="1">
        <v>93.122270742</v>
      </c>
      <c r="AL1696" s="1">
        <v>1.8223234624</v>
      </c>
      <c r="AM1696" s="1">
        <v>48.2532751089999</v>
      </c>
      <c r="AN1696" s="1">
        <v>100.0</v>
      </c>
      <c r="AO1696" s="1">
        <v>27080.0</v>
      </c>
      <c r="AP1696" s="1">
        <v>7.9</v>
      </c>
      <c r="AQ1696" s="1">
        <v>1.7</v>
      </c>
      <c r="AR1696" s="1">
        <v>9.2</v>
      </c>
      <c r="AS1696" s="1">
        <v>20.7</v>
      </c>
      <c r="AT1696" s="1">
        <v>19.3</v>
      </c>
      <c r="AU1696" s="1">
        <v>16.6</v>
      </c>
      <c r="AV1696" s="1">
        <v>5.9</v>
      </c>
      <c r="AW1696" s="1">
        <v>1.6</v>
      </c>
      <c r="AX1696" s="1">
        <v>0.0191</v>
      </c>
      <c r="AY1696" s="1">
        <v>15.0</v>
      </c>
      <c r="AZ1696" s="1">
        <v>13.1</v>
      </c>
      <c r="BA1696" s="1">
        <v>17.8</v>
      </c>
      <c r="BB1696" s="1">
        <v>3.04</v>
      </c>
      <c r="BC1696" s="1" t="s">
        <v>2802</v>
      </c>
      <c r="BD1696" s="1">
        <v>9.8</v>
      </c>
      <c r="BE1696" s="1">
        <v>26.3</v>
      </c>
      <c r="BF1696" s="1">
        <v>45.6</v>
      </c>
      <c r="BG1696" s="1">
        <v>18.3</v>
      </c>
      <c r="BH1696" s="1" t="s">
        <v>2863</v>
      </c>
    </row>
    <row r="1697">
      <c r="A1697" s="1">
        <v>31087.0</v>
      </c>
      <c r="B1697" s="2" t="str">
        <f>IFERROR(__xludf.DUMMYFUNCTION("TO_TEXT(A1697)"),"31087")</f>
        <v>31087</v>
      </c>
      <c r="C1697" s="1">
        <v>2866.0</v>
      </c>
      <c r="D1697" s="1">
        <v>709.942242835746</v>
      </c>
      <c r="E1697" s="1" t="s">
        <v>2864</v>
      </c>
      <c r="F1697" s="1" t="s">
        <v>2865</v>
      </c>
      <c r="G1697" s="1">
        <v>4.03694811644429</v>
      </c>
      <c r="H1697" s="1">
        <v>16.477990843</v>
      </c>
      <c r="I1697" s="1">
        <v>3.706835566</v>
      </c>
      <c r="J1697" s="1">
        <v>6.63507109</v>
      </c>
      <c r="K1697" s="1">
        <v>16.10582183</v>
      </c>
      <c r="L1697" s="1">
        <v>37.7</v>
      </c>
      <c r="M1697" s="1">
        <v>4.3</v>
      </c>
      <c r="N1697" s="1">
        <v>27.1</v>
      </c>
      <c r="O1697" s="1">
        <v>25.103163686</v>
      </c>
      <c r="P1697" s="1">
        <v>12.804586718</v>
      </c>
      <c r="Q1697" s="1">
        <v>48.31939</v>
      </c>
      <c r="R1697" s="1">
        <v>80.0</v>
      </c>
      <c r="S1697" s="1">
        <v>21.1</v>
      </c>
      <c r="T1697" s="1">
        <v>622.0</v>
      </c>
      <c r="U1697" s="1">
        <v>29.9035369769999</v>
      </c>
      <c r="V1697" s="1">
        <v>121.80267966</v>
      </c>
      <c r="W1697" s="1">
        <v>8.9147286822</v>
      </c>
      <c r="X1697" s="1">
        <v>7.1539657854</v>
      </c>
      <c r="Y1697" s="1">
        <v>76.38250489</v>
      </c>
      <c r="Z1697" s="1">
        <v>10.2</v>
      </c>
      <c r="AA1697" s="1">
        <v>44.3587400969999</v>
      </c>
      <c r="AB1697" s="1">
        <v>43880.0</v>
      </c>
      <c r="AC1697" s="1">
        <v>57.657657658</v>
      </c>
      <c r="AD1697" s="1">
        <v>72.952853598</v>
      </c>
      <c r="AE1697" s="1">
        <v>7.6714801444</v>
      </c>
      <c r="AF1697" s="1">
        <v>0.2138275125</v>
      </c>
      <c r="AG1697" s="1">
        <v>0.5345687812</v>
      </c>
      <c r="AH1697" s="1">
        <v>0.1781895937</v>
      </c>
      <c r="AI1697" s="1">
        <v>0.0</v>
      </c>
      <c r="AJ1697" s="1">
        <v>4.1696364932</v>
      </c>
      <c r="AK1697" s="1">
        <v>94.0841054879999</v>
      </c>
      <c r="AL1697" s="1">
        <v>0.2980625931</v>
      </c>
      <c r="AM1697" s="1">
        <v>49.643620813</v>
      </c>
      <c r="AN1697" s="1">
        <v>100.0</v>
      </c>
      <c r="AO1697" s="1">
        <v>23967.0</v>
      </c>
      <c r="AP1697" s="1">
        <v>16.2</v>
      </c>
      <c r="AQ1697" s="1">
        <v>2.8</v>
      </c>
      <c r="AR1697" s="1">
        <v>8.2</v>
      </c>
      <c r="AS1697" s="1">
        <v>23.8</v>
      </c>
      <c r="AT1697" s="1">
        <v>21.7</v>
      </c>
      <c r="AU1697" s="1">
        <v>18.5</v>
      </c>
      <c r="AV1697" s="1">
        <v>1.3</v>
      </c>
      <c r="AW1697" s="1">
        <v>0.2</v>
      </c>
      <c r="AX1697" s="1">
        <v>0.1098</v>
      </c>
      <c r="AY1697" s="1">
        <v>11.3</v>
      </c>
      <c r="AZ1697" s="1">
        <v>14.4</v>
      </c>
      <c r="BA1697" s="1">
        <v>20.8</v>
      </c>
      <c r="BB1697" s="1">
        <v>2.98</v>
      </c>
      <c r="BC1697" s="1" t="s">
        <v>2802</v>
      </c>
      <c r="BD1697" s="1">
        <v>7.9</v>
      </c>
      <c r="BE1697" s="1">
        <v>33.5</v>
      </c>
      <c r="BF1697" s="1">
        <v>41.0</v>
      </c>
      <c r="BG1697" s="1">
        <v>17.6</v>
      </c>
      <c r="BH1697" s="1" t="s">
        <v>2865</v>
      </c>
    </row>
    <row r="1698">
      <c r="A1698" s="1">
        <v>31089.0</v>
      </c>
      <c r="B1698" s="2" t="str">
        <f>IFERROR(__xludf.DUMMYFUNCTION("TO_TEXT(A1698)"),"31089")</f>
        <v>31089</v>
      </c>
      <c r="C1698" s="1">
        <v>10360.0</v>
      </c>
      <c r="D1698" s="1">
        <v>2412.39758725467</v>
      </c>
      <c r="E1698" s="1" t="s">
        <v>2611</v>
      </c>
      <c r="F1698" s="1" t="s">
        <v>2866</v>
      </c>
      <c r="G1698" s="1">
        <v>4.29448282270493</v>
      </c>
      <c r="H1698" s="1">
        <v>12.559122982</v>
      </c>
      <c r="I1698" s="1">
        <v>3.1645142821</v>
      </c>
      <c r="J1698" s="1">
        <v>4.8057259714</v>
      </c>
      <c r="K1698" s="1">
        <v>13.445443892</v>
      </c>
      <c r="L1698" s="1">
        <v>32.0</v>
      </c>
      <c r="M1698" s="1">
        <v>7.9</v>
      </c>
      <c r="N1698" s="1">
        <v>29.8</v>
      </c>
      <c r="O1698" s="1">
        <v>60.507906085</v>
      </c>
      <c r="P1698" s="1">
        <v>11.224618489</v>
      </c>
      <c r="Q1698" s="1">
        <v>107.822</v>
      </c>
      <c r="R1698" s="1">
        <v>89.584329541</v>
      </c>
      <c r="S1698" s="1">
        <v>16.4</v>
      </c>
      <c r="T1698" s="1">
        <v>2453.0</v>
      </c>
      <c r="U1698" s="1">
        <v>17.244190787</v>
      </c>
      <c r="V1698" s="1">
        <v>77.167936722</v>
      </c>
      <c r="W1698" s="1">
        <v>9.6280087527</v>
      </c>
      <c r="X1698" s="1">
        <v>7.2646733112</v>
      </c>
      <c r="Y1698" s="1">
        <v>80.148425138</v>
      </c>
      <c r="Z1698" s="1">
        <v>10.2</v>
      </c>
      <c r="AA1698" s="1">
        <v>8.8177470023</v>
      </c>
      <c r="AB1698" s="1">
        <v>55965.0</v>
      </c>
      <c r="AC1698" s="1">
        <v>47.61627907</v>
      </c>
      <c r="AD1698" s="1">
        <v>73.4836527619999</v>
      </c>
      <c r="AE1698" s="1">
        <v>8.2845775802</v>
      </c>
      <c r="AF1698" s="1">
        <v>0.3242287286</v>
      </c>
      <c r="AG1698" s="1">
        <v>0.7368834742</v>
      </c>
      <c r="AH1698" s="1">
        <v>0.5502063274</v>
      </c>
      <c r="AI1698" s="1">
        <v>0.1179013559</v>
      </c>
      <c r="AJ1698" s="1">
        <v>5.266260562</v>
      </c>
      <c r="AK1698" s="1">
        <v>92.827667518</v>
      </c>
      <c r="AL1698" s="1">
        <v>0.7730881738</v>
      </c>
      <c r="AM1698" s="1">
        <v>50.009825113</v>
      </c>
      <c r="AN1698" s="1">
        <v>64.714901773</v>
      </c>
      <c r="AO1698" s="1">
        <v>26267.0</v>
      </c>
      <c r="AP1698" s="1">
        <v>9.7</v>
      </c>
      <c r="AQ1698" s="1">
        <v>1.3</v>
      </c>
      <c r="AR1698" s="1">
        <v>7.8</v>
      </c>
      <c r="AS1698" s="1">
        <v>21.0</v>
      </c>
      <c r="AT1698" s="1">
        <v>23.9</v>
      </c>
      <c r="AU1698" s="1">
        <v>14.2</v>
      </c>
      <c r="AV1698" s="1">
        <v>5.7</v>
      </c>
      <c r="AW1698" s="1">
        <v>0.9</v>
      </c>
      <c r="AX1698" s="1">
        <v>0.1165</v>
      </c>
      <c r="AY1698" s="1">
        <v>11.1</v>
      </c>
      <c r="AZ1698" s="1">
        <v>11.4</v>
      </c>
      <c r="BA1698" s="1">
        <v>15.9</v>
      </c>
      <c r="BB1698" s="1">
        <v>3.38</v>
      </c>
      <c r="BC1698" s="1" t="s">
        <v>2802</v>
      </c>
      <c r="BD1698" s="1">
        <v>6.5</v>
      </c>
      <c r="BE1698" s="1">
        <v>33.0</v>
      </c>
      <c r="BF1698" s="1">
        <v>38.1</v>
      </c>
      <c r="BG1698" s="1">
        <v>22.4</v>
      </c>
      <c r="BH1698" s="1" t="s">
        <v>2866</v>
      </c>
    </row>
    <row r="1699">
      <c r="A1699" s="1">
        <v>31091.0</v>
      </c>
      <c r="B1699" s="2" t="str">
        <f>IFERROR(__xludf.DUMMYFUNCTION("TO_TEXT(A1699)"),"31091")</f>
        <v>31091</v>
      </c>
      <c r="C1699" s="1">
        <v>669.0</v>
      </c>
      <c r="D1699" s="1">
        <v>721.159846095788</v>
      </c>
      <c r="E1699" s="1" t="s">
        <v>2867</v>
      </c>
      <c r="F1699" s="1" t="s">
        <v>2868</v>
      </c>
      <c r="G1699" s="1">
        <v>0.927672281841299</v>
      </c>
      <c r="H1699" s="1">
        <v>13.807339526</v>
      </c>
      <c r="I1699" s="1">
        <v>3.4074596021</v>
      </c>
      <c r="J1699" s="1">
        <v>7.80443539465</v>
      </c>
      <c r="K1699" s="1">
        <v>13.0017264629999</v>
      </c>
      <c r="L1699" s="1">
        <v>26.6</v>
      </c>
      <c r="M1699" s="1">
        <v>7.6</v>
      </c>
      <c r="N1699" s="1">
        <v>27.3</v>
      </c>
      <c r="O1699" s="1">
        <v>10.869565217</v>
      </c>
      <c r="P1699" s="1">
        <v>8.4415584416</v>
      </c>
      <c r="Q1699" s="1">
        <v>296.73591</v>
      </c>
      <c r="R1699" s="1">
        <v>100.0</v>
      </c>
      <c r="S1699" s="1">
        <v>12.8</v>
      </c>
      <c r="T1699" s="1">
        <v>111.0</v>
      </c>
      <c r="U1699" s="1">
        <v>19.81981982</v>
      </c>
      <c r="V1699" s="1">
        <v>0.0</v>
      </c>
      <c r="W1699" s="1">
        <v>10.0</v>
      </c>
      <c r="X1699" s="1">
        <v>9.0</v>
      </c>
      <c r="Y1699" s="1">
        <v>77.482572377</v>
      </c>
      <c r="Z1699" s="1">
        <v>8.7</v>
      </c>
      <c r="AA1699" s="1">
        <v>5.7633856946</v>
      </c>
      <c r="AB1699" s="1">
        <v>46220.0</v>
      </c>
      <c r="AC1699" s="1">
        <v>40.25974026</v>
      </c>
      <c r="AD1699" s="1">
        <v>64.576802508</v>
      </c>
      <c r="AE1699" s="1">
        <v>12.3333333329999</v>
      </c>
      <c r="AF1699" s="1">
        <v>0.0</v>
      </c>
      <c r="AG1699" s="1">
        <v>0.4398826979</v>
      </c>
      <c r="AH1699" s="1">
        <v>0.293255132</v>
      </c>
      <c r="AI1699" s="1">
        <v>0.0</v>
      </c>
      <c r="AJ1699" s="1">
        <v>2.9325513196</v>
      </c>
      <c r="AK1699" s="1">
        <v>95.601173021</v>
      </c>
      <c r="AL1699" s="1">
        <v>0.0</v>
      </c>
      <c r="AM1699" s="1">
        <v>51.759530792</v>
      </c>
      <c r="AN1699" s="1">
        <v>100.0</v>
      </c>
      <c r="AO1699" s="1">
        <v>22094.0</v>
      </c>
      <c r="AP1699" s="1">
        <v>16.2</v>
      </c>
      <c r="AQ1699" s="1">
        <v>1.9</v>
      </c>
      <c r="AR1699" s="1">
        <v>5.9</v>
      </c>
      <c r="AS1699" s="1">
        <v>37.4</v>
      </c>
      <c r="AT1699" s="1">
        <v>14.9</v>
      </c>
      <c r="AU1699" s="1">
        <v>25.8</v>
      </c>
      <c r="AV1699" s="1">
        <v>5.7</v>
      </c>
      <c r="AW1699" s="1">
        <v>0.0</v>
      </c>
      <c r="AX1699" s="1">
        <v>0.1337</v>
      </c>
      <c r="AY1699" s="1">
        <v>8.2</v>
      </c>
      <c r="AZ1699" s="1">
        <v>17.4</v>
      </c>
      <c r="BA1699" s="1">
        <v>24.2</v>
      </c>
      <c r="BB1699" s="1">
        <v>3.1</v>
      </c>
      <c r="BC1699" s="1" t="s">
        <v>2802</v>
      </c>
      <c r="BD1699" s="1">
        <v>6.5</v>
      </c>
      <c r="BE1699" s="1">
        <v>35.2</v>
      </c>
      <c r="BF1699" s="1">
        <v>31.9</v>
      </c>
      <c r="BG1699" s="1">
        <v>26.4</v>
      </c>
      <c r="BH1699" s="1" t="s">
        <v>2868</v>
      </c>
    </row>
    <row r="1700">
      <c r="A1700" s="1">
        <v>31093.0</v>
      </c>
      <c r="B1700" s="2" t="str">
        <f>IFERROR(__xludf.DUMMYFUNCTION("TO_TEXT(A1700)"),"31093")</f>
        <v>31093</v>
      </c>
      <c r="C1700" s="1">
        <v>6365.0</v>
      </c>
      <c r="D1700" s="1">
        <v>569.337685613084</v>
      </c>
      <c r="E1700" s="1" t="s">
        <v>339</v>
      </c>
      <c r="F1700" s="1" t="s">
        <v>2869</v>
      </c>
      <c r="G1700" s="1">
        <v>11.1796569256538</v>
      </c>
      <c r="H1700" s="1">
        <v>12.3360515259999</v>
      </c>
      <c r="I1700" s="1">
        <v>3.3004076194</v>
      </c>
      <c r="J1700" s="1">
        <v>6.3752276867</v>
      </c>
      <c r="K1700" s="1">
        <v>14.809656199</v>
      </c>
      <c r="L1700" s="1">
        <v>37.3</v>
      </c>
      <c r="M1700" s="1">
        <v>8.1</v>
      </c>
      <c r="N1700" s="1">
        <v>28.4</v>
      </c>
      <c r="O1700" s="1">
        <v>46.748485814</v>
      </c>
      <c r="P1700" s="1">
        <v>8.9578801661</v>
      </c>
      <c r="Q1700" s="1">
        <v>46.60556</v>
      </c>
      <c r="R1700" s="1">
        <v>97.175572519</v>
      </c>
      <c r="S1700" s="1">
        <v>12.3</v>
      </c>
      <c r="T1700" s="1">
        <v>1535.0</v>
      </c>
      <c r="U1700" s="1">
        <v>16.74267101</v>
      </c>
      <c r="V1700" s="1">
        <v>204.509002055</v>
      </c>
      <c r="W1700" s="1">
        <v>9.8076923077</v>
      </c>
      <c r="X1700" s="1">
        <v>9.4135802469</v>
      </c>
      <c r="Y1700" s="1">
        <v>82.248473138</v>
      </c>
      <c r="Z1700" s="1">
        <v>11.1</v>
      </c>
      <c r="AA1700" s="1">
        <v>5.0368238344</v>
      </c>
      <c r="AB1700" s="1">
        <v>52292.0</v>
      </c>
      <c r="AC1700" s="1">
        <v>33.473389356</v>
      </c>
      <c r="AD1700" s="1">
        <v>77.384500745</v>
      </c>
      <c r="AE1700" s="1">
        <v>8.5780525502</v>
      </c>
      <c r="AF1700" s="1">
        <v>0.4792826221</v>
      </c>
      <c r="AG1700" s="1">
        <v>0.602968460099999</v>
      </c>
      <c r="AH1700" s="1">
        <v>0.5102040816</v>
      </c>
      <c r="AI1700" s="1">
        <v>0.0927643785</v>
      </c>
      <c r="AJ1700" s="1">
        <v>2.7056277056</v>
      </c>
      <c r="AK1700" s="1">
        <v>95.222634508</v>
      </c>
      <c r="AL1700" s="1">
        <v>0.464884609</v>
      </c>
      <c r="AM1700" s="1">
        <v>49.273345702</v>
      </c>
      <c r="AN1700" s="1">
        <v>100.0</v>
      </c>
      <c r="AO1700" s="1">
        <v>28301.0</v>
      </c>
      <c r="AP1700" s="1">
        <v>9.5</v>
      </c>
      <c r="AQ1700" s="1">
        <v>3.3</v>
      </c>
      <c r="AR1700" s="1">
        <v>7.6</v>
      </c>
      <c r="AS1700" s="1">
        <v>20.7</v>
      </c>
      <c r="AT1700" s="1">
        <v>23.7</v>
      </c>
      <c r="AU1700" s="1">
        <v>14.3</v>
      </c>
      <c r="AV1700" s="1">
        <v>4.2</v>
      </c>
      <c r="AW1700" s="1">
        <v>0.4</v>
      </c>
      <c r="AX1700" s="1">
        <v>0.0465</v>
      </c>
      <c r="AY1700" s="1">
        <v>10.1</v>
      </c>
      <c r="AZ1700" s="1">
        <v>12.1</v>
      </c>
      <c r="BA1700" s="1">
        <v>17.8</v>
      </c>
      <c r="BB1700" s="1">
        <v>2.95</v>
      </c>
      <c r="BC1700" s="1" t="s">
        <v>2802</v>
      </c>
      <c r="BD1700" s="1">
        <v>5.1</v>
      </c>
      <c r="BE1700" s="1">
        <v>36.2</v>
      </c>
      <c r="BF1700" s="1">
        <v>37.5</v>
      </c>
      <c r="BG1700" s="1">
        <v>21.1</v>
      </c>
      <c r="BH1700" s="1" t="s">
        <v>2869</v>
      </c>
    </row>
    <row r="1701">
      <c r="A1701" s="1">
        <v>31095.0</v>
      </c>
      <c r="B1701" s="2" t="str">
        <f>IFERROR(__xludf.DUMMYFUNCTION("TO_TEXT(A1701)"),"31095")</f>
        <v>31095</v>
      </c>
      <c r="C1701" s="1">
        <v>7354.0</v>
      </c>
      <c r="D1701" s="1">
        <v>570.167894488748</v>
      </c>
      <c r="E1701" s="1" t="s">
        <v>132</v>
      </c>
      <c r="F1701" s="1" t="s">
        <v>2870</v>
      </c>
      <c r="G1701" s="1">
        <v>12.8979552708664</v>
      </c>
      <c r="H1701" s="1">
        <v>13.202167872</v>
      </c>
      <c r="I1701" s="1">
        <v>3.384517998</v>
      </c>
      <c r="J1701" s="1">
        <v>5.8201058201</v>
      </c>
      <c r="K1701" s="1">
        <v>15.448445933</v>
      </c>
      <c r="L1701" s="1">
        <v>36.6</v>
      </c>
      <c r="M1701" s="1">
        <v>8.1</v>
      </c>
      <c r="N1701" s="1">
        <v>31.4</v>
      </c>
      <c r="O1701" s="1">
        <v>59.321584736</v>
      </c>
      <c r="P1701" s="1">
        <v>9.1848026558</v>
      </c>
      <c r="Q1701" s="1">
        <v>69.65729</v>
      </c>
      <c r="R1701" s="1">
        <v>93.115079365</v>
      </c>
      <c r="S1701" s="1">
        <v>15.3</v>
      </c>
      <c r="T1701" s="1">
        <v>1595.0</v>
      </c>
      <c r="U1701" s="1">
        <v>35.7993730409999</v>
      </c>
      <c r="V1701" s="1">
        <v>779.98924153</v>
      </c>
      <c r="W1701" s="1">
        <v>6.65658093799999</v>
      </c>
      <c r="X1701" s="1">
        <v>5.296803653</v>
      </c>
      <c r="Y1701" s="1">
        <v>79.979617214</v>
      </c>
      <c r="Z1701" s="1">
        <v>9.7</v>
      </c>
      <c r="AA1701" s="1">
        <v>5.7876785517</v>
      </c>
      <c r="AB1701" s="1">
        <v>47075.0</v>
      </c>
      <c r="AC1701" s="1">
        <v>44.560791158</v>
      </c>
      <c r="AD1701" s="1">
        <v>72.007310387</v>
      </c>
      <c r="AE1701" s="1">
        <v>8.8492706645</v>
      </c>
      <c r="AF1701" s="1">
        <v>0.464985205</v>
      </c>
      <c r="AG1701" s="1">
        <v>0.7890658025</v>
      </c>
      <c r="AH1701" s="1">
        <v>0.352261519</v>
      </c>
      <c r="AI1701" s="1">
        <v>0.0281809215</v>
      </c>
      <c r="AJ1701" s="1">
        <v>4.1566859236</v>
      </c>
      <c r="AK1701" s="1">
        <v>93.433845287</v>
      </c>
      <c r="AL1701" s="1">
        <v>1.594095941</v>
      </c>
      <c r="AM1701" s="1">
        <v>50.528392278</v>
      </c>
      <c r="AN1701" s="1">
        <v>48.1648337089999</v>
      </c>
      <c r="AO1701" s="1">
        <v>26305.0</v>
      </c>
      <c r="AP1701" s="1">
        <v>11.7</v>
      </c>
      <c r="AQ1701" s="1">
        <v>3.2</v>
      </c>
      <c r="AR1701" s="1">
        <v>10.7</v>
      </c>
      <c r="AS1701" s="1">
        <v>23.2</v>
      </c>
      <c r="AT1701" s="1">
        <v>21.7</v>
      </c>
      <c r="AU1701" s="1">
        <v>16.2</v>
      </c>
      <c r="AV1701" s="1">
        <v>5.5</v>
      </c>
      <c r="AW1701" s="1">
        <v>0.5</v>
      </c>
      <c r="AX1701" s="1">
        <v>0.1856</v>
      </c>
      <c r="AY1701" s="1">
        <v>9.5</v>
      </c>
      <c r="AZ1701" s="1">
        <v>13.4</v>
      </c>
      <c r="BA1701" s="1">
        <v>19.0</v>
      </c>
      <c r="BB1701" s="1">
        <v>2.93</v>
      </c>
      <c r="BC1701" s="1" t="s">
        <v>2802</v>
      </c>
      <c r="BD1701" s="1">
        <v>8.9</v>
      </c>
      <c r="BE1701" s="1">
        <v>37.3</v>
      </c>
      <c r="BF1701" s="1">
        <v>36.0</v>
      </c>
      <c r="BG1701" s="1">
        <v>17.8</v>
      </c>
      <c r="BH1701" s="1" t="s">
        <v>2870</v>
      </c>
    </row>
    <row r="1702">
      <c r="A1702" s="1">
        <v>31097.0</v>
      </c>
      <c r="B1702" s="2" t="str">
        <f>IFERROR(__xludf.DUMMYFUNCTION("TO_TEXT(A1702)"),"31097")</f>
        <v>31097</v>
      </c>
      <c r="C1702" s="1">
        <v>5167.0</v>
      </c>
      <c r="D1702" s="1">
        <v>376.051080381154</v>
      </c>
      <c r="E1702" s="1" t="s">
        <v>347</v>
      </c>
      <c r="F1702" s="1" t="s">
        <v>2871</v>
      </c>
      <c r="G1702" s="1">
        <v>13.7401546480411</v>
      </c>
      <c r="H1702" s="1">
        <v>14.427528424</v>
      </c>
      <c r="I1702" s="1">
        <v>3.1252689515</v>
      </c>
      <c r="J1702" s="1">
        <v>7.6158940397</v>
      </c>
      <c r="K1702" s="1">
        <v>15.861127795</v>
      </c>
      <c r="L1702" s="1">
        <v>36.5</v>
      </c>
      <c r="M1702" s="1">
        <v>7.9</v>
      </c>
      <c r="N1702" s="1">
        <v>29.9</v>
      </c>
      <c r="O1702" s="1">
        <v>55.6450067089999</v>
      </c>
      <c r="P1702" s="1">
        <v>10.241336634</v>
      </c>
      <c r="Q1702" s="1">
        <v>38.57281</v>
      </c>
      <c r="R1702" s="1">
        <v>90.0</v>
      </c>
      <c r="S1702" s="1">
        <v>13.9</v>
      </c>
      <c r="T1702" s="1">
        <v>969.0</v>
      </c>
      <c r="U1702" s="1">
        <v>30.0309597519999</v>
      </c>
      <c r="V1702" s="1">
        <v>116.86793923</v>
      </c>
      <c r="W1702" s="1">
        <v>11.70212766</v>
      </c>
      <c r="X1702" s="1">
        <v>9.3498119291</v>
      </c>
      <c r="Y1702" s="1">
        <v>76.7017508369999</v>
      </c>
      <c r="Z1702" s="1">
        <v>10.0</v>
      </c>
      <c r="AA1702" s="1">
        <v>7.76085074909999</v>
      </c>
      <c r="AB1702" s="1">
        <v>52401.0</v>
      </c>
      <c r="AC1702" s="1">
        <v>46.0597826089999</v>
      </c>
      <c r="AD1702" s="1">
        <v>75.21978022</v>
      </c>
      <c r="AE1702" s="1">
        <v>7.7138065959</v>
      </c>
      <c r="AF1702" s="1">
        <v>6.1940007791</v>
      </c>
      <c r="AG1702" s="1">
        <v>1.5582391897</v>
      </c>
      <c r="AH1702" s="1">
        <v>1.3829372809</v>
      </c>
      <c r="AI1702" s="1">
        <v>0.0</v>
      </c>
      <c r="AJ1702" s="1">
        <v>10.303856642</v>
      </c>
      <c r="AK1702" s="1">
        <v>80.24931827</v>
      </c>
      <c r="AL1702" s="1">
        <v>2.2159548751</v>
      </c>
      <c r="AM1702" s="1">
        <v>41.195948578</v>
      </c>
      <c r="AN1702" s="1">
        <v>100.0</v>
      </c>
      <c r="AO1702" s="1">
        <v>21890.0</v>
      </c>
      <c r="AP1702" s="1">
        <v>12.5</v>
      </c>
      <c r="AQ1702" s="1">
        <v>3.3</v>
      </c>
      <c r="AR1702" s="1">
        <v>11.6</v>
      </c>
      <c r="AS1702" s="1">
        <v>17.4</v>
      </c>
      <c r="AT1702" s="1">
        <v>19.1</v>
      </c>
      <c r="AU1702" s="1">
        <v>13.1</v>
      </c>
      <c r="AV1702" s="1">
        <v>19.0</v>
      </c>
      <c r="AW1702" s="1">
        <v>2.1</v>
      </c>
      <c r="AX1702" s="1">
        <v>0.4174</v>
      </c>
      <c r="AY1702" s="1">
        <v>11.2</v>
      </c>
      <c r="AZ1702" s="1">
        <v>12.3</v>
      </c>
      <c r="BA1702" s="1">
        <v>18.2</v>
      </c>
      <c r="BB1702" s="1">
        <v>3.03</v>
      </c>
      <c r="BC1702" s="1" t="s">
        <v>2802</v>
      </c>
      <c r="BD1702" s="1">
        <v>13.7</v>
      </c>
      <c r="BE1702" s="1">
        <v>42.8</v>
      </c>
      <c r="BF1702" s="1">
        <v>26.1</v>
      </c>
      <c r="BG1702" s="1">
        <v>17.5</v>
      </c>
      <c r="BH1702" s="1" t="s">
        <v>2871</v>
      </c>
    </row>
    <row r="1703">
      <c r="A1703" s="1">
        <v>31099.0</v>
      </c>
      <c r="B1703" s="2" t="str">
        <f>IFERROR(__xludf.DUMMYFUNCTION("TO_TEXT(A1703)"),"31099")</f>
        <v>31099</v>
      </c>
      <c r="C1703" s="1">
        <v>6548.0</v>
      </c>
      <c r="D1703" s="1">
        <v>516.242941670259</v>
      </c>
      <c r="E1703" s="1" t="s">
        <v>2872</v>
      </c>
      <c r="F1703" s="1" t="s">
        <v>2873</v>
      </c>
      <c r="G1703" s="1">
        <v>12.6839506586076</v>
      </c>
      <c r="H1703" s="1">
        <v>13.148809894</v>
      </c>
      <c r="I1703" s="1">
        <v>3.382785936</v>
      </c>
      <c r="J1703" s="1">
        <v>6.7944250871</v>
      </c>
      <c r="K1703" s="1">
        <v>14.92266342</v>
      </c>
      <c r="L1703" s="1">
        <v>37.4</v>
      </c>
      <c r="M1703" s="1">
        <v>8.5</v>
      </c>
      <c r="N1703" s="1">
        <v>23.7</v>
      </c>
      <c r="O1703" s="1">
        <v>56.187394051</v>
      </c>
      <c r="P1703" s="1">
        <v>8.1184336199</v>
      </c>
      <c r="Q1703" s="1">
        <v>45.94181</v>
      </c>
      <c r="R1703" s="1">
        <v>97.70755886</v>
      </c>
      <c r="S1703" s="1">
        <v>12.7</v>
      </c>
      <c r="T1703" s="1">
        <v>1603.0</v>
      </c>
      <c r="U1703" s="1">
        <v>21.64691204</v>
      </c>
      <c r="V1703" s="1">
        <v>98.739176667</v>
      </c>
      <c r="W1703" s="1">
        <v>9.8181818182</v>
      </c>
      <c r="X1703" s="1">
        <v>7.8532110092</v>
      </c>
      <c r="Y1703" s="1">
        <v>78.691459694</v>
      </c>
      <c r="Z1703" s="1">
        <v>10.0</v>
      </c>
      <c r="AA1703" s="1">
        <v>2.4657746226</v>
      </c>
      <c r="AB1703" s="1">
        <v>64456.0</v>
      </c>
      <c r="AC1703" s="1">
        <v>35.130848533</v>
      </c>
      <c r="AD1703" s="1">
        <v>72.632363908</v>
      </c>
      <c r="AE1703" s="1">
        <v>8.91518737669999</v>
      </c>
      <c r="AF1703" s="1">
        <v>0.2444987775</v>
      </c>
      <c r="AG1703" s="1">
        <v>0.565403423</v>
      </c>
      <c r="AH1703" s="1">
        <v>0.2750611247</v>
      </c>
      <c r="AI1703" s="1">
        <v>0.0458435208</v>
      </c>
      <c r="AJ1703" s="1">
        <v>6.4792176039</v>
      </c>
      <c r="AK1703" s="1">
        <v>91.946821516</v>
      </c>
      <c r="AL1703" s="1">
        <v>0.4561003421</v>
      </c>
      <c r="AM1703" s="1">
        <v>50.122249389</v>
      </c>
      <c r="AN1703" s="1">
        <v>54.553860379</v>
      </c>
      <c r="AO1703" s="1">
        <v>31563.0</v>
      </c>
      <c r="AP1703" s="1">
        <v>6.9</v>
      </c>
      <c r="AQ1703" s="1">
        <v>3.6</v>
      </c>
      <c r="AR1703" s="1">
        <v>6.6</v>
      </c>
      <c r="AS1703" s="1">
        <v>18.6</v>
      </c>
      <c r="AT1703" s="1">
        <v>24.2</v>
      </c>
      <c r="AU1703" s="1">
        <v>11.8</v>
      </c>
      <c r="AV1703" s="1">
        <v>6.7</v>
      </c>
      <c r="AW1703" s="1">
        <v>0.0</v>
      </c>
      <c r="AX1703" s="1">
        <v>0.036</v>
      </c>
      <c r="AY1703" s="1">
        <v>7.7</v>
      </c>
      <c r="AZ1703" s="1">
        <v>11.2</v>
      </c>
      <c r="BA1703" s="1">
        <v>17.0</v>
      </c>
      <c r="BB1703" s="1">
        <v>3.18</v>
      </c>
      <c r="BC1703" s="1" t="s">
        <v>2802</v>
      </c>
      <c r="BD1703" s="1">
        <v>3.6</v>
      </c>
      <c r="BE1703" s="1">
        <v>29.2</v>
      </c>
      <c r="BF1703" s="1">
        <v>40.6</v>
      </c>
      <c r="BG1703" s="1">
        <v>26.7</v>
      </c>
      <c r="BH1703" s="1" t="s">
        <v>2873</v>
      </c>
    </row>
    <row r="1704">
      <c r="A1704" s="1">
        <v>31101.0</v>
      </c>
      <c r="B1704" s="2" t="str">
        <f>IFERROR(__xludf.DUMMYFUNCTION("TO_TEXT(A1704)"),"31101")</f>
        <v>31101</v>
      </c>
      <c r="C1704" s="1">
        <v>8103.0</v>
      </c>
      <c r="D1704" s="1">
        <v>1061.59975947617</v>
      </c>
      <c r="E1704" s="1" t="s">
        <v>2874</v>
      </c>
      <c r="F1704" s="1" t="s">
        <v>2875</v>
      </c>
      <c r="G1704" s="1">
        <v>7.6328201166872</v>
      </c>
      <c r="H1704" s="1">
        <v>13.945833902</v>
      </c>
      <c r="I1704" s="1">
        <v>3.4919472509</v>
      </c>
      <c r="J1704" s="1">
        <v>9.5320623917</v>
      </c>
      <c r="K1704" s="1">
        <v>15.107005715</v>
      </c>
      <c r="L1704" s="1">
        <v>30.1</v>
      </c>
      <c r="M1704" s="1">
        <v>7.8</v>
      </c>
      <c r="N1704" s="1">
        <v>31.1</v>
      </c>
      <c r="O1704" s="1">
        <v>79.612810707</v>
      </c>
      <c r="P1704" s="1">
        <v>10.057374283</v>
      </c>
      <c r="Q1704" s="1">
        <v>74.33102</v>
      </c>
      <c r="R1704" s="1">
        <v>93.240895932</v>
      </c>
      <c r="S1704" s="1">
        <v>19.4</v>
      </c>
      <c r="T1704" s="1">
        <v>1611.0</v>
      </c>
      <c r="U1704" s="1">
        <v>34.761018001</v>
      </c>
      <c r="V1704" s="1">
        <v>105.74112086</v>
      </c>
      <c r="W1704" s="1">
        <v>8.6624203822</v>
      </c>
      <c r="X1704" s="1">
        <v>7.66666666669999</v>
      </c>
      <c r="Y1704" s="1">
        <v>79.491465506</v>
      </c>
      <c r="Z1704" s="1">
        <v>9.7</v>
      </c>
      <c r="AA1704" s="1">
        <v>6.1318871477</v>
      </c>
      <c r="AB1704" s="1">
        <v>52086.0</v>
      </c>
      <c r="AC1704" s="1">
        <v>47.492904447</v>
      </c>
      <c r="AD1704" s="1">
        <v>70.551508845</v>
      </c>
      <c r="AE1704" s="1">
        <v>8.42911877389999</v>
      </c>
      <c r="AF1704" s="1">
        <v>0.772970951299999</v>
      </c>
      <c r="AG1704" s="1">
        <v>0.7605036778</v>
      </c>
      <c r="AH1704" s="1">
        <v>0.6233636704</v>
      </c>
      <c r="AI1704" s="1">
        <v>0.0</v>
      </c>
      <c r="AJ1704" s="1">
        <v>7.5676349582</v>
      </c>
      <c r="AK1704" s="1">
        <v>89.303079417</v>
      </c>
      <c r="AL1704" s="1">
        <v>0.3746770026</v>
      </c>
      <c r="AM1704" s="1">
        <v>49.557411794</v>
      </c>
      <c r="AN1704" s="1">
        <v>47.131931166</v>
      </c>
      <c r="AO1704" s="1">
        <v>26699.0</v>
      </c>
      <c r="AP1704" s="1">
        <v>12.8</v>
      </c>
      <c r="AQ1704" s="1">
        <v>4.0</v>
      </c>
      <c r="AR1704" s="1">
        <v>8.2</v>
      </c>
      <c r="AS1704" s="1">
        <v>23.8</v>
      </c>
      <c r="AT1704" s="1">
        <v>20.7</v>
      </c>
      <c r="AU1704" s="1">
        <v>12.4</v>
      </c>
      <c r="AV1704" s="1">
        <v>8.9</v>
      </c>
      <c r="AW1704" s="1">
        <v>0.1</v>
      </c>
      <c r="AX1704" s="1">
        <v>0.1554</v>
      </c>
      <c r="AY1704" s="1">
        <v>11.1</v>
      </c>
      <c r="AZ1704" s="1">
        <v>12.6</v>
      </c>
      <c r="BA1704" s="1">
        <v>18.6</v>
      </c>
      <c r="BB1704" s="1">
        <v>3.09</v>
      </c>
      <c r="BC1704" s="1" t="s">
        <v>2802</v>
      </c>
      <c r="BD1704" s="1">
        <v>8.5</v>
      </c>
      <c r="BE1704" s="1">
        <v>31.7</v>
      </c>
      <c r="BF1704" s="1">
        <v>39.3</v>
      </c>
      <c r="BG1704" s="1">
        <v>20.5</v>
      </c>
      <c r="BH1704" s="1" t="s">
        <v>2875</v>
      </c>
    </row>
    <row r="1705">
      <c r="A1705" s="1">
        <v>31103.0</v>
      </c>
      <c r="B1705" s="2" t="str">
        <f>IFERROR(__xludf.DUMMYFUNCTION("TO_TEXT(A1705)"),"31103")</f>
        <v>31103</v>
      </c>
      <c r="C1705" s="1">
        <v>736.0</v>
      </c>
      <c r="D1705" s="1">
        <v>773.075651133834</v>
      </c>
      <c r="E1705" s="1" t="s">
        <v>2876</v>
      </c>
      <c r="F1705" s="1" t="s">
        <v>2877</v>
      </c>
      <c r="G1705" s="1">
        <v>0.952041367388228</v>
      </c>
      <c r="H1705" s="1">
        <v>11.369050003</v>
      </c>
      <c r="I1705" s="1">
        <v>3.0825852168</v>
      </c>
      <c r="J1705" s="1">
        <v>7.80443539465</v>
      </c>
      <c r="K1705" s="1">
        <v>11.851042171</v>
      </c>
      <c r="L1705" s="1">
        <v>29.9</v>
      </c>
      <c r="M1705" s="1">
        <v>4.9</v>
      </c>
      <c r="N1705" s="1">
        <v>27.6</v>
      </c>
      <c r="O1705" s="1">
        <v>33.252427184</v>
      </c>
      <c r="P1705" s="1">
        <v>18.592057762</v>
      </c>
      <c r="Q1705" s="1">
        <v>0.0</v>
      </c>
      <c r="R1705" s="1">
        <v>89.912280702</v>
      </c>
      <c r="S1705" s="1">
        <v>32.5</v>
      </c>
      <c r="T1705" s="1">
        <v>178.0</v>
      </c>
      <c r="U1705" s="1">
        <v>7.86516853929999</v>
      </c>
      <c r="V1705" s="1">
        <v>0.0</v>
      </c>
      <c r="W1705" s="1">
        <v>10.0</v>
      </c>
      <c r="X1705" s="1">
        <v>9.1176470588</v>
      </c>
      <c r="Y1705" s="1">
        <v>77.482572377</v>
      </c>
      <c r="Z1705" s="1">
        <v>13.6</v>
      </c>
      <c r="AA1705" s="1">
        <v>41.629641022</v>
      </c>
      <c r="AB1705" s="1">
        <v>48429.0</v>
      </c>
      <c r="AC1705" s="1">
        <v>51.807228916</v>
      </c>
      <c r="AD1705" s="1">
        <v>74.8466257669999</v>
      </c>
      <c r="AE1705" s="1">
        <v>4.7945205479</v>
      </c>
      <c r="AF1705" s="1">
        <v>0.0</v>
      </c>
      <c r="AG1705" s="1">
        <v>0.6172839506</v>
      </c>
      <c r="AH1705" s="1">
        <v>0.4938271605</v>
      </c>
      <c r="AI1705" s="1">
        <v>0.0</v>
      </c>
      <c r="AJ1705" s="1">
        <v>0.7407407407</v>
      </c>
      <c r="AK1705" s="1">
        <v>97.7777777779999</v>
      </c>
      <c r="AL1705" s="1">
        <v>0.0</v>
      </c>
      <c r="AM1705" s="1">
        <v>51.481481481</v>
      </c>
      <c r="AN1705" s="1">
        <v>100.0</v>
      </c>
      <c r="AO1705" s="1">
        <v>28086.0</v>
      </c>
      <c r="AP1705" s="1">
        <v>10.5</v>
      </c>
      <c r="AQ1705" s="1">
        <v>0.7</v>
      </c>
      <c r="AR1705" s="1">
        <v>6.7</v>
      </c>
      <c r="AS1705" s="1">
        <v>24.7</v>
      </c>
      <c r="AT1705" s="1">
        <v>20.1</v>
      </c>
      <c r="AU1705" s="1">
        <v>14.8</v>
      </c>
      <c r="AV1705" s="1">
        <v>2.3</v>
      </c>
      <c r="AW1705" s="1">
        <v>0.0</v>
      </c>
      <c r="AX1705" s="1">
        <v>0.0025</v>
      </c>
      <c r="AY1705" s="1">
        <v>18.9</v>
      </c>
      <c r="AZ1705" s="1">
        <v>10.0</v>
      </c>
      <c r="BA1705" s="1">
        <v>16.3</v>
      </c>
      <c r="BB1705" s="1">
        <v>3.37</v>
      </c>
      <c r="BC1705" s="1" t="s">
        <v>2802</v>
      </c>
      <c r="BD1705" s="1">
        <v>4.9</v>
      </c>
      <c r="BE1705" s="1">
        <v>32.1</v>
      </c>
      <c r="BF1705" s="1">
        <v>37.9</v>
      </c>
      <c r="BG1705" s="1">
        <v>25.0</v>
      </c>
      <c r="BH1705" s="1" t="s">
        <v>2877</v>
      </c>
    </row>
    <row r="1706">
      <c r="A1706" s="1">
        <v>31105.0</v>
      </c>
      <c r="B1706" s="2" t="str">
        <f>IFERROR(__xludf.DUMMYFUNCTION("TO_TEXT(A1706)"),"31105")</f>
        <v>31105</v>
      </c>
      <c r="C1706" s="1">
        <v>3713.0</v>
      </c>
      <c r="D1706" s="1">
        <v>951.845329275995</v>
      </c>
      <c r="E1706" s="1" t="s">
        <v>2878</v>
      </c>
      <c r="F1706" s="1" t="s">
        <v>2879</v>
      </c>
      <c r="G1706" s="1">
        <v>3.90084385120031</v>
      </c>
      <c r="H1706" s="1">
        <v>17.483558226</v>
      </c>
      <c r="I1706" s="1">
        <v>3.6611820681</v>
      </c>
      <c r="J1706" s="1">
        <v>7.63888888889999</v>
      </c>
      <c r="K1706" s="1">
        <v>15.1400604109999</v>
      </c>
      <c r="L1706" s="1">
        <v>38.6</v>
      </c>
      <c r="M1706" s="1">
        <v>8.2</v>
      </c>
      <c r="N1706" s="1">
        <v>29.3</v>
      </c>
      <c r="O1706" s="1">
        <v>75.974875687</v>
      </c>
      <c r="P1706" s="1">
        <v>12.375323236</v>
      </c>
      <c r="Q1706" s="1">
        <v>48.31939</v>
      </c>
      <c r="R1706" s="1">
        <v>89.0</v>
      </c>
      <c r="S1706" s="1">
        <v>16.6</v>
      </c>
      <c r="T1706" s="1">
        <v>827.0</v>
      </c>
      <c r="U1706" s="1">
        <v>37.605804111</v>
      </c>
      <c r="V1706" s="1">
        <v>218.10250818</v>
      </c>
      <c r="W1706" s="1">
        <v>8.8050314465</v>
      </c>
      <c r="X1706" s="1">
        <v>7.9872204473</v>
      </c>
      <c r="Y1706" s="1">
        <v>76.270109676</v>
      </c>
      <c r="Z1706" s="1">
        <v>11.9</v>
      </c>
      <c r="AA1706" s="1">
        <v>2.9979419634</v>
      </c>
      <c r="AB1706" s="1">
        <v>46986.0</v>
      </c>
      <c r="AC1706" s="1">
        <v>45.756457565</v>
      </c>
      <c r="AD1706" s="1">
        <v>70.782940802</v>
      </c>
      <c r="AE1706" s="1">
        <v>6.7423230975</v>
      </c>
      <c r="AF1706" s="1">
        <v>0.2763957988</v>
      </c>
      <c r="AG1706" s="1">
        <v>2.26644555</v>
      </c>
      <c r="AH1706" s="1">
        <v>1.0503040354</v>
      </c>
      <c r="AI1706" s="1">
        <v>0.1105583195</v>
      </c>
      <c r="AJ1706" s="1">
        <v>10.088446656</v>
      </c>
      <c r="AK1706" s="1">
        <v>84.577114428</v>
      </c>
      <c r="AL1706" s="1">
        <v>0.7200460829</v>
      </c>
      <c r="AM1706" s="1">
        <v>49.806522941</v>
      </c>
      <c r="AN1706" s="1">
        <v>100.0</v>
      </c>
      <c r="AO1706" s="1">
        <v>23727.0</v>
      </c>
      <c r="AP1706" s="1">
        <v>10.3</v>
      </c>
      <c r="AQ1706" s="1">
        <v>5.4</v>
      </c>
      <c r="AR1706" s="1">
        <v>11.6</v>
      </c>
      <c r="AS1706" s="1">
        <v>25.7</v>
      </c>
      <c r="AT1706" s="1">
        <v>22.8</v>
      </c>
      <c r="AU1706" s="1">
        <v>15.7</v>
      </c>
      <c r="AV1706" s="1">
        <v>10.8</v>
      </c>
      <c r="AW1706" s="1">
        <v>0.9</v>
      </c>
      <c r="AX1706" s="1">
        <v>0.3884</v>
      </c>
      <c r="AY1706" s="1">
        <v>12.2</v>
      </c>
      <c r="AZ1706" s="1">
        <v>12.5</v>
      </c>
      <c r="BA1706" s="1">
        <v>17.0</v>
      </c>
      <c r="BB1706" s="1">
        <v>3.26</v>
      </c>
      <c r="BC1706" s="1" t="s">
        <v>2802</v>
      </c>
      <c r="BD1706" s="1">
        <v>11.3</v>
      </c>
      <c r="BE1706" s="1">
        <v>36.3</v>
      </c>
      <c r="BF1706" s="1">
        <v>36.3</v>
      </c>
      <c r="BG1706" s="1">
        <v>16.1</v>
      </c>
      <c r="BH1706" s="1" t="s">
        <v>2879</v>
      </c>
    </row>
    <row r="1707">
      <c r="A1707" s="1">
        <v>31107.0</v>
      </c>
      <c r="B1707" s="2" t="str">
        <f>IFERROR(__xludf.DUMMYFUNCTION("TO_TEXT(A1707)"),"31107")</f>
        <v>31107</v>
      </c>
      <c r="C1707" s="1">
        <v>8551.0</v>
      </c>
      <c r="D1707" s="1">
        <v>1108.35017728592</v>
      </c>
      <c r="E1707" s="1" t="s">
        <v>1224</v>
      </c>
      <c r="F1707" s="1" t="s">
        <v>2880</v>
      </c>
      <c r="G1707" s="1">
        <v>7.71507071974249</v>
      </c>
      <c r="H1707" s="1">
        <v>14.0339507259999</v>
      </c>
      <c r="I1707" s="1">
        <v>3.5363668272</v>
      </c>
      <c r="J1707" s="1">
        <v>6.5096952909</v>
      </c>
      <c r="K1707" s="1">
        <v>13.487088934</v>
      </c>
      <c r="L1707" s="1">
        <v>32.0</v>
      </c>
      <c r="M1707" s="1">
        <v>8.1</v>
      </c>
      <c r="N1707" s="1">
        <v>30.8</v>
      </c>
      <c r="O1707" s="1">
        <v>61.429720722</v>
      </c>
      <c r="P1707" s="1">
        <v>13.1222432259999</v>
      </c>
      <c r="Q1707" s="1">
        <v>47.21435</v>
      </c>
      <c r="R1707" s="1">
        <v>92.249695136</v>
      </c>
      <c r="S1707" s="1">
        <v>17.4</v>
      </c>
      <c r="T1707" s="1">
        <v>2023.0</v>
      </c>
      <c r="U1707" s="1">
        <v>21.997034108</v>
      </c>
      <c r="V1707" s="1">
        <v>52.761167781</v>
      </c>
      <c r="W1707" s="1">
        <v>9.4520547945</v>
      </c>
      <c r="X1707" s="1">
        <v>6.3975837452</v>
      </c>
      <c r="Y1707" s="1">
        <v>79.974625872</v>
      </c>
      <c r="Z1707" s="1">
        <v>10.2</v>
      </c>
      <c r="AA1707" s="1">
        <v>3.3581396998</v>
      </c>
      <c r="AB1707" s="1">
        <v>47906.0</v>
      </c>
      <c r="AC1707" s="1">
        <v>49.3498817969999</v>
      </c>
      <c r="AD1707" s="1">
        <v>73.21720196</v>
      </c>
      <c r="AE1707" s="1">
        <v>6.8885672938</v>
      </c>
      <c r="AF1707" s="1">
        <v>0.3444589619</v>
      </c>
      <c r="AG1707" s="1">
        <v>10.27437938</v>
      </c>
      <c r="AH1707" s="1">
        <v>0.451360019</v>
      </c>
      <c r="AI1707" s="1">
        <v>0.0712673714</v>
      </c>
      <c r="AJ1707" s="1">
        <v>2.8506948569</v>
      </c>
      <c r="AK1707" s="1">
        <v>85.354555173</v>
      </c>
      <c r="AL1707" s="1">
        <v>0.6686853394</v>
      </c>
      <c r="AM1707" s="1">
        <v>50.504810548</v>
      </c>
      <c r="AN1707" s="1">
        <v>100.0</v>
      </c>
      <c r="AO1707" s="1">
        <v>26675.0</v>
      </c>
      <c r="AP1707" s="1">
        <v>12.5</v>
      </c>
      <c r="AQ1707" s="1">
        <v>3.0</v>
      </c>
      <c r="AR1707" s="1">
        <v>8.4</v>
      </c>
      <c r="AS1707" s="1">
        <v>23.7</v>
      </c>
      <c r="AT1707" s="1">
        <v>24.4</v>
      </c>
      <c r="AU1707" s="1">
        <v>13.2</v>
      </c>
      <c r="AV1707" s="1">
        <v>13.5</v>
      </c>
      <c r="AW1707" s="1">
        <v>0.8</v>
      </c>
      <c r="AX1707" s="1">
        <v>0.2846</v>
      </c>
      <c r="AY1707" s="1">
        <v>12.2</v>
      </c>
      <c r="AZ1707" s="1">
        <v>12.4</v>
      </c>
      <c r="BA1707" s="1">
        <v>18.8</v>
      </c>
      <c r="BB1707" s="1">
        <v>3.07</v>
      </c>
      <c r="BC1707" s="1" t="s">
        <v>2802</v>
      </c>
      <c r="BD1707" s="1">
        <v>7.9</v>
      </c>
      <c r="BE1707" s="1">
        <v>33.8</v>
      </c>
      <c r="BF1707" s="1">
        <v>36.7</v>
      </c>
      <c r="BG1707" s="1">
        <v>21.6</v>
      </c>
      <c r="BH1707" s="1" t="s">
        <v>2880</v>
      </c>
    </row>
    <row r="1708">
      <c r="A1708" s="1">
        <v>31109.0</v>
      </c>
      <c r="B1708" s="2" t="str">
        <f>IFERROR(__xludf.DUMMYFUNCTION("TO_TEXT(A1708)"),"31109")</f>
        <v>31109</v>
      </c>
      <c r="C1708" s="1">
        <v>301707.0</v>
      </c>
      <c r="D1708" s="1">
        <v>837.547979314297</v>
      </c>
      <c r="E1708" s="1" t="s">
        <v>2881</v>
      </c>
      <c r="F1708" s="1" t="s">
        <v>2882</v>
      </c>
      <c r="G1708" s="1">
        <v>360.226527257588</v>
      </c>
      <c r="H1708" s="1">
        <v>13.615978294</v>
      </c>
      <c r="I1708" s="1">
        <v>3.2584882739</v>
      </c>
      <c r="J1708" s="1">
        <v>6.6396818634</v>
      </c>
      <c r="K1708" s="1">
        <v>12.8992214209999</v>
      </c>
      <c r="L1708" s="1">
        <v>28.7</v>
      </c>
      <c r="M1708" s="1">
        <v>8.0</v>
      </c>
      <c r="N1708" s="1">
        <v>17.5</v>
      </c>
      <c r="O1708" s="1">
        <v>96.903019197</v>
      </c>
      <c r="P1708" s="1">
        <v>8.3875011607</v>
      </c>
      <c r="Q1708" s="1">
        <v>67.43903</v>
      </c>
      <c r="R1708" s="1">
        <v>83.709291329</v>
      </c>
      <c r="S1708" s="1">
        <v>12.7</v>
      </c>
      <c r="T1708" s="1">
        <v>70356.0</v>
      </c>
      <c r="U1708" s="1">
        <v>28.13832509</v>
      </c>
      <c r="V1708" s="1">
        <v>325.95538506</v>
      </c>
      <c r="W1708" s="1">
        <v>14.427068047</v>
      </c>
      <c r="X1708" s="1">
        <v>12.243342788</v>
      </c>
      <c r="Y1708" s="1">
        <v>80.225479294</v>
      </c>
      <c r="Z1708" s="1">
        <v>7.5</v>
      </c>
      <c r="AA1708" s="1">
        <v>2.7782940265</v>
      </c>
      <c r="AB1708" s="1">
        <v>58618.0</v>
      </c>
      <c r="AC1708" s="1">
        <v>42.3042685769999</v>
      </c>
      <c r="AD1708" s="1">
        <v>60.0256021389999</v>
      </c>
      <c r="AE1708" s="1">
        <v>12.080721297</v>
      </c>
      <c r="AF1708" s="1">
        <v>3.9656824428</v>
      </c>
      <c r="AG1708" s="1">
        <v>0.9814922212</v>
      </c>
      <c r="AH1708" s="1">
        <v>4.846314834</v>
      </c>
      <c r="AI1708" s="1">
        <v>0.0970775864</v>
      </c>
      <c r="AJ1708" s="1">
        <v>7.2168360271</v>
      </c>
      <c r="AK1708" s="1">
        <v>80.842305656</v>
      </c>
      <c r="AL1708" s="1">
        <v>2.1272631928</v>
      </c>
      <c r="AM1708" s="1">
        <v>49.8149852489999</v>
      </c>
      <c r="AN1708" s="1">
        <v>8.2531262373</v>
      </c>
      <c r="AO1708" s="1">
        <v>28600.0</v>
      </c>
      <c r="AP1708" s="1">
        <v>14.3</v>
      </c>
      <c r="AQ1708" s="1">
        <v>4.4</v>
      </c>
      <c r="AR1708" s="1">
        <v>6.6</v>
      </c>
      <c r="AS1708" s="1">
        <v>12.2</v>
      </c>
      <c r="AT1708" s="1">
        <v>23.1</v>
      </c>
      <c r="AU1708" s="1">
        <v>10.4</v>
      </c>
      <c r="AV1708" s="1">
        <v>17.3</v>
      </c>
      <c r="AW1708" s="1">
        <v>2.4</v>
      </c>
      <c r="AX1708" s="1">
        <v>0.3212</v>
      </c>
      <c r="AY1708" s="1">
        <v>10.7</v>
      </c>
      <c r="AZ1708" s="1">
        <v>12.0</v>
      </c>
      <c r="BA1708" s="1">
        <v>16.2</v>
      </c>
      <c r="BB1708" s="1">
        <v>3.02</v>
      </c>
      <c r="BC1708" s="1" t="s">
        <v>2802</v>
      </c>
      <c r="BD1708" s="1">
        <v>6.3</v>
      </c>
      <c r="BE1708" s="1">
        <v>21.5</v>
      </c>
      <c r="BF1708" s="1">
        <v>32.6</v>
      </c>
      <c r="BG1708" s="1">
        <v>39.5</v>
      </c>
      <c r="BH1708" s="1" t="s">
        <v>2882</v>
      </c>
    </row>
    <row r="1709">
      <c r="A1709" s="1">
        <v>31111.0</v>
      </c>
      <c r="B1709" s="2" t="str">
        <f>IFERROR(__xludf.DUMMYFUNCTION("TO_TEXT(A1709)"),"31111")</f>
        <v>31111</v>
      </c>
      <c r="C1709" s="1">
        <v>35777.0</v>
      </c>
      <c r="D1709" s="1">
        <v>2564.06182777225</v>
      </c>
      <c r="E1709" s="1" t="s">
        <v>353</v>
      </c>
      <c r="F1709" s="1" t="s">
        <v>2883</v>
      </c>
      <c r="G1709" s="1">
        <v>13.953251677665</v>
      </c>
      <c r="H1709" s="1">
        <v>14.724840224</v>
      </c>
      <c r="I1709" s="1">
        <v>3.5953791388</v>
      </c>
      <c r="J1709" s="1">
        <v>7.7283372365</v>
      </c>
      <c r="K1709" s="1">
        <v>15.818914419</v>
      </c>
      <c r="L1709" s="1">
        <v>37.2</v>
      </c>
      <c r="M1709" s="1">
        <v>7.8</v>
      </c>
      <c r="N1709" s="1">
        <v>27.7</v>
      </c>
      <c r="O1709" s="1">
        <v>86.276455026</v>
      </c>
      <c r="P1709" s="1">
        <v>8.8023698688</v>
      </c>
      <c r="Q1709" s="1">
        <v>53.85488</v>
      </c>
      <c r="R1709" s="1">
        <v>91.193216462</v>
      </c>
      <c r="S1709" s="1">
        <v>13.1</v>
      </c>
      <c r="T1709" s="1">
        <v>8385.0</v>
      </c>
      <c r="U1709" s="1">
        <v>24.543828265</v>
      </c>
      <c r="V1709" s="1">
        <v>273.99175229</v>
      </c>
      <c r="W1709" s="1">
        <v>11.426662212</v>
      </c>
      <c r="X1709" s="1">
        <v>8.65100671139999</v>
      </c>
      <c r="Y1709" s="1">
        <v>78.735576316</v>
      </c>
      <c r="Z1709" s="1">
        <v>11.9</v>
      </c>
      <c r="AA1709" s="1">
        <v>6.9177259583</v>
      </c>
      <c r="AB1709" s="1">
        <v>56803.0</v>
      </c>
      <c r="AC1709" s="1">
        <v>44.294605809</v>
      </c>
      <c r="AD1709" s="1">
        <v>65.265265265</v>
      </c>
      <c r="AE1709" s="1">
        <v>10.731941774</v>
      </c>
      <c r="AF1709" s="1">
        <v>1.0686372034</v>
      </c>
      <c r="AG1709" s="1">
        <v>1.0885320449</v>
      </c>
      <c r="AH1709" s="1">
        <v>0.9805314765</v>
      </c>
      <c r="AI1709" s="1">
        <v>0.0852636067</v>
      </c>
      <c r="AJ1709" s="1">
        <v>8.7224669604</v>
      </c>
      <c r="AK1709" s="1">
        <v>87.514565866</v>
      </c>
      <c r="AL1709" s="1">
        <v>0.4048461585</v>
      </c>
      <c r="AM1709" s="1">
        <v>50.521529061</v>
      </c>
      <c r="AN1709" s="1">
        <v>30.519731041</v>
      </c>
      <c r="AO1709" s="1">
        <v>27474.0</v>
      </c>
      <c r="AP1709" s="1">
        <v>12.0</v>
      </c>
      <c r="AQ1709" s="1">
        <v>3.1</v>
      </c>
      <c r="AR1709" s="1">
        <v>8.1</v>
      </c>
      <c r="AS1709" s="1">
        <v>17.2</v>
      </c>
      <c r="AT1709" s="1">
        <v>24.3</v>
      </c>
      <c r="AU1709" s="1">
        <v>14.6</v>
      </c>
      <c r="AV1709" s="1">
        <v>11.3</v>
      </c>
      <c r="AW1709" s="1">
        <v>0.6</v>
      </c>
      <c r="AX1709" s="1">
        <v>0.3508</v>
      </c>
      <c r="AY1709" s="1">
        <v>10.8</v>
      </c>
      <c r="AZ1709" s="1">
        <v>13.0</v>
      </c>
      <c r="BA1709" s="1">
        <v>18.1</v>
      </c>
      <c r="BB1709" s="1">
        <v>3.08</v>
      </c>
      <c r="BC1709" s="1" t="s">
        <v>2802</v>
      </c>
      <c r="BD1709" s="1">
        <v>6.5</v>
      </c>
      <c r="BE1709" s="1">
        <v>28.5</v>
      </c>
      <c r="BF1709" s="1">
        <v>41.8</v>
      </c>
      <c r="BG1709" s="1">
        <v>23.2</v>
      </c>
      <c r="BH1709" s="1" t="s">
        <v>2883</v>
      </c>
    </row>
    <row r="1710">
      <c r="A1710" s="1">
        <v>31113.0</v>
      </c>
      <c r="B1710" s="2" t="str">
        <f>IFERROR(__xludf.DUMMYFUNCTION("TO_TEXT(A1710)"),"31113")</f>
        <v>31113</v>
      </c>
      <c r="C1710" s="1">
        <v>830.0</v>
      </c>
      <c r="D1710" s="1">
        <v>570.660275697472</v>
      </c>
      <c r="E1710" s="1" t="s">
        <v>357</v>
      </c>
      <c r="F1710" s="1" t="s">
        <v>2884</v>
      </c>
      <c r="G1710" s="1">
        <v>1.4544555409706</v>
      </c>
      <c r="H1710" s="1">
        <v>14.149363872</v>
      </c>
      <c r="I1710" s="1">
        <v>3.3805027878</v>
      </c>
      <c r="J1710" s="1">
        <v>7.80443539465</v>
      </c>
      <c r="K1710" s="1">
        <v>14.658608006</v>
      </c>
      <c r="L1710" s="1">
        <v>34.9</v>
      </c>
      <c r="M1710" s="1">
        <v>8.2</v>
      </c>
      <c r="N1710" s="1">
        <v>30.4</v>
      </c>
      <c r="O1710" s="1">
        <v>2.4901703801</v>
      </c>
      <c r="P1710" s="1">
        <v>12.645590682</v>
      </c>
      <c r="Q1710" s="1">
        <v>0.0</v>
      </c>
      <c r="R1710" s="1">
        <v>89.912280702</v>
      </c>
      <c r="S1710" s="1">
        <v>11.7</v>
      </c>
      <c r="T1710" s="1">
        <v>255.0</v>
      </c>
      <c r="U1710" s="1">
        <v>1.1764705882</v>
      </c>
      <c r="V1710" s="1">
        <v>204.509002055</v>
      </c>
      <c r="W1710" s="1">
        <v>15.714285714</v>
      </c>
      <c r="X1710" s="1">
        <v>10.526315789</v>
      </c>
      <c r="Y1710" s="1">
        <v>77.482572377</v>
      </c>
      <c r="Z1710" s="1">
        <v>11.3</v>
      </c>
      <c r="AA1710" s="1">
        <v>3.5031702139</v>
      </c>
      <c r="AB1710" s="1">
        <v>55531.0</v>
      </c>
      <c r="AC1710" s="1">
        <v>37.688442211</v>
      </c>
      <c r="AD1710" s="1">
        <v>70.967741935</v>
      </c>
      <c r="AE1710" s="1">
        <v>8.865248227</v>
      </c>
      <c r="AF1710" s="1">
        <v>0.1335113485</v>
      </c>
      <c r="AG1710" s="1">
        <v>0.9345794393</v>
      </c>
      <c r="AH1710" s="1">
        <v>0.4005340454</v>
      </c>
      <c r="AI1710" s="1">
        <v>0.0</v>
      </c>
      <c r="AJ1710" s="1">
        <v>2.4032042724</v>
      </c>
      <c r="AK1710" s="1">
        <v>95.460614152</v>
      </c>
      <c r="AL1710" s="1">
        <v>1.6766467066</v>
      </c>
      <c r="AM1710" s="1">
        <v>47.129506008</v>
      </c>
      <c r="AN1710" s="1">
        <v>100.0</v>
      </c>
      <c r="AO1710" s="1">
        <v>24693.0</v>
      </c>
      <c r="AP1710" s="1">
        <v>11.8</v>
      </c>
      <c r="AQ1710" s="1">
        <v>0.9</v>
      </c>
      <c r="AR1710" s="1">
        <v>9.5</v>
      </c>
      <c r="AS1710" s="1">
        <v>19.6</v>
      </c>
      <c r="AT1710" s="1">
        <v>26.5</v>
      </c>
      <c r="AU1710" s="1">
        <v>14.1</v>
      </c>
      <c r="AV1710" s="1">
        <v>3.4</v>
      </c>
      <c r="AW1710" s="1">
        <v>0.0</v>
      </c>
      <c r="AX1710" s="1">
        <v>0.0611</v>
      </c>
      <c r="AY1710" s="1">
        <v>8.9</v>
      </c>
      <c r="AZ1710" s="1">
        <v>10.8</v>
      </c>
      <c r="BA1710" s="1">
        <v>15.6</v>
      </c>
      <c r="BB1710" s="1">
        <v>3.1</v>
      </c>
      <c r="BC1710" s="1" t="s">
        <v>2802</v>
      </c>
      <c r="BD1710" s="1">
        <v>6.0</v>
      </c>
      <c r="BE1710" s="1">
        <v>30.1</v>
      </c>
      <c r="BF1710" s="1">
        <v>44.2</v>
      </c>
      <c r="BG1710" s="1">
        <v>19.6</v>
      </c>
      <c r="BH1710" s="1" t="s">
        <v>2884</v>
      </c>
    </row>
    <row r="1711">
      <c r="A1711" s="1">
        <v>31115.0</v>
      </c>
      <c r="B1711" s="2" t="str">
        <f>IFERROR(__xludf.DUMMYFUNCTION("TO_TEXT(A1711)"),"31115")</f>
        <v>31115</v>
      </c>
      <c r="C1711" s="1">
        <v>542.0</v>
      </c>
      <c r="D1711" s="1">
        <v>568.266354880114</v>
      </c>
      <c r="E1711" s="1" t="s">
        <v>2885</v>
      </c>
      <c r="F1711" s="1" t="s">
        <v>2886</v>
      </c>
      <c r="G1711" s="1">
        <v>0.953778092518507</v>
      </c>
      <c r="H1711" s="1">
        <v>12.538262597</v>
      </c>
      <c r="I1711" s="1">
        <v>3.2810591367</v>
      </c>
      <c r="J1711" s="1">
        <v>7.80443539465</v>
      </c>
      <c r="K1711" s="1">
        <v>13.055802224</v>
      </c>
      <c r="L1711" s="1">
        <v>30.6</v>
      </c>
      <c r="M1711" s="1">
        <v>6.1</v>
      </c>
      <c r="N1711" s="1">
        <v>28.8</v>
      </c>
      <c r="O1711" s="1">
        <v>23.101265823</v>
      </c>
      <c r="P1711" s="1">
        <v>10.697674419</v>
      </c>
      <c r="Q1711" s="1">
        <v>0.0</v>
      </c>
      <c r="R1711" s="1">
        <v>89.912280702</v>
      </c>
      <c r="S1711" s="1">
        <v>28.1</v>
      </c>
      <c r="T1711" s="1">
        <v>88.0</v>
      </c>
      <c r="U1711" s="1">
        <v>12.5</v>
      </c>
      <c r="V1711" s="1">
        <v>204.509002055</v>
      </c>
      <c r="W1711" s="1">
        <v>5.6</v>
      </c>
      <c r="X1711" s="1">
        <v>4.8780487805</v>
      </c>
      <c r="Y1711" s="1">
        <v>77.482572377</v>
      </c>
      <c r="Z1711" s="1">
        <v>7.4</v>
      </c>
      <c r="AA1711" s="1">
        <v>29.669934142</v>
      </c>
      <c r="AB1711" s="1">
        <v>47797.0</v>
      </c>
      <c r="AC1711" s="1">
        <v>52.173913043</v>
      </c>
      <c r="AD1711" s="1">
        <v>83.870967742</v>
      </c>
      <c r="AE1711" s="1">
        <v>10.878661088</v>
      </c>
      <c r="AF1711" s="1">
        <v>1.1326860841</v>
      </c>
      <c r="AG1711" s="1">
        <v>0.3236245955</v>
      </c>
      <c r="AH1711" s="1">
        <v>0.1618122977</v>
      </c>
      <c r="AI1711" s="1">
        <v>0.0</v>
      </c>
      <c r="AJ1711" s="1">
        <v>3.2362459547</v>
      </c>
      <c r="AK1711" s="1">
        <v>95.307443366</v>
      </c>
      <c r="AL1711" s="1">
        <v>0.0</v>
      </c>
      <c r="AM1711" s="1">
        <v>49.0291262139999</v>
      </c>
      <c r="AN1711" s="1">
        <v>100.0</v>
      </c>
      <c r="AO1711" s="1">
        <v>28063.0</v>
      </c>
      <c r="AP1711" s="1">
        <v>10.0</v>
      </c>
      <c r="AQ1711" s="1">
        <v>0.3</v>
      </c>
      <c r="AR1711" s="1">
        <v>2.7</v>
      </c>
      <c r="AS1711" s="1">
        <v>24.5</v>
      </c>
      <c r="AT1711" s="1">
        <v>19.4</v>
      </c>
      <c r="AU1711" s="1">
        <v>12.5</v>
      </c>
      <c r="AV1711" s="1">
        <v>2.0</v>
      </c>
      <c r="AW1711" s="1">
        <v>0.0</v>
      </c>
      <c r="AX1711" s="1">
        <v>6.0E-4</v>
      </c>
      <c r="AY1711" s="1">
        <v>15.2</v>
      </c>
      <c r="AZ1711" s="1">
        <v>11.9</v>
      </c>
      <c r="BA1711" s="1">
        <v>17.6</v>
      </c>
      <c r="BB1711" s="1">
        <v>3.24</v>
      </c>
      <c r="BC1711" s="1" t="s">
        <v>2802</v>
      </c>
      <c r="BD1711" s="1">
        <v>1.9</v>
      </c>
      <c r="BE1711" s="1">
        <v>29.4</v>
      </c>
      <c r="BF1711" s="1">
        <v>43.3</v>
      </c>
      <c r="BG1711" s="1">
        <v>25.3</v>
      </c>
      <c r="BH1711" s="1" t="s">
        <v>2886</v>
      </c>
    </row>
    <row r="1712">
      <c r="A1712" s="1">
        <v>31117.0</v>
      </c>
      <c r="B1712" s="2" t="str">
        <f>IFERROR(__xludf.DUMMYFUNCTION("TO_TEXT(A1712)"),"31117")</f>
        <v>31117</v>
      </c>
      <c r="C1712" s="1">
        <v>425.0</v>
      </c>
      <c r="D1712" s="1">
        <v>858.974085863466</v>
      </c>
      <c r="E1712" s="1" t="s">
        <v>1675</v>
      </c>
      <c r="F1712" s="1" t="s">
        <v>2887</v>
      </c>
      <c r="G1712" s="1">
        <v>0.4947762767171</v>
      </c>
      <c r="H1712" s="1">
        <v>13.609597294</v>
      </c>
      <c r="I1712" s="1">
        <v>3.4480779999</v>
      </c>
      <c r="J1712" s="1">
        <v>7.80443539465</v>
      </c>
      <c r="K1712" s="1">
        <v>14.28615174</v>
      </c>
      <c r="L1712" s="1">
        <v>26.8</v>
      </c>
      <c r="M1712" s="1">
        <v>5.8</v>
      </c>
      <c r="N1712" s="1">
        <v>27.5</v>
      </c>
      <c r="O1712" s="1">
        <v>0.0</v>
      </c>
      <c r="P1712" s="1">
        <v>8.2687338501</v>
      </c>
      <c r="Q1712" s="1">
        <v>0.0</v>
      </c>
      <c r="R1712" s="1">
        <v>89.912280702</v>
      </c>
      <c r="S1712" s="1">
        <v>16.9</v>
      </c>
      <c r="T1712" s="1">
        <v>104.0</v>
      </c>
      <c r="U1712" s="1">
        <v>4.8076923077</v>
      </c>
      <c r="V1712" s="1">
        <v>204.509002055</v>
      </c>
      <c r="W1712" s="1">
        <v>12.820512821</v>
      </c>
      <c r="X1712" s="1">
        <v>7.5675675676</v>
      </c>
      <c r="Y1712" s="1">
        <v>77.482572377</v>
      </c>
      <c r="Z1712" s="1">
        <v>19.4</v>
      </c>
      <c r="AA1712" s="1">
        <v>27.699530765</v>
      </c>
      <c r="AB1712" s="1">
        <v>53207.0</v>
      </c>
      <c r="AC1712" s="1">
        <v>0.0</v>
      </c>
      <c r="AD1712" s="1">
        <v>68.472906404</v>
      </c>
      <c r="AE1712" s="1">
        <v>7.5581395349</v>
      </c>
      <c r="AF1712" s="1">
        <v>0.406504065</v>
      </c>
      <c r="AG1712" s="1">
        <v>0.0</v>
      </c>
      <c r="AH1712" s="1">
        <v>0.0</v>
      </c>
      <c r="AI1712" s="1">
        <v>0.0</v>
      </c>
      <c r="AJ1712" s="1">
        <v>1.0162601626</v>
      </c>
      <c r="AK1712" s="1">
        <v>97.357723577</v>
      </c>
      <c r="AL1712" s="1">
        <v>0.0</v>
      </c>
      <c r="AM1712" s="1">
        <v>48.9837398369999</v>
      </c>
      <c r="AN1712" s="1">
        <v>100.0</v>
      </c>
      <c r="AO1712" s="1">
        <v>25352.0</v>
      </c>
      <c r="AP1712" s="1">
        <v>18.4</v>
      </c>
      <c r="AQ1712" s="1">
        <v>0.0</v>
      </c>
      <c r="AR1712" s="1">
        <v>6.5</v>
      </c>
      <c r="AS1712" s="1">
        <v>19.1</v>
      </c>
      <c r="AT1712" s="1">
        <v>21.9</v>
      </c>
      <c r="AU1712" s="1">
        <v>15.5</v>
      </c>
      <c r="AV1712" s="1">
        <v>2.8</v>
      </c>
      <c r="AW1712" s="1">
        <v>0.0</v>
      </c>
      <c r="AX1712" s="1">
        <v>0.0634</v>
      </c>
      <c r="AY1712" s="1">
        <v>12.6</v>
      </c>
      <c r="AZ1712" s="1">
        <v>14.0</v>
      </c>
      <c r="BA1712" s="1">
        <v>22.7</v>
      </c>
      <c r="BB1712" s="1">
        <v>3.09</v>
      </c>
      <c r="BC1712" s="1" t="s">
        <v>2802</v>
      </c>
      <c r="BD1712" s="1">
        <v>10.8</v>
      </c>
      <c r="BE1712" s="1">
        <v>23.8</v>
      </c>
      <c r="BF1712" s="1">
        <v>43.3</v>
      </c>
      <c r="BG1712" s="1">
        <v>22.0</v>
      </c>
      <c r="BH1712" s="1" t="s">
        <v>2887</v>
      </c>
    </row>
    <row r="1713">
      <c r="A1713" s="1">
        <v>31119.0</v>
      </c>
      <c r="B1713" s="2" t="str">
        <f>IFERROR(__xludf.DUMMYFUNCTION("TO_TEXT(A1713)"),"31119")</f>
        <v>31119</v>
      </c>
      <c r="C1713" s="1">
        <v>35125.0</v>
      </c>
      <c r="D1713" s="1">
        <v>572.742406022361</v>
      </c>
      <c r="E1713" s="1" t="s">
        <v>148</v>
      </c>
      <c r="F1713" s="1" t="s">
        <v>2888</v>
      </c>
      <c r="G1713" s="1">
        <v>61.3277446032669</v>
      </c>
      <c r="H1713" s="1">
        <v>15.981112159</v>
      </c>
      <c r="I1713" s="1">
        <v>3.5875344123</v>
      </c>
      <c r="J1713" s="1">
        <v>6.12642717909999</v>
      </c>
      <c r="K1713" s="1">
        <v>15.4892830029999</v>
      </c>
      <c r="L1713" s="1">
        <v>34.2</v>
      </c>
      <c r="M1713" s="1">
        <v>7.8</v>
      </c>
      <c r="N1713" s="1">
        <v>25.8</v>
      </c>
      <c r="O1713" s="1">
        <v>84.571051726</v>
      </c>
      <c r="P1713" s="1">
        <v>11.2850597059999</v>
      </c>
      <c r="Q1713" s="1">
        <v>68.29046</v>
      </c>
      <c r="R1713" s="1">
        <v>92.458931122</v>
      </c>
      <c r="S1713" s="1">
        <v>12.7</v>
      </c>
      <c r="T1713" s="1">
        <v>8666.0</v>
      </c>
      <c r="U1713" s="1">
        <v>27.394414955</v>
      </c>
      <c r="V1713" s="1">
        <v>142.00107921</v>
      </c>
      <c r="W1713" s="1">
        <v>12.557808609</v>
      </c>
      <c r="X1713" s="1">
        <v>9.1925018025</v>
      </c>
      <c r="Y1713" s="1">
        <v>77.856480533</v>
      </c>
      <c r="Z1713" s="1">
        <v>11.0</v>
      </c>
      <c r="AA1713" s="1">
        <v>7.1022896264</v>
      </c>
      <c r="AB1713" s="1">
        <v>55226.0</v>
      </c>
      <c r="AC1713" s="1">
        <v>49.023746702</v>
      </c>
      <c r="AD1713" s="1">
        <v>65.693840326</v>
      </c>
      <c r="AE1713" s="1">
        <v>9.644707084</v>
      </c>
      <c r="AF1713" s="1">
        <v>1.2093128391</v>
      </c>
      <c r="AG1713" s="1">
        <v>2.0371835443</v>
      </c>
      <c r="AH1713" s="1">
        <v>1.8874321881</v>
      </c>
      <c r="AI1713" s="1">
        <v>0.0791139241</v>
      </c>
      <c r="AJ1713" s="1">
        <v>15.7888788429999</v>
      </c>
      <c r="AK1713" s="1">
        <v>78.752260398</v>
      </c>
      <c r="AL1713" s="1">
        <v>4.2858019389</v>
      </c>
      <c r="AM1713" s="1">
        <v>50.528367993</v>
      </c>
      <c r="AN1713" s="1">
        <v>27.904576213</v>
      </c>
      <c r="AO1713" s="1">
        <v>24458.0</v>
      </c>
      <c r="AP1713" s="1">
        <v>14.9</v>
      </c>
      <c r="AQ1713" s="1">
        <v>3.1</v>
      </c>
      <c r="AR1713" s="1">
        <v>11.7</v>
      </c>
      <c r="AS1713" s="1">
        <v>15.4</v>
      </c>
      <c r="AT1713" s="1">
        <v>25.1</v>
      </c>
      <c r="AU1713" s="1">
        <v>10.9</v>
      </c>
      <c r="AV1713" s="1">
        <v>18.8</v>
      </c>
      <c r="AW1713" s="1">
        <v>4.4</v>
      </c>
      <c r="AX1713" s="1">
        <v>0.5584</v>
      </c>
      <c r="AY1713" s="1">
        <v>10.2</v>
      </c>
      <c r="AZ1713" s="1">
        <v>12.4</v>
      </c>
      <c r="BA1713" s="1">
        <v>17.7</v>
      </c>
      <c r="BB1713" s="1">
        <v>3.0</v>
      </c>
      <c r="BC1713" s="1" t="s">
        <v>2802</v>
      </c>
      <c r="BD1713" s="1">
        <v>9.6</v>
      </c>
      <c r="BE1713" s="1">
        <v>30.4</v>
      </c>
      <c r="BF1713" s="1">
        <v>37.0</v>
      </c>
      <c r="BG1713" s="1">
        <v>23.0</v>
      </c>
      <c r="BH1713" s="1" t="s">
        <v>2888</v>
      </c>
    </row>
    <row r="1714">
      <c r="A1714" s="1">
        <v>31121.0</v>
      </c>
      <c r="B1714" s="2" t="str">
        <f>IFERROR(__xludf.DUMMYFUNCTION("TO_TEXT(A1714)"),"31121")</f>
        <v>31121</v>
      </c>
      <c r="C1714" s="1">
        <v>7793.0</v>
      </c>
      <c r="D1714" s="1">
        <v>485.851572549926</v>
      </c>
      <c r="E1714" s="1" t="s">
        <v>2889</v>
      </c>
      <c r="F1714" s="1" t="s">
        <v>2890</v>
      </c>
      <c r="G1714" s="1">
        <v>16.0398781033053</v>
      </c>
      <c r="H1714" s="1">
        <v>14.030310082</v>
      </c>
      <c r="I1714" s="1">
        <v>3.4815855634</v>
      </c>
      <c r="J1714" s="1">
        <v>5.77507598779999</v>
      </c>
      <c r="K1714" s="1">
        <v>15.550875253</v>
      </c>
      <c r="L1714" s="1">
        <v>38.3</v>
      </c>
      <c r="M1714" s="1">
        <v>7.6</v>
      </c>
      <c r="N1714" s="1">
        <v>30.2</v>
      </c>
      <c r="O1714" s="1">
        <v>45.0095602289999</v>
      </c>
      <c r="P1714" s="1">
        <v>9.452253999</v>
      </c>
      <c r="Q1714" s="1">
        <v>25.37427</v>
      </c>
      <c r="R1714" s="1">
        <v>97.058823529</v>
      </c>
      <c r="S1714" s="1">
        <v>14.4</v>
      </c>
      <c r="T1714" s="1">
        <v>1718.0</v>
      </c>
      <c r="U1714" s="1">
        <v>20.838183935</v>
      </c>
      <c r="V1714" s="1">
        <v>64.4163875289999</v>
      </c>
      <c r="W1714" s="1">
        <v>7.0996978852</v>
      </c>
      <c r="X1714" s="1">
        <v>6.1705989111</v>
      </c>
      <c r="Y1714" s="1">
        <v>80.3459786339999</v>
      </c>
      <c r="Z1714" s="1">
        <v>15.5</v>
      </c>
      <c r="AA1714" s="1">
        <v>11.837643103</v>
      </c>
      <c r="AB1714" s="1">
        <v>56493.0</v>
      </c>
      <c r="AC1714" s="1">
        <v>41.856925419</v>
      </c>
      <c r="AD1714" s="1">
        <v>73.225030084</v>
      </c>
      <c r="AE1714" s="1">
        <v>7.6244486452</v>
      </c>
      <c r="AF1714" s="1">
        <v>0.3620845726</v>
      </c>
      <c r="AG1714" s="1">
        <v>0.853485064</v>
      </c>
      <c r="AH1714" s="1">
        <v>0.9698693909</v>
      </c>
      <c r="AI1714" s="1">
        <v>0.1163843269</v>
      </c>
      <c r="AJ1714" s="1">
        <v>4.6941678521</v>
      </c>
      <c r="AK1714" s="1">
        <v>92.202250097</v>
      </c>
      <c r="AL1714" s="1">
        <v>0.3142505807</v>
      </c>
      <c r="AM1714" s="1">
        <v>49.8900814689999</v>
      </c>
      <c r="AN1714" s="1">
        <v>58.891013384</v>
      </c>
      <c r="AO1714" s="1">
        <v>26102.0</v>
      </c>
      <c r="AP1714" s="1">
        <v>10.0</v>
      </c>
      <c r="AQ1714" s="1">
        <v>5.3</v>
      </c>
      <c r="AR1714" s="1">
        <v>7.5</v>
      </c>
      <c r="AS1714" s="1">
        <v>19.6</v>
      </c>
      <c r="AT1714" s="1">
        <v>22.8</v>
      </c>
      <c r="AU1714" s="1">
        <v>13.6</v>
      </c>
      <c r="AV1714" s="1">
        <v>6.9</v>
      </c>
      <c r="AW1714" s="1">
        <v>0.5</v>
      </c>
      <c r="AX1714" s="1">
        <v>0.1843</v>
      </c>
      <c r="AY1714" s="1">
        <v>11.0</v>
      </c>
      <c r="AZ1714" s="1">
        <v>12.6</v>
      </c>
      <c r="BA1714" s="1">
        <v>17.5</v>
      </c>
      <c r="BB1714" s="1">
        <v>2.86</v>
      </c>
      <c r="BC1714" s="1" t="s">
        <v>2802</v>
      </c>
      <c r="BD1714" s="1">
        <v>5.8</v>
      </c>
      <c r="BE1714" s="1">
        <v>35.3</v>
      </c>
      <c r="BF1714" s="1">
        <v>41.1</v>
      </c>
      <c r="BG1714" s="1">
        <v>17.8</v>
      </c>
      <c r="BH1714" s="1" t="s">
        <v>2890</v>
      </c>
    </row>
    <row r="1715">
      <c r="A1715" s="1">
        <v>31123.0</v>
      </c>
      <c r="B1715" s="2" t="str">
        <f>IFERROR(__xludf.DUMMYFUNCTION("TO_TEXT(A1715)"),"31123")</f>
        <v>31123</v>
      </c>
      <c r="C1715" s="1">
        <v>4843.0</v>
      </c>
      <c r="D1715" s="1">
        <v>1423.8376114619</v>
      </c>
      <c r="E1715" s="1" t="s">
        <v>2891</v>
      </c>
      <c r="F1715" s="1" t="s">
        <v>2892</v>
      </c>
      <c r="G1715" s="1">
        <v>3.40137102785727</v>
      </c>
      <c r="H1715" s="1">
        <v>16.334071822</v>
      </c>
      <c r="I1715" s="1">
        <v>3.6741862644</v>
      </c>
      <c r="J1715" s="1">
        <v>8.6720867209</v>
      </c>
      <c r="K1715" s="1">
        <v>14.593305207</v>
      </c>
      <c r="L1715" s="1">
        <v>37.7</v>
      </c>
      <c r="M1715" s="1">
        <v>7.1</v>
      </c>
      <c r="N1715" s="1">
        <v>31.0</v>
      </c>
      <c r="O1715" s="1">
        <v>45.160650536</v>
      </c>
      <c r="P1715" s="1">
        <v>13.683100448</v>
      </c>
      <c r="Q1715" s="1">
        <v>20.67825</v>
      </c>
      <c r="R1715" s="1">
        <v>95.2069716779999</v>
      </c>
      <c r="S1715" s="1">
        <v>18.9</v>
      </c>
      <c r="T1715" s="1">
        <v>1131.0</v>
      </c>
      <c r="U1715" s="1">
        <v>23.4305923959999</v>
      </c>
      <c r="V1715" s="1">
        <v>58.602906704</v>
      </c>
      <c r="W1715" s="1">
        <v>9.2039800995</v>
      </c>
      <c r="X1715" s="1">
        <v>6.9674185464</v>
      </c>
      <c r="Y1715" s="1">
        <v>78.233015947</v>
      </c>
      <c r="Z1715" s="1">
        <v>13.7</v>
      </c>
      <c r="AA1715" s="1">
        <v>19.893298398</v>
      </c>
      <c r="AB1715" s="1">
        <v>49151.0</v>
      </c>
      <c r="AC1715" s="1">
        <v>53.604651163</v>
      </c>
      <c r="AD1715" s="1">
        <v>72.401614531</v>
      </c>
      <c r="AE1715" s="1">
        <v>8.7534626039</v>
      </c>
      <c r="AF1715" s="1">
        <v>0.2774221084</v>
      </c>
      <c r="AG1715" s="1">
        <v>1.8565941101</v>
      </c>
      <c r="AH1715" s="1">
        <v>0.704225352099999</v>
      </c>
      <c r="AI1715" s="1">
        <v>0.0213401622</v>
      </c>
      <c r="AJ1715" s="1">
        <v>15.42893726</v>
      </c>
      <c r="AK1715" s="1">
        <v>81.754161332</v>
      </c>
      <c r="AL1715" s="1">
        <v>2.1853146853</v>
      </c>
      <c r="AM1715" s="1">
        <v>48.676909945</v>
      </c>
      <c r="AN1715" s="1">
        <v>100.0</v>
      </c>
      <c r="AO1715" s="1">
        <v>24216.0</v>
      </c>
      <c r="AP1715" s="1">
        <v>12.3</v>
      </c>
      <c r="AQ1715" s="1">
        <v>3.5</v>
      </c>
      <c r="AR1715" s="1">
        <v>13.3</v>
      </c>
      <c r="AS1715" s="1">
        <v>18.4</v>
      </c>
      <c r="AT1715" s="1">
        <v>24.3</v>
      </c>
      <c r="AU1715" s="1">
        <v>14.8</v>
      </c>
      <c r="AV1715" s="1">
        <v>17.6</v>
      </c>
      <c r="AW1715" s="1">
        <v>2.2</v>
      </c>
      <c r="AX1715" s="1">
        <v>0.4301</v>
      </c>
      <c r="AY1715" s="1">
        <v>13.2</v>
      </c>
      <c r="AZ1715" s="1">
        <v>11.4</v>
      </c>
      <c r="BA1715" s="1">
        <v>15.7</v>
      </c>
      <c r="BB1715" s="1">
        <v>3.07</v>
      </c>
      <c r="BC1715" s="1" t="s">
        <v>2802</v>
      </c>
      <c r="BD1715" s="1">
        <v>12.5</v>
      </c>
      <c r="BE1715" s="1">
        <v>32.3</v>
      </c>
      <c r="BF1715" s="1">
        <v>35.7</v>
      </c>
      <c r="BG1715" s="1">
        <v>19.5</v>
      </c>
      <c r="BH1715" s="1" t="s">
        <v>2892</v>
      </c>
    </row>
    <row r="1716">
      <c r="A1716" s="1">
        <v>31125.0</v>
      </c>
      <c r="B1716" s="2" t="str">
        <f>IFERROR(__xludf.DUMMYFUNCTION("TO_TEXT(A1716)"),"31125")</f>
        <v>31125</v>
      </c>
      <c r="C1716" s="1">
        <v>3607.0</v>
      </c>
      <c r="D1716" s="1">
        <v>441.633608182928</v>
      </c>
      <c r="E1716" s="1" t="s">
        <v>2893</v>
      </c>
      <c r="F1716" s="1" t="s">
        <v>2894</v>
      </c>
      <c r="G1716" s="1">
        <v>8.16740377807921</v>
      </c>
      <c r="H1716" s="1">
        <v>13.1973954159999</v>
      </c>
      <c r="I1716" s="1">
        <v>3.3705926984</v>
      </c>
      <c r="J1716" s="1">
        <v>5.5762081784</v>
      </c>
      <c r="K1716" s="1">
        <v>15.135038733</v>
      </c>
      <c r="L1716" s="1">
        <v>30.7</v>
      </c>
      <c r="M1716" s="1">
        <v>7.2</v>
      </c>
      <c r="N1716" s="1">
        <v>27.3</v>
      </c>
      <c r="O1716" s="1">
        <v>66.372155288</v>
      </c>
      <c r="P1716" s="1">
        <v>8.6287146438</v>
      </c>
      <c r="Q1716" s="1">
        <v>48.31939</v>
      </c>
      <c r="R1716" s="1">
        <v>87.638318052</v>
      </c>
      <c r="S1716" s="1">
        <v>13.9</v>
      </c>
      <c r="T1716" s="1">
        <v>802.0</v>
      </c>
      <c r="U1716" s="1">
        <v>18.578553616</v>
      </c>
      <c r="V1716" s="1">
        <v>204.509002055</v>
      </c>
      <c r="W1716" s="1">
        <v>6.3694267516</v>
      </c>
      <c r="X1716" s="1">
        <v>5.7605177994</v>
      </c>
      <c r="Y1716" s="1">
        <v>78.256035442</v>
      </c>
      <c r="Z1716" s="1">
        <v>11.4</v>
      </c>
      <c r="AA1716" s="1">
        <v>15.080511642</v>
      </c>
      <c r="AB1716" s="1">
        <v>47279.0</v>
      </c>
      <c r="AC1716" s="1">
        <v>38.243626062</v>
      </c>
      <c r="AD1716" s="1">
        <v>77.23156533</v>
      </c>
      <c r="AE1716" s="1">
        <v>6.9972826087</v>
      </c>
      <c r="AF1716" s="1">
        <v>0.4813137033</v>
      </c>
      <c r="AG1716" s="1">
        <v>0.7644394111</v>
      </c>
      <c r="AH1716" s="1">
        <v>0.1132502831</v>
      </c>
      <c r="AI1716" s="1">
        <v>0.0283125708</v>
      </c>
      <c r="AJ1716" s="1">
        <v>3.1426953567</v>
      </c>
      <c r="AK1716" s="1">
        <v>94.535673839</v>
      </c>
      <c r="AL1716" s="1">
        <v>0.2085816448</v>
      </c>
      <c r="AM1716" s="1">
        <v>50.339750849</v>
      </c>
      <c r="AN1716" s="1">
        <v>100.0</v>
      </c>
      <c r="AO1716" s="1">
        <v>26179.0</v>
      </c>
      <c r="AP1716" s="1">
        <v>12.4</v>
      </c>
      <c r="AQ1716" s="1">
        <v>3.2</v>
      </c>
      <c r="AR1716" s="1">
        <v>9.3</v>
      </c>
      <c r="AS1716" s="1">
        <v>20.5</v>
      </c>
      <c r="AT1716" s="1">
        <v>22.7</v>
      </c>
      <c r="AU1716" s="1">
        <v>15.4</v>
      </c>
      <c r="AV1716" s="1">
        <v>2.6</v>
      </c>
      <c r="AW1716" s="1">
        <v>0.2</v>
      </c>
      <c r="AX1716" s="1">
        <v>0.1251</v>
      </c>
      <c r="AY1716" s="1">
        <v>10.3</v>
      </c>
      <c r="AZ1716" s="1">
        <v>12.4</v>
      </c>
      <c r="BA1716" s="1">
        <v>17.3</v>
      </c>
      <c r="BB1716" s="1">
        <v>3.03</v>
      </c>
      <c r="BC1716" s="1" t="s">
        <v>2802</v>
      </c>
      <c r="BD1716" s="1">
        <v>6.8</v>
      </c>
      <c r="BE1716" s="1">
        <v>37.7</v>
      </c>
      <c r="BF1716" s="1">
        <v>37.2</v>
      </c>
      <c r="BG1716" s="1">
        <v>18.3</v>
      </c>
      <c r="BH1716" s="1" t="s">
        <v>2894</v>
      </c>
    </row>
    <row r="1717">
      <c r="A1717" s="1">
        <v>31127.0</v>
      </c>
      <c r="B1717" s="2" t="str">
        <f>IFERROR(__xludf.DUMMYFUNCTION("TO_TEXT(A1717)"),"31127")</f>
        <v>31127</v>
      </c>
      <c r="C1717" s="1">
        <v>7101.0</v>
      </c>
      <c r="D1717" s="1">
        <v>407.376455336118</v>
      </c>
      <c r="E1717" s="1" t="s">
        <v>1688</v>
      </c>
      <c r="F1717" s="1" t="s">
        <v>2895</v>
      </c>
      <c r="G1717" s="1">
        <v>17.4310515666427</v>
      </c>
      <c r="H1717" s="1">
        <v>12.7592693459999</v>
      </c>
      <c r="I1717" s="1">
        <v>3.2047950328</v>
      </c>
      <c r="J1717" s="1">
        <v>5.8201058201</v>
      </c>
      <c r="K1717" s="1">
        <v>14.700431367</v>
      </c>
      <c r="L1717" s="1">
        <v>38.6</v>
      </c>
      <c r="M1717" s="1">
        <v>8.3</v>
      </c>
      <c r="N1717" s="1">
        <v>25.4</v>
      </c>
      <c r="O1717" s="1">
        <v>53.614790287</v>
      </c>
      <c r="P1717" s="1">
        <v>7.6593256675</v>
      </c>
      <c r="Q1717" s="1">
        <v>71.9528</v>
      </c>
      <c r="R1717" s="1">
        <v>93.8284518829999</v>
      </c>
      <c r="S1717" s="1">
        <v>13.8</v>
      </c>
      <c r="T1717" s="1">
        <v>1468.0</v>
      </c>
      <c r="U1717" s="1">
        <v>25.613079019</v>
      </c>
      <c r="V1717" s="1">
        <v>99.002899371</v>
      </c>
      <c r="W1717" s="1">
        <v>11.3043478259999</v>
      </c>
      <c r="X1717" s="1">
        <v>7.4991280084</v>
      </c>
      <c r="Y1717" s="1">
        <v>77.996013217</v>
      </c>
      <c r="Z1717" s="1">
        <v>10.5</v>
      </c>
      <c r="AA1717" s="1">
        <v>0.6418160243</v>
      </c>
      <c r="AB1717" s="1">
        <v>52069.0</v>
      </c>
      <c r="AC1717" s="1">
        <v>36.871961102</v>
      </c>
      <c r="AD1717" s="1">
        <v>72.054223149</v>
      </c>
      <c r="AE1717" s="1">
        <v>8.3913521436</v>
      </c>
      <c r="AF1717" s="1">
        <v>1.3509629204</v>
      </c>
      <c r="AG1717" s="1">
        <v>0.5030181087</v>
      </c>
      <c r="AH1717" s="1">
        <v>0.5892497844</v>
      </c>
      <c r="AI1717" s="1">
        <v>0.1149755677</v>
      </c>
      <c r="AJ1717" s="1">
        <v>2.8169014085</v>
      </c>
      <c r="AK1717" s="1">
        <v>93.561368209</v>
      </c>
      <c r="AL1717" s="1">
        <v>0.331925166</v>
      </c>
      <c r="AM1717" s="1">
        <v>50.0</v>
      </c>
      <c r="AN1717" s="1">
        <v>52.069536424</v>
      </c>
      <c r="AO1717" s="1">
        <v>28690.0</v>
      </c>
      <c r="AP1717" s="1">
        <v>10.8</v>
      </c>
      <c r="AQ1717" s="1">
        <v>6.5</v>
      </c>
      <c r="AR1717" s="1">
        <v>5.6</v>
      </c>
      <c r="AS1717" s="1">
        <v>18.1</v>
      </c>
      <c r="AT1717" s="1">
        <v>20.8</v>
      </c>
      <c r="AU1717" s="1">
        <v>14.6</v>
      </c>
      <c r="AV1717" s="1">
        <v>5.6</v>
      </c>
      <c r="AW1717" s="1">
        <v>0.1</v>
      </c>
      <c r="AX1717" s="1">
        <v>0.1547</v>
      </c>
      <c r="AY1717" s="1">
        <v>11.8</v>
      </c>
      <c r="AZ1717" s="1">
        <v>12.4</v>
      </c>
      <c r="BA1717" s="1">
        <v>18.8</v>
      </c>
      <c r="BB1717" s="1">
        <v>3.05</v>
      </c>
      <c r="BC1717" s="1" t="s">
        <v>2802</v>
      </c>
      <c r="BD1717" s="1">
        <v>8.2</v>
      </c>
      <c r="BE1717" s="1">
        <v>29.9</v>
      </c>
      <c r="BF1717" s="1">
        <v>34.1</v>
      </c>
      <c r="BG1717" s="1">
        <v>27.8</v>
      </c>
      <c r="BH1717" s="1" t="s">
        <v>2895</v>
      </c>
    </row>
    <row r="1718">
      <c r="A1718" s="1">
        <v>31129.0</v>
      </c>
      <c r="B1718" s="2" t="str">
        <f>IFERROR(__xludf.DUMMYFUNCTION("TO_TEXT(A1718)"),"31129")</f>
        <v>31129</v>
      </c>
      <c r="C1718" s="1">
        <v>4352.0</v>
      </c>
      <c r="D1718" s="1">
        <v>575.154985991074</v>
      </c>
      <c r="E1718" s="1" t="s">
        <v>2896</v>
      </c>
      <c r="F1718" s="1" t="s">
        <v>2897</v>
      </c>
      <c r="G1718" s="1">
        <v>7.56665612921859</v>
      </c>
      <c r="H1718" s="1">
        <v>13.2946841159999</v>
      </c>
      <c r="I1718" s="1">
        <v>3.4561320069</v>
      </c>
      <c r="J1718" s="1">
        <v>4.7297297297</v>
      </c>
      <c r="K1718" s="1">
        <v>14.189445767</v>
      </c>
      <c r="L1718" s="1">
        <v>34.4</v>
      </c>
      <c r="M1718" s="1">
        <v>7.5</v>
      </c>
      <c r="N1718" s="1">
        <v>30.5</v>
      </c>
      <c r="O1718" s="1">
        <v>59.6</v>
      </c>
      <c r="P1718" s="1">
        <v>9.2054263566</v>
      </c>
      <c r="Q1718" s="1">
        <v>116.95906</v>
      </c>
      <c r="R1718" s="1">
        <v>96.265060241</v>
      </c>
      <c r="S1718" s="1">
        <v>16.8</v>
      </c>
      <c r="T1718" s="1">
        <v>857.0</v>
      </c>
      <c r="U1718" s="1">
        <v>21.586931155</v>
      </c>
      <c r="V1718" s="1">
        <v>204.509002055</v>
      </c>
      <c r="W1718" s="1">
        <v>6.862745098</v>
      </c>
      <c r="X1718" s="1">
        <v>4.7996041564</v>
      </c>
      <c r="Y1718" s="1">
        <v>79.322952907</v>
      </c>
      <c r="Z1718" s="1">
        <v>10.3</v>
      </c>
      <c r="AA1718" s="1">
        <v>12.142645504</v>
      </c>
      <c r="AB1718" s="1">
        <v>46954.0</v>
      </c>
      <c r="AC1718" s="1">
        <v>45.692307692</v>
      </c>
      <c r="AD1718" s="1">
        <v>75.705329154</v>
      </c>
      <c r="AE1718" s="1">
        <v>4.4334975369</v>
      </c>
      <c r="AF1718" s="1">
        <v>0.1907032181</v>
      </c>
      <c r="AG1718" s="1">
        <v>0.5721096544</v>
      </c>
      <c r="AH1718" s="1">
        <v>0.6436233611</v>
      </c>
      <c r="AI1718" s="1">
        <v>0.0</v>
      </c>
      <c r="AJ1718" s="1">
        <v>2.884386174</v>
      </c>
      <c r="AK1718" s="1">
        <v>94.7794994039999</v>
      </c>
      <c r="AL1718" s="1">
        <v>0.9632007903</v>
      </c>
      <c r="AM1718" s="1">
        <v>50.297973778</v>
      </c>
      <c r="AN1718" s="1">
        <v>100.0</v>
      </c>
      <c r="AO1718" s="1">
        <v>24096.0</v>
      </c>
      <c r="AP1718" s="1">
        <v>12.8</v>
      </c>
      <c r="AQ1718" s="1">
        <v>2.9</v>
      </c>
      <c r="AR1718" s="1">
        <v>6.7</v>
      </c>
      <c r="AS1718" s="1">
        <v>26.2</v>
      </c>
      <c r="AT1718" s="1">
        <v>20.2</v>
      </c>
      <c r="AU1718" s="1">
        <v>17.9</v>
      </c>
      <c r="AV1718" s="1">
        <v>4.5</v>
      </c>
      <c r="AW1718" s="1">
        <v>0.4</v>
      </c>
      <c r="AX1718" s="1">
        <v>0.1391</v>
      </c>
      <c r="AY1718" s="1">
        <v>11.2</v>
      </c>
      <c r="AZ1718" s="1">
        <v>13.1</v>
      </c>
      <c r="BA1718" s="1">
        <v>21.0</v>
      </c>
      <c r="BB1718" s="1">
        <v>3.0</v>
      </c>
      <c r="BC1718" s="1" t="s">
        <v>2802</v>
      </c>
      <c r="BD1718" s="1">
        <v>8.1</v>
      </c>
      <c r="BE1718" s="1">
        <v>34.0</v>
      </c>
      <c r="BF1718" s="1">
        <v>37.0</v>
      </c>
      <c r="BG1718" s="1">
        <v>20.9</v>
      </c>
      <c r="BH1718" s="1" t="s">
        <v>2897</v>
      </c>
    </row>
    <row r="1719">
      <c r="A1719" s="1">
        <v>31131.0</v>
      </c>
      <c r="B1719" s="2" t="str">
        <f>IFERROR(__xludf.DUMMYFUNCTION("TO_TEXT(A1719)"),"31131")</f>
        <v>31131</v>
      </c>
      <c r="C1719" s="1">
        <v>15890.0</v>
      </c>
      <c r="D1719" s="1">
        <v>615.630228922056</v>
      </c>
      <c r="E1719" s="1" t="s">
        <v>2898</v>
      </c>
      <c r="F1719" s="1" t="s">
        <v>2899</v>
      </c>
      <c r="G1719" s="1">
        <v>25.8109482827423</v>
      </c>
      <c r="H1719" s="1">
        <v>16.450815984</v>
      </c>
      <c r="I1719" s="1">
        <v>3.5127852357</v>
      </c>
      <c r="J1719" s="1">
        <v>6.3226744186</v>
      </c>
      <c r="K1719" s="1">
        <v>13.7629246959999</v>
      </c>
      <c r="L1719" s="1">
        <v>39.7</v>
      </c>
      <c r="M1719" s="1">
        <v>8.4</v>
      </c>
      <c r="N1719" s="1">
        <v>29.8</v>
      </c>
      <c r="O1719" s="1">
        <v>74.091486658</v>
      </c>
      <c r="P1719" s="1">
        <v>8.9121989122</v>
      </c>
      <c r="Q1719" s="1">
        <v>62.39471</v>
      </c>
      <c r="R1719" s="1">
        <v>88.341836852</v>
      </c>
      <c r="S1719" s="1">
        <v>11.5</v>
      </c>
      <c r="T1719" s="1">
        <v>3800.0</v>
      </c>
      <c r="U1719" s="1">
        <v>26.921052632</v>
      </c>
      <c r="V1719" s="1">
        <v>74.985940136</v>
      </c>
      <c r="W1719" s="1">
        <v>11.987625677</v>
      </c>
      <c r="X1719" s="1">
        <v>9.8130841121</v>
      </c>
      <c r="Y1719" s="1">
        <v>80.830773262</v>
      </c>
      <c r="Z1719" s="1">
        <v>12.4</v>
      </c>
      <c r="AA1719" s="1">
        <v>3.2510803234</v>
      </c>
      <c r="AB1719" s="1">
        <v>60734.0</v>
      </c>
      <c r="AC1719" s="1">
        <v>38.879736409</v>
      </c>
      <c r="AD1719" s="1">
        <v>72.0551766889999</v>
      </c>
      <c r="AE1719" s="1">
        <v>10.8412417559999</v>
      </c>
      <c r="AF1719" s="1">
        <v>0.7819831092</v>
      </c>
      <c r="AG1719" s="1">
        <v>0.6631216766</v>
      </c>
      <c r="AH1719" s="1">
        <v>0.7256803253</v>
      </c>
      <c r="AI1719" s="1">
        <v>0.150140757</v>
      </c>
      <c r="AJ1719" s="1">
        <v>8.345323741</v>
      </c>
      <c r="AK1719" s="1">
        <v>88.220206444</v>
      </c>
      <c r="AL1719" s="1">
        <v>1.4933441449</v>
      </c>
      <c r="AM1719" s="1">
        <v>50.3972474189999</v>
      </c>
      <c r="AN1719" s="1">
        <v>55.108005083</v>
      </c>
      <c r="AO1719" s="1">
        <v>27251.0</v>
      </c>
      <c r="AP1719" s="1">
        <v>10.8</v>
      </c>
      <c r="AQ1719" s="1">
        <v>3.8</v>
      </c>
      <c r="AR1719" s="1">
        <v>8.9</v>
      </c>
      <c r="AS1719" s="1">
        <v>19.5</v>
      </c>
      <c r="AT1719" s="1">
        <v>23.8</v>
      </c>
      <c r="AU1719" s="1">
        <v>13.9</v>
      </c>
      <c r="AV1719" s="1">
        <v>9.9</v>
      </c>
      <c r="AW1719" s="1">
        <v>1.9</v>
      </c>
      <c r="AX1719" s="1">
        <v>0.2486</v>
      </c>
      <c r="AY1719" s="1">
        <v>8.3</v>
      </c>
      <c r="AZ1719" s="1">
        <v>12.2</v>
      </c>
      <c r="BA1719" s="1">
        <v>19.6</v>
      </c>
      <c r="BB1719" s="1">
        <v>3.01</v>
      </c>
      <c r="BC1719" s="1" t="s">
        <v>2802</v>
      </c>
      <c r="BD1719" s="1">
        <v>7.2</v>
      </c>
      <c r="BE1719" s="1">
        <v>35.3</v>
      </c>
      <c r="BF1719" s="1">
        <v>34.0</v>
      </c>
      <c r="BG1719" s="1">
        <v>23.4</v>
      </c>
      <c r="BH1719" s="1" t="s">
        <v>2899</v>
      </c>
    </row>
    <row r="1720">
      <c r="A1720" s="1">
        <v>31133.0</v>
      </c>
      <c r="B1720" s="2" t="str">
        <f>IFERROR(__xludf.DUMMYFUNCTION("TO_TEXT(A1720)"),"31133")</f>
        <v>31133</v>
      </c>
      <c r="C1720" s="1">
        <v>2695.0</v>
      </c>
      <c r="D1720" s="1">
        <v>431.074461343176</v>
      </c>
      <c r="E1720" s="1" t="s">
        <v>1702</v>
      </c>
      <c r="F1720" s="1" t="s">
        <v>2900</v>
      </c>
      <c r="G1720" s="1">
        <v>6.25182014170523</v>
      </c>
      <c r="H1720" s="1">
        <v>15.652863707</v>
      </c>
      <c r="I1720" s="1">
        <v>3.7147885619</v>
      </c>
      <c r="J1720" s="1">
        <v>7.80443539465</v>
      </c>
      <c r="K1720" s="1">
        <v>15.2986517629999</v>
      </c>
      <c r="L1720" s="1">
        <v>32.9</v>
      </c>
      <c r="M1720" s="1">
        <v>7.5</v>
      </c>
      <c r="N1720" s="1">
        <v>26.0</v>
      </c>
      <c r="O1720" s="1">
        <v>8.835196538</v>
      </c>
      <c r="P1720" s="1">
        <v>12.593783494</v>
      </c>
      <c r="Q1720" s="1">
        <v>75.72889</v>
      </c>
      <c r="R1720" s="1">
        <v>100.0</v>
      </c>
      <c r="S1720" s="1">
        <v>21.2</v>
      </c>
      <c r="T1720" s="1">
        <v>555.0</v>
      </c>
      <c r="U1720" s="1">
        <v>26.6666666669999</v>
      </c>
      <c r="V1720" s="1">
        <v>18.758206715</v>
      </c>
      <c r="W1720" s="1">
        <v>12.0</v>
      </c>
      <c r="X1720" s="1">
        <v>9.5505617978</v>
      </c>
      <c r="Y1720" s="1">
        <v>80.239375727</v>
      </c>
      <c r="Z1720" s="1">
        <v>7.5</v>
      </c>
      <c r="AA1720" s="1">
        <v>6.767249526</v>
      </c>
      <c r="AB1720" s="1">
        <v>45487.0</v>
      </c>
      <c r="AC1720" s="1">
        <v>50.406504065</v>
      </c>
      <c r="AD1720" s="1">
        <v>83.67514356</v>
      </c>
      <c r="AE1720" s="1">
        <v>9.2765957447</v>
      </c>
      <c r="AF1720" s="1">
        <v>0.5699088146</v>
      </c>
      <c r="AG1720" s="1">
        <v>0.1899696049</v>
      </c>
      <c r="AH1720" s="1">
        <v>0.2279635258</v>
      </c>
      <c r="AI1720" s="1">
        <v>0.0</v>
      </c>
      <c r="AJ1720" s="1">
        <v>1.8617021277</v>
      </c>
      <c r="AK1720" s="1">
        <v>95.32674772</v>
      </c>
      <c r="AL1720" s="1">
        <v>0.35700119</v>
      </c>
      <c r="AM1720" s="1">
        <v>50.7598784189999</v>
      </c>
      <c r="AN1720" s="1">
        <v>100.0</v>
      </c>
      <c r="AO1720" s="1">
        <v>27039.0</v>
      </c>
      <c r="AP1720" s="1">
        <v>20.2</v>
      </c>
      <c r="AQ1720" s="1">
        <v>3.0</v>
      </c>
      <c r="AR1720" s="1">
        <v>9.3</v>
      </c>
      <c r="AS1720" s="1">
        <v>26.2</v>
      </c>
      <c r="AT1720" s="1">
        <v>20.9</v>
      </c>
      <c r="AU1720" s="1">
        <v>14.6</v>
      </c>
      <c r="AV1720" s="1">
        <v>4.5</v>
      </c>
      <c r="AW1720" s="1">
        <v>0.5</v>
      </c>
      <c r="AX1720" s="1">
        <v>0.213</v>
      </c>
      <c r="AY1720" s="1">
        <v>13.1</v>
      </c>
      <c r="AZ1720" s="1">
        <v>12.7</v>
      </c>
      <c r="BA1720" s="1">
        <v>21.6</v>
      </c>
      <c r="BB1720" s="1">
        <v>3.02</v>
      </c>
      <c r="BC1720" s="1" t="s">
        <v>2802</v>
      </c>
      <c r="BD1720" s="1">
        <v>12.4</v>
      </c>
      <c r="BE1720" s="1">
        <v>40.6</v>
      </c>
      <c r="BF1720" s="1">
        <v>30.0</v>
      </c>
      <c r="BG1720" s="1">
        <v>17.1</v>
      </c>
      <c r="BH1720" s="1" t="s">
        <v>2900</v>
      </c>
    </row>
    <row r="1721">
      <c r="A1721" s="1">
        <v>31135.0</v>
      </c>
      <c r="B1721" s="2" t="str">
        <f>IFERROR(__xludf.DUMMYFUNCTION("TO_TEXT(A1721)"),"31135")</f>
        <v>31135</v>
      </c>
      <c r="C1721" s="1">
        <v>2911.0</v>
      </c>
      <c r="D1721" s="1">
        <v>883.334973791938</v>
      </c>
      <c r="E1721" s="1" t="s">
        <v>2901</v>
      </c>
      <c r="F1721" s="1" t="s">
        <v>2902</v>
      </c>
      <c r="G1721" s="1">
        <v>3.29546557802846</v>
      </c>
      <c r="H1721" s="1">
        <v>11.045256108</v>
      </c>
      <c r="I1721" s="1">
        <v>2.970227571</v>
      </c>
      <c r="J1721" s="1">
        <v>9.1240875912</v>
      </c>
      <c r="K1721" s="1">
        <v>12.0693396309999</v>
      </c>
      <c r="L1721" s="1">
        <v>25.6</v>
      </c>
      <c r="M1721" s="1">
        <v>8.2</v>
      </c>
      <c r="N1721" s="1">
        <v>25.7</v>
      </c>
      <c r="O1721" s="1">
        <v>47.239057239</v>
      </c>
      <c r="P1721" s="1">
        <v>13.6567834679999</v>
      </c>
      <c r="Q1721" s="1">
        <v>103.34137</v>
      </c>
      <c r="R1721" s="1">
        <v>97.0</v>
      </c>
      <c r="S1721" s="1">
        <v>11.9</v>
      </c>
      <c r="T1721" s="1">
        <v>710.0</v>
      </c>
      <c r="U1721" s="1">
        <v>5.3521126761</v>
      </c>
      <c r="V1721" s="1">
        <v>34.234851078</v>
      </c>
      <c r="W1721" s="1">
        <v>8.8709677419</v>
      </c>
      <c r="X1721" s="1">
        <v>8.2524271845</v>
      </c>
      <c r="Y1721" s="1">
        <v>81.376440058</v>
      </c>
      <c r="Z1721" s="1">
        <v>10.8</v>
      </c>
      <c r="AA1721" s="1">
        <v>9.078569566</v>
      </c>
      <c r="AB1721" s="1">
        <v>57251.0</v>
      </c>
      <c r="AC1721" s="1">
        <v>31.540342298</v>
      </c>
      <c r="AD1721" s="1">
        <v>77.632653061</v>
      </c>
      <c r="AE1721" s="1">
        <v>8.5884353741</v>
      </c>
      <c r="AF1721" s="1">
        <v>0.5804028679</v>
      </c>
      <c r="AG1721" s="1">
        <v>0.3414134517</v>
      </c>
      <c r="AH1721" s="1">
        <v>0.1707067258</v>
      </c>
      <c r="AI1721" s="1">
        <v>0.0682826903</v>
      </c>
      <c r="AJ1721" s="1">
        <v>4.3359508365</v>
      </c>
      <c r="AK1721" s="1">
        <v>94.093547286</v>
      </c>
      <c r="AL1721" s="1">
        <v>0.4791743457</v>
      </c>
      <c r="AM1721" s="1">
        <v>49.061113008</v>
      </c>
      <c r="AN1721" s="1">
        <v>100.0</v>
      </c>
      <c r="AO1721" s="1">
        <v>30429.0</v>
      </c>
      <c r="AP1721" s="1">
        <v>6.8</v>
      </c>
      <c r="AQ1721" s="1">
        <v>1.9</v>
      </c>
      <c r="AR1721" s="1">
        <v>10.9</v>
      </c>
      <c r="AS1721" s="1">
        <v>21.7</v>
      </c>
      <c r="AT1721" s="1">
        <v>23.4</v>
      </c>
      <c r="AU1721" s="1">
        <v>11.9</v>
      </c>
      <c r="AV1721" s="1">
        <v>4.4</v>
      </c>
      <c r="AW1721" s="1">
        <v>0.2</v>
      </c>
      <c r="AX1721" s="1">
        <v>0.0239</v>
      </c>
      <c r="AY1721" s="1">
        <v>9.5</v>
      </c>
      <c r="AZ1721" s="1">
        <v>9.8</v>
      </c>
      <c r="BA1721" s="1">
        <v>14.9</v>
      </c>
      <c r="BB1721" s="1">
        <v>3.09</v>
      </c>
      <c r="BC1721" s="1" t="s">
        <v>2802</v>
      </c>
      <c r="BD1721" s="1">
        <v>12.0</v>
      </c>
      <c r="BE1721" s="1">
        <v>25.8</v>
      </c>
      <c r="BF1721" s="1">
        <v>34.2</v>
      </c>
      <c r="BG1721" s="1">
        <v>28.1</v>
      </c>
      <c r="BH1721" s="1" t="s">
        <v>2902</v>
      </c>
    </row>
    <row r="1722">
      <c r="A1722" s="1">
        <v>31137.0</v>
      </c>
      <c r="B1722" s="2" t="str">
        <f>IFERROR(__xludf.DUMMYFUNCTION("TO_TEXT(A1722)"),"31137")</f>
        <v>31137</v>
      </c>
      <c r="C1722" s="1">
        <v>9236.0</v>
      </c>
      <c r="D1722" s="1">
        <v>539.789350518548</v>
      </c>
      <c r="E1722" s="1" t="s">
        <v>2660</v>
      </c>
      <c r="F1722" s="1" t="s">
        <v>2903</v>
      </c>
      <c r="G1722" s="1">
        <v>17.1103783191118</v>
      </c>
      <c r="H1722" s="1">
        <v>12.131715212</v>
      </c>
      <c r="I1722" s="1">
        <v>3.1604606433</v>
      </c>
      <c r="J1722" s="1">
        <v>6.3511830635</v>
      </c>
      <c r="K1722" s="1">
        <v>13.382362566</v>
      </c>
      <c r="L1722" s="1">
        <v>36.8</v>
      </c>
      <c r="M1722" s="1">
        <v>8.4</v>
      </c>
      <c r="N1722" s="1">
        <v>25.3</v>
      </c>
      <c r="O1722" s="1">
        <v>71.299521114</v>
      </c>
      <c r="P1722" s="1">
        <v>8.2913165266</v>
      </c>
      <c r="Q1722" s="1">
        <v>77.26269</v>
      </c>
      <c r="R1722" s="1">
        <v>94.009445687</v>
      </c>
      <c r="S1722" s="1">
        <v>11.9</v>
      </c>
      <c r="T1722" s="1">
        <v>2126.0</v>
      </c>
      <c r="U1722" s="1">
        <v>13.4054562559999</v>
      </c>
      <c r="V1722" s="1">
        <v>97.097853059</v>
      </c>
      <c r="W1722" s="1">
        <v>8.4768211921</v>
      </c>
      <c r="X1722" s="1">
        <v>7.858861267</v>
      </c>
      <c r="Y1722" s="1">
        <v>80.422366916</v>
      </c>
      <c r="Z1722" s="1">
        <v>10.0</v>
      </c>
      <c r="AA1722" s="1">
        <v>4.1591176568</v>
      </c>
      <c r="AB1722" s="1">
        <v>59003.0</v>
      </c>
      <c r="AC1722" s="1">
        <v>36.239950526</v>
      </c>
      <c r="AD1722" s="1">
        <v>71.759612936</v>
      </c>
      <c r="AE1722" s="1">
        <v>10.065876153</v>
      </c>
      <c r="AF1722" s="1">
        <v>0.3890618052</v>
      </c>
      <c r="AG1722" s="1">
        <v>0.8225878168</v>
      </c>
      <c r="AH1722" s="1">
        <v>0.4335260116</v>
      </c>
      <c r="AI1722" s="1">
        <v>0.0444642063</v>
      </c>
      <c r="AJ1722" s="1">
        <v>5.880391285</v>
      </c>
      <c r="AK1722" s="1">
        <v>91.8963983989999</v>
      </c>
      <c r="AL1722" s="1">
        <v>0.8995327103</v>
      </c>
      <c r="AM1722" s="1">
        <v>49.8554913289999</v>
      </c>
      <c r="AN1722" s="1">
        <v>41.880713975</v>
      </c>
      <c r="AO1722" s="1">
        <v>27882.0</v>
      </c>
      <c r="AP1722" s="1">
        <v>8.3</v>
      </c>
      <c r="AQ1722" s="1">
        <v>1.2</v>
      </c>
      <c r="AR1722" s="1">
        <v>6.9</v>
      </c>
      <c r="AS1722" s="1">
        <v>19.8</v>
      </c>
      <c r="AT1722" s="1">
        <v>24.5</v>
      </c>
      <c r="AU1722" s="1">
        <v>12.5</v>
      </c>
      <c r="AV1722" s="1">
        <v>7.0</v>
      </c>
      <c r="AW1722" s="1">
        <v>1.3</v>
      </c>
      <c r="AX1722" s="1">
        <v>0.1656</v>
      </c>
      <c r="AY1722" s="1">
        <v>10.0</v>
      </c>
      <c r="AZ1722" s="1">
        <v>10.9</v>
      </c>
      <c r="BA1722" s="1">
        <v>15.5</v>
      </c>
      <c r="BB1722" s="1">
        <v>3.15</v>
      </c>
      <c r="BC1722" s="1" t="s">
        <v>2802</v>
      </c>
      <c r="BD1722" s="1">
        <v>6.7</v>
      </c>
      <c r="BE1722" s="1">
        <v>29.9</v>
      </c>
      <c r="BF1722" s="1">
        <v>39.9</v>
      </c>
      <c r="BG1722" s="1">
        <v>23.5</v>
      </c>
      <c r="BH1722" s="1" t="s">
        <v>2903</v>
      </c>
    </row>
    <row r="1723">
      <c r="A1723" s="1">
        <v>31139.0</v>
      </c>
      <c r="B1723" s="2" t="str">
        <f>IFERROR(__xludf.DUMMYFUNCTION("TO_TEXT(A1723)"),"31139")</f>
        <v>31139</v>
      </c>
      <c r="C1723" s="1">
        <v>7179.0</v>
      </c>
      <c r="D1723" s="1">
        <v>573.24845215307</v>
      </c>
      <c r="E1723" s="1" t="s">
        <v>984</v>
      </c>
      <c r="F1723" s="1" t="s">
        <v>2904</v>
      </c>
      <c r="G1723" s="1">
        <v>12.5233656942924</v>
      </c>
      <c r="H1723" s="1">
        <v>12.1048229909999</v>
      </c>
      <c r="I1723" s="1">
        <v>3.0408761045</v>
      </c>
      <c r="J1723" s="1">
        <v>5.6542810985</v>
      </c>
      <c r="K1723" s="1">
        <v>14.582861604</v>
      </c>
      <c r="L1723" s="1">
        <v>32.3</v>
      </c>
      <c r="M1723" s="1">
        <v>7.3</v>
      </c>
      <c r="N1723" s="1">
        <v>30.6</v>
      </c>
      <c r="O1723" s="1">
        <v>64.877511698</v>
      </c>
      <c r="P1723" s="1">
        <v>7.22870580039999</v>
      </c>
      <c r="Q1723" s="1">
        <v>84.05716</v>
      </c>
      <c r="R1723" s="1">
        <v>97.955706985</v>
      </c>
      <c r="S1723" s="1">
        <v>11.5</v>
      </c>
      <c r="T1723" s="1">
        <v>1759.0</v>
      </c>
      <c r="U1723" s="1">
        <v>17.339397385</v>
      </c>
      <c r="V1723" s="1">
        <v>73.8007380069999</v>
      </c>
      <c r="W1723" s="1">
        <v>9.8305084746</v>
      </c>
      <c r="X1723" s="1">
        <v>7.98362333669999</v>
      </c>
      <c r="Y1723" s="1">
        <v>79.106841764</v>
      </c>
      <c r="Z1723" s="1">
        <v>11.4</v>
      </c>
      <c r="AA1723" s="1">
        <v>17.210976217</v>
      </c>
      <c r="AB1723" s="1">
        <v>57367.0</v>
      </c>
      <c r="AC1723" s="1">
        <v>32.731958763</v>
      </c>
      <c r="AD1723" s="1">
        <v>76.107072042</v>
      </c>
      <c r="AE1723" s="1">
        <v>6.7879636109</v>
      </c>
      <c r="AF1723" s="1">
        <v>0.4340520863</v>
      </c>
      <c r="AG1723" s="1">
        <v>0.3780453654</v>
      </c>
      <c r="AH1723" s="1">
        <v>0.3920470456</v>
      </c>
      <c r="AI1723" s="1">
        <v>0.0140016802</v>
      </c>
      <c r="AJ1723" s="1">
        <v>2.016241949</v>
      </c>
      <c r="AK1723" s="1">
        <v>95.85550266</v>
      </c>
      <c r="AL1723" s="1">
        <v>0.523403619</v>
      </c>
      <c r="AM1723" s="1">
        <v>49.383926071</v>
      </c>
      <c r="AN1723" s="1">
        <v>100.0</v>
      </c>
      <c r="AO1723" s="1">
        <v>27386.0</v>
      </c>
      <c r="AP1723" s="1">
        <v>6.6</v>
      </c>
      <c r="AQ1723" s="1">
        <v>4.0</v>
      </c>
      <c r="AR1723" s="1">
        <v>5.2</v>
      </c>
      <c r="AS1723" s="1">
        <v>18.5</v>
      </c>
      <c r="AT1723" s="1">
        <v>24.7</v>
      </c>
      <c r="AU1723" s="1">
        <v>11.0</v>
      </c>
      <c r="AV1723" s="1">
        <v>3.1</v>
      </c>
      <c r="AW1723" s="1">
        <v>0.2</v>
      </c>
      <c r="AX1723" s="1">
        <v>0.0188</v>
      </c>
      <c r="AY1723" s="1">
        <v>9.3</v>
      </c>
      <c r="AZ1723" s="1">
        <v>10.4</v>
      </c>
      <c r="BA1723" s="1">
        <v>15.3</v>
      </c>
      <c r="BB1723" s="1">
        <v>3.02</v>
      </c>
      <c r="BC1723" s="1" t="s">
        <v>2802</v>
      </c>
      <c r="BD1723" s="1">
        <v>4.6</v>
      </c>
      <c r="BE1723" s="1">
        <v>33.3</v>
      </c>
      <c r="BF1723" s="1">
        <v>39.0</v>
      </c>
      <c r="BG1723" s="1">
        <v>23.2</v>
      </c>
      <c r="BH1723" s="1" t="s">
        <v>2904</v>
      </c>
    </row>
    <row r="1724">
      <c r="A1724" s="1">
        <v>31141.0</v>
      </c>
      <c r="B1724" s="2" t="str">
        <f>IFERROR(__xludf.DUMMYFUNCTION("TO_TEXT(A1724)"),"31141")</f>
        <v>31141</v>
      </c>
      <c r="C1724" s="1">
        <v>32703.0</v>
      </c>
      <c r="D1724" s="1">
        <v>674.040750683194</v>
      </c>
      <c r="E1724" s="1" t="s">
        <v>2663</v>
      </c>
      <c r="F1724" s="1" t="s">
        <v>2905</v>
      </c>
      <c r="G1724" s="1">
        <v>48.5178380785626</v>
      </c>
      <c r="H1724" s="1">
        <v>14.422555952</v>
      </c>
      <c r="I1724" s="1">
        <v>3.2868679944</v>
      </c>
      <c r="J1724" s="1">
        <v>5.7715311005</v>
      </c>
      <c r="K1724" s="1">
        <v>14.8986976259999</v>
      </c>
      <c r="L1724" s="1">
        <v>35.8</v>
      </c>
      <c r="M1724" s="1">
        <v>8.5</v>
      </c>
      <c r="N1724" s="1">
        <v>23.2</v>
      </c>
      <c r="O1724" s="1">
        <v>84.452647579</v>
      </c>
      <c r="P1724" s="1">
        <v>10.317489448</v>
      </c>
      <c r="Q1724" s="1">
        <v>72.34363</v>
      </c>
      <c r="R1724" s="1">
        <v>91.678579558</v>
      </c>
      <c r="S1724" s="1">
        <v>10.6</v>
      </c>
      <c r="T1724" s="1">
        <v>8485.0</v>
      </c>
      <c r="U1724" s="1">
        <v>23.064230996</v>
      </c>
      <c r="V1724" s="1">
        <v>102.25260973</v>
      </c>
      <c r="W1724" s="1">
        <v>12.210443659</v>
      </c>
      <c r="X1724" s="1">
        <v>9.1045958796</v>
      </c>
      <c r="Y1724" s="1">
        <v>81.053390256</v>
      </c>
      <c r="Z1724" s="1">
        <v>9.4</v>
      </c>
      <c r="AA1724" s="1">
        <v>6.07607589809999</v>
      </c>
      <c r="AB1724" s="1">
        <v>63656.0</v>
      </c>
      <c r="AC1724" s="1">
        <v>53.489747634</v>
      </c>
      <c r="AD1724" s="1">
        <v>72.0</v>
      </c>
      <c r="AE1724" s="1">
        <v>7.1349905601</v>
      </c>
      <c r="AF1724" s="1">
        <v>0.6444264605</v>
      </c>
      <c r="AG1724" s="1">
        <v>1.321823577</v>
      </c>
      <c r="AH1724" s="1">
        <v>1.201930282</v>
      </c>
      <c r="AI1724" s="1">
        <v>0.1618559482</v>
      </c>
      <c r="AJ1724" s="1">
        <v>19.8153643259999</v>
      </c>
      <c r="AK1724" s="1">
        <v>77.442076552</v>
      </c>
      <c r="AL1724" s="1">
        <v>4.8882226422</v>
      </c>
      <c r="AM1724" s="1">
        <v>49.333093547</v>
      </c>
      <c r="AN1724" s="1">
        <v>31.426621584</v>
      </c>
      <c r="AO1724" s="1">
        <v>27052.0</v>
      </c>
      <c r="AP1724" s="1">
        <v>8.7</v>
      </c>
      <c r="AQ1724" s="1">
        <v>4.6</v>
      </c>
      <c r="AR1724" s="1">
        <v>11.0</v>
      </c>
      <c r="AS1724" s="1">
        <v>15.7</v>
      </c>
      <c r="AT1724" s="1">
        <v>26.2</v>
      </c>
      <c r="AU1724" s="1">
        <v>10.4</v>
      </c>
      <c r="AV1724" s="1">
        <v>19.2</v>
      </c>
      <c r="AW1724" s="1">
        <v>4.4</v>
      </c>
      <c r="AX1724" s="1">
        <v>0.3219</v>
      </c>
      <c r="AY1724" s="1">
        <v>9.0</v>
      </c>
      <c r="AZ1724" s="1">
        <v>9.7</v>
      </c>
      <c r="BA1724" s="1">
        <v>13.7</v>
      </c>
      <c r="BB1724" s="1">
        <v>3.01</v>
      </c>
      <c r="BC1724" s="1" t="s">
        <v>2802</v>
      </c>
      <c r="BD1724" s="1">
        <v>11.1</v>
      </c>
      <c r="BE1724" s="1">
        <v>29.8</v>
      </c>
      <c r="BF1724" s="1">
        <v>37.4</v>
      </c>
      <c r="BG1724" s="1">
        <v>21.8</v>
      </c>
      <c r="BH1724" s="1" t="s">
        <v>2905</v>
      </c>
    </row>
    <row r="1725">
      <c r="A1725" s="1">
        <v>31143.0</v>
      </c>
      <c r="B1725" s="2" t="str">
        <f>IFERROR(__xludf.DUMMYFUNCTION("TO_TEXT(A1725)"),"31143")</f>
        <v>31143</v>
      </c>
      <c r="C1725" s="1">
        <v>5242.0</v>
      </c>
      <c r="D1725" s="1">
        <v>438.3454037047</v>
      </c>
      <c r="E1725" s="1" t="s">
        <v>381</v>
      </c>
      <c r="F1725" s="1" t="s">
        <v>2906</v>
      </c>
      <c r="G1725" s="1">
        <v>11.9586060574536</v>
      </c>
      <c r="H1725" s="1">
        <v>12.2268610309999</v>
      </c>
      <c r="I1725" s="1">
        <v>3.2799776241</v>
      </c>
      <c r="J1725" s="1">
        <v>3.125</v>
      </c>
      <c r="K1725" s="1">
        <v>13.601696475</v>
      </c>
      <c r="L1725" s="1">
        <v>35.2</v>
      </c>
      <c r="M1725" s="1">
        <v>8.8</v>
      </c>
      <c r="N1725" s="1">
        <v>25.5</v>
      </c>
      <c r="O1725" s="1">
        <v>46.2079171289999</v>
      </c>
      <c r="P1725" s="1">
        <v>9.9662975445</v>
      </c>
      <c r="Q1725" s="1">
        <v>37.53754</v>
      </c>
      <c r="R1725" s="1">
        <v>94.13352791</v>
      </c>
      <c r="S1725" s="1">
        <v>11.8</v>
      </c>
      <c r="T1725" s="1">
        <v>1213.0</v>
      </c>
      <c r="U1725" s="1">
        <v>20.197856554</v>
      </c>
      <c r="V1725" s="1">
        <v>9.6024582293</v>
      </c>
      <c r="W1725" s="1">
        <v>5.6872037915</v>
      </c>
      <c r="X1725" s="1">
        <v>4.1785375119</v>
      </c>
      <c r="Y1725" s="1">
        <v>79.1695764219999</v>
      </c>
      <c r="Z1725" s="1">
        <v>10.4</v>
      </c>
      <c r="AA1725" s="1">
        <v>1.3692690303</v>
      </c>
      <c r="AB1725" s="1">
        <v>59815.0</v>
      </c>
      <c r="AC1725" s="1">
        <v>37.410714286</v>
      </c>
      <c r="AD1725" s="1">
        <v>80.019493177</v>
      </c>
      <c r="AE1725" s="1">
        <v>5.8913153885</v>
      </c>
      <c r="AF1725" s="1">
        <v>0.170519136</v>
      </c>
      <c r="AG1725" s="1">
        <v>0.6062902615</v>
      </c>
      <c r="AH1725" s="1">
        <v>0.227358848</v>
      </c>
      <c r="AI1725" s="1">
        <v>0.056839712</v>
      </c>
      <c r="AJ1725" s="1">
        <v>6.271314892</v>
      </c>
      <c r="AK1725" s="1">
        <v>92.0234937479999</v>
      </c>
      <c r="AL1725" s="1">
        <v>1.0016025641</v>
      </c>
      <c r="AM1725" s="1">
        <v>50.644183403</v>
      </c>
      <c r="AN1725" s="1">
        <v>100.0</v>
      </c>
      <c r="AO1725" s="1">
        <v>30947.0</v>
      </c>
      <c r="AP1725" s="1">
        <v>8.1</v>
      </c>
      <c r="AQ1725" s="1">
        <v>3.9</v>
      </c>
      <c r="AR1725" s="1">
        <v>5.9</v>
      </c>
      <c r="AS1725" s="1">
        <v>20.4</v>
      </c>
      <c r="AT1725" s="1">
        <v>23.2</v>
      </c>
      <c r="AU1725" s="1">
        <v>11.4</v>
      </c>
      <c r="AV1725" s="1">
        <v>6.4</v>
      </c>
      <c r="AW1725" s="1">
        <v>1.4</v>
      </c>
      <c r="AX1725" s="1">
        <v>0.1025</v>
      </c>
      <c r="AY1725" s="1">
        <v>6.9</v>
      </c>
      <c r="AZ1725" s="1">
        <v>10.3</v>
      </c>
      <c r="BA1725" s="1">
        <v>16.3</v>
      </c>
      <c r="BB1725" s="1">
        <v>3.05</v>
      </c>
      <c r="BC1725" s="1" t="s">
        <v>2802</v>
      </c>
      <c r="BD1725" s="1">
        <v>8.6</v>
      </c>
      <c r="BE1725" s="1">
        <v>31.0</v>
      </c>
      <c r="BF1725" s="1">
        <v>38.5</v>
      </c>
      <c r="BG1725" s="1">
        <v>21.8</v>
      </c>
      <c r="BH1725" s="1" t="s">
        <v>2906</v>
      </c>
    </row>
    <row r="1726">
      <c r="A1726" s="1">
        <v>31145.0</v>
      </c>
      <c r="B1726" s="2" t="str">
        <f>IFERROR(__xludf.DUMMYFUNCTION("TO_TEXT(A1726)"),"31145")</f>
        <v>31145</v>
      </c>
      <c r="C1726" s="1">
        <v>10884.0</v>
      </c>
      <c r="D1726" s="1">
        <v>716.985245248345</v>
      </c>
      <c r="E1726" s="1" t="s">
        <v>2907</v>
      </c>
      <c r="F1726" s="1" t="s">
        <v>2908</v>
      </c>
      <c r="G1726" s="1">
        <v>15.1802287036326</v>
      </c>
      <c r="H1726" s="1">
        <v>14.776612632</v>
      </c>
      <c r="I1726" s="1">
        <v>3.6901336196</v>
      </c>
      <c r="J1726" s="1">
        <v>6.5717415115</v>
      </c>
      <c r="K1726" s="1">
        <v>15.6249224629999</v>
      </c>
      <c r="L1726" s="1">
        <v>34.9</v>
      </c>
      <c r="M1726" s="1">
        <v>7.2</v>
      </c>
      <c r="N1726" s="1">
        <v>25.3</v>
      </c>
      <c r="O1726" s="1">
        <v>74.4640434189999</v>
      </c>
      <c r="P1726" s="1">
        <v>8.7363304982</v>
      </c>
      <c r="Q1726" s="1">
        <v>65.24981</v>
      </c>
      <c r="R1726" s="1">
        <v>96.694214876</v>
      </c>
      <c r="S1726" s="1">
        <v>14.5</v>
      </c>
      <c r="T1726" s="1">
        <v>2451.0</v>
      </c>
      <c r="U1726" s="1">
        <v>26.111791106</v>
      </c>
      <c r="V1726" s="1">
        <v>96.418732782</v>
      </c>
      <c r="W1726" s="1">
        <v>10.393873085</v>
      </c>
      <c r="X1726" s="1">
        <v>8.8691796009</v>
      </c>
      <c r="Y1726" s="1">
        <v>78.731641944</v>
      </c>
      <c r="Z1726" s="1">
        <v>9.0</v>
      </c>
      <c r="AA1726" s="1">
        <v>15.007801892</v>
      </c>
      <c r="AB1726" s="1">
        <v>49034.0</v>
      </c>
      <c r="AC1726" s="1">
        <v>42.733564014</v>
      </c>
      <c r="AD1726" s="1">
        <v>73.536667414</v>
      </c>
      <c r="AE1726" s="1">
        <v>8.3409926471</v>
      </c>
      <c r="AF1726" s="1">
        <v>1.3145627447</v>
      </c>
      <c r="AG1726" s="1">
        <v>0.7924669029</v>
      </c>
      <c r="AH1726" s="1">
        <v>0.4754801417</v>
      </c>
      <c r="AI1726" s="1">
        <v>0.0279694201</v>
      </c>
      <c r="AJ1726" s="1">
        <v>5.1277270185</v>
      </c>
      <c r="AK1726" s="1">
        <v>91.65578967</v>
      </c>
      <c r="AL1726" s="1">
        <v>0.2655650634</v>
      </c>
      <c r="AM1726" s="1">
        <v>50.242401641</v>
      </c>
      <c r="AN1726" s="1">
        <v>31.587516961</v>
      </c>
      <c r="AO1726" s="1">
        <v>24529.0</v>
      </c>
      <c r="AP1726" s="1">
        <v>11.8</v>
      </c>
      <c r="AQ1726" s="1">
        <v>5.0</v>
      </c>
      <c r="AR1726" s="1">
        <v>6.5</v>
      </c>
      <c r="AS1726" s="1">
        <v>18.8</v>
      </c>
      <c r="AT1726" s="1">
        <v>23.2</v>
      </c>
      <c r="AU1726" s="1">
        <v>13.4</v>
      </c>
      <c r="AV1726" s="1">
        <v>7.6</v>
      </c>
      <c r="AW1726" s="1">
        <v>0.4</v>
      </c>
      <c r="AX1726" s="1">
        <v>0.22</v>
      </c>
      <c r="AY1726" s="1">
        <v>12.0</v>
      </c>
      <c r="AZ1726" s="1">
        <v>11.7</v>
      </c>
      <c r="BA1726" s="1">
        <v>18.7</v>
      </c>
      <c r="BB1726" s="1">
        <v>2.99</v>
      </c>
      <c r="BC1726" s="1" t="s">
        <v>2802</v>
      </c>
      <c r="BD1726" s="1">
        <v>7.5</v>
      </c>
      <c r="BE1726" s="1">
        <v>32.6</v>
      </c>
      <c r="BF1726" s="1">
        <v>40.8</v>
      </c>
      <c r="BG1726" s="1">
        <v>19.1</v>
      </c>
      <c r="BH1726" s="1" t="s">
        <v>2908</v>
      </c>
    </row>
    <row r="1727">
      <c r="A1727" s="1">
        <v>31147.0</v>
      </c>
      <c r="B1727" s="2" t="str">
        <f>IFERROR(__xludf.DUMMYFUNCTION("TO_TEXT(A1727)"),"31147")</f>
        <v>31147</v>
      </c>
      <c r="C1727" s="1">
        <v>8149.0</v>
      </c>
      <c r="D1727" s="1">
        <v>551.839620193483</v>
      </c>
      <c r="E1727" s="1" t="s">
        <v>2909</v>
      </c>
      <c r="F1727" s="1" t="s">
        <v>2910</v>
      </c>
      <c r="G1727" s="1">
        <v>14.7669716015366</v>
      </c>
      <c r="H1727" s="1">
        <v>14.9693105609999</v>
      </c>
      <c r="I1727" s="1">
        <v>3.4833985604</v>
      </c>
      <c r="J1727" s="1">
        <v>5.7324840764</v>
      </c>
      <c r="K1727" s="1">
        <v>16.81022825</v>
      </c>
      <c r="L1727" s="1">
        <v>36.3</v>
      </c>
      <c r="M1727" s="1">
        <v>7.2</v>
      </c>
      <c r="N1727" s="1">
        <v>32.6</v>
      </c>
      <c r="O1727" s="1">
        <v>6.576587349</v>
      </c>
      <c r="P1727" s="1">
        <v>9.9011559725</v>
      </c>
      <c r="Q1727" s="1">
        <v>37.64588</v>
      </c>
      <c r="R1727" s="1">
        <v>93.193517636</v>
      </c>
      <c r="S1727" s="1">
        <v>17.8</v>
      </c>
      <c r="T1727" s="1">
        <v>1675.0</v>
      </c>
      <c r="U1727" s="1">
        <v>31.52238806</v>
      </c>
      <c r="V1727" s="1">
        <v>37.364553494</v>
      </c>
      <c r="W1727" s="1">
        <v>13.129973475</v>
      </c>
      <c r="X1727" s="1">
        <v>9.932705249</v>
      </c>
      <c r="Y1727" s="1">
        <v>78.01061249</v>
      </c>
      <c r="Z1727" s="1">
        <v>10.4</v>
      </c>
      <c r="AA1727" s="1">
        <v>11.5800380529999</v>
      </c>
      <c r="AB1727" s="1">
        <v>47573.0</v>
      </c>
      <c r="AC1727" s="1">
        <v>52.384615385</v>
      </c>
      <c r="AD1727" s="1">
        <v>77.120890774</v>
      </c>
      <c r="AE1727" s="1">
        <v>7.6420454545</v>
      </c>
      <c r="AF1727" s="1">
        <v>0.3779765655</v>
      </c>
      <c r="AG1727" s="1">
        <v>3.1750031498</v>
      </c>
      <c r="AH1727" s="1">
        <v>0.4283734408</v>
      </c>
      <c r="AI1727" s="1">
        <v>0.0125992188</v>
      </c>
      <c r="AJ1727" s="1">
        <v>1.9654781404</v>
      </c>
      <c r="AK1727" s="1">
        <v>92.062492125</v>
      </c>
      <c r="AL1727" s="1">
        <v>0.1451570335</v>
      </c>
      <c r="AM1727" s="1">
        <v>49.729116795</v>
      </c>
      <c r="AN1727" s="1">
        <v>50.57993543</v>
      </c>
      <c r="AO1727" s="1">
        <v>26638.0</v>
      </c>
      <c r="AP1727" s="1">
        <v>18.0</v>
      </c>
      <c r="AQ1727" s="1">
        <v>4.6</v>
      </c>
      <c r="AR1727" s="1">
        <v>9.0</v>
      </c>
      <c r="AS1727" s="1">
        <v>23.2</v>
      </c>
      <c r="AT1727" s="1">
        <v>21.0</v>
      </c>
      <c r="AU1727" s="1">
        <v>15.9</v>
      </c>
      <c r="AV1727" s="1">
        <v>7.4</v>
      </c>
      <c r="AW1727" s="1">
        <v>0.0</v>
      </c>
      <c r="AX1727" s="1">
        <v>0.2073</v>
      </c>
      <c r="AY1727" s="1">
        <v>12.3</v>
      </c>
      <c r="AZ1727" s="1">
        <v>13.1</v>
      </c>
      <c r="BA1727" s="1">
        <v>22.1</v>
      </c>
      <c r="BB1727" s="1">
        <v>3.07</v>
      </c>
      <c r="BC1727" s="1" t="s">
        <v>2802</v>
      </c>
      <c r="BD1727" s="1">
        <v>7.8</v>
      </c>
      <c r="BE1727" s="1">
        <v>36.2</v>
      </c>
      <c r="BF1727" s="1">
        <v>37.0</v>
      </c>
      <c r="BG1727" s="1">
        <v>19.0</v>
      </c>
      <c r="BH1727" s="1" t="s">
        <v>2910</v>
      </c>
    </row>
    <row r="1728">
      <c r="A1728" s="1">
        <v>31149.0</v>
      </c>
      <c r="B1728" s="2" t="str">
        <f>IFERROR(__xludf.DUMMYFUNCTION("TO_TEXT(A1728)"),"31149")</f>
        <v>31149</v>
      </c>
      <c r="C1728" s="1">
        <v>1407.0</v>
      </c>
      <c r="D1728" s="1">
        <v>1008.29232622731</v>
      </c>
      <c r="E1728" s="1" t="s">
        <v>2399</v>
      </c>
      <c r="F1728" s="1" t="s">
        <v>2911</v>
      </c>
      <c r="G1728" s="1">
        <v>1.39542865040389</v>
      </c>
      <c r="H1728" s="1">
        <v>12.4356909759999</v>
      </c>
      <c r="I1728" s="1">
        <v>3.2201738361</v>
      </c>
      <c r="J1728" s="1">
        <v>9.8214285714</v>
      </c>
      <c r="K1728" s="1">
        <v>13.1827290459999</v>
      </c>
      <c r="L1728" s="1">
        <v>34.7</v>
      </c>
      <c r="M1728" s="1">
        <v>7.8</v>
      </c>
      <c r="N1728" s="1">
        <v>37.4</v>
      </c>
      <c r="O1728" s="1">
        <v>0.131061599</v>
      </c>
      <c r="P1728" s="1">
        <v>14.661654135</v>
      </c>
      <c r="Q1728" s="1">
        <v>0.0</v>
      </c>
      <c r="R1728" s="1">
        <v>100.0</v>
      </c>
      <c r="S1728" s="1">
        <v>23.6</v>
      </c>
      <c r="T1728" s="1">
        <v>226.0</v>
      </c>
      <c r="U1728" s="1">
        <v>7.9646017699</v>
      </c>
      <c r="V1728" s="1">
        <v>0.0</v>
      </c>
      <c r="W1728" s="1">
        <v>5.7553956835</v>
      </c>
      <c r="X1728" s="1">
        <v>5.8823529412</v>
      </c>
      <c r="Y1728" s="1">
        <v>77.482572377</v>
      </c>
      <c r="Z1728" s="1">
        <v>15.2</v>
      </c>
      <c r="AA1728" s="1">
        <v>9.3267583471</v>
      </c>
      <c r="AB1728" s="1">
        <v>48260.0</v>
      </c>
      <c r="AC1728" s="1">
        <v>42.677824268</v>
      </c>
      <c r="AD1728" s="1">
        <v>73.003194888</v>
      </c>
      <c r="AE1728" s="1">
        <v>3.8327526132</v>
      </c>
      <c r="AF1728" s="1">
        <v>0.1470588235</v>
      </c>
      <c r="AG1728" s="1">
        <v>0.9558823529</v>
      </c>
      <c r="AH1728" s="1">
        <v>0.3676470588</v>
      </c>
      <c r="AI1728" s="1">
        <v>0.0</v>
      </c>
      <c r="AJ1728" s="1">
        <v>1.5441176471</v>
      </c>
      <c r="AK1728" s="1">
        <v>96.838235294</v>
      </c>
      <c r="AL1728" s="1">
        <v>0.5481597494</v>
      </c>
      <c r="AM1728" s="1">
        <v>49.632352941</v>
      </c>
      <c r="AN1728" s="1">
        <v>100.0</v>
      </c>
      <c r="AO1728" s="1">
        <v>30247.0</v>
      </c>
      <c r="AP1728" s="1">
        <v>10.4</v>
      </c>
      <c r="AQ1728" s="1">
        <v>1.6</v>
      </c>
      <c r="AR1728" s="1">
        <v>7.5</v>
      </c>
      <c r="AS1728" s="1">
        <v>25.9</v>
      </c>
      <c r="AT1728" s="1">
        <v>16.1</v>
      </c>
      <c r="AU1728" s="1">
        <v>13.3</v>
      </c>
      <c r="AV1728" s="1">
        <v>4.3</v>
      </c>
      <c r="AW1728" s="1">
        <v>0.2</v>
      </c>
      <c r="AX1728" s="1">
        <v>0.0099</v>
      </c>
      <c r="AY1728" s="1">
        <v>13.9</v>
      </c>
      <c r="AZ1728" s="1">
        <v>11.0</v>
      </c>
      <c r="BA1728" s="1">
        <v>16.0</v>
      </c>
      <c r="BB1728" s="1">
        <v>3.43</v>
      </c>
      <c r="BC1728" s="1" t="s">
        <v>2802</v>
      </c>
      <c r="BD1728" s="1">
        <v>3.3</v>
      </c>
      <c r="BE1728" s="1">
        <v>34.0</v>
      </c>
      <c r="BF1728" s="1">
        <v>39.5</v>
      </c>
      <c r="BG1728" s="1">
        <v>23.2</v>
      </c>
      <c r="BH1728" s="1" t="s">
        <v>2911</v>
      </c>
    </row>
    <row r="1729">
      <c r="A1729" s="1">
        <v>31151.0</v>
      </c>
      <c r="B1729" s="2" t="str">
        <f>IFERROR(__xludf.DUMMYFUNCTION("TO_TEXT(A1729)"),"31151")</f>
        <v>31151</v>
      </c>
      <c r="C1729" s="1">
        <v>14356.0</v>
      </c>
      <c r="D1729" s="1">
        <v>574.017344942318</v>
      </c>
      <c r="E1729" s="1" t="s">
        <v>392</v>
      </c>
      <c r="F1729" s="1" t="s">
        <v>2912</v>
      </c>
      <c r="G1729" s="1">
        <v>25.0096972269063</v>
      </c>
      <c r="H1729" s="1">
        <v>16.021477972</v>
      </c>
      <c r="I1729" s="1">
        <v>3.1865644531</v>
      </c>
      <c r="J1729" s="1">
        <v>7.2908672295</v>
      </c>
      <c r="K1729" s="1">
        <v>15.4705898159999</v>
      </c>
      <c r="L1729" s="1">
        <v>36.6</v>
      </c>
      <c r="M1729" s="1">
        <v>8.4</v>
      </c>
      <c r="N1729" s="1">
        <v>29.8</v>
      </c>
      <c r="O1729" s="1">
        <v>68.5140845069999</v>
      </c>
      <c r="P1729" s="1">
        <v>13.23943662</v>
      </c>
      <c r="Q1729" s="1">
        <v>48.4731</v>
      </c>
      <c r="R1729" s="1">
        <v>86.830395537</v>
      </c>
      <c r="S1729" s="1">
        <v>14.6</v>
      </c>
      <c r="T1729" s="1">
        <v>3637.0</v>
      </c>
      <c r="U1729" s="1">
        <v>21.6112180369999</v>
      </c>
      <c r="V1729" s="1">
        <v>236.46416525</v>
      </c>
      <c r="W1729" s="1">
        <v>10.15625</v>
      </c>
      <c r="X1729" s="1">
        <v>8.1673306773</v>
      </c>
      <c r="Y1729" s="1">
        <v>78.373266589</v>
      </c>
      <c r="Z1729" s="1">
        <v>11.8</v>
      </c>
      <c r="AA1729" s="1">
        <v>6.2982808079</v>
      </c>
      <c r="AB1729" s="1">
        <v>54569.0</v>
      </c>
      <c r="AC1729" s="1">
        <v>51.802962009</v>
      </c>
      <c r="AD1729" s="1">
        <v>69.68263355</v>
      </c>
      <c r="AE1729" s="1">
        <v>11.4436978209999</v>
      </c>
      <c r="AF1729" s="1">
        <v>0.8989547038</v>
      </c>
      <c r="AG1729" s="1">
        <v>1.8327526132</v>
      </c>
      <c r="AH1729" s="1">
        <v>3.275261324</v>
      </c>
      <c r="AI1729" s="1">
        <v>0.6550522648</v>
      </c>
      <c r="AJ1729" s="1">
        <v>25.881533101</v>
      </c>
      <c r="AK1729" s="1">
        <v>68.369337979</v>
      </c>
      <c r="AL1729" s="1">
        <v>7.55083732059999</v>
      </c>
      <c r="AM1729" s="1">
        <v>48.822299652</v>
      </c>
      <c r="AN1729" s="1">
        <v>51.070422535</v>
      </c>
      <c r="AO1729" s="1">
        <v>21880.0</v>
      </c>
      <c r="AP1729" s="1">
        <v>11.9</v>
      </c>
      <c r="AQ1729" s="1">
        <v>3.4</v>
      </c>
      <c r="AR1729" s="1">
        <v>16.4</v>
      </c>
      <c r="AS1729" s="1">
        <v>14.4</v>
      </c>
      <c r="AT1729" s="1">
        <v>24.0</v>
      </c>
      <c r="AU1729" s="1">
        <v>12.8</v>
      </c>
      <c r="AV1729" s="1">
        <v>28.1</v>
      </c>
      <c r="AW1729" s="1">
        <v>8.9</v>
      </c>
      <c r="AX1729" s="1">
        <v>0.4559</v>
      </c>
      <c r="AY1729" s="1">
        <v>9.2</v>
      </c>
      <c r="AZ1729" s="1">
        <v>11.4</v>
      </c>
      <c r="BA1729" s="1">
        <v>16.1</v>
      </c>
      <c r="BB1729" s="1">
        <v>3.02</v>
      </c>
      <c r="BC1729" s="1" t="s">
        <v>2802</v>
      </c>
      <c r="BD1729" s="1">
        <v>16.5</v>
      </c>
      <c r="BE1729" s="1">
        <v>33.3</v>
      </c>
      <c r="BF1729" s="1">
        <v>32.4</v>
      </c>
      <c r="BG1729" s="1">
        <v>17.8</v>
      </c>
      <c r="BH1729" s="1" t="s">
        <v>2912</v>
      </c>
    </row>
    <row r="1730">
      <c r="A1730" s="1">
        <v>31153.0</v>
      </c>
      <c r="B1730" s="2" t="str">
        <f>IFERROR(__xludf.DUMMYFUNCTION("TO_TEXT(A1730)"),"31153")</f>
        <v>31153</v>
      </c>
      <c r="C1730" s="1">
        <v>172460.0</v>
      </c>
      <c r="D1730" s="1">
        <v>239.020319177978</v>
      </c>
      <c r="E1730" s="1" t="s">
        <v>2913</v>
      </c>
      <c r="F1730" s="1" t="s">
        <v>2914</v>
      </c>
      <c r="G1730" s="1">
        <v>721.52861561357</v>
      </c>
      <c r="H1730" s="1">
        <v>10.5936736229999</v>
      </c>
      <c r="I1730" s="1">
        <v>3.3496564316</v>
      </c>
      <c r="J1730" s="1">
        <v>6.3607630658</v>
      </c>
      <c r="K1730" s="1">
        <v>12.9734445579999</v>
      </c>
      <c r="L1730" s="1">
        <v>32.6</v>
      </c>
      <c r="M1730" s="1">
        <v>8.5</v>
      </c>
      <c r="N1730" s="1">
        <v>20.0</v>
      </c>
      <c r="O1730" s="1">
        <v>92.42319315</v>
      </c>
      <c r="P1730" s="1">
        <v>6.4747219758</v>
      </c>
      <c r="Q1730" s="1">
        <v>52.3592</v>
      </c>
      <c r="R1730" s="1">
        <v>92.129812346</v>
      </c>
      <c r="S1730" s="1">
        <v>6.4</v>
      </c>
      <c r="T1730" s="1">
        <v>48966.0</v>
      </c>
      <c r="U1730" s="1">
        <v>22.576890087</v>
      </c>
      <c r="V1730" s="1">
        <v>84.643599148</v>
      </c>
      <c r="W1730" s="1">
        <v>10.301247914</v>
      </c>
      <c r="X1730" s="1">
        <v>8.143530728</v>
      </c>
      <c r="Y1730" s="1">
        <v>81.270778463</v>
      </c>
      <c r="Z1730" s="1">
        <v>9.3</v>
      </c>
      <c r="AA1730" s="1">
        <v>5.05853737579999</v>
      </c>
      <c r="AB1730" s="1">
        <v>79358.0</v>
      </c>
      <c r="AC1730" s="1">
        <v>32.377820954</v>
      </c>
      <c r="AD1730" s="1">
        <v>69.106003536</v>
      </c>
      <c r="AE1730" s="1">
        <v>7.6968611263</v>
      </c>
      <c r="AF1730" s="1">
        <v>3.9141489437</v>
      </c>
      <c r="AG1730" s="1">
        <v>0.7367490879</v>
      </c>
      <c r="AH1730" s="1">
        <v>2.6423215999</v>
      </c>
      <c r="AI1730" s="1">
        <v>0.1246889553</v>
      </c>
      <c r="AJ1730" s="1">
        <v>9.7539290574</v>
      </c>
      <c r="AK1730" s="1">
        <v>80.54960723</v>
      </c>
      <c r="AL1730" s="1">
        <v>1.0879315361</v>
      </c>
      <c r="AM1730" s="1">
        <v>49.957985243</v>
      </c>
      <c r="AN1730" s="1">
        <v>5.2738604885</v>
      </c>
      <c r="AO1730" s="1">
        <v>31906.0</v>
      </c>
      <c r="AP1730" s="1">
        <v>6.2</v>
      </c>
      <c r="AQ1730" s="1">
        <v>3.7</v>
      </c>
      <c r="AR1730" s="1">
        <v>4.6</v>
      </c>
      <c r="AS1730" s="1">
        <v>10.2</v>
      </c>
      <c r="AT1730" s="1">
        <v>28.1</v>
      </c>
      <c r="AU1730" s="1">
        <v>8.7</v>
      </c>
      <c r="AV1730" s="1">
        <v>17.7</v>
      </c>
      <c r="AW1730" s="1">
        <v>1.5</v>
      </c>
      <c r="AX1730" s="1">
        <v>0.1162</v>
      </c>
      <c r="AY1730" s="1">
        <v>5.9</v>
      </c>
      <c r="AZ1730" s="1">
        <v>9.2</v>
      </c>
      <c r="BA1730" s="1">
        <v>13.0</v>
      </c>
      <c r="BB1730" s="1">
        <v>3.02</v>
      </c>
      <c r="BC1730" s="1" t="s">
        <v>2802</v>
      </c>
      <c r="BD1730" s="1">
        <v>4.5</v>
      </c>
      <c r="BE1730" s="1">
        <v>21.7</v>
      </c>
      <c r="BF1730" s="1">
        <v>34.0</v>
      </c>
      <c r="BG1730" s="1">
        <v>39.8</v>
      </c>
      <c r="BH1730" s="1" t="s">
        <v>2914</v>
      </c>
    </row>
    <row r="1731">
      <c r="A1731" s="1">
        <v>31155.0</v>
      </c>
      <c r="B1731" s="2" t="str">
        <f>IFERROR(__xludf.DUMMYFUNCTION("TO_TEXT(A1731)"),"31155")</f>
        <v>31155</v>
      </c>
      <c r="C1731" s="1">
        <v>20946.0</v>
      </c>
      <c r="D1731" s="1">
        <v>750.233855655527</v>
      </c>
      <c r="E1731" s="1" t="s">
        <v>2915</v>
      </c>
      <c r="F1731" s="1" t="s">
        <v>2916</v>
      </c>
      <c r="G1731" s="1">
        <v>27.9192945534271</v>
      </c>
      <c r="H1731" s="1">
        <v>13.337194546</v>
      </c>
      <c r="I1731" s="1">
        <v>3.2616494774</v>
      </c>
      <c r="J1731" s="1">
        <v>6.7181926278</v>
      </c>
      <c r="K1731" s="1">
        <v>14.044247837</v>
      </c>
      <c r="L1731" s="1">
        <v>34.5</v>
      </c>
      <c r="M1731" s="1">
        <v>8.4</v>
      </c>
      <c r="N1731" s="1">
        <v>24.6</v>
      </c>
      <c r="O1731" s="1">
        <v>52.945139557</v>
      </c>
      <c r="P1731" s="1">
        <v>7.2995262327</v>
      </c>
      <c r="Q1731" s="1">
        <v>37.99212</v>
      </c>
      <c r="R1731" s="1">
        <v>95.312024353</v>
      </c>
      <c r="S1731" s="1">
        <v>8.3</v>
      </c>
      <c r="T1731" s="1">
        <v>5202.0</v>
      </c>
      <c r="U1731" s="1">
        <v>21.799307958</v>
      </c>
      <c r="V1731" s="1">
        <v>61.915081085</v>
      </c>
      <c r="W1731" s="1">
        <v>9.5118898623</v>
      </c>
      <c r="X1731" s="1">
        <v>8.4160281372</v>
      </c>
      <c r="Y1731" s="1">
        <v>79.065614303</v>
      </c>
      <c r="Z1731" s="1">
        <v>10.9</v>
      </c>
      <c r="AA1731" s="1">
        <v>3.8830108685</v>
      </c>
      <c r="AB1731" s="1">
        <v>67897.0</v>
      </c>
      <c r="AC1731" s="1">
        <v>32.16579101</v>
      </c>
      <c r="AD1731" s="1">
        <v>78.477059813</v>
      </c>
      <c r="AE1731" s="1">
        <v>8.4116773874</v>
      </c>
      <c r="AF1731" s="1">
        <v>0.4928883256</v>
      </c>
      <c r="AG1731" s="1">
        <v>0.4881941511</v>
      </c>
      <c r="AH1731" s="1">
        <v>0.4130873586</v>
      </c>
      <c r="AI1731" s="1">
        <v>0.0046941745</v>
      </c>
      <c r="AJ1731" s="1">
        <v>2.2907571704</v>
      </c>
      <c r="AK1731" s="1">
        <v>95.0335633479999</v>
      </c>
      <c r="AL1731" s="1">
        <v>0.5740994767</v>
      </c>
      <c r="AM1731" s="1">
        <v>49.434351969</v>
      </c>
      <c r="AN1731" s="1">
        <v>66.487006737</v>
      </c>
      <c r="AO1731" s="1">
        <v>30348.0</v>
      </c>
      <c r="AP1731" s="1">
        <v>9.2</v>
      </c>
      <c r="AQ1731" s="1">
        <v>2.9</v>
      </c>
      <c r="AR1731" s="1">
        <v>6.9</v>
      </c>
      <c r="AS1731" s="1">
        <v>17.2</v>
      </c>
      <c r="AT1731" s="1">
        <v>25.1</v>
      </c>
      <c r="AU1731" s="1">
        <v>12.9</v>
      </c>
      <c r="AV1731" s="1">
        <v>4.2</v>
      </c>
      <c r="AW1731" s="1">
        <v>0.4</v>
      </c>
      <c r="AX1731" s="1">
        <v>0.028</v>
      </c>
      <c r="AY1731" s="1">
        <v>6.9</v>
      </c>
      <c r="AZ1731" s="1">
        <v>11.0</v>
      </c>
      <c r="BA1731" s="1">
        <v>17.2</v>
      </c>
      <c r="BB1731" s="1">
        <v>3.3</v>
      </c>
      <c r="BC1731" s="1" t="s">
        <v>2802</v>
      </c>
      <c r="BD1731" s="1">
        <v>6.8</v>
      </c>
      <c r="BE1731" s="1">
        <v>31.0</v>
      </c>
      <c r="BF1731" s="1">
        <v>36.8</v>
      </c>
      <c r="BG1731" s="1">
        <v>25.4</v>
      </c>
      <c r="BH1731" s="1" t="s">
        <v>2916</v>
      </c>
    </row>
    <row r="1732">
      <c r="A1732" s="1">
        <v>31157.0</v>
      </c>
      <c r="B1732" s="2" t="str">
        <f>IFERROR(__xludf.DUMMYFUNCTION("TO_TEXT(A1732)"),"31157")</f>
        <v>31157</v>
      </c>
      <c r="C1732" s="1">
        <v>36599.0</v>
      </c>
      <c r="D1732" s="1">
        <v>739.400450912626</v>
      </c>
      <c r="E1732" s="1" t="s">
        <v>2917</v>
      </c>
      <c r="F1732" s="1" t="s">
        <v>2918</v>
      </c>
      <c r="G1732" s="1">
        <v>49.4982116319062</v>
      </c>
      <c r="H1732" s="1">
        <v>19.227283235</v>
      </c>
      <c r="I1732" s="1">
        <v>4.0319260197</v>
      </c>
      <c r="J1732" s="1">
        <v>8.3233890215</v>
      </c>
      <c r="K1732" s="1">
        <v>18.203360429</v>
      </c>
      <c r="L1732" s="1">
        <v>35.5</v>
      </c>
      <c r="M1732" s="1">
        <v>8.6</v>
      </c>
      <c r="N1732" s="1">
        <v>25.8</v>
      </c>
      <c r="O1732" s="1">
        <v>75.453070057</v>
      </c>
      <c r="P1732" s="1">
        <v>11.139878487</v>
      </c>
      <c r="Q1732" s="1">
        <v>79.7514</v>
      </c>
      <c r="R1732" s="1">
        <v>92.158749614</v>
      </c>
      <c r="S1732" s="1">
        <v>19.0</v>
      </c>
      <c r="T1732" s="1">
        <v>8834.0</v>
      </c>
      <c r="U1732" s="1">
        <v>43.6495358839999</v>
      </c>
      <c r="V1732" s="1">
        <v>204.78294411</v>
      </c>
      <c r="W1732" s="1">
        <v>14.23169474</v>
      </c>
      <c r="X1732" s="1">
        <v>11.947331947</v>
      </c>
      <c r="Y1732" s="1">
        <v>78.2776168239999</v>
      </c>
      <c r="Z1732" s="1">
        <v>11.5</v>
      </c>
      <c r="AA1732" s="1">
        <v>2.3224139248</v>
      </c>
      <c r="AB1732" s="1">
        <v>50247.0</v>
      </c>
      <c r="AC1732" s="1">
        <v>58.49702381</v>
      </c>
      <c r="AD1732" s="1">
        <v>68.993362075</v>
      </c>
      <c r="AE1732" s="1">
        <v>11.6634526109999</v>
      </c>
      <c r="AF1732" s="1">
        <v>0.8058017728</v>
      </c>
      <c r="AG1732" s="1">
        <v>3.378810192</v>
      </c>
      <c r="AH1732" s="1">
        <v>0.8974964573</v>
      </c>
      <c r="AI1732" s="1">
        <v>0.1333740865</v>
      </c>
      <c r="AJ1732" s="1">
        <v>24.32409903</v>
      </c>
      <c r="AK1732" s="1">
        <v>71.563533302</v>
      </c>
      <c r="AL1732" s="1">
        <v>1.6546507505</v>
      </c>
      <c r="AM1732" s="1">
        <v>51.332351552</v>
      </c>
      <c r="AN1732" s="1">
        <v>29.8187719769999</v>
      </c>
      <c r="AO1732" s="1">
        <v>25863.0</v>
      </c>
      <c r="AP1732" s="1">
        <v>13.5</v>
      </c>
      <c r="AQ1732" s="1">
        <v>5.3</v>
      </c>
      <c r="AR1732" s="1">
        <v>13.0</v>
      </c>
      <c r="AS1732" s="1">
        <v>17.8</v>
      </c>
      <c r="AT1732" s="1">
        <v>24.8</v>
      </c>
      <c r="AU1732" s="1">
        <v>14.6</v>
      </c>
      <c r="AV1732" s="1">
        <v>26.5</v>
      </c>
      <c r="AW1732" s="1">
        <v>1.7</v>
      </c>
      <c r="AX1732" s="1">
        <v>0.5925</v>
      </c>
      <c r="AY1732" s="1">
        <v>13.0</v>
      </c>
      <c r="AZ1732" s="1">
        <v>12.6</v>
      </c>
      <c r="BA1732" s="1">
        <v>18.2</v>
      </c>
      <c r="BB1732" s="1">
        <v>3.02</v>
      </c>
      <c r="BC1732" s="1" t="s">
        <v>2802</v>
      </c>
      <c r="BD1732" s="1">
        <v>12.0</v>
      </c>
      <c r="BE1732" s="1">
        <v>28.7</v>
      </c>
      <c r="BF1732" s="1">
        <v>36.4</v>
      </c>
      <c r="BG1732" s="1">
        <v>22.9</v>
      </c>
      <c r="BH1732" s="1" t="s">
        <v>2918</v>
      </c>
    </row>
    <row r="1733">
      <c r="A1733" s="1">
        <v>31159.0</v>
      </c>
      <c r="B1733" s="2" t="str">
        <f>IFERROR(__xludf.DUMMYFUNCTION("TO_TEXT(A1733)"),"31159")</f>
        <v>31159</v>
      </c>
      <c r="C1733" s="1">
        <v>17113.0</v>
      </c>
      <c r="D1733" s="1">
        <v>571.427357282238</v>
      </c>
      <c r="E1733" s="1" t="s">
        <v>1726</v>
      </c>
      <c r="F1733" s="1" t="s">
        <v>2919</v>
      </c>
      <c r="G1733" s="1">
        <v>29.9478136317991</v>
      </c>
      <c r="H1733" s="1">
        <v>12.026406085</v>
      </c>
      <c r="I1733" s="1">
        <v>3.2181110129</v>
      </c>
      <c r="J1733" s="1">
        <v>6.2121212121</v>
      </c>
      <c r="K1733" s="1">
        <v>13.5825896059999</v>
      </c>
      <c r="L1733" s="1">
        <v>31.4</v>
      </c>
      <c r="M1733" s="1">
        <v>8.5</v>
      </c>
      <c r="N1733" s="1">
        <v>23.1</v>
      </c>
      <c r="O1733" s="1">
        <v>58.632835821</v>
      </c>
      <c r="P1733" s="1">
        <v>6.7196090409</v>
      </c>
      <c r="Q1733" s="1">
        <v>58.27166</v>
      </c>
      <c r="R1733" s="1">
        <v>95.3501214929999</v>
      </c>
      <c r="S1733" s="1">
        <v>7.3</v>
      </c>
      <c r="T1733" s="1">
        <v>4012.0</v>
      </c>
      <c r="U1733" s="1">
        <v>17.97108674</v>
      </c>
      <c r="V1733" s="1">
        <v>56.644009063</v>
      </c>
      <c r="W1733" s="1">
        <v>10.472440945</v>
      </c>
      <c r="X1733" s="1">
        <v>8.2925288264</v>
      </c>
      <c r="Y1733" s="1">
        <v>79.134375072</v>
      </c>
      <c r="Z1733" s="1">
        <v>9.7</v>
      </c>
      <c r="AA1733" s="1">
        <v>1.871808931</v>
      </c>
      <c r="AB1733" s="1">
        <v>71024.0</v>
      </c>
      <c r="AC1733" s="1">
        <v>24.9058025619999</v>
      </c>
      <c r="AD1733" s="1">
        <v>71.9678593089999</v>
      </c>
      <c r="AE1733" s="1">
        <v>8.3850931677</v>
      </c>
      <c r="AF1733" s="1">
        <v>0.6813719829</v>
      </c>
      <c r="AG1733" s="1">
        <v>0.5196904954</v>
      </c>
      <c r="AH1733" s="1">
        <v>0.537013512</v>
      </c>
      <c r="AI1733" s="1">
        <v>0.0115486777</v>
      </c>
      <c r="AJ1733" s="1">
        <v>2.7543596258</v>
      </c>
      <c r="AK1733" s="1">
        <v>94.502829426</v>
      </c>
      <c r="AL1733" s="1">
        <v>0.3168292228</v>
      </c>
      <c r="AM1733" s="1">
        <v>48.85668091</v>
      </c>
      <c r="AN1733" s="1">
        <v>60.382089552</v>
      </c>
      <c r="AO1733" s="1">
        <v>28491.0</v>
      </c>
      <c r="AP1733" s="1">
        <v>9.0</v>
      </c>
      <c r="AQ1733" s="1">
        <v>3.5</v>
      </c>
      <c r="AR1733" s="1">
        <v>7.2</v>
      </c>
      <c r="AS1733" s="1">
        <v>16.8</v>
      </c>
      <c r="AT1733" s="1">
        <v>23.5</v>
      </c>
      <c r="AU1733" s="1">
        <v>10.5</v>
      </c>
      <c r="AV1733" s="1">
        <v>4.7</v>
      </c>
      <c r="AW1733" s="1">
        <v>0.4</v>
      </c>
      <c r="AX1733" s="1">
        <v>0.0815</v>
      </c>
      <c r="AY1733" s="1">
        <v>7.2</v>
      </c>
      <c r="AZ1733" s="1">
        <v>10.2</v>
      </c>
      <c r="BA1733" s="1">
        <v>14.8</v>
      </c>
      <c r="BB1733" s="1">
        <v>3.03</v>
      </c>
      <c r="BC1733" s="1" t="s">
        <v>2802</v>
      </c>
      <c r="BD1733" s="1">
        <v>6.0</v>
      </c>
      <c r="BE1733" s="1">
        <v>28.6</v>
      </c>
      <c r="BF1733" s="1">
        <v>36.5</v>
      </c>
      <c r="BG1733" s="1">
        <v>28.9</v>
      </c>
      <c r="BH1733" s="1" t="s">
        <v>2919</v>
      </c>
    </row>
    <row r="1734">
      <c r="A1734" s="1">
        <v>31161.0</v>
      </c>
      <c r="B1734" s="2" t="str">
        <f>IFERROR(__xludf.DUMMYFUNCTION("TO_TEXT(A1734)"),"31161")</f>
        <v>31161</v>
      </c>
      <c r="C1734" s="1">
        <v>5259.0</v>
      </c>
      <c r="D1734" s="1">
        <v>2440.87279122261</v>
      </c>
      <c r="E1734" s="1" t="s">
        <v>1730</v>
      </c>
      <c r="F1734" s="1" t="s">
        <v>2920</v>
      </c>
      <c r="G1734" s="1">
        <v>2.15455718090324</v>
      </c>
      <c r="H1734" s="1">
        <v>16.363132299</v>
      </c>
      <c r="I1734" s="1">
        <v>3.6733328645</v>
      </c>
      <c r="J1734" s="1">
        <v>5.1094890511</v>
      </c>
      <c r="K1734" s="1">
        <v>16.249212602</v>
      </c>
      <c r="L1734" s="1">
        <v>31.9</v>
      </c>
      <c r="M1734" s="1">
        <v>7.1</v>
      </c>
      <c r="N1734" s="1">
        <v>30.1</v>
      </c>
      <c r="O1734" s="1">
        <v>56.445419638</v>
      </c>
      <c r="P1734" s="1">
        <v>17.173800928</v>
      </c>
      <c r="Q1734" s="1">
        <v>56.7215</v>
      </c>
      <c r="R1734" s="1">
        <v>93.5791044779999</v>
      </c>
      <c r="S1734" s="1">
        <v>26.5</v>
      </c>
      <c r="T1734" s="1">
        <v>1185.0</v>
      </c>
      <c r="U1734" s="1">
        <v>38.143459916</v>
      </c>
      <c r="V1734" s="1">
        <v>190.96985404</v>
      </c>
      <c r="W1734" s="1">
        <v>9.6629213483</v>
      </c>
      <c r="X1734" s="1">
        <v>7.4376417234</v>
      </c>
      <c r="Y1734" s="1">
        <v>77.708438639</v>
      </c>
      <c r="Z1734" s="1">
        <v>12.6</v>
      </c>
      <c r="AA1734" s="1">
        <v>12.904474521</v>
      </c>
      <c r="AB1734" s="1">
        <v>43819.0</v>
      </c>
      <c r="AC1734" s="1">
        <v>55.433455433</v>
      </c>
      <c r="AD1734" s="1">
        <v>71.523767215</v>
      </c>
      <c r="AE1734" s="1">
        <v>9.1382575758</v>
      </c>
      <c r="AF1734" s="1">
        <v>0.4046242775</v>
      </c>
      <c r="AG1734" s="1">
        <v>10.693641618</v>
      </c>
      <c r="AH1734" s="1">
        <v>0.5009633911</v>
      </c>
      <c r="AI1734" s="1">
        <v>0.2697495183</v>
      </c>
      <c r="AJ1734" s="1">
        <v>5.2793834297</v>
      </c>
      <c r="AK1734" s="1">
        <v>81.464354528</v>
      </c>
      <c r="AL1734" s="1">
        <v>0.6038647343</v>
      </c>
      <c r="AM1734" s="1">
        <v>50.9441233139999</v>
      </c>
      <c r="AN1734" s="1">
        <v>100.0</v>
      </c>
      <c r="AO1734" s="1">
        <v>25077.0</v>
      </c>
      <c r="AP1734" s="1">
        <v>16.8</v>
      </c>
      <c r="AQ1734" s="1">
        <v>2.1</v>
      </c>
      <c r="AR1734" s="1">
        <v>10.2</v>
      </c>
      <c r="AS1734" s="1">
        <v>24.5</v>
      </c>
      <c r="AT1734" s="1">
        <v>23.1</v>
      </c>
      <c r="AU1734" s="1">
        <v>15.7</v>
      </c>
      <c r="AV1734" s="1">
        <v>17.5</v>
      </c>
      <c r="AW1734" s="1">
        <v>0.0</v>
      </c>
      <c r="AX1734" s="1">
        <v>0.3537</v>
      </c>
      <c r="AY1734" s="1">
        <v>14.5</v>
      </c>
      <c r="AZ1734" s="1">
        <v>15.2</v>
      </c>
      <c r="BA1734" s="1">
        <v>24.9</v>
      </c>
      <c r="BB1734" s="1">
        <v>3.19</v>
      </c>
      <c r="BC1734" s="1" t="s">
        <v>2802</v>
      </c>
      <c r="BD1734" s="1">
        <v>9.4</v>
      </c>
      <c r="BE1734" s="1">
        <v>32.8</v>
      </c>
      <c r="BF1734" s="1">
        <v>34.9</v>
      </c>
      <c r="BG1734" s="1">
        <v>22.8</v>
      </c>
      <c r="BH1734" s="1" t="s">
        <v>2920</v>
      </c>
    </row>
    <row r="1735">
      <c r="A1735" s="1">
        <v>31163.0</v>
      </c>
      <c r="B1735" s="2" t="str">
        <f>IFERROR(__xludf.DUMMYFUNCTION("TO_TEXT(A1735)"),"31163")</f>
        <v>31163</v>
      </c>
      <c r="C1735" s="1">
        <v>3090.0</v>
      </c>
      <c r="D1735" s="1">
        <v>565.828327700786</v>
      </c>
      <c r="E1735" s="1" t="s">
        <v>1732</v>
      </c>
      <c r="F1735" s="1" t="s">
        <v>2921</v>
      </c>
      <c r="G1735" s="1">
        <v>5.46102032847322</v>
      </c>
      <c r="H1735" s="1">
        <v>13.05527015</v>
      </c>
      <c r="I1735" s="1">
        <v>3.4090538605</v>
      </c>
      <c r="J1735" s="1">
        <v>8.9743589744</v>
      </c>
      <c r="K1735" s="1">
        <v>14.005694819</v>
      </c>
      <c r="L1735" s="1">
        <v>35.7</v>
      </c>
      <c r="M1735" s="1">
        <v>6.1</v>
      </c>
      <c r="N1735" s="1">
        <v>28.4</v>
      </c>
      <c r="O1735" s="1">
        <v>48.9847715739999</v>
      </c>
      <c r="P1735" s="1">
        <v>12.69982238</v>
      </c>
      <c r="Q1735" s="1">
        <v>48.31939</v>
      </c>
      <c r="R1735" s="1">
        <v>91.0</v>
      </c>
      <c r="S1735" s="1">
        <v>21.2</v>
      </c>
      <c r="T1735" s="1">
        <v>610.0</v>
      </c>
      <c r="U1735" s="1">
        <v>20.327868852</v>
      </c>
      <c r="V1735" s="1">
        <v>48.575129534</v>
      </c>
      <c r="W1735" s="1">
        <v>9.5238095238</v>
      </c>
      <c r="X1735" s="1">
        <v>8.4328358209</v>
      </c>
      <c r="Y1735" s="1">
        <v>80.019594027</v>
      </c>
      <c r="Z1735" s="1">
        <v>11.4</v>
      </c>
      <c r="AA1735" s="1">
        <v>28.447464337</v>
      </c>
      <c r="AB1735" s="1">
        <v>47499.0</v>
      </c>
      <c r="AC1735" s="1">
        <v>47.291666667</v>
      </c>
      <c r="AD1735" s="1">
        <v>76.804123711</v>
      </c>
      <c r="AE1735" s="1">
        <v>8.1059390048</v>
      </c>
      <c r="AF1735" s="1">
        <v>0.2304147465</v>
      </c>
      <c r="AG1735" s="1">
        <v>0.3949967084</v>
      </c>
      <c r="AH1735" s="1">
        <v>0.4937458855</v>
      </c>
      <c r="AI1735" s="1">
        <v>0.0</v>
      </c>
      <c r="AJ1735" s="1">
        <v>2.4687294273</v>
      </c>
      <c r="AK1735" s="1">
        <v>96.017116524</v>
      </c>
      <c r="AL1735" s="1">
        <v>0.5172413793</v>
      </c>
      <c r="AM1735" s="1">
        <v>50.8887425939999</v>
      </c>
      <c r="AN1735" s="1">
        <v>100.0</v>
      </c>
      <c r="AO1735" s="1">
        <v>26348.0</v>
      </c>
      <c r="AP1735" s="1">
        <v>13.3</v>
      </c>
      <c r="AQ1735" s="1">
        <v>2.2</v>
      </c>
      <c r="AR1735" s="1">
        <v>7.5</v>
      </c>
      <c r="AS1735" s="1">
        <v>26.1</v>
      </c>
      <c r="AT1735" s="1">
        <v>21.6</v>
      </c>
      <c r="AU1735" s="1">
        <v>15.2</v>
      </c>
      <c r="AV1735" s="1">
        <v>3.1</v>
      </c>
      <c r="AW1735" s="1">
        <v>0.0</v>
      </c>
      <c r="AX1735" s="1">
        <v>0.0977</v>
      </c>
      <c r="AY1735" s="1">
        <v>12.4</v>
      </c>
      <c r="AZ1735" s="1">
        <v>12.6</v>
      </c>
      <c r="BA1735" s="1">
        <v>19.2</v>
      </c>
      <c r="BB1735" s="1">
        <v>2.95</v>
      </c>
      <c r="BC1735" s="1" t="s">
        <v>2802</v>
      </c>
      <c r="BD1735" s="1">
        <v>7.0</v>
      </c>
      <c r="BE1735" s="1">
        <v>36.2</v>
      </c>
      <c r="BF1735" s="1">
        <v>36.5</v>
      </c>
      <c r="BG1735" s="1">
        <v>20.2</v>
      </c>
      <c r="BH1735" s="1" t="s">
        <v>2921</v>
      </c>
    </row>
    <row r="1736">
      <c r="A1736" s="1">
        <v>31165.0</v>
      </c>
      <c r="B1736" s="2" t="str">
        <f>IFERROR(__xludf.DUMMYFUNCTION("TO_TEXT(A1736)"),"31165")</f>
        <v>31165</v>
      </c>
      <c r="C1736" s="1">
        <v>1274.0</v>
      </c>
      <c r="D1736" s="1">
        <v>2066.62566741671</v>
      </c>
      <c r="E1736" s="1" t="s">
        <v>1564</v>
      </c>
      <c r="F1736" s="1" t="s">
        <v>2922</v>
      </c>
      <c r="G1736" s="1">
        <v>0.616463842526695</v>
      </c>
      <c r="H1736" s="1">
        <v>13.93495714</v>
      </c>
      <c r="I1736" s="1">
        <v>3.4140892424</v>
      </c>
      <c r="J1736" s="1">
        <v>7.80443539465</v>
      </c>
      <c r="K1736" s="1">
        <v>14.144511318</v>
      </c>
      <c r="L1736" s="1">
        <v>23.2</v>
      </c>
      <c r="M1736" s="1">
        <v>6.2</v>
      </c>
      <c r="N1736" s="1">
        <v>30.6</v>
      </c>
      <c r="O1736" s="1">
        <v>18.001525553</v>
      </c>
      <c r="P1736" s="1">
        <v>15.6612529</v>
      </c>
      <c r="Q1736" s="1">
        <v>83.12552</v>
      </c>
      <c r="R1736" s="1">
        <v>89.912280702</v>
      </c>
      <c r="S1736" s="1">
        <v>26.8</v>
      </c>
      <c r="T1736" s="1">
        <v>263.0</v>
      </c>
      <c r="U1736" s="1">
        <v>27.7566539919999</v>
      </c>
      <c r="V1736" s="1">
        <v>204.509002055</v>
      </c>
      <c r="W1736" s="1">
        <v>11.926605505</v>
      </c>
      <c r="X1736" s="1">
        <v>11.7431192659999</v>
      </c>
      <c r="Y1736" s="1">
        <v>77.482572377</v>
      </c>
      <c r="Z1736" s="1">
        <v>7.0</v>
      </c>
      <c r="AA1736" s="1">
        <v>24.886154446</v>
      </c>
      <c r="AB1736" s="1">
        <v>50861.0</v>
      </c>
      <c r="AC1736" s="1">
        <v>6.1224489796</v>
      </c>
      <c r="AD1736" s="1">
        <v>73.056994819</v>
      </c>
      <c r="AE1736" s="1">
        <v>11.089494163</v>
      </c>
      <c r="AF1736" s="1">
        <v>0.1684919966</v>
      </c>
      <c r="AG1736" s="1">
        <v>1.5164279697</v>
      </c>
      <c r="AH1736" s="1">
        <v>0.2527379949</v>
      </c>
      <c r="AI1736" s="1">
        <v>0.0</v>
      </c>
      <c r="AJ1736" s="1">
        <v>5.7287278854</v>
      </c>
      <c r="AK1736" s="1">
        <v>91.659646167</v>
      </c>
      <c r="AL1736" s="1">
        <v>0.0</v>
      </c>
      <c r="AM1736" s="1">
        <v>48.694187026</v>
      </c>
      <c r="AN1736" s="1">
        <v>100.0</v>
      </c>
      <c r="AO1736" s="1">
        <v>27279.0</v>
      </c>
      <c r="AP1736" s="1">
        <v>11.0</v>
      </c>
      <c r="AQ1736" s="1">
        <v>0.0</v>
      </c>
      <c r="AR1736" s="1">
        <v>6.0</v>
      </c>
      <c r="AS1736" s="1">
        <v>22.7</v>
      </c>
      <c r="AT1736" s="1">
        <v>20.4</v>
      </c>
      <c r="AU1736" s="1">
        <v>8.9</v>
      </c>
      <c r="AV1736" s="1">
        <v>7.6</v>
      </c>
      <c r="AW1736" s="1">
        <v>0.0</v>
      </c>
      <c r="AX1736" s="1">
        <v>0.0016</v>
      </c>
      <c r="AY1736" s="1">
        <v>15.9</v>
      </c>
      <c r="AZ1736" s="1">
        <v>11.6</v>
      </c>
      <c r="BA1736" s="1">
        <v>17.2</v>
      </c>
      <c r="BB1736" s="1">
        <v>3.05</v>
      </c>
      <c r="BC1736" s="1" t="s">
        <v>2802</v>
      </c>
      <c r="BD1736" s="1">
        <v>6.8</v>
      </c>
      <c r="BE1736" s="1">
        <v>29.4</v>
      </c>
      <c r="BF1736" s="1">
        <v>33.2</v>
      </c>
      <c r="BG1736" s="1">
        <v>30.6</v>
      </c>
      <c r="BH1736" s="1" t="s">
        <v>2922</v>
      </c>
    </row>
    <row r="1737">
      <c r="A1737" s="1">
        <v>31167.0</v>
      </c>
      <c r="B1737" s="2" t="str">
        <f>IFERROR(__xludf.DUMMYFUNCTION("TO_TEXT(A1737)"),"31167")</f>
        <v>31167</v>
      </c>
      <c r="C1737" s="1">
        <v>6022.0</v>
      </c>
      <c r="D1737" s="1">
        <v>427.948328970978</v>
      </c>
      <c r="E1737" s="1" t="s">
        <v>1738</v>
      </c>
      <c r="F1737" s="1" t="s">
        <v>2923</v>
      </c>
      <c r="G1737" s="1">
        <v>14.071792299038</v>
      </c>
      <c r="H1737" s="1">
        <v>14.738016795</v>
      </c>
      <c r="I1737" s="1">
        <v>3.3899500207</v>
      </c>
      <c r="J1737" s="1">
        <v>7.3022312373</v>
      </c>
      <c r="K1737" s="1">
        <v>14.069033128</v>
      </c>
      <c r="L1737" s="1">
        <v>38.1</v>
      </c>
      <c r="M1737" s="1">
        <v>7.2</v>
      </c>
      <c r="N1737" s="1">
        <v>31.6</v>
      </c>
      <c r="O1737" s="1">
        <v>31.359112416</v>
      </c>
      <c r="P1737" s="1">
        <v>7.4832691138</v>
      </c>
      <c r="Q1737" s="1">
        <v>48.31939</v>
      </c>
      <c r="R1737" s="1">
        <v>97.0</v>
      </c>
      <c r="S1737" s="1">
        <v>10.5</v>
      </c>
      <c r="T1737" s="1">
        <v>1518.0</v>
      </c>
      <c r="U1737" s="1">
        <v>21.409749671</v>
      </c>
      <c r="V1737" s="1">
        <v>58.16852252</v>
      </c>
      <c r="W1737" s="1">
        <v>10.683760684</v>
      </c>
      <c r="X1737" s="1">
        <v>7.8958785249</v>
      </c>
      <c r="Y1737" s="1">
        <v>82.137715425</v>
      </c>
      <c r="Z1737" s="1">
        <v>7.2</v>
      </c>
      <c r="AA1737" s="1">
        <v>18.050408522</v>
      </c>
      <c r="AB1737" s="1">
        <v>66228.0</v>
      </c>
      <c r="AC1737" s="1">
        <v>40.873634945</v>
      </c>
      <c r="AD1737" s="1">
        <v>83.029045643</v>
      </c>
      <c r="AE1737" s="1">
        <v>9.5803306486</v>
      </c>
      <c r="AF1737" s="1">
        <v>0.8040201005</v>
      </c>
      <c r="AG1737" s="1">
        <v>0.837520937999999</v>
      </c>
      <c r="AH1737" s="1">
        <v>0.3182579564</v>
      </c>
      <c r="AI1737" s="1">
        <v>0.0167504188</v>
      </c>
      <c r="AJ1737" s="1">
        <v>5.4773869347</v>
      </c>
      <c r="AK1737" s="1">
        <v>91.541038526</v>
      </c>
      <c r="AL1737" s="1">
        <v>1.4679556033</v>
      </c>
      <c r="AM1737" s="1">
        <v>49.313232831</v>
      </c>
      <c r="AN1737" s="1">
        <v>73.486702562</v>
      </c>
      <c r="AO1737" s="1">
        <v>29282.0</v>
      </c>
      <c r="AP1737" s="1">
        <v>9.5</v>
      </c>
      <c r="AQ1737" s="1">
        <v>3.3</v>
      </c>
      <c r="AR1737" s="1">
        <v>8.1</v>
      </c>
      <c r="AS1737" s="1">
        <v>15.2</v>
      </c>
      <c r="AT1737" s="1">
        <v>26.1</v>
      </c>
      <c r="AU1737" s="1">
        <v>12.5</v>
      </c>
      <c r="AV1737" s="1">
        <v>7.7</v>
      </c>
      <c r="AW1737" s="1">
        <v>1.2</v>
      </c>
      <c r="AX1737" s="1">
        <v>0.077</v>
      </c>
      <c r="AY1737" s="1">
        <v>7.0</v>
      </c>
      <c r="AZ1737" s="1">
        <v>10.0</v>
      </c>
      <c r="BA1737" s="1">
        <v>14.8</v>
      </c>
      <c r="BB1737" s="1">
        <v>3.0</v>
      </c>
      <c r="BC1737" s="1" t="s">
        <v>2802</v>
      </c>
      <c r="BD1737" s="1">
        <v>6.3</v>
      </c>
      <c r="BE1737" s="1">
        <v>31.6</v>
      </c>
      <c r="BF1737" s="1">
        <v>44.2</v>
      </c>
      <c r="BG1737" s="1">
        <v>17.8</v>
      </c>
      <c r="BH1737" s="1" t="s">
        <v>2923</v>
      </c>
    </row>
    <row r="1738">
      <c r="A1738" s="1">
        <v>31169.0</v>
      </c>
      <c r="B1738" s="2" t="str">
        <f>IFERROR(__xludf.DUMMYFUNCTION("TO_TEXT(A1738)"),"31169")</f>
        <v>31169</v>
      </c>
      <c r="C1738" s="1">
        <v>5163.0</v>
      </c>
      <c r="D1738" s="1">
        <v>573.806782672209</v>
      </c>
      <c r="E1738" s="1" t="s">
        <v>2924</v>
      </c>
      <c r="F1738" s="1" t="s">
        <v>2925</v>
      </c>
      <c r="G1738" s="1">
        <v>8.99780231937305</v>
      </c>
      <c r="H1738" s="1">
        <v>12.977927282</v>
      </c>
      <c r="I1738" s="1">
        <v>3.3858218335</v>
      </c>
      <c r="J1738" s="1">
        <v>6.2176165803</v>
      </c>
      <c r="K1738" s="1">
        <v>13.466771515</v>
      </c>
      <c r="L1738" s="1">
        <v>33.0</v>
      </c>
      <c r="M1738" s="1">
        <v>8.0</v>
      </c>
      <c r="N1738" s="1">
        <v>24.9</v>
      </c>
      <c r="O1738" s="1">
        <v>29.571537873</v>
      </c>
      <c r="P1738" s="1">
        <v>9.744966443</v>
      </c>
      <c r="Q1738" s="1">
        <v>99.10803</v>
      </c>
      <c r="R1738" s="1">
        <v>94.736842105</v>
      </c>
      <c r="S1738" s="1">
        <v>14.8</v>
      </c>
      <c r="T1738" s="1">
        <v>1120.0</v>
      </c>
      <c r="U1738" s="1">
        <v>19.732142857</v>
      </c>
      <c r="V1738" s="1">
        <v>116.12154055</v>
      </c>
      <c r="W1738" s="1">
        <v>8.6315789474</v>
      </c>
      <c r="X1738" s="1">
        <v>6.06578385309999</v>
      </c>
      <c r="Y1738" s="1">
        <v>77.789187088</v>
      </c>
      <c r="Z1738" s="1">
        <v>8.9</v>
      </c>
      <c r="AA1738" s="1">
        <v>6.8756832482</v>
      </c>
      <c r="AB1738" s="1">
        <v>51299.0</v>
      </c>
      <c r="AC1738" s="1">
        <v>35.274725275</v>
      </c>
      <c r="AD1738" s="1">
        <v>78.712220762</v>
      </c>
      <c r="AE1738" s="1">
        <v>4.6648550725</v>
      </c>
      <c r="AF1738" s="1">
        <v>0.416749355</v>
      </c>
      <c r="AG1738" s="1">
        <v>0.416749355</v>
      </c>
      <c r="AH1738" s="1">
        <v>0.3373685255</v>
      </c>
      <c r="AI1738" s="1">
        <v>0.0198452074</v>
      </c>
      <c r="AJ1738" s="1">
        <v>2.4012700933</v>
      </c>
      <c r="AK1738" s="1">
        <v>95.197459813</v>
      </c>
      <c r="AL1738" s="1">
        <v>0.3339595074</v>
      </c>
      <c r="AM1738" s="1">
        <v>50.248065092</v>
      </c>
      <c r="AN1738" s="1">
        <v>100.0</v>
      </c>
      <c r="AO1738" s="1">
        <v>30057.0</v>
      </c>
      <c r="AP1738" s="1">
        <v>12.0</v>
      </c>
      <c r="AQ1738" s="1">
        <v>1.4</v>
      </c>
      <c r="AR1738" s="1">
        <v>8.2</v>
      </c>
      <c r="AS1738" s="1">
        <v>25.4</v>
      </c>
      <c r="AT1738" s="1">
        <v>21.1</v>
      </c>
      <c r="AU1738" s="1">
        <v>14.7</v>
      </c>
      <c r="AV1738" s="1">
        <v>4.3</v>
      </c>
      <c r="AW1738" s="1">
        <v>0.7</v>
      </c>
      <c r="AX1738" s="1">
        <v>0.0672</v>
      </c>
      <c r="AY1738" s="1">
        <v>10.8</v>
      </c>
      <c r="AZ1738" s="1">
        <v>11.4</v>
      </c>
      <c r="BA1738" s="1">
        <v>16.9</v>
      </c>
      <c r="BB1738" s="1">
        <v>2.89</v>
      </c>
      <c r="BC1738" s="1" t="s">
        <v>2802</v>
      </c>
      <c r="BD1738" s="1">
        <v>7.6</v>
      </c>
      <c r="BE1738" s="1">
        <v>35.6</v>
      </c>
      <c r="BF1738" s="1">
        <v>37.9</v>
      </c>
      <c r="BG1738" s="1">
        <v>18.8</v>
      </c>
      <c r="BH1738" s="1" t="s">
        <v>2925</v>
      </c>
    </row>
    <row r="1739">
      <c r="A1739" s="1">
        <v>31171.0</v>
      </c>
      <c r="B1739" s="2" t="str">
        <f>IFERROR(__xludf.DUMMYFUNCTION("TO_TEXT(A1739)"),"31171")</f>
        <v>31171</v>
      </c>
      <c r="C1739" s="1">
        <v>675.0</v>
      </c>
      <c r="D1739" s="1">
        <v>712.900114272956</v>
      </c>
      <c r="E1739" s="1" t="s">
        <v>1022</v>
      </c>
      <c r="F1739" s="1" t="s">
        <v>2926</v>
      </c>
      <c r="G1739" s="1">
        <v>0.94683671174382</v>
      </c>
      <c r="H1739" s="1">
        <v>13.374903901</v>
      </c>
      <c r="I1739" s="1">
        <v>3.3909999661</v>
      </c>
      <c r="J1739" s="1">
        <v>7.80443539465</v>
      </c>
      <c r="K1739" s="1">
        <v>13.765047178</v>
      </c>
      <c r="L1739" s="1">
        <v>27.4</v>
      </c>
      <c r="M1739" s="1">
        <v>5.9</v>
      </c>
      <c r="N1739" s="1">
        <v>28.0</v>
      </c>
      <c r="O1739" s="1">
        <v>16.537867079</v>
      </c>
      <c r="P1739" s="1">
        <v>13.197026022</v>
      </c>
      <c r="Q1739" s="1">
        <v>0.0</v>
      </c>
      <c r="R1739" s="1">
        <v>89.912280702</v>
      </c>
      <c r="S1739" s="1">
        <v>23.4</v>
      </c>
      <c r="T1739" s="1">
        <v>124.0</v>
      </c>
      <c r="U1739" s="1">
        <v>12.9032258059999</v>
      </c>
      <c r="V1739" s="1">
        <v>204.509002055</v>
      </c>
      <c r="W1739" s="1">
        <v>11.666666667</v>
      </c>
      <c r="X1739" s="1">
        <v>8.7837837838</v>
      </c>
      <c r="Y1739" s="1">
        <v>77.482572377</v>
      </c>
      <c r="Z1739" s="1">
        <v>6.3</v>
      </c>
      <c r="AA1739" s="1">
        <v>27.06171259</v>
      </c>
      <c r="AB1739" s="1">
        <v>48275.0</v>
      </c>
      <c r="AC1739" s="1">
        <v>54.0880503139999</v>
      </c>
      <c r="AD1739" s="1">
        <v>72.602739726</v>
      </c>
      <c r="AE1739" s="1">
        <v>7.0110701107</v>
      </c>
      <c r="AF1739" s="1">
        <v>0.8333333333</v>
      </c>
      <c r="AG1739" s="1">
        <v>1.8055555556</v>
      </c>
      <c r="AH1739" s="1">
        <v>0.2777777778</v>
      </c>
      <c r="AI1739" s="1">
        <v>0.0</v>
      </c>
      <c r="AJ1739" s="1">
        <v>2.6388888889</v>
      </c>
      <c r="AK1739" s="1">
        <v>93.75</v>
      </c>
      <c r="AL1739" s="1">
        <v>0.0</v>
      </c>
      <c r="AM1739" s="1">
        <v>48.611111111</v>
      </c>
      <c r="AN1739" s="1">
        <v>100.0</v>
      </c>
      <c r="AO1739" s="1">
        <v>30746.0</v>
      </c>
      <c r="AP1739" s="1">
        <v>9.6</v>
      </c>
      <c r="AQ1739" s="1">
        <v>1.8</v>
      </c>
      <c r="AR1739" s="1">
        <v>6.6</v>
      </c>
      <c r="AS1739" s="1">
        <v>19.1</v>
      </c>
      <c r="AT1739" s="1">
        <v>23.4</v>
      </c>
      <c r="AU1739" s="1">
        <v>10.5</v>
      </c>
      <c r="AV1739" s="1">
        <v>4.0</v>
      </c>
      <c r="AW1739" s="1">
        <v>0.0</v>
      </c>
      <c r="AX1739" s="1">
        <v>0.0035</v>
      </c>
      <c r="AY1739" s="1">
        <v>13.9</v>
      </c>
      <c r="AZ1739" s="1">
        <v>12.5</v>
      </c>
      <c r="BA1739" s="1">
        <v>18.5</v>
      </c>
      <c r="BB1739" s="1">
        <v>3.08</v>
      </c>
      <c r="BC1739" s="1" t="s">
        <v>2802</v>
      </c>
      <c r="BD1739" s="1">
        <v>6.1</v>
      </c>
      <c r="BE1739" s="1">
        <v>22.8</v>
      </c>
      <c r="BF1739" s="1">
        <v>46.3</v>
      </c>
      <c r="BG1739" s="1">
        <v>24.7</v>
      </c>
      <c r="BH1739" s="1" t="s">
        <v>2926</v>
      </c>
    </row>
    <row r="1740">
      <c r="A1740" s="1">
        <v>31173.0</v>
      </c>
      <c r="B1740" s="2" t="str">
        <f>IFERROR(__xludf.DUMMYFUNCTION("TO_TEXT(A1740)"),"31173")</f>
        <v>31173</v>
      </c>
      <c r="C1740" s="1">
        <v>6989.0</v>
      </c>
      <c r="D1740" s="1">
        <v>393.58359691001</v>
      </c>
      <c r="E1740" s="1" t="s">
        <v>2927</v>
      </c>
      <c r="F1740" s="1" t="s">
        <v>2928</v>
      </c>
      <c r="G1740" s="1">
        <v>17.7573457198674</v>
      </c>
      <c r="H1740" s="1">
        <v>25.124865023</v>
      </c>
      <c r="I1740" s="1">
        <v>4.5445983936</v>
      </c>
      <c r="J1740" s="1">
        <v>6.4727954972</v>
      </c>
      <c r="K1740" s="1">
        <v>27.011980962</v>
      </c>
      <c r="L1740" s="1">
        <v>44.1</v>
      </c>
      <c r="M1740" s="1">
        <v>6.6</v>
      </c>
      <c r="N1740" s="1">
        <v>32.2</v>
      </c>
      <c r="O1740" s="1">
        <v>38.054755043</v>
      </c>
      <c r="P1740" s="1">
        <v>15.9385501679999</v>
      </c>
      <c r="Q1740" s="1">
        <v>55.37865</v>
      </c>
      <c r="R1740" s="1">
        <v>79.086687215</v>
      </c>
      <c r="S1740" s="1">
        <v>32.7</v>
      </c>
      <c r="T1740" s="1">
        <v>2545.0</v>
      </c>
      <c r="U1740" s="1">
        <v>55.402750491</v>
      </c>
      <c r="V1740" s="1">
        <v>61.6855578689999</v>
      </c>
      <c r="W1740" s="1">
        <v>19.809069212</v>
      </c>
      <c r="X1740" s="1">
        <v>10.048309179</v>
      </c>
      <c r="Y1740" s="1">
        <v>70.119799144</v>
      </c>
      <c r="Z1740" s="1">
        <v>19.2</v>
      </c>
      <c r="AA1740" s="1">
        <v>7.4187309958</v>
      </c>
      <c r="AB1740" s="1">
        <v>45405.0</v>
      </c>
      <c r="AC1740" s="1">
        <v>85.685585133</v>
      </c>
      <c r="AD1740" s="1">
        <v>59.67816092</v>
      </c>
      <c r="AE1740" s="1">
        <v>10.10587103</v>
      </c>
      <c r="AF1740" s="1">
        <v>0.4792551006</v>
      </c>
      <c r="AG1740" s="1">
        <v>58.5649732989999</v>
      </c>
      <c r="AH1740" s="1">
        <v>0.5203341093</v>
      </c>
      <c r="AI1740" s="1">
        <v>0.0273860058</v>
      </c>
      <c r="AJ1740" s="1">
        <v>6.1481582911</v>
      </c>
      <c r="AK1740" s="1">
        <v>35.410105436</v>
      </c>
      <c r="AL1740" s="1">
        <v>1.2238574748</v>
      </c>
      <c r="AM1740" s="1">
        <v>50.636724634</v>
      </c>
      <c r="AN1740" s="1">
        <v>100.0</v>
      </c>
      <c r="AO1740" s="1">
        <v>19100.0</v>
      </c>
      <c r="AP1740" s="1">
        <v>31.5</v>
      </c>
      <c r="AQ1740" s="1">
        <v>15.3</v>
      </c>
      <c r="AR1740" s="1">
        <v>13.4</v>
      </c>
      <c r="AS1740" s="1">
        <v>12.1</v>
      </c>
      <c r="AT1740" s="1">
        <v>35.6</v>
      </c>
      <c r="AU1740" s="1">
        <v>12.0</v>
      </c>
      <c r="AV1740" s="1">
        <v>62.7</v>
      </c>
      <c r="AW1740" s="1">
        <v>1.0</v>
      </c>
      <c r="AX1740" s="1">
        <v>0.8898</v>
      </c>
      <c r="AY1740" s="1">
        <v>24.9</v>
      </c>
      <c r="AZ1740" s="1">
        <v>18.4</v>
      </c>
      <c r="BA1740" s="1">
        <v>26.7</v>
      </c>
      <c r="BB1740" s="1">
        <v>2.93</v>
      </c>
      <c r="BC1740" s="1" t="s">
        <v>2802</v>
      </c>
      <c r="BD1740" s="1">
        <v>10.9</v>
      </c>
      <c r="BE1740" s="1">
        <v>32.9</v>
      </c>
      <c r="BF1740" s="1">
        <v>39.9</v>
      </c>
      <c r="BG1740" s="1">
        <v>16.4</v>
      </c>
      <c r="BH1740" s="1" t="s">
        <v>2928</v>
      </c>
    </row>
    <row r="1741">
      <c r="A1741" s="1">
        <v>31175.0</v>
      </c>
      <c r="B1741" s="2" t="str">
        <f>IFERROR(__xludf.DUMMYFUNCTION("TO_TEXT(A1741)"),"31175")</f>
        <v>31175</v>
      </c>
      <c r="C1741" s="1">
        <v>4240.0</v>
      </c>
      <c r="D1741" s="1">
        <v>568.047549332306</v>
      </c>
      <c r="E1741" s="1" t="s">
        <v>1148</v>
      </c>
      <c r="F1741" s="1" t="s">
        <v>2929</v>
      </c>
      <c r="G1741" s="1">
        <v>7.46416388026632</v>
      </c>
      <c r="H1741" s="1">
        <v>14.06960906</v>
      </c>
      <c r="I1741" s="1">
        <v>3.4291120495</v>
      </c>
      <c r="J1741" s="1">
        <v>5.0</v>
      </c>
      <c r="K1741" s="1">
        <v>14.178565399</v>
      </c>
      <c r="L1741" s="1">
        <v>31.8</v>
      </c>
      <c r="M1741" s="1">
        <v>7.8</v>
      </c>
      <c r="N1741" s="1">
        <v>26.6</v>
      </c>
      <c r="O1741" s="1">
        <v>75.258215962</v>
      </c>
      <c r="P1741" s="1">
        <v>11.80952381</v>
      </c>
      <c r="Q1741" s="1">
        <v>142.55167</v>
      </c>
      <c r="R1741" s="1">
        <v>96.0</v>
      </c>
      <c r="S1741" s="1">
        <v>16.1</v>
      </c>
      <c r="T1741" s="1">
        <v>952.0</v>
      </c>
      <c r="U1741" s="1">
        <v>15.336134454</v>
      </c>
      <c r="V1741" s="1">
        <v>96.9227041429999</v>
      </c>
      <c r="W1741" s="1">
        <v>10.9660574409999</v>
      </c>
      <c r="X1741" s="1">
        <v>10.30873888</v>
      </c>
      <c r="Y1741" s="1">
        <v>81.493290951</v>
      </c>
      <c r="Z1741" s="1">
        <v>11.0</v>
      </c>
      <c r="AA1741" s="1">
        <v>7.3904561</v>
      </c>
      <c r="AB1741" s="1">
        <v>48604.0</v>
      </c>
      <c r="AC1741" s="1">
        <v>45.517241379</v>
      </c>
      <c r="AD1741" s="1">
        <v>74.184782609</v>
      </c>
      <c r="AE1741" s="1">
        <v>11.481056257</v>
      </c>
      <c r="AF1741" s="1">
        <v>0.3579952267</v>
      </c>
      <c r="AG1741" s="1">
        <v>0.3102625298</v>
      </c>
      <c r="AH1741" s="1">
        <v>0.3579952267</v>
      </c>
      <c r="AI1741" s="1">
        <v>0.0477326969</v>
      </c>
      <c r="AJ1741" s="1">
        <v>3.031026253</v>
      </c>
      <c r="AK1741" s="1">
        <v>94.964200477</v>
      </c>
      <c r="AL1741" s="1">
        <v>0.4802831143</v>
      </c>
      <c r="AM1741" s="1">
        <v>50.381861575</v>
      </c>
      <c r="AN1741" s="1">
        <v>100.0</v>
      </c>
      <c r="AO1741" s="1">
        <v>26384.0</v>
      </c>
      <c r="AP1741" s="1">
        <v>12.8</v>
      </c>
      <c r="AQ1741" s="1">
        <v>1.8</v>
      </c>
      <c r="AR1741" s="1">
        <v>7.3</v>
      </c>
      <c r="AS1741" s="1">
        <v>24.1</v>
      </c>
      <c r="AT1741" s="1">
        <v>22.3</v>
      </c>
      <c r="AU1741" s="1">
        <v>16.8</v>
      </c>
      <c r="AV1741" s="1">
        <v>4.0</v>
      </c>
      <c r="AW1741" s="1">
        <v>1.0</v>
      </c>
      <c r="AX1741" s="1">
        <v>0.2066</v>
      </c>
      <c r="AY1741" s="1">
        <v>10.4</v>
      </c>
      <c r="AZ1741" s="1">
        <v>12.4</v>
      </c>
      <c r="BA1741" s="1">
        <v>17.2</v>
      </c>
      <c r="BB1741" s="1">
        <v>3.25</v>
      </c>
      <c r="BC1741" s="1" t="s">
        <v>2802</v>
      </c>
      <c r="BD1741" s="1">
        <v>7.7</v>
      </c>
      <c r="BE1741" s="1">
        <v>34.2</v>
      </c>
      <c r="BF1741" s="1">
        <v>33.9</v>
      </c>
      <c r="BG1741" s="1">
        <v>24.2</v>
      </c>
      <c r="BH1741" s="1" t="s">
        <v>2929</v>
      </c>
    </row>
    <row r="1742">
      <c r="A1742" s="1">
        <v>31177.0</v>
      </c>
      <c r="B1742" s="2" t="str">
        <f>IFERROR(__xludf.DUMMYFUNCTION("TO_TEXT(A1742)"),"31177")</f>
        <v>31177</v>
      </c>
      <c r="C1742" s="1">
        <v>20338.0</v>
      </c>
      <c r="D1742" s="1">
        <v>389.957594880798</v>
      </c>
      <c r="E1742" s="1" t="s">
        <v>188</v>
      </c>
      <c r="F1742" s="1" t="s">
        <v>2930</v>
      </c>
      <c r="G1742" s="1">
        <v>52.1543887514664</v>
      </c>
      <c r="H1742" s="1">
        <v>11.72031324</v>
      </c>
      <c r="I1742" s="1">
        <v>3.1758090985</v>
      </c>
      <c r="J1742" s="1">
        <v>6.0135135135</v>
      </c>
      <c r="K1742" s="1">
        <v>13.610386062</v>
      </c>
      <c r="L1742" s="1">
        <v>32.0</v>
      </c>
      <c r="M1742" s="1">
        <v>8.6</v>
      </c>
      <c r="N1742" s="1">
        <v>22.0</v>
      </c>
      <c r="O1742" s="1">
        <v>48.5321735689999</v>
      </c>
      <c r="P1742" s="1">
        <v>6.1567832001</v>
      </c>
      <c r="Q1742" s="1">
        <v>48.26022</v>
      </c>
      <c r="R1742" s="1">
        <v>97.1731901839999</v>
      </c>
      <c r="S1742" s="1">
        <v>7.0</v>
      </c>
      <c r="T1742" s="1">
        <v>4913.0</v>
      </c>
      <c r="U1742" s="1">
        <v>13.372684714</v>
      </c>
      <c r="V1742" s="1">
        <v>71.688131906</v>
      </c>
      <c r="W1742" s="1">
        <v>9.4139650873</v>
      </c>
      <c r="X1742" s="1">
        <v>8.3846637335</v>
      </c>
      <c r="Y1742" s="1">
        <v>80.589551949</v>
      </c>
      <c r="Z1742" s="1">
        <v>11.3</v>
      </c>
      <c r="AA1742" s="1">
        <v>0.4445532563</v>
      </c>
      <c r="AB1742" s="1">
        <v>77838.0</v>
      </c>
      <c r="AC1742" s="1">
        <v>23.1570512819999</v>
      </c>
      <c r="AD1742" s="1">
        <v>78.7323076919999</v>
      </c>
      <c r="AE1742" s="1">
        <v>6.8753206773</v>
      </c>
      <c r="AF1742" s="1">
        <v>0.6967629554</v>
      </c>
      <c r="AG1742" s="1">
        <v>0.4257995839</v>
      </c>
      <c r="AH1742" s="1">
        <v>0.4403154788</v>
      </c>
      <c r="AI1742" s="1">
        <v>0.0967726327</v>
      </c>
      <c r="AJ1742" s="1">
        <v>3.0676924566</v>
      </c>
      <c r="AK1742" s="1">
        <v>94.338800987</v>
      </c>
      <c r="AL1742" s="1">
        <v>0.3832222164</v>
      </c>
      <c r="AM1742" s="1">
        <v>49.886292157</v>
      </c>
      <c r="AN1742" s="1">
        <v>61.233567263</v>
      </c>
      <c r="AO1742" s="1">
        <v>31776.0</v>
      </c>
      <c r="AP1742" s="1">
        <v>9.2</v>
      </c>
      <c r="AQ1742" s="1">
        <v>1.5</v>
      </c>
      <c r="AR1742" s="1">
        <v>4.3</v>
      </c>
      <c r="AS1742" s="1">
        <v>16.0</v>
      </c>
      <c r="AT1742" s="1">
        <v>24.1</v>
      </c>
      <c r="AU1742" s="1">
        <v>13.6</v>
      </c>
      <c r="AV1742" s="1">
        <v>5.1</v>
      </c>
      <c r="AW1742" s="1">
        <v>0.3</v>
      </c>
      <c r="AX1742" s="1">
        <v>0.0379</v>
      </c>
      <c r="AY1742" s="1">
        <v>6.8</v>
      </c>
      <c r="AZ1742" s="1">
        <v>11.1</v>
      </c>
      <c r="BA1742" s="1">
        <v>16.0</v>
      </c>
      <c r="BB1742" s="1">
        <v>3.13</v>
      </c>
      <c r="BC1742" s="1" t="s">
        <v>2802</v>
      </c>
      <c r="BD1742" s="1">
        <v>4.4</v>
      </c>
      <c r="BE1742" s="1">
        <v>31.6</v>
      </c>
      <c r="BF1742" s="1">
        <v>34.0</v>
      </c>
      <c r="BG1742" s="1">
        <v>29.9</v>
      </c>
      <c r="BH1742" s="1" t="s">
        <v>2930</v>
      </c>
    </row>
    <row r="1743">
      <c r="A1743" s="1">
        <v>31179.0</v>
      </c>
      <c r="B1743" s="2" t="str">
        <f>IFERROR(__xludf.DUMMYFUNCTION("TO_TEXT(A1743)"),"31179")</f>
        <v>31179</v>
      </c>
      <c r="C1743" s="1">
        <v>9414.0</v>
      </c>
      <c r="D1743" s="1">
        <v>442.914554850004</v>
      </c>
      <c r="E1743" s="1" t="s">
        <v>1048</v>
      </c>
      <c r="F1743" s="1" t="s">
        <v>2931</v>
      </c>
      <c r="G1743" s="1">
        <v>21.2546639005533</v>
      </c>
      <c r="H1743" s="1">
        <v>13.42943567</v>
      </c>
      <c r="I1743" s="1">
        <v>3.3688006452</v>
      </c>
      <c r="J1743" s="1">
        <v>5.5072463768</v>
      </c>
      <c r="K1743" s="1">
        <v>13.929016064</v>
      </c>
      <c r="L1743" s="1">
        <v>34.6</v>
      </c>
      <c r="M1743" s="1">
        <v>8.2</v>
      </c>
      <c r="N1743" s="1">
        <v>23.9</v>
      </c>
      <c r="O1743" s="1">
        <v>51.5685252739999</v>
      </c>
      <c r="P1743" s="1">
        <v>7.9387784294</v>
      </c>
      <c r="Q1743" s="1">
        <v>53.65958</v>
      </c>
      <c r="R1743" s="1">
        <v>94.295900178</v>
      </c>
      <c r="S1743" s="1">
        <v>9.9</v>
      </c>
      <c r="T1743" s="1">
        <v>1832.0</v>
      </c>
      <c r="U1743" s="1">
        <v>20.414847162</v>
      </c>
      <c r="V1743" s="1">
        <v>204.509002055</v>
      </c>
      <c r="W1743" s="1">
        <v>12.762973352</v>
      </c>
      <c r="X1743" s="1">
        <v>9.686529229</v>
      </c>
      <c r="Y1743" s="1">
        <v>83.80873202</v>
      </c>
      <c r="Z1743" s="1">
        <v>10.5</v>
      </c>
      <c r="AA1743" s="1">
        <v>1.5660856411</v>
      </c>
      <c r="AB1743" s="1">
        <v>55970.0</v>
      </c>
      <c r="AC1743" s="1">
        <v>43.398533007</v>
      </c>
      <c r="AD1743" s="1">
        <v>64.150943396</v>
      </c>
      <c r="AE1743" s="1">
        <v>16.013532563</v>
      </c>
      <c r="AF1743" s="1">
        <v>1.382537488</v>
      </c>
      <c r="AG1743" s="1">
        <v>0.8614272041</v>
      </c>
      <c r="AH1743" s="1">
        <v>0.6274593215</v>
      </c>
      <c r="AI1743" s="1">
        <v>0.1382537488</v>
      </c>
      <c r="AJ1743" s="1">
        <v>6.7850685951</v>
      </c>
      <c r="AK1743" s="1">
        <v>89.428905668</v>
      </c>
      <c r="AL1743" s="1">
        <v>0.710659898499999</v>
      </c>
      <c r="AM1743" s="1">
        <v>49.739444858</v>
      </c>
      <c r="AN1743" s="1">
        <v>42.084418968</v>
      </c>
      <c r="AO1743" s="1">
        <v>26732.0</v>
      </c>
      <c r="AP1743" s="1">
        <v>12.1</v>
      </c>
      <c r="AQ1743" s="1">
        <v>2.3</v>
      </c>
      <c r="AR1743" s="1">
        <v>5.1</v>
      </c>
      <c r="AS1743" s="1">
        <v>13.7</v>
      </c>
      <c r="AT1743" s="1">
        <v>19.4</v>
      </c>
      <c r="AU1743" s="1">
        <v>10.5</v>
      </c>
      <c r="AV1743" s="1">
        <v>9.7</v>
      </c>
      <c r="AW1743" s="1">
        <v>1.7</v>
      </c>
      <c r="AX1743" s="1">
        <v>0.1172</v>
      </c>
      <c r="AY1743" s="1">
        <v>11.8</v>
      </c>
      <c r="AZ1743" s="1">
        <v>10.9</v>
      </c>
      <c r="BA1743" s="1">
        <v>13.5</v>
      </c>
      <c r="BB1743" s="1">
        <v>2.93</v>
      </c>
      <c r="BC1743" s="1" t="s">
        <v>2802</v>
      </c>
      <c r="BD1743" s="1">
        <v>4.0</v>
      </c>
      <c r="BE1743" s="1">
        <v>27.5</v>
      </c>
      <c r="BF1743" s="1">
        <v>36.1</v>
      </c>
      <c r="BG1743" s="1">
        <v>32.4</v>
      </c>
      <c r="BH1743" s="1" t="s">
        <v>2931</v>
      </c>
    </row>
    <row r="1744">
      <c r="A1744" s="1">
        <v>31181.0</v>
      </c>
      <c r="B1744" s="2" t="str">
        <f>IFERROR(__xludf.DUMMYFUNCTION("TO_TEXT(A1744)"),"31181")</f>
        <v>31181</v>
      </c>
      <c r="C1744" s="1">
        <v>3665.0</v>
      </c>
      <c r="D1744" s="1">
        <v>574.91281625294</v>
      </c>
      <c r="E1744" s="1" t="s">
        <v>1050</v>
      </c>
      <c r="F1744" s="1" t="s">
        <v>2932</v>
      </c>
      <c r="G1744" s="1">
        <v>6.37487962763999</v>
      </c>
      <c r="H1744" s="1">
        <v>13.74029249</v>
      </c>
      <c r="I1744" s="1">
        <v>3.4851667096</v>
      </c>
      <c r="J1744" s="1">
        <v>5.3278688525</v>
      </c>
      <c r="K1744" s="1">
        <v>15.130209659</v>
      </c>
      <c r="L1744" s="1">
        <v>33.2</v>
      </c>
      <c r="M1744" s="1">
        <v>7.3</v>
      </c>
      <c r="N1744" s="1">
        <v>31.1</v>
      </c>
      <c r="O1744" s="1">
        <v>63.14270724</v>
      </c>
      <c r="P1744" s="1">
        <v>9.53996983409999</v>
      </c>
      <c r="Q1744" s="1">
        <v>113.50738</v>
      </c>
      <c r="R1744" s="1">
        <v>100.0</v>
      </c>
      <c r="S1744" s="1">
        <v>16.3</v>
      </c>
      <c r="T1744" s="1">
        <v>815.0</v>
      </c>
      <c r="U1744" s="1">
        <v>24.6625766869999</v>
      </c>
      <c r="V1744" s="1">
        <v>110.42097999</v>
      </c>
      <c r="W1744" s="1">
        <v>9.3548387097</v>
      </c>
      <c r="X1744" s="1">
        <v>8.0078125</v>
      </c>
      <c r="Y1744" s="1">
        <v>76.360472217</v>
      </c>
      <c r="Z1744" s="1">
        <v>10.5</v>
      </c>
      <c r="AA1744" s="1">
        <v>14.50630683</v>
      </c>
      <c r="AB1744" s="1">
        <v>45058.0</v>
      </c>
      <c r="AC1744" s="1">
        <v>40.055248619</v>
      </c>
      <c r="AD1744" s="1">
        <v>77.551020408</v>
      </c>
      <c r="AE1744" s="1">
        <v>7.22379603399999</v>
      </c>
      <c r="AF1744" s="1">
        <v>0.5094820266</v>
      </c>
      <c r="AG1744" s="1">
        <v>0.3962637985</v>
      </c>
      <c r="AH1744" s="1">
        <v>0.4245683555</v>
      </c>
      <c r="AI1744" s="1">
        <v>0.3679592414</v>
      </c>
      <c r="AJ1744" s="1">
        <v>5.5193886216</v>
      </c>
      <c r="AK1744" s="1">
        <v>91.253891877</v>
      </c>
      <c r="AL1744" s="1">
        <v>0.0</v>
      </c>
      <c r="AM1744" s="1">
        <v>50.240588735</v>
      </c>
      <c r="AN1744" s="1">
        <v>100.0</v>
      </c>
      <c r="AO1744" s="1">
        <v>24534.0</v>
      </c>
      <c r="AP1744" s="1">
        <v>10.4</v>
      </c>
      <c r="AQ1744" s="1">
        <v>3.0</v>
      </c>
      <c r="AR1744" s="1">
        <v>8.1</v>
      </c>
      <c r="AS1744" s="1">
        <v>23.4</v>
      </c>
      <c r="AT1744" s="1">
        <v>22.5</v>
      </c>
      <c r="AU1744" s="1">
        <v>15.8</v>
      </c>
      <c r="AV1744" s="1">
        <v>7.6</v>
      </c>
      <c r="AW1744" s="1">
        <v>0.1</v>
      </c>
      <c r="AX1744" s="1">
        <v>0.0917</v>
      </c>
      <c r="AY1744" s="1">
        <v>12.3</v>
      </c>
      <c r="AZ1744" s="1">
        <v>12.4</v>
      </c>
      <c r="BA1744" s="1">
        <v>18.2</v>
      </c>
      <c r="BB1744" s="1">
        <v>3.01</v>
      </c>
      <c r="BC1744" s="1" t="s">
        <v>2802</v>
      </c>
      <c r="BD1744" s="1">
        <v>6.2</v>
      </c>
      <c r="BE1744" s="1">
        <v>35.5</v>
      </c>
      <c r="BF1744" s="1">
        <v>35.3</v>
      </c>
      <c r="BG1744" s="1">
        <v>23.0</v>
      </c>
      <c r="BH1744" s="1" t="s">
        <v>2932</v>
      </c>
    </row>
    <row r="1745">
      <c r="A1745" s="1">
        <v>31183.0</v>
      </c>
      <c r="B1745" s="2" t="str">
        <f>IFERROR(__xludf.DUMMYFUNCTION("TO_TEXT(A1745)"),"31183")</f>
        <v>31183</v>
      </c>
      <c r="C1745" s="1">
        <v>805.0</v>
      </c>
      <c r="D1745" s="1">
        <v>575.183050973249</v>
      </c>
      <c r="E1745" s="1" t="s">
        <v>1052</v>
      </c>
      <c r="F1745" s="1" t="s">
        <v>2933</v>
      </c>
      <c r="G1745" s="1">
        <v>1.39955445251364</v>
      </c>
      <c r="H1745" s="1">
        <v>13.731193224</v>
      </c>
      <c r="I1745" s="1">
        <v>3.3912787685</v>
      </c>
      <c r="J1745" s="1">
        <v>7.80443539465</v>
      </c>
      <c r="K1745" s="1">
        <v>14.5129455859999</v>
      </c>
      <c r="L1745" s="1">
        <v>28.9</v>
      </c>
      <c r="M1745" s="1">
        <v>5.6</v>
      </c>
      <c r="N1745" s="1">
        <v>32.2</v>
      </c>
      <c r="O1745" s="1">
        <v>4.4009779951</v>
      </c>
      <c r="P1745" s="1">
        <v>11.60130719</v>
      </c>
      <c r="Q1745" s="1">
        <v>0.0</v>
      </c>
      <c r="R1745" s="1">
        <v>100.0</v>
      </c>
      <c r="S1745" s="1">
        <v>19.6</v>
      </c>
      <c r="T1745" s="1">
        <v>150.0</v>
      </c>
      <c r="U1745" s="1">
        <v>20.0</v>
      </c>
      <c r="V1745" s="1">
        <v>202.7027027</v>
      </c>
      <c r="W1745" s="1">
        <v>12.0</v>
      </c>
      <c r="X1745" s="1">
        <v>7.46666666669999</v>
      </c>
      <c r="Y1745" s="1">
        <v>77.482572377</v>
      </c>
      <c r="Z1745" s="1">
        <v>11.5</v>
      </c>
      <c r="AA1745" s="1">
        <v>36.202830093</v>
      </c>
      <c r="AB1745" s="1">
        <v>53369.0</v>
      </c>
      <c r="AC1745" s="1">
        <v>51.785714286</v>
      </c>
      <c r="AD1745" s="1">
        <v>70.588235294</v>
      </c>
      <c r="AE1745" s="1">
        <v>10.197368421</v>
      </c>
      <c r="AF1745" s="1">
        <v>0.0</v>
      </c>
      <c r="AG1745" s="1">
        <v>0.1242236025</v>
      </c>
      <c r="AH1745" s="1">
        <v>0.3726708075</v>
      </c>
      <c r="AI1745" s="1">
        <v>0.0</v>
      </c>
      <c r="AJ1745" s="1">
        <v>1.73913043479999</v>
      </c>
      <c r="AK1745" s="1">
        <v>96.6459627329999</v>
      </c>
      <c r="AL1745" s="1">
        <v>0.0</v>
      </c>
      <c r="AM1745" s="1">
        <v>48.9440993789999</v>
      </c>
      <c r="AN1745" s="1">
        <v>100.0</v>
      </c>
      <c r="AO1745" s="1">
        <v>30800.0</v>
      </c>
      <c r="AP1745" s="1">
        <v>5.1</v>
      </c>
      <c r="AQ1745" s="1">
        <v>0.6</v>
      </c>
      <c r="AR1745" s="1">
        <v>5.0</v>
      </c>
      <c r="AS1745" s="1">
        <v>23.6</v>
      </c>
      <c r="AT1745" s="1">
        <v>18.1</v>
      </c>
      <c r="AU1745" s="1">
        <v>13.3</v>
      </c>
      <c r="AV1745" s="1">
        <v>0.4</v>
      </c>
      <c r="AW1745" s="1">
        <v>0.0</v>
      </c>
      <c r="AX1745" s="1">
        <v>0.0064</v>
      </c>
      <c r="AY1745" s="1">
        <v>12.3</v>
      </c>
      <c r="AZ1745" s="1">
        <v>12.5</v>
      </c>
      <c r="BA1745" s="1">
        <v>20.2</v>
      </c>
      <c r="BB1745" s="1">
        <v>3.41</v>
      </c>
      <c r="BC1745" s="1" t="s">
        <v>2802</v>
      </c>
      <c r="BD1745" s="1">
        <v>4.4</v>
      </c>
      <c r="BE1745" s="1">
        <v>32.5</v>
      </c>
      <c r="BF1745" s="1">
        <v>43.7</v>
      </c>
      <c r="BG1745" s="1">
        <v>19.4</v>
      </c>
      <c r="BH1745" s="1" t="s">
        <v>2933</v>
      </c>
    </row>
    <row r="1746">
      <c r="A1746" s="1">
        <v>31185.0</v>
      </c>
      <c r="B1746" s="2" t="str">
        <f>IFERROR(__xludf.DUMMYFUNCTION("TO_TEXT(A1746)"),"31185")</f>
        <v>31185</v>
      </c>
      <c r="C1746" s="1">
        <v>13842.0</v>
      </c>
      <c r="D1746" s="1">
        <v>572.509542114632</v>
      </c>
      <c r="E1746" s="1" t="s">
        <v>2074</v>
      </c>
      <c r="F1746" s="1" t="s">
        <v>2934</v>
      </c>
      <c r="G1746" s="1">
        <v>24.1777629572302</v>
      </c>
      <c r="H1746" s="1">
        <v>13.270485279</v>
      </c>
      <c r="I1746" s="1">
        <v>3.4707715373</v>
      </c>
      <c r="J1746" s="1">
        <v>6.4807219032</v>
      </c>
      <c r="K1746" s="1">
        <v>14.2062697729999</v>
      </c>
      <c r="L1746" s="1">
        <v>36.5</v>
      </c>
      <c r="M1746" s="1">
        <v>8.2</v>
      </c>
      <c r="N1746" s="1">
        <v>26.2</v>
      </c>
      <c r="O1746" s="1">
        <v>60.270764727</v>
      </c>
      <c r="P1746" s="1">
        <v>8.1351689612</v>
      </c>
      <c r="Q1746" s="1">
        <v>79.6755</v>
      </c>
      <c r="R1746" s="1">
        <v>98.523023458</v>
      </c>
      <c r="S1746" s="1">
        <v>12.0</v>
      </c>
      <c r="T1746" s="1">
        <v>3132.0</v>
      </c>
      <c r="U1746" s="1">
        <v>21.775223499</v>
      </c>
      <c r="V1746" s="1">
        <v>21.598272138</v>
      </c>
      <c r="W1746" s="1">
        <v>7.58377425039999</v>
      </c>
      <c r="X1746" s="1">
        <v>6.3879003559</v>
      </c>
      <c r="Y1746" s="1">
        <v>78.385823139</v>
      </c>
      <c r="Z1746" s="1">
        <v>11.1</v>
      </c>
      <c r="AA1746" s="1">
        <v>4.5740562816</v>
      </c>
      <c r="AB1746" s="1">
        <v>61478.0</v>
      </c>
      <c r="AC1746" s="1">
        <v>40.658227848</v>
      </c>
      <c r="AD1746" s="1">
        <v>70.672992444</v>
      </c>
      <c r="AE1746" s="1">
        <v>8.44288094799999</v>
      </c>
      <c r="AF1746" s="1">
        <v>1.5538774325</v>
      </c>
      <c r="AG1746" s="1">
        <v>0.8713331397</v>
      </c>
      <c r="AH1746" s="1">
        <v>0.8132442637</v>
      </c>
      <c r="AI1746" s="1">
        <v>0.0653499855</v>
      </c>
      <c r="AJ1746" s="1">
        <v>5.3078710427</v>
      </c>
      <c r="AK1746" s="1">
        <v>90.4952076679999</v>
      </c>
      <c r="AL1746" s="1">
        <v>0.9508348794</v>
      </c>
      <c r="AM1746" s="1">
        <v>51.045599768</v>
      </c>
      <c r="AN1746" s="1">
        <v>44.141968533</v>
      </c>
      <c r="AO1746" s="1">
        <v>27962.0</v>
      </c>
      <c r="AP1746" s="1">
        <v>9.4</v>
      </c>
      <c r="AQ1746" s="1">
        <v>1.4</v>
      </c>
      <c r="AR1746" s="1">
        <v>5.7</v>
      </c>
      <c r="AS1746" s="1">
        <v>18.8</v>
      </c>
      <c r="AT1746" s="1">
        <v>22.8</v>
      </c>
      <c r="AU1746" s="1">
        <v>12.0</v>
      </c>
      <c r="AV1746" s="1">
        <v>8.4</v>
      </c>
      <c r="AW1746" s="1">
        <v>0.7</v>
      </c>
      <c r="AX1746" s="1">
        <v>0.1372</v>
      </c>
      <c r="AY1746" s="1">
        <v>9.4</v>
      </c>
      <c r="AZ1746" s="1">
        <v>11.7</v>
      </c>
      <c r="BA1746" s="1">
        <v>17.2</v>
      </c>
      <c r="BB1746" s="1">
        <v>2.85</v>
      </c>
      <c r="BC1746" s="1" t="s">
        <v>2802</v>
      </c>
      <c r="BD1746" s="1">
        <v>6.4</v>
      </c>
      <c r="BE1746" s="1">
        <v>27.9</v>
      </c>
      <c r="BF1746" s="1">
        <v>37.3</v>
      </c>
      <c r="BG1746" s="1">
        <v>28.4</v>
      </c>
      <c r="BH1746" s="1" t="s">
        <v>2934</v>
      </c>
    </row>
    <row r="1747">
      <c r="A1747" s="1">
        <v>32001.0</v>
      </c>
      <c r="B1747" s="2" t="str">
        <f>IFERROR(__xludf.DUMMYFUNCTION("TO_TEXT(A1747)"),"32001")</f>
        <v>32001</v>
      </c>
      <c r="C1747" s="1">
        <v>24148.0</v>
      </c>
      <c r="D1747" s="1">
        <v>4930.5720193574</v>
      </c>
      <c r="E1747" s="1" t="s">
        <v>2935</v>
      </c>
      <c r="F1747" s="1" t="s">
        <v>2936</v>
      </c>
      <c r="G1747" s="1">
        <v>4.89760618143191</v>
      </c>
      <c r="H1747" s="1">
        <v>17.094345474</v>
      </c>
      <c r="I1747" s="1">
        <v>4.4595353163</v>
      </c>
      <c r="J1747" s="1">
        <v>6.7531305903</v>
      </c>
      <c r="K1747" s="1">
        <v>18.100332277</v>
      </c>
      <c r="L1747" s="1">
        <v>32.4</v>
      </c>
      <c r="M1747" s="1">
        <v>7.5</v>
      </c>
      <c r="N1747" s="1">
        <v>26.4</v>
      </c>
      <c r="O1747" s="1">
        <v>86.987980866</v>
      </c>
      <c r="P1747" s="1">
        <v>13.636829693</v>
      </c>
      <c r="Q1747" s="1">
        <v>53.6525</v>
      </c>
      <c r="R1747" s="1">
        <v>73.26007326</v>
      </c>
      <c r="S1747" s="1">
        <v>18.0</v>
      </c>
      <c r="T1747" s="1">
        <v>5421.0</v>
      </c>
      <c r="U1747" s="1">
        <v>32.281866814</v>
      </c>
      <c r="V1747" s="1">
        <v>211.3026185</v>
      </c>
      <c r="W1747" s="1">
        <v>15.8587987359999</v>
      </c>
      <c r="X1747" s="1">
        <v>12.5</v>
      </c>
      <c r="Y1747" s="1">
        <v>75.986759221</v>
      </c>
      <c r="Z1747" s="1">
        <v>8.5</v>
      </c>
      <c r="AA1747" s="1">
        <v>9.2387857761</v>
      </c>
      <c r="AB1747" s="1">
        <v>58429.0</v>
      </c>
      <c r="AC1747" s="1">
        <v>42.524075013</v>
      </c>
      <c r="AD1747" s="1">
        <v>65.750076383</v>
      </c>
      <c r="AE1747" s="1">
        <v>11.241592826</v>
      </c>
      <c r="AF1747" s="1">
        <v>2.058101473</v>
      </c>
      <c r="AG1747" s="1">
        <v>5.4705400982</v>
      </c>
      <c r="AH1747" s="1">
        <v>3.089198036</v>
      </c>
      <c r="AI1747" s="1">
        <v>0.4050736498</v>
      </c>
      <c r="AJ1747" s="1">
        <v>14.3453355159999</v>
      </c>
      <c r="AK1747" s="1">
        <v>72.725040917</v>
      </c>
      <c r="AL1747" s="1">
        <v>3.6669793202</v>
      </c>
      <c r="AM1747" s="1">
        <v>49.222585925</v>
      </c>
      <c r="AN1747" s="1">
        <v>34.7147968</v>
      </c>
      <c r="AO1747" s="1">
        <v>23951.0</v>
      </c>
      <c r="AP1747" s="1">
        <v>16.3</v>
      </c>
      <c r="AQ1747" s="1">
        <v>11.7</v>
      </c>
      <c r="AR1747" s="1">
        <v>10.6</v>
      </c>
      <c r="AS1747" s="1">
        <v>17.5</v>
      </c>
      <c r="AT1747" s="1">
        <v>23.3</v>
      </c>
      <c r="AU1747" s="1">
        <v>17.0</v>
      </c>
      <c r="AV1747" s="1">
        <v>25.5</v>
      </c>
      <c r="AW1747" s="1">
        <v>2.8</v>
      </c>
      <c r="AX1747" s="1">
        <v>0.7711</v>
      </c>
      <c r="AY1747" s="1">
        <v>11.7</v>
      </c>
      <c r="AZ1747" s="1">
        <v>12.6</v>
      </c>
      <c r="BA1747" s="1">
        <v>18.1</v>
      </c>
      <c r="BB1747" s="1">
        <v>3.4</v>
      </c>
      <c r="BC1747" s="1" t="s">
        <v>2937</v>
      </c>
      <c r="BD1747" s="1">
        <v>8.4</v>
      </c>
      <c r="BE1747" s="1">
        <v>31.6</v>
      </c>
      <c r="BF1747" s="1">
        <v>41.2</v>
      </c>
      <c r="BG1747" s="1">
        <v>18.8</v>
      </c>
      <c r="BH1747" s="1" t="s">
        <v>2936</v>
      </c>
    </row>
    <row r="1748">
      <c r="A1748" s="1">
        <v>32003.0</v>
      </c>
      <c r="B1748" s="2" t="str">
        <f>IFERROR(__xludf.DUMMYFUNCTION("TO_TEXT(A1748)"),"32003")</f>
        <v>32003</v>
      </c>
      <c r="C1748" s="1">
        <v>2070153.0</v>
      </c>
      <c r="D1748" s="1">
        <v>7891.64744331908</v>
      </c>
      <c r="E1748" s="1" t="s">
        <v>302</v>
      </c>
      <c r="F1748" s="1" t="s">
        <v>2938</v>
      </c>
      <c r="G1748" s="1">
        <v>262.322032866857</v>
      </c>
      <c r="H1748" s="1">
        <v>19.262403295</v>
      </c>
      <c r="I1748" s="1">
        <v>3.733212879</v>
      </c>
      <c r="J1748" s="1">
        <v>8.601063972</v>
      </c>
      <c r="K1748" s="1">
        <v>16.979704666</v>
      </c>
      <c r="L1748" s="1">
        <v>25.5</v>
      </c>
      <c r="M1748" s="1">
        <v>8.0</v>
      </c>
      <c r="N1748" s="1">
        <v>23.9</v>
      </c>
      <c r="O1748" s="1">
        <v>97.135863892</v>
      </c>
      <c r="P1748" s="1">
        <v>13.268244798</v>
      </c>
      <c r="Q1748" s="1">
        <v>54.94358</v>
      </c>
      <c r="R1748" s="1">
        <v>83.187998512</v>
      </c>
      <c r="S1748" s="1">
        <v>19.7</v>
      </c>
      <c r="T1748" s="1">
        <v>498411.0</v>
      </c>
      <c r="U1748" s="1">
        <v>38.987301645</v>
      </c>
      <c r="V1748" s="1">
        <v>757.03947239</v>
      </c>
      <c r="W1748" s="1">
        <v>20.2678541079999</v>
      </c>
      <c r="X1748" s="1">
        <v>16.4986752079999</v>
      </c>
      <c r="Y1748" s="1">
        <v>78.842824572</v>
      </c>
      <c r="Z1748" s="1">
        <v>10.7</v>
      </c>
      <c r="AA1748" s="1">
        <v>3.8417043145</v>
      </c>
      <c r="AB1748" s="1">
        <v>57155.0</v>
      </c>
      <c r="AC1748" s="1">
        <v>63.7672555789999</v>
      </c>
      <c r="AD1748" s="1">
        <v>53.134302315</v>
      </c>
      <c r="AE1748" s="1">
        <v>16.570936475</v>
      </c>
      <c r="AF1748" s="1">
        <v>11.667436651</v>
      </c>
      <c r="AG1748" s="1">
        <v>1.2264932581</v>
      </c>
      <c r="AH1748" s="1">
        <v>10.366872539</v>
      </c>
      <c r="AI1748" s="1">
        <v>0.8682824837</v>
      </c>
      <c r="AJ1748" s="1">
        <v>31.446102363</v>
      </c>
      <c r="AK1748" s="1">
        <v>42.199147087</v>
      </c>
      <c r="AL1748" s="1">
        <v>7.1163457097</v>
      </c>
      <c r="AM1748" s="1">
        <v>50.1352588469999</v>
      </c>
      <c r="AN1748" s="1">
        <v>1.3060731247</v>
      </c>
      <c r="AO1748" s="1">
        <v>26661.0</v>
      </c>
      <c r="AP1748" s="1">
        <v>15.0</v>
      </c>
      <c r="AQ1748" s="1">
        <v>9.6</v>
      </c>
      <c r="AR1748" s="1">
        <v>15.1</v>
      </c>
      <c r="AS1748" s="1">
        <v>13.3</v>
      </c>
      <c r="AT1748" s="1">
        <v>23.9</v>
      </c>
      <c r="AU1748" s="1">
        <v>12.3</v>
      </c>
      <c r="AV1748" s="1">
        <v>55.0</v>
      </c>
      <c r="AW1748" s="1">
        <v>7.2</v>
      </c>
      <c r="AX1748" s="1">
        <v>0.7485</v>
      </c>
      <c r="AY1748" s="1">
        <v>13.3</v>
      </c>
      <c r="AZ1748" s="1">
        <v>12.8</v>
      </c>
      <c r="BA1748" s="1">
        <v>19.3</v>
      </c>
      <c r="BB1748" s="1">
        <v>3.31</v>
      </c>
      <c r="BC1748" s="1" t="s">
        <v>2937</v>
      </c>
      <c r="BD1748" s="1">
        <v>13.9</v>
      </c>
      <c r="BE1748" s="1">
        <v>28.5</v>
      </c>
      <c r="BF1748" s="1">
        <v>33.1</v>
      </c>
      <c r="BG1748" s="1">
        <v>24.5</v>
      </c>
      <c r="BH1748" s="1" t="s">
        <v>2938</v>
      </c>
    </row>
    <row r="1749">
      <c r="A1749" s="1">
        <v>32005.0</v>
      </c>
      <c r="B1749" s="2" t="str">
        <f>IFERROR(__xludf.DUMMYFUNCTION("TO_TEXT(A1749)"),"32005")</f>
        <v>32005</v>
      </c>
      <c r="C1749" s="1">
        <v>47426.0</v>
      </c>
      <c r="D1749" s="1">
        <v>709.721194807522</v>
      </c>
      <c r="E1749" s="1" t="s">
        <v>569</v>
      </c>
      <c r="F1749" s="1" t="s">
        <v>2939</v>
      </c>
      <c r="G1749" s="1">
        <v>66.8234235457235</v>
      </c>
      <c r="H1749" s="1">
        <v>15.270304995</v>
      </c>
      <c r="I1749" s="1">
        <v>4.2282386968</v>
      </c>
      <c r="J1749" s="1">
        <v>8.2115219261</v>
      </c>
      <c r="K1749" s="1">
        <v>14.153922189</v>
      </c>
      <c r="L1749" s="1">
        <v>25.0</v>
      </c>
      <c r="M1749" s="1">
        <v>7.5</v>
      </c>
      <c r="N1749" s="1">
        <v>20.4</v>
      </c>
      <c r="O1749" s="1">
        <v>91.16326574</v>
      </c>
      <c r="P1749" s="1">
        <v>12.3134328359999</v>
      </c>
      <c r="Q1749" s="1">
        <v>57.96021</v>
      </c>
      <c r="R1749" s="1">
        <v>87.525150905</v>
      </c>
      <c r="S1749" s="1">
        <v>11.8</v>
      </c>
      <c r="T1749" s="1">
        <v>8251.0</v>
      </c>
      <c r="U1749" s="1">
        <v>27.536056236</v>
      </c>
      <c r="V1749" s="1">
        <v>151.68316003</v>
      </c>
      <c r="W1749" s="1">
        <v>15.7802308079999</v>
      </c>
      <c r="X1749" s="1">
        <v>13.855116515</v>
      </c>
      <c r="Y1749" s="1">
        <v>81.413212221</v>
      </c>
      <c r="Z1749" s="1">
        <v>8.9</v>
      </c>
      <c r="AA1749" s="1">
        <v>12.52202659</v>
      </c>
      <c r="AB1749" s="1">
        <v>70495.0</v>
      </c>
      <c r="AC1749" s="1">
        <v>30.226134991</v>
      </c>
      <c r="AD1749" s="1">
        <v>69.857621848</v>
      </c>
      <c r="AE1749" s="1">
        <v>14.008342437</v>
      </c>
      <c r="AF1749" s="1">
        <v>0.8665690057</v>
      </c>
      <c r="AG1749" s="1">
        <v>2.3067241628</v>
      </c>
      <c r="AH1749" s="1">
        <v>1.8218581715</v>
      </c>
      <c r="AI1749" s="1">
        <v>0.22283203</v>
      </c>
      <c r="AJ1749" s="1">
        <v>13.006788124</v>
      </c>
      <c r="AK1749" s="1">
        <v>80.314440754</v>
      </c>
      <c r="AL1749" s="1">
        <v>1.6695614416</v>
      </c>
      <c r="AM1749" s="1">
        <v>49.747250707</v>
      </c>
      <c r="AN1749" s="1">
        <v>31.5530778559999</v>
      </c>
      <c r="AO1749" s="1">
        <v>35243.0</v>
      </c>
      <c r="AP1749" s="1">
        <v>10.9</v>
      </c>
      <c r="AQ1749" s="1">
        <v>7.5</v>
      </c>
      <c r="AR1749" s="1">
        <v>7.0</v>
      </c>
      <c r="AS1749" s="1">
        <v>24.5</v>
      </c>
      <c r="AT1749" s="1">
        <v>18.2</v>
      </c>
      <c r="AU1749" s="1">
        <v>15.8</v>
      </c>
      <c r="AV1749" s="1">
        <v>18.5</v>
      </c>
      <c r="AW1749" s="1">
        <v>1.6</v>
      </c>
      <c r="AX1749" s="1">
        <v>0.1853</v>
      </c>
      <c r="AY1749" s="1">
        <v>8.1</v>
      </c>
      <c r="AZ1749" s="1">
        <v>11.4</v>
      </c>
      <c r="BA1749" s="1">
        <v>19.1</v>
      </c>
      <c r="BB1749" s="1">
        <v>3.72</v>
      </c>
      <c r="BC1749" s="1" t="s">
        <v>2937</v>
      </c>
      <c r="BD1749" s="1">
        <v>6.8</v>
      </c>
      <c r="BE1749" s="1">
        <v>24.4</v>
      </c>
      <c r="BF1749" s="1">
        <v>39.4</v>
      </c>
      <c r="BG1749" s="1">
        <v>29.4</v>
      </c>
      <c r="BH1749" s="1" t="s">
        <v>2939</v>
      </c>
    </row>
    <row r="1750">
      <c r="A1750" s="1">
        <v>32007.0</v>
      </c>
      <c r="B1750" s="2" t="str">
        <f>IFERROR(__xludf.DUMMYFUNCTION("TO_TEXT(A1750)"),"32007")</f>
        <v>32007</v>
      </c>
      <c r="C1750" s="1">
        <v>52029.0</v>
      </c>
      <c r="D1750" s="1">
        <v>17169.2098473061</v>
      </c>
      <c r="E1750" s="1" t="s">
        <v>2940</v>
      </c>
      <c r="F1750" s="1" t="s">
        <v>2941</v>
      </c>
      <c r="G1750" s="1">
        <v>3.0303665959423</v>
      </c>
      <c r="H1750" s="1">
        <v>17.700705795</v>
      </c>
      <c r="I1750" s="1">
        <v>3.9526646539</v>
      </c>
      <c r="J1750" s="1">
        <v>7.8179482474</v>
      </c>
      <c r="K1750" s="1">
        <v>17.184164044</v>
      </c>
      <c r="L1750" s="1">
        <v>29.1</v>
      </c>
      <c r="M1750" s="1">
        <v>8.3</v>
      </c>
      <c r="N1750" s="1">
        <v>25.6</v>
      </c>
      <c r="O1750" s="1">
        <v>68.5915031339999</v>
      </c>
      <c r="P1750" s="1">
        <v>13.13466259</v>
      </c>
      <c r="Q1750" s="1">
        <v>36.08805</v>
      </c>
      <c r="R1750" s="1">
        <v>88.488210818</v>
      </c>
      <c r="S1750" s="1">
        <v>10.1</v>
      </c>
      <c r="T1750" s="1">
        <v>14261.0</v>
      </c>
      <c r="U1750" s="1">
        <v>26.8073767619999</v>
      </c>
      <c r="V1750" s="1">
        <v>403.76345096</v>
      </c>
      <c r="W1750" s="1">
        <v>9.81838819519999</v>
      </c>
      <c r="X1750" s="1">
        <v>5.84878744649999</v>
      </c>
      <c r="Y1750" s="1">
        <v>79.069178499</v>
      </c>
      <c r="Z1750" s="1">
        <v>10.2</v>
      </c>
      <c r="AA1750" s="1">
        <v>8.8561761909</v>
      </c>
      <c r="AB1750" s="1">
        <v>79134.0</v>
      </c>
      <c r="AC1750" s="1">
        <v>38.687872763</v>
      </c>
      <c r="AD1750" s="1">
        <v>72.325870647</v>
      </c>
      <c r="AE1750" s="1">
        <v>5.6251821626</v>
      </c>
      <c r="AF1750" s="1">
        <v>1.0903545559</v>
      </c>
      <c r="AG1750" s="1">
        <v>6.4696911933</v>
      </c>
      <c r="AH1750" s="1">
        <v>1.3038505528</v>
      </c>
      <c r="AI1750" s="1">
        <v>0.2630575677</v>
      </c>
      <c r="AJ1750" s="1">
        <v>24.4166984369999</v>
      </c>
      <c r="AK1750" s="1">
        <v>66.5840640489999</v>
      </c>
      <c r="AL1750" s="1">
        <v>3.08719576279999</v>
      </c>
      <c r="AM1750" s="1">
        <v>48.07091117</v>
      </c>
      <c r="AN1750" s="1">
        <v>37.85079274</v>
      </c>
      <c r="AO1750" s="1">
        <v>31378.0</v>
      </c>
      <c r="AP1750" s="1">
        <v>10.5</v>
      </c>
      <c r="AQ1750" s="1">
        <v>4.9</v>
      </c>
      <c r="AR1750" s="1">
        <v>16.6</v>
      </c>
      <c r="AS1750" s="1">
        <v>9.2</v>
      </c>
      <c r="AT1750" s="1">
        <v>27.9</v>
      </c>
      <c r="AU1750" s="1">
        <v>11.6</v>
      </c>
      <c r="AV1750" s="1">
        <v>32.6</v>
      </c>
      <c r="AW1750" s="1">
        <v>3.1</v>
      </c>
      <c r="AX1750" s="1">
        <v>0.4642</v>
      </c>
      <c r="AY1750" s="1">
        <v>11.0</v>
      </c>
      <c r="AZ1750" s="1">
        <v>10.0</v>
      </c>
      <c r="BA1750" s="1">
        <v>16.9</v>
      </c>
      <c r="BB1750" s="1">
        <v>3.35</v>
      </c>
      <c r="BC1750" s="1" t="s">
        <v>2937</v>
      </c>
      <c r="BD1750" s="1">
        <v>13.7</v>
      </c>
      <c r="BE1750" s="1">
        <v>32.8</v>
      </c>
      <c r="BF1750" s="1">
        <v>37.0</v>
      </c>
      <c r="BG1750" s="1">
        <v>16.6</v>
      </c>
      <c r="BH1750" s="1" t="s">
        <v>2941</v>
      </c>
    </row>
    <row r="1751">
      <c r="A1751" s="1">
        <v>32009.0</v>
      </c>
      <c r="B1751" s="2" t="str">
        <f>IFERROR(__xludf.DUMMYFUNCTION("TO_TEXT(A1751)"),"32009")</f>
        <v>32009</v>
      </c>
      <c r="C1751" s="1">
        <v>1069.0</v>
      </c>
      <c r="D1751" s="1">
        <v>3581.88757299967</v>
      </c>
      <c r="E1751" s="1" t="s">
        <v>2942</v>
      </c>
      <c r="F1751" s="1" t="s">
        <v>2943</v>
      </c>
      <c r="G1751" s="1">
        <v>0.298445994804008</v>
      </c>
      <c r="H1751" s="1">
        <v>22.368043858</v>
      </c>
      <c r="I1751" s="1">
        <v>4.7440951438</v>
      </c>
      <c r="J1751" s="1">
        <v>7.80443539465</v>
      </c>
      <c r="K1751" s="1">
        <v>19.2915226059999</v>
      </c>
      <c r="L1751" s="1">
        <v>27.5</v>
      </c>
      <c r="M1751" s="1">
        <v>4.0</v>
      </c>
      <c r="N1751" s="1">
        <v>30.0</v>
      </c>
      <c r="O1751" s="1">
        <v>13.4099616859999</v>
      </c>
      <c r="P1751" s="1">
        <v>13.982300885</v>
      </c>
      <c r="Q1751" s="1">
        <v>117.64706</v>
      </c>
      <c r="R1751" s="1">
        <v>89.912280702</v>
      </c>
      <c r="S1751" s="1">
        <v>20.6</v>
      </c>
      <c r="T1751" s="1">
        <v>196.0</v>
      </c>
      <c r="U1751" s="1">
        <v>25.0</v>
      </c>
      <c r="V1751" s="1">
        <v>117.8550383</v>
      </c>
      <c r="W1751" s="1">
        <v>10.989010989</v>
      </c>
      <c r="X1751" s="1">
        <v>3.0769230769</v>
      </c>
      <c r="Y1751" s="1">
        <v>77.482572377</v>
      </c>
      <c r="Z1751" s="1">
        <v>5.6</v>
      </c>
      <c r="AA1751" s="1">
        <v>51.590417211</v>
      </c>
      <c r="AB1751" s="1">
        <v>50179.0</v>
      </c>
      <c r="AC1751" s="1">
        <v>55.223880597</v>
      </c>
      <c r="AD1751" s="1">
        <v>58.149779736</v>
      </c>
      <c r="AE1751" s="1">
        <v>10.825688073</v>
      </c>
      <c r="AF1751" s="1">
        <v>3.6319612591</v>
      </c>
      <c r="AG1751" s="1">
        <v>7.1428571429</v>
      </c>
      <c r="AH1751" s="1">
        <v>0.4842615012</v>
      </c>
      <c r="AI1751" s="1">
        <v>0.1210653753</v>
      </c>
      <c r="AJ1751" s="1">
        <v>18.644067797</v>
      </c>
      <c r="AK1751" s="1">
        <v>67.070217918</v>
      </c>
      <c r="AL1751" s="1">
        <v>3.9029535865</v>
      </c>
      <c r="AM1751" s="1">
        <v>44.794188862</v>
      </c>
      <c r="AN1751" s="1">
        <v>100.0</v>
      </c>
      <c r="AO1751" s="1">
        <v>22415.0</v>
      </c>
      <c r="AP1751" s="1">
        <v>11.9</v>
      </c>
      <c r="AQ1751" s="1">
        <v>11.4</v>
      </c>
      <c r="AR1751" s="1">
        <v>10.8</v>
      </c>
      <c r="AS1751" s="1">
        <v>26.5</v>
      </c>
      <c r="AT1751" s="1">
        <v>19.8</v>
      </c>
      <c r="AU1751" s="1">
        <v>18.6</v>
      </c>
      <c r="AV1751" s="1">
        <v>15.2</v>
      </c>
      <c r="AW1751" s="1">
        <v>1.9</v>
      </c>
      <c r="AX1751" s="1">
        <v>0.7262</v>
      </c>
      <c r="AY1751" s="1">
        <v>13.8</v>
      </c>
      <c r="AZ1751" s="1">
        <v>12.7</v>
      </c>
      <c r="BA1751" s="1">
        <v>19.3</v>
      </c>
      <c r="BB1751" s="1">
        <v>3.55</v>
      </c>
      <c r="BC1751" s="1" t="s">
        <v>2937</v>
      </c>
      <c r="BD1751" s="1">
        <v>11.7</v>
      </c>
      <c r="BE1751" s="1">
        <v>40.6</v>
      </c>
      <c r="BF1751" s="1">
        <v>31.6</v>
      </c>
      <c r="BG1751" s="1">
        <v>16.1</v>
      </c>
      <c r="BH1751" s="1" t="s">
        <v>2943</v>
      </c>
    </row>
    <row r="1752">
      <c r="A1752" s="1">
        <v>32011.0</v>
      </c>
      <c r="B1752" s="2" t="str">
        <f>IFERROR(__xludf.DUMMYFUNCTION("TO_TEXT(A1752)"),"32011")</f>
        <v>32011</v>
      </c>
      <c r="C1752" s="1">
        <v>1730.0</v>
      </c>
      <c r="D1752" s="1">
        <v>4175.6770098554</v>
      </c>
      <c r="E1752" s="1" t="s">
        <v>2944</v>
      </c>
      <c r="F1752" s="1" t="s">
        <v>2945</v>
      </c>
      <c r="G1752" s="1">
        <v>0.414304074744495</v>
      </c>
      <c r="H1752" s="1">
        <v>15.990658193</v>
      </c>
      <c r="I1752" s="1">
        <v>4.1036115419</v>
      </c>
      <c r="J1752" s="1">
        <v>8.064516129</v>
      </c>
      <c r="K1752" s="1">
        <v>17.077593667</v>
      </c>
      <c r="L1752" s="1">
        <v>23.2</v>
      </c>
      <c r="M1752" s="1">
        <v>6.1</v>
      </c>
      <c r="N1752" s="1">
        <v>21.9</v>
      </c>
      <c r="O1752" s="1">
        <v>34.272773025</v>
      </c>
      <c r="P1752" s="1">
        <v>7.5367647059</v>
      </c>
      <c r="Q1752" s="1">
        <v>50.99439</v>
      </c>
      <c r="R1752" s="1">
        <v>100.0</v>
      </c>
      <c r="S1752" s="1">
        <v>9.6</v>
      </c>
      <c r="T1752" s="1">
        <v>436.0</v>
      </c>
      <c r="U1752" s="1">
        <v>20.412844037</v>
      </c>
      <c r="V1752" s="1">
        <v>337.75633293</v>
      </c>
      <c r="W1752" s="1">
        <v>13.071895425</v>
      </c>
      <c r="X1752" s="1">
        <v>5.91327201049999</v>
      </c>
      <c r="Y1752" s="1">
        <v>83.667852225</v>
      </c>
      <c r="Z1752" s="1">
        <v>7.5</v>
      </c>
      <c r="AA1752" s="1">
        <v>27.487461204</v>
      </c>
      <c r="AB1752" s="1">
        <v>70036.0</v>
      </c>
      <c r="AC1752" s="1">
        <v>23.367697595</v>
      </c>
      <c r="AD1752" s="1">
        <v>73.2</v>
      </c>
      <c r="AE1752" s="1">
        <v>2.2955523673</v>
      </c>
      <c r="AF1752" s="1">
        <v>0.7988017973</v>
      </c>
      <c r="AG1752" s="1">
        <v>3.1452820769</v>
      </c>
      <c r="AH1752" s="1">
        <v>1.048427359</v>
      </c>
      <c r="AI1752" s="1">
        <v>0.149775336999999</v>
      </c>
      <c r="AJ1752" s="1">
        <v>13.529705442</v>
      </c>
      <c r="AK1752" s="1">
        <v>80.029955067</v>
      </c>
      <c r="AL1752" s="1">
        <v>0.0</v>
      </c>
      <c r="AM1752" s="1">
        <v>47.179231153</v>
      </c>
      <c r="AN1752" s="1">
        <v>100.0</v>
      </c>
      <c r="AO1752" s="1">
        <v>34031.0</v>
      </c>
      <c r="AP1752" s="1">
        <v>10.8</v>
      </c>
      <c r="AQ1752" s="1">
        <v>3.8</v>
      </c>
      <c r="AR1752" s="1">
        <v>8.4</v>
      </c>
      <c r="AS1752" s="1">
        <v>15.6</v>
      </c>
      <c r="AT1752" s="1">
        <v>20.2</v>
      </c>
      <c r="AU1752" s="1">
        <v>14.8</v>
      </c>
      <c r="AV1752" s="1">
        <v>1.7</v>
      </c>
      <c r="AW1752" s="1">
        <v>0.0</v>
      </c>
      <c r="AX1752" s="1">
        <v>0.001</v>
      </c>
      <c r="AY1752" s="1">
        <v>9.9</v>
      </c>
      <c r="AZ1752" s="1">
        <v>10.9</v>
      </c>
      <c r="BA1752" s="1">
        <v>20.3</v>
      </c>
      <c r="BB1752" s="1">
        <v>3.32</v>
      </c>
      <c r="BC1752" s="1" t="s">
        <v>2937</v>
      </c>
      <c r="BD1752" s="1">
        <v>5.4</v>
      </c>
      <c r="BE1752" s="1">
        <v>47.4</v>
      </c>
      <c r="BF1752" s="1">
        <v>38.4</v>
      </c>
      <c r="BG1752" s="1">
        <v>8.8</v>
      </c>
      <c r="BH1752" s="1" t="s">
        <v>2945</v>
      </c>
    </row>
    <row r="1753">
      <c r="A1753" s="1">
        <v>32013.0</v>
      </c>
      <c r="B1753" s="2" t="str">
        <f>IFERROR(__xludf.DUMMYFUNCTION("TO_TEXT(A1753)"),"32013")</f>
        <v>32013</v>
      </c>
      <c r="C1753" s="1">
        <v>17091.0</v>
      </c>
      <c r="D1753" s="1">
        <v>9640.78673770236</v>
      </c>
      <c r="E1753" s="1" t="s">
        <v>440</v>
      </c>
      <c r="F1753" s="1" t="s">
        <v>2946</v>
      </c>
      <c r="G1753" s="1">
        <v>1.77278063139412</v>
      </c>
      <c r="H1753" s="1">
        <v>17.953495527</v>
      </c>
      <c r="I1753" s="1">
        <v>4.168880434</v>
      </c>
      <c r="J1753" s="1">
        <v>7.6440387906</v>
      </c>
      <c r="K1753" s="1">
        <v>17.135600729</v>
      </c>
      <c r="L1753" s="1">
        <v>33.3</v>
      </c>
      <c r="M1753" s="1">
        <v>8.5</v>
      </c>
      <c r="N1753" s="1">
        <v>20.9</v>
      </c>
      <c r="O1753" s="1">
        <v>59.650290416</v>
      </c>
      <c r="P1753" s="1">
        <v>15.324585635</v>
      </c>
      <c r="Q1753" s="1">
        <v>47.54547</v>
      </c>
      <c r="R1753" s="1">
        <v>89.495798319</v>
      </c>
      <c r="S1753" s="1">
        <v>17.5</v>
      </c>
      <c r="T1753" s="1">
        <v>4638.0</v>
      </c>
      <c r="U1753" s="1">
        <v>27.059077188</v>
      </c>
      <c r="V1753" s="1">
        <v>326.76928369</v>
      </c>
      <c r="W1753" s="1">
        <v>12.631578947</v>
      </c>
      <c r="X1753" s="1">
        <v>8.40679072799999</v>
      </c>
      <c r="Y1753" s="1">
        <v>76.773657442</v>
      </c>
      <c r="Z1753" s="1">
        <v>8.7</v>
      </c>
      <c r="AA1753" s="1">
        <v>8.9860308203</v>
      </c>
      <c r="AB1753" s="1">
        <v>72873.0</v>
      </c>
      <c r="AC1753" s="1">
        <v>47.544204322</v>
      </c>
      <c r="AD1753" s="1">
        <v>75.314941796</v>
      </c>
      <c r="AE1753" s="1">
        <v>7.1900826446</v>
      </c>
      <c r="AF1753" s="1">
        <v>0.7923269391</v>
      </c>
      <c r="AG1753" s="1">
        <v>4.8671511974</v>
      </c>
      <c r="AH1753" s="1">
        <v>0.9233885381</v>
      </c>
      <c r="AI1753" s="1">
        <v>0.3455260336</v>
      </c>
      <c r="AJ1753" s="1">
        <v>27.546765161</v>
      </c>
      <c r="AK1753" s="1">
        <v>64.827832718</v>
      </c>
      <c r="AL1753" s="1">
        <v>3.8301947016</v>
      </c>
      <c r="AM1753" s="1">
        <v>47.879185035</v>
      </c>
      <c r="AN1753" s="1">
        <v>37.875121007</v>
      </c>
      <c r="AO1753" s="1">
        <v>27580.0</v>
      </c>
      <c r="AP1753" s="1">
        <v>11.9</v>
      </c>
      <c r="AQ1753" s="1">
        <v>7.7</v>
      </c>
      <c r="AR1753" s="1">
        <v>17.6</v>
      </c>
      <c r="AS1753" s="1">
        <v>10.5</v>
      </c>
      <c r="AT1753" s="1">
        <v>28.1</v>
      </c>
      <c r="AU1753" s="1">
        <v>11.5</v>
      </c>
      <c r="AV1753" s="1">
        <v>34.5</v>
      </c>
      <c r="AW1753" s="1">
        <v>3.6</v>
      </c>
      <c r="AX1753" s="1">
        <v>0.6272</v>
      </c>
      <c r="AY1753" s="1">
        <v>11.0</v>
      </c>
      <c r="AZ1753" s="1">
        <v>9.9</v>
      </c>
      <c r="BA1753" s="1">
        <v>15.8</v>
      </c>
      <c r="BB1753" s="1">
        <v>3.23</v>
      </c>
      <c r="BC1753" s="1" t="s">
        <v>2937</v>
      </c>
      <c r="BD1753" s="1">
        <v>17.6</v>
      </c>
      <c r="BE1753" s="1">
        <v>30.8</v>
      </c>
      <c r="BF1753" s="1">
        <v>34.8</v>
      </c>
      <c r="BG1753" s="1">
        <v>16.8</v>
      </c>
      <c r="BH1753" s="1" t="s">
        <v>2946</v>
      </c>
    </row>
    <row r="1754">
      <c r="A1754" s="1">
        <v>32015.0</v>
      </c>
      <c r="B1754" s="2" t="str">
        <f>IFERROR(__xludf.DUMMYFUNCTION("TO_TEXT(A1754)"),"32015")</f>
        <v>32015</v>
      </c>
      <c r="C1754" s="1">
        <v>5907.0</v>
      </c>
      <c r="D1754" s="1">
        <v>5490.11602117592</v>
      </c>
      <c r="E1754" s="1" t="s">
        <v>2947</v>
      </c>
      <c r="F1754" s="1" t="s">
        <v>2948</v>
      </c>
      <c r="G1754" s="1">
        <v>1.07593354625223</v>
      </c>
      <c r="H1754" s="1">
        <v>18.056457418</v>
      </c>
      <c r="I1754" s="1">
        <v>4.1146186003</v>
      </c>
      <c r="J1754" s="1">
        <v>9.6774193548</v>
      </c>
      <c r="K1754" s="1">
        <v>17.114542453</v>
      </c>
      <c r="L1754" s="1">
        <v>34.9</v>
      </c>
      <c r="M1754" s="1">
        <v>8.7</v>
      </c>
      <c r="N1754" s="1">
        <v>19.8</v>
      </c>
      <c r="O1754" s="1">
        <v>90.891774892</v>
      </c>
      <c r="P1754" s="1">
        <v>12.4793046359999</v>
      </c>
      <c r="Q1754" s="1">
        <v>17.56543</v>
      </c>
      <c r="R1754" s="1">
        <v>92.3076923079999</v>
      </c>
      <c r="S1754" s="1">
        <v>13.7</v>
      </c>
      <c r="T1754" s="1">
        <v>1676.0</v>
      </c>
      <c r="U1754" s="1">
        <v>43.61575179</v>
      </c>
      <c r="V1754" s="1">
        <v>619.78348897</v>
      </c>
      <c r="W1754" s="1">
        <v>7.619047619</v>
      </c>
      <c r="X1754" s="1">
        <v>2.8625954198</v>
      </c>
      <c r="Y1754" s="1">
        <v>78.073521426</v>
      </c>
      <c r="Z1754" s="1">
        <v>16.1</v>
      </c>
      <c r="AA1754" s="1">
        <v>5.9029121661</v>
      </c>
      <c r="AB1754" s="1">
        <v>79278.0</v>
      </c>
      <c r="AC1754" s="1">
        <v>28.919182084</v>
      </c>
      <c r="AD1754" s="1">
        <v>80.498322952</v>
      </c>
      <c r="AE1754" s="1">
        <v>6.5359477124</v>
      </c>
      <c r="AF1754" s="1">
        <v>0.7713004484</v>
      </c>
      <c r="AG1754" s="1">
        <v>5.8475336323</v>
      </c>
      <c r="AH1754" s="1">
        <v>1.6322869955</v>
      </c>
      <c r="AI1754" s="1">
        <v>0.0179372197</v>
      </c>
      <c r="AJ1754" s="1">
        <v>22.6367713</v>
      </c>
      <c r="AK1754" s="1">
        <v>69.32735426</v>
      </c>
      <c r="AL1754" s="1">
        <v>3.9600226287</v>
      </c>
      <c r="AM1754" s="1">
        <v>48.789237668</v>
      </c>
      <c r="AN1754" s="1">
        <v>39.047619048</v>
      </c>
      <c r="AO1754" s="1">
        <v>30044.0</v>
      </c>
      <c r="AP1754" s="1">
        <v>12.9</v>
      </c>
      <c r="AQ1754" s="1">
        <v>7.9</v>
      </c>
      <c r="AR1754" s="1">
        <v>17.1</v>
      </c>
      <c r="AS1754" s="1">
        <v>12.6</v>
      </c>
      <c r="AT1754" s="1">
        <v>28.6</v>
      </c>
      <c r="AU1754" s="1">
        <v>11.2</v>
      </c>
      <c r="AV1754" s="1">
        <v>33.1</v>
      </c>
      <c r="AW1754" s="1">
        <v>2.6</v>
      </c>
      <c r="AX1754" s="1">
        <v>0.6355</v>
      </c>
      <c r="AY1754" s="1">
        <v>10.9</v>
      </c>
      <c r="AZ1754" s="1">
        <v>9.8</v>
      </c>
      <c r="BA1754" s="1">
        <v>18.8</v>
      </c>
      <c r="BB1754" s="1">
        <v>3.41</v>
      </c>
      <c r="BC1754" s="1" t="s">
        <v>2937</v>
      </c>
      <c r="BD1754" s="1">
        <v>11.7</v>
      </c>
      <c r="BE1754" s="1">
        <v>38.0</v>
      </c>
      <c r="BF1754" s="1">
        <v>37.9</v>
      </c>
      <c r="BG1754" s="1">
        <v>12.4</v>
      </c>
      <c r="BH1754" s="1" t="s">
        <v>2948</v>
      </c>
    </row>
    <row r="1755">
      <c r="A1755" s="1">
        <v>32017.0</v>
      </c>
      <c r="B1755" s="2" t="str">
        <f>IFERROR(__xludf.DUMMYFUNCTION("TO_TEXT(A1755)"),"32017")</f>
        <v>32017</v>
      </c>
      <c r="C1755" s="1">
        <v>5155.0</v>
      </c>
      <c r="D1755" s="1">
        <v>10633.3812210929</v>
      </c>
      <c r="E1755" s="1" t="s">
        <v>353</v>
      </c>
      <c r="F1755" s="1" t="s">
        <v>2949</v>
      </c>
      <c r="G1755" s="1">
        <v>0.484794054949736</v>
      </c>
      <c r="H1755" s="1">
        <v>15.857187174</v>
      </c>
      <c r="I1755" s="1">
        <v>4.2361122632</v>
      </c>
      <c r="J1755" s="1">
        <v>5.1671732523</v>
      </c>
      <c r="K1755" s="1">
        <v>16.061392441</v>
      </c>
      <c r="L1755" s="1">
        <v>29.7</v>
      </c>
      <c r="M1755" s="1">
        <v>5.5</v>
      </c>
      <c r="N1755" s="1">
        <v>28.0</v>
      </c>
      <c r="O1755" s="1">
        <v>54.29373246</v>
      </c>
      <c r="P1755" s="1">
        <v>12.246003793</v>
      </c>
      <c r="Q1755" s="1">
        <v>38.29217</v>
      </c>
      <c r="R1755" s="1">
        <v>86.075949367</v>
      </c>
      <c r="S1755" s="1">
        <v>16.4</v>
      </c>
      <c r="T1755" s="1">
        <v>830.0</v>
      </c>
      <c r="U1755" s="1">
        <v>16.144578313</v>
      </c>
      <c r="V1755" s="1">
        <v>39.0015600619999</v>
      </c>
      <c r="W1755" s="1">
        <v>8.9918256131</v>
      </c>
      <c r="X1755" s="1">
        <v>7.3730202075</v>
      </c>
      <c r="Y1755" s="1">
        <v>81.445901192</v>
      </c>
      <c r="Z1755" s="1">
        <v>7.9</v>
      </c>
      <c r="AA1755" s="1">
        <v>32.37320649</v>
      </c>
      <c r="AB1755" s="1">
        <v>55504.0</v>
      </c>
      <c r="AC1755" s="1">
        <v>49.95269631</v>
      </c>
      <c r="AD1755" s="1">
        <v>73.591376776</v>
      </c>
      <c r="AE1755" s="1">
        <v>9.1872791519</v>
      </c>
      <c r="AF1755" s="1">
        <v>3.0186502596</v>
      </c>
      <c r="AG1755" s="1">
        <v>1.8650259565</v>
      </c>
      <c r="AH1755" s="1">
        <v>0.7883099404</v>
      </c>
      <c r="AI1755" s="1">
        <v>0.3460872909</v>
      </c>
      <c r="AJ1755" s="1">
        <v>8.15227840799999</v>
      </c>
      <c r="AK1755" s="1">
        <v>84.156892905</v>
      </c>
      <c r="AL1755" s="1">
        <v>0.462032945</v>
      </c>
      <c r="AM1755" s="1">
        <v>46.337242838</v>
      </c>
      <c r="AN1755" s="1">
        <v>100.0</v>
      </c>
      <c r="AO1755" s="1">
        <v>25505.0</v>
      </c>
      <c r="AP1755" s="1">
        <v>12.7</v>
      </c>
      <c r="AQ1755" s="1">
        <v>9.1</v>
      </c>
      <c r="AR1755" s="1">
        <v>11.4</v>
      </c>
      <c r="AS1755" s="1">
        <v>18.6</v>
      </c>
      <c r="AT1755" s="1">
        <v>20.5</v>
      </c>
      <c r="AU1755" s="1">
        <v>14.9</v>
      </c>
      <c r="AV1755" s="1">
        <v>17.1</v>
      </c>
      <c r="AW1755" s="1">
        <v>1.0</v>
      </c>
      <c r="AX1755" s="1">
        <v>0.3161</v>
      </c>
      <c r="AY1755" s="1">
        <v>13.8</v>
      </c>
      <c r="AZ1755" s="1">
        <v>12.2</v>
      </c>
      <c r="BA1755" s="1">
        <v>21.5</v>
      </c>
      <c r="BB1755" s="1">
        <v>3.26</v>
      </c>
      <c r="BC1755" s="1" t="s">
        <v>2937</v>
      </c>
      <c r="BD1755" s="1">
        <v>13.8</v>
      </c>
      <c r="BE1755" s="1">
        <v>34.3</v>
      </c>
      <c r="BF1755" s="1">
        <v>32.3</v>
      </c>
      <c r="BG1755" s="1">
        <v>19.6</v>
      </c>
      <c r="BH1755" s="1" t="s">
        <v>2949</v>
      </c>
    </row>
    <row r="1756">
      <c r="A1756" s="1">
        <v>32019.0</v>
      </c>
      <c r="B1756" s="2" t="str">
        <f>IFERROR(__xludf.DUMMYFUNCTION("TO_TEXT(A1756)"),"32019")</f>
        <v>32019</v>
      </c>
      <c r="C1756" s="1">
        <v>51897.0</v>
      </c>
      <c r="D1756" s="1">
        <v>2001.23356936846</v>
      </c>
      <c r="E1756" s="1" t="s">
        <v>1526</v>
      </c>
      <c r="F1756" s="1" t="s">
        <v>2950</v>
      </c>
      <c r="G1756" s="1">
        <v>25.9325052279516</v>
      </c>
      <c r="H1756" s="1">
        <v>18.04623348</v>
      </c>
      <c r="I1756" s="1">
        <v>4.4673951609</v>
      </c>
      <c r="J1756" s="1">
        <v>8.46560846559999</v>
      </c>
      <c r="K1756" s="1">
        <v>20.647207257</v>
      </c>
      <c r="L1756" s="1">
        <v>34.9</v>
      </c>
      <c r="M1756" s="1">
        <v>7.6</v>
      </c>
      <c r="N1756" s="1">
        <v>25.0</v>
      </c>
      <c r="O1756" s="1">
        <v>67.785686803</v>
      </c>
      <c r="P1756" s="1">
        <v>13.2046952129999</v>
      </c>
      <c r="Q1756" s="1">
        <v>16.6291</v>
      </c>
      <c r="R1756" s="1">
        <v>83.58714044</v>
      </c>
      <c r="S1756" s="1">
        <v>18.0</v>
      </c>
      <c r="T1756" s="1">
        <v>11441.0</v>
      </c>
      <c r="U1756" s="1">
        <v>27.270343501</v>
      </c>
      <c r="V1756" s="1">
        <v>270.0716692</v>
      </c>
      <c r="W1756" s="1">
        <v>16.160326781</v>
      </c>
      <c r="X1756" s="1">
        <v>13.25282631</v>
      </c>
      <c r="Y1756" s="1">
        <v>76.735024793</v>
      </c>
      <c r="Z1756" s="1">
        <v>12.4</v>
      </c>
      <c r="AA1756" s="1">
        <v>8.6984143088</v>
      </c>
      <c r="AB1756" s="1">
        <v>59732.0</v>
      </c>
      <c r="AC1756" s="1">
        <v>60.041864052</v>
      </c>
      <c r="AD1756" s="1">
        <v>70.752143414</v>
      </c>
      <c r="AE1756" s="1">
        <v>10.498184752</v>
      </c>
      <c r="AF1756" s="1">
        <v>1.0876576835</v>
      </c>
      <c r="AG1756" s="1">
        <v>3.3364392202</v>
      </c>
      <c r="AH1756" s="1">
        <v>1.6323824541</v>
      </c>
      <c r="AI1756" s="1">
        <v>0.3350774083</v>
      </c>
      <c r="AJ1756" s="1">
        <v>17.737600344</v>
      </c>
      <c r="AK1756" s="1">
        <v>74.331637041</v>
      </c>
      <c r="AL1756" s="1">
        <v>1.9264867019</v>
      </c>
      <c r="AM1756" s="1">
        <v>48.86037844</v>
      </c>
      <c r="AN1756" s="1">
        <v>36.937283571</v>
      </c>
      <c r="AO1756" s="1">
        <v>23519.0</v>
      </c>
      <c r="AP1756" s="1">
        <v>15.3</v>
      </c>
      <c r="AQ1756" s="1">
        <v>11.8</v>
      </c>
      <c r="AR1756" s="1">
        <v>15.0</v>
      </c>
      <c r="AS1756" s="1">
        <v>19.8</v>
      </c>
      <c r="AT1756" s="1">
        <v>22.5</v>
      </c>
      <c r="AU1756" s="1">
        <v>19.9</v>
      </c>
      <c r="AV1756" s="1">
        <v>23.6</v>
      </c>
      <c r="AW1756" s="1">
        <v>2.7</v>
      </c>
      <c r="AX1756" s="1">
        <v>0.7443</v>
      </c>
      <c r="AY1756" s="1">
        <v>10.2</v>
      </c>
      <c r="AZ1756" s="1">
        <v>13.1</v>
      </c>
      <c r="BA1756" s="1">
        <v>21.1</v>
      </c>
      <c r="BB1756" s="1">
        <v>3.38</v>
      </c>
      <c r="BC1756" s="1" t="s">
        <v>2937</v>
      </c>
      <c r="BD1756" s="1">
        <v>13.1</v>
      </c>
      <c r="BE1756" s="1">
        <v>32.8</v>
      </c>
      <c r="BF1756" s="1">
        <v>39.6</v>
      </c>
      <c r="BG1756" s="1">
        <v>14.4</v>
      </c>
      <c r="BH1756" s="1" t="s">
        <v>2950</v>
      </c>
    </row>
    <row r="1757">
      <c r="A1757" s="1">
        <v>32021.0</v>
      </c>
      <c r="B1757" s="2" t="str">
        <f>IFERROR(__xludf.DUMMYFUNCTION("TO_TEXT(A1757)"),"32021")</f>
        <v>32021</v>
      </c>
      <c r="C1757" s="1">
        <v>4519.0</v>
      </c>
      <c r="D1757" s="1">
        <v>3752.84009568633</v>
      </c>
      <c r="E1757" s="1" t="s">
        <v>608</v>
      </c>
      <c r="F1757" s="1" t="s">
        <v>2951</v>
      </c>
      <c r="G1757" s="1">
        <v>1.20415468945621</v>
      </c>
      <c r="H1757" s="1">
        <v>21.9308481669999</v>
      </c>
      <c r="I1757" s="1">
        <v>5.0157061582</v>
      </c>
      <c r="J1757" s="1">
        <v>10.204081633</v>
      </c>
      <c r="K1757" s="1">
        <v>21.471849074</v>
      </c>
      <c r="L1757" s="1">
        <v>30.0</v>
      </c>
      <c r="M1757" s="1">
        <v>4.8</v>
      </c>
      <c r="N1757" s="1">
        <v>31.4</v>
      </c>
      <c r="O1757" s="1">
        <v>77.179379715</v>
      </c>
      <c r="P1757" s="1">
        <v>11.864913329</v>
      </c>
      <c r="Q1757" s="1">
        <v>44.87323</v>
      </c>
      <c r="R1757" s="1">
        <v>84.375</v>
      </c>
      <c r="S1757" s="1">
        <v>27.0</v>
      </c>
      <c r="T1757" s="1">
        <v>755.0</v>
      </c>
      <c r="U1757" s="1">
        <v>64.635761589</v>
      </c>
      <c r="V1757" s="1">
        <v>135.22650439</v>
      </c>
      <c r="W1757" s="1">
        <v>14.5278450359999</v>
      </c>
      <c r="X1757" s="1">
        <v>7.1043606075</v>
      </c>
      <c r="Y1757" s="1">
        <v>75.060899931</v>
      </c>
      <c r="Z1757" s="1">
        <v>13.2</v>
      </c>
      <c r="AA1757" s="1">
        <v>34.2664647669999</v>
      </c>
      <c r="AB1757" s="1">
        <v>44438.0</v>
      </c>
      <c r="AC1757" s="1">
        <v>52.7433628319999</v>
      </c>
      <c r="AD1757" s="1">
        <v>68.214654283</v>
      </c>
      <c r="AE1757" s="1">
        <v>9.1463414634</v>
      </c>
      <c r="AF1757" s="1">
        <v>3.6331413381</v>
      </c>
      <c r="AG1757" s="1">
        <v>18.099246788</v>
      </c>
      <c r="AH1757" s="1">
        <v>3.4116083296</v>
      </c>
      <c r="AI1757" s="1">
        <v>0.2215330084</v>
      </c>
      <c r="AJ1757" s="1">
        <v>13.026140895</v>
      </c>
      <c r="AK1757" s="1">
        <v>61.453256535</v>
      </c>
      <c r="AL1757" s="1">
        <v>0.1185114956</v>
      </c>
      <c r="AM1757" s="1">
        <v>50.487372619</v>
      </c>
      <c r="AN1757" s="1">
        <v>31.91533948</v>
      </c>
      <c r="AO1757" s="1">
        <v>24146.0</v>
      </c>
      <c r="AP1757" s="1">
        <v>21.2</v>
      </c>
      <c r="AQ1757" s="1">
        <v>13.0</v>
      </c>
      <c r="AR1757" s="1">
        <v>13.5</v>
      </c>
      <c r="AS1757" s="1">
        <v>24.7</v>
      </c>
      <c r="AT1757" s="1">
        <v>18.3</v>
      </c>
      <c r="AU1757" s="1">
        <v>24.7</v>
      </c>
      <c r="AV1757" s="1">
        <v>40.8</v>
      </c>
      <c r="AW1757" s="1">
        <v>0.5</v>
      </c>
      <c r="AX1757" s="1">
        <v>0.9048</v>
      </c>
      <c r="AY1757" s="1">
        <v>15.9</v>
      </c>
      <c r="AZ1757" s="1">
        <v>17.2</v>
      </c>
      <c r="BA1757" s="1">
        <v>31.3</v>
      </c>
      <c r="BB1757" s="1">
        <v>3.35</v>
      </c>
      <c r="BC1757" s="1" t="s">
        <v>2937</v>
      </c>
      <c r="BD1757" s="1">
        <v>11.0</v>
      </c>
      <c r="BE1757" s="1">
        <v>35.7</v>
      </c>
      <c r="BF1757" s="1">
        <v>38.3</v>
      </c>
      <c r="BG1757" s="1">
        <v>14.9</v>
      </c>
      <c r="BH1757" s="1" t="s">
        <v>2951</v>
      </c>
    </row>
    <row r="1758">
      <c r="A1758" s="1">
        <v>32023.0</v>
      </c>
      <c r="B1758" s="2" t="str">
        <f>IFERROR(__xludf.DUMMYFUNCTION("TO_TEXT(A1758)"),"32023")</f>
        <v>32023</v>
      </c>
      <c r="C1758" s="1">
        <v>43198.0</v>
      </c>
      <c r="D1758" s="1">
        <v>18181.9057015926</v>
      </c>
      <c r="E1758" s="1" t="s">
        <v>2952</v>
      </c>
      <c r="F1758" s="1" t="s">
        <v>2953</v>
      </c>
      <c r="G1758" s="1">
        <v>2.37587856350042</v>
      </c>
      <c r="H1758" s="1">
        <v>19.120232055</v>
      </c>
      <c r="I1758" s="1">
        <v>4.5044345861</v>
      </c>
      <c r="J1758" s="1">
        <v>9.53307393</v>
      </c>
      <c r="K1758" s="1">
        <v>18.016254769</v>
      </c>
      <c r="L1758" s="1">
        <v>33.5</v>
      </c>
      <c r="M1758" s="1">
        <v>6.2</v>
      </c>
      <c r="N1758" s="1">
        <v>28.6</v>
      </c>
      <c r="O1758" s="1">
        <v>21.510490147</v>
      </c>
      <c r="P1758" s="1">
        <v>12.808295024</v>
      </c>
      <c r="Q1758" s="1">
        <v>29.41043</v>
      </c>
      <c r="R1758" s="1">
        <v>79.310344828</v>
      </c>
      <c r="S1758" s="1">
        <v>25.9</v>
      </c>
      <c r="T1758" s="1">
        <v>7368.0</v>
      </c>
      <c r="U1758" s="1">
        <v>25.515743757</v>
      </c>
      <c r="V1758" s="1">
        <v>166.5446127</v>
      </c>
      <c r="W1758" s="1">
        <v>14.342971658</v>
      </c>
      <c r="X1758" s="1">
        <v>11.598013439</v>
      </c>
      <c r="Y1758" s="1">
        <v>74.052702244</v>
      </c>
      <c r="Z1758" s="1">
        <v>13.6</v>
      </c>
      <c r="AA1758" s="1">
        <v>21.070123355</v>
      </c>
      <c r="AB1758" s="1">
        <v>47031.0</v>
      </c>
      <c r="AC1758" s="1">
        <v>79.699394886</v>
      </c>
      <c r="AD1758" s="1">
        <v>70.987786587</v>
      </c>
      <c r="AE1758" s="1">
        <v>11.206361739</v>
      </c>
      <c r="AF1758" s="1">
        <v>3.2218938826</v>
      </c>
      <c r="AG1758" s="1">
        <v>1.8127287964</v>
      </c>
      <c r="AH1758" s="1">
        <v>1.8303709258</v>
      </c>
      <c r="AI1758" s="1">
        <v>0.6020376659</v>
      </c>
      <c r="AJ1758" s="1">
        <v>14.975962599</v>
      </c>
      <c r="AK1758" s="1">
        <v>75.67150355</v>
      </c>
      <c r="AL1758" s="1">
        <v>1.8372137587</v>
      </c>
      <c r="AM1758" s="1">
        <v>48.8356194589999</v>
      </c>
      <c r="AN1758" s="1">
        <v>35.270559323</v>
      </c>
      <c r="AO1758" s="1">
        <v>23075.0</v>
      </c>
      <c r="AP1758" s="1">
        <v>17.2</v>
      </c>
      <c r="AQ1758" s="1">
        <v>14.1</v>
      </c>
      <c r="AR1758" s="1">
        <v>15.3</v>
      </c>
      <c r="AS1758" s="1">
        <v>27.2</v>
      </c>
      <c r="AT1758" s="1">
        <v>17.6</v>
      </c>
      <c r="AU1758" s="1">
        <v>24.3</v>
      </c>
      <c r="AV1758" s="1">
        <v>22.7</v>
      </c>
      <c r="AW1758" s="1">
        <v>1.9</v>
      </c>
      <c r="AX1758" s="1">
        <v>0.6839</v>
      </c>
      <c r="AY1758" s="1">
        <v>16.1</v>
      </c>
      <c r="AZ1758" s="1">
        <v>16.2</v>
      </c>
      <c r="BA1758" s="1">
        <v>25.9</v>
      </c>
      <c r="BB1758" s="1">
        <v>3.15</v>
      </c>
      <c r="BC1758" s="1" t="s">
        <v>2937</v>
      </c>
      <c r="BD1758" s="1">
        <v>13.9</v>
      </c>
      <c r="BE1758" s="1">
        <v>38.9</v>
      </c>
      <c r="BF1758" s="1">
        <v>36.4</v>
      </c>
      <c r="BG1758" s="1">
        <v>10.7</v>
      </c>
      <c r="BH1758" s="1" t="s">
        <v>2953</v>
      </c>
    </row>
    <row r="1759">
      <c r="A1759" s="1">
        <v>32027.0</v>
      </c>
      <c r="B1759" s="2" t="str">
        <f>IFERROR(__xludf.DUMMYFUNCTION("TO_TEXT(A1759)"),"32027")</f>
        <v>32027</v>
      </c>
      <c r="C1759" s="1">
        <v>6690.0</v>
      </c>
      <c r="D1759" s="1">
        <v>6036.58582625957</v>
      </c>
      <c r="E1759" s="1" t="s">
        <v>2954</v>
      </c>
      <c r="F1759" s="1" t="s">
        <v>2955</v>
      </c>
      <c r="G1759" s="1">
        <v>1.1082423397176</v>
      </c>
      <c r="H1759" s="1">
        <v>19.559098355</v>
      </c>
      <c r="I1759" s="1">
        <v>4.0694971356</v>
      </c>
      <c r="J1759" s="1">
        <v>8.5271317829</v>
      </c>
      <c r="K1759" s="1">
        <v>17.95000836</v>
      </c>
      <c r="L1759" s="1">
        <v>34.8</v>
      </c>
      <c r="M1759" s="1">
        <v>8.1</v>
      </c>
      <c r="N1759" s="1">
        <v>28.3</v>
      </c>
      <c r="O1759" s="1">
        <v>22.834295869</v>
      </c>
      <c r="P1759" s="1">
        <v>15.2054436009999</v>
      </c>
      <c r="Q1759" s="1">
        <v>48.31939</v>
      </c>
      <c r="R1759" s="1">
        <v>100.0</v>
      </c>
      <c r="S1759" s="1">
        <v>18.1</v>
      </c>
      <c r="T1759" s="1">
        <v>1080.0</v>
      </c>
      <c r="U1759" s="1">
        <v>34.259259259</v>
      </c>
      <c r="V1759" s="1">
        <v>712.60652366</v>
      </c>
      <c r="W1759" s="1">
        <v>17.617866005</v>
      </c>
      <c r="X1759" s="1">
        <v>9.4480358031</v>
      </c>
      <c r="Y1759" s="1">
        <v>79.1270556119999</v>
      </c>
      <c r="Z1759" s="1">
        <v>6.8</v>
      </c>
      <c r="AA1759" s="1">
        <v>5.6654152544</v>
      </c>
      <c r="AB1759" s="1">
        <v>42522.0</v>
      </c>
      <c r="AC1759" s="1">
        <v>55.022488756</v>
      </c>
      <c r="AD1759" s="1">
        <v>73.616140714</v>
      </c>
      <c r="AE1759" s="1">
        <v>7.1041214751</v>
      </c>
      <c r="AF1759" s="1">
        <v>4.3204320432</v>
      </c>
      <c r="AG1759" s="1">
        <v>4.5304530453</v>
      </c>
      <c r="AH1759" s="1">
        <v>1.3051305131</v>
      </c>
      <c r="AI1759" s="1">
        <v>0.2850285029</v>
      </c>
      <c r="AJ1759" s="1">
        <v>24.542454245</v>
      </c>
      <c r="AK1759" s="1">
        <v>64.7164716469999</v>
      </c>
      <c r="AL1759" s="1">
        <v>3.527922797</v>
      </c>
      <c r="AM1759" s="1">
        <v>35.583558356</v>
      </c>
      <c r="AN1759" s="1">
        <v>100.0</v>
      </c>
      <c r="AO1759" s="1">
        <v>17631.0</v>
      </c>
      <c r="AP1759" s="1">
        <v>16.4</v>
      </c>
      <c r="AQ1759" s="1">
        <v>3.5</v>
      </c>
      <c r="AR1759" s="1">
        <v>21.8</v>
      </c>
      <c r="AS1759" s="1">
        <v>14.8</v>
      </c>
      <c r="AT1759" s="1">
        <v>17.4</v>
      </c>
      <c r="AU1759" s="1">
        <v>18.9</v>
      </c>
      <c r="AV1759" s="1">
        <v>33.8</v>
      </c>
      <c r="AW1759" s="1">
        <v>4.4</v>
      </c>
      <c r="AX1759" s="1">
        <v>0.8644</v>
      </c>
      <c r="AY1759" s="1">
        <v>17.6</v>
      </c>
      <c r="AZ1759" s="1">
        <v>12.2</v>
      </c>
      <c r="BA1759" s="1">
        <v>20.9</v>
      </c>
      <c r="BB1759" s="1">
        <v>3.4</v>
      </c>
      <c r="BC1759" s="1" t="s">
        <v>2937</v>
      </c>
      <c r="BD1759" s="1">
        <v>19.1</v>
      </c>
      <c r="BE1759" s="1">
        <v>37.2</v>
      </c>
      <c r="BF1759" s="1">
        <v>32.6</v>
      </c>
      <c r="BG1759" s="1">
        <v>11.1</v>
      </c>
      <c r="BH1759" s="1" t="s">
        <v>2955</v>
      </c>
    </row>
    <row r="1760">
      <c r="A1760" s="1">
        <v>32029.0</v>
      </c>
      <c r="B1760" s="2" t="str">
        <f>IFERROR(__xludf.DUMMYFUNCTION("TO_TEXT(A1760)"),"32029")</f>
        <v>32029</v>
      </c>
      <c r="C1760" s="1">
        <v>3941.0</v>
      </c>
      <c r="D1760" s="1">
        <v>262.920863483379</v>
      </c>
      <c r="E1760" s="1" t="s">
        <v>2956</v>
      </c>
      <c r="F1760" s="1" t="s">
        <v>2957</v>
      </c>
      <c r="G1760" s="1">
        <v>14.9893011447877</v>
      </c>
      <c r="H1760" s="1">
        <v>15.705717921</v>
      </c>
      <c r="I1760" s="1">
        <v>4.18393399</v>
      </c>
      <c r="J1760" s="1">
        <v>7.80443539465</v>
      </c>
      <c r="K1760" s="1">
        <v>15.281900687</v>
      </c>
      <c r="L1760" s="1">
        <v>24.6</v>
      </c>
      <c r="M1760" s="1">
        <v>8.7</v>
      </c>
      <c r="N1760" s="1">
        <v>25.3</v>
      </c>
      <c r="O1760" s="1">
        <v>40.822942643</v>
      </c>
      <c r="P1760" s="1">
        <v>8.7656529517</v>
      </c>
      <c r="Q1760" s="1">
        <v>48.31939</v>
      </c>
      <c r="R1760" s="1">
        <v>90.625</v>
      </c>
      <c r="S1760" s="1">
        <v>11.6</v>
      </c>
      <c r="T1760" s="1">
        <v>568.0</v>
      </c>
      <c r="U1760" s="1">
        <v>30.281690141</v>
      </c>
      <c r="V1760" s="1">
        <v>891.51180311</v>
      </c>
      <c r="W1760" s="1">
        <v>9.4285714286</v>
      </c>
      <c r="X1760" s="1">
        <v>8.3815028902</v>
      </c>
      <c r="Y1760" s="1">
        <v>84.515737061</v>
      </c>
      <c r="Z1760" s="1">
        <v>12.6</v>
      </c>
      <c r="AA1760" s="1">
        <v>1.1955225836</v>
      </c>
      <c r="AB1760" s="1">
        <v>68236.0</v>
      </c>
      <c r="AC1760" s="1">
        <v>33.182844244</v>
      </c>
      <c r="AD1760" s="1">
        <v>87.484355444</v>
      </c>
      <c r="AE1760" s="1">
        <v>8.5987261146</v>
      </c>
      <c r="AF1760" s="1">
        <v>1.56366344009999</v>
      </c>
      <c r="AG1760" s="1">
        <v>1.8615040953</v>
      </c>
      <c r="AH1760" s="1">
        <v>2.4075452966</v>
      </c>
      <c r="AI1760" s="1">
        <v>0.4715810375</v>
      </c>
      <c r="AJ1760" s="1">
        <v>7.6197567635</v>
      </c>
      <c r="AK1760" s="1">
        <v>83.99106478</v>
      </c>
      <c r="AL1760" s="1">
        <v>0.2636435539</v>
      </c>
      <c r="AM1760" s="1">
        <v>48.845867461</v>
      </c>
      <c r="AN1760" s="1">
        <v>92.643391521</v>
      </c>
      <c r="AO1760" s="1">
        <v>34967.0</v>
      </c>
      <c r="AP1760" s="1">
        <v>7.2</v>
      </c>
      <c r="AQ1760" s="1">
        <v>4.1</v>
      </c>
      <c r="AR1760" s="1">
        <v>6.0</v>
      </c>
      <c r="AS1760" s="1">
        <v>28.7</v>
      </c>
      <c r="AT1760" s="1">
        <v>13.5</v>
      </c>
      <c r="AU1760" s="1">
        <v>23.5</v>
      </c>
      <c r="AV1760" s="1">
        <v>13.4</v>
      </c>
      <c r="AW1760" s="1">
        <v>0.4</v>
      </c>
      <c r="AX1760" s="1">
        <v>0.0513</v>
      </c>
      <c r="AY1760" s="1">
        <v>7.0</v>
      </c>
      <c r="AZ1760" s="1">
        <v>11.9</v>
      </c>
      <c r="BA1760" s="1">
        <v>23.0</v>
      </c>
      <c r="BB1760" s="1">
        <v>3.39</v>
      </c>
      <c r="BC1760" s="1" t="s">
        <v>2937</v>
      </c>
      <c r="BD1760" s="1">
        <v>6.4</v>
      </c>
      <c r="BE1760" s="1">
        <v>27.8</v>
      </c>
      <c r="BF1760" s="1">
        <v>34.5</v>
      </c>
      <c r="BG1760" s="1">
        <v>31.4</v>
      </c>
      <c r="BH1760" s="1" t="s">
        <v>2957</v>
      </c>
    </row>
    <row r="1761">
      <c r="A1761" s="1">
        <v>32031.0</v>
      </c>
      <c r="B1761" s="2" t="str">
        <f>IFERROR(__xludf.DUMMYFUNCTION("TO_TEXT(A1761)"),"32031")</f>
        <v>32031</v>
      </c>
      <c r="C1761" s="1">
        <v>439914.0</v>
      </c>
      <c r="D1761" s="1">
        <v>6302.3812469323</v>
      </c>
      <c r="E1761" s="1" t="s">
        <v>2958</v>
      </c>
      <c r="F1761" s="1" t="s">
        <v>2959</v>
      </c>
      <c r="G1761" s="1">
        <v>69.8012358763807</v>
      </c>
      <c r="H1761" s="1">
        <v>15.862527645</v>
      </c>
      <c r="I1761" s="1">
        <v>4.2379279325</v>
      </c>
      <c r="J1761" s="1">
        <v>7.8745403187</v>
      </c>
      <c r="K1761" s="1">
        <v>15.165619627</v>
      </c>
      <c r="L1761" s="1">
        <v>23.3</v>
      </c>
      <c r="M1761" s="1">
        <v>7.9</v>
      </c>
      <c r="N1761" s="1">
        <v>18.4</v>
      </c>
      <c r="O1761" s="1">
        <v>91.6389618589999</v>
      </c>
      <c r="P1761" s="1">
        <v>12.437204935</v>
      </c>
      <c r="Q1761" s="1">
        <v>73.81884</v>
      </c>
      <c r="R1761" s="1">
        <v>84.084597308</v>
      </c>
      <c r="S1761" s="1">
        <v>13.5</v>
      </c>
      <c r="T1761" s="1">
        <v>98646.0</v>
      </c>
      <c r="U1761" s="1">
        <v>32.424021248</v>
      </c>
      <c r="V1761" s="1">
        <v>438.61610637</v>
      </c>
      <c r="W1761" s="1">
        <v>20.223057125</v>
      </c>
      <c r="X1761" s="1">
        <v>15.639142814</v>
      </c>
      <c r="Y1761" s="1">
        <v>78.331471743</v>
      </c>
      <c r="Z1761" s="1">
        <v>7.5</v>
      </c>
      <c r="AA1761" s="1">
        <v>7.7554940203</v>
      </c>
      <c r="AB1761" s="1">
        <v>63636.0</v>
      </c>
      <c r="AC1761" s="1">
        <v>43.922463912</v>
      </c>
      <c r="AD1761" s="1">
        <v>58.036840209</v>
      </c>
      <c r="AE1761" s="1">
        <v>14.082225771</v>
      </c>
      <c r="AF1761" s="1">
        <v>2.2729663865</v>
      </c>
      <c r="AG1761" s="1">
        <v>2.2175700774</v>
      </c>
      <c r="AH1761" s="1">
        <v>5.7590689985</v>
      </c>
      <c r="AI1761" s="1">
        <v>0.7392615973</v>
      </c>
      <c r="AJ1761" s="1">
        <v>24.835797181</v>
      </c>
      <c r="AK1761" s="1">
        <v>62.634115967</v>
      </c>
      <c r="AL1761" s="1">
        <v>3.8527593449</v>
      </c>
      <c r="AM1761" s="1">
        <v>49.636595918</v>
      </c>
      <c r="AN1761" s="1">
        <v>4.2668963733</v>
      </c>
      <c r="AO1761" s="1">
        <v>29942.0</v>
      </c>
      <c r="AP1761" s="1">
        <v>15.0</v>
      </c>
      <c r="AQ1761" s="1">
        <v>8.0</v>
      </c>
      <c r="AR1761" s="1">
        <v>13.0</v>
      </c>
      <c r="AS1761" s="1">
        <v>14.6</v>
      </c>
      <c r="AT1761" s="1">
        <v>22.4</v>
      </c>
      <c r="AU1761" s="1">
        <v>12.2</v>
      </c>
      <c r="AV1761" s="1">
        <v>35.8</v>
      </c>
      <c r="AW1761" s="1">
        <v>4.5</v>
      </c>
      <c r="AX1761" s="1">
        <v>0.6221</v>
      </c>
      <c r="AY1761" s="1">
        <v>10.7</v>
      </c>
      <c r="AZ1761" s="1">
        <v>11.2</v>
      </c>
      <c r="BA1761" s="1">
        <v>16.8</v>
      </c>
      <c r="BB1761" s="1">
        <v>3.42</v>
      </c>
      <c r="BC1761" s="1" t="s">
        <v>2937</v>
      </c>
      <c r="BD1761" s="1">
        <v>11.4</v>
      </c>
      <c r="BE1761" s="1">
        <v>23.5</v>
      </c>
      <c r="BF1761" s="1">
        <v>34.3</v>
      </c>
      <c r="BG1761" s="1">
        <v>30.8</v>
      </c>
      <c r="BH1761" s="1" t="s">
        <v>2959</v>
      </c>
    </row>
    <row r="1762">
      <c r="A1762" s="1">
        <v>32033.0</v>
      </c>
      <c r="B1762" s="2" t="str">
        <f>IFERROR(__xludf.DUMMYFUNCTION("TO_TEXT(A1762)"),"32033")</f>
        <v>32033</v>
      </c>
      <c r="C1762" s="1">
        <v>9893.0</v>
      </c>
      <c r="D1762" s="1">
        <v>8874.59469835348</v>
      </c>
      <c r="E1762" s="1" t="s">
        <v>2960</v>
      </c>
      <c r="F1762" s="1" t="s">
        <v>2961</v>
      </c>
      <c r="G1762" s="1">
        <v>1.11475513375674</v>
      </c>
      <c r="H1762" s="1">
        <v>18.550381159</v>
      </c>
      <c r="I1762" s="1">
        <v>4.1659870136</v>
      </c>
      <c r="J1762" s="1">
        <v>9.4164456233</v>
      </c>
      <c r="K1762" s="1">
        <v>17.75645913</v>
      </c>
      <c r="L1762" s="1">
        <v>32.8</v>
      </c>
      <c r="M1762" s="1">
        <v>7.5</v>
      </c>
      <c r="N1762" s="1">
        <v>23.7</v>
      </c>
      <c r="O1762" s="1">
        <v>59.222333001</v>
      </c>
      <c r="P1762" s="1">
        <v>10.97653293</v>
      </c>
      <c r="Q1762" s="1">
        <v>62.55213</v>
      </c>
      <c r="R1762" s="1">
        <v>69.92481203</v>
      </c>
      <c r="S1762" s="1">
        <v>15.6</v>
      </c>
      <c r="T1762" s="1">
        <v>1988.0</v>
      </c>
      <c r="U1762" s="1">
        <v>28.068410463</v>
      </c>
      <c r="V1762" s="1">
        <v>220.51821781</v>
      </c>
      <c r="W1762" s="1">
        <v>7.4367088608</v>
      </c>
      <c r="X1762" s="1">
        <v>4.983713355</v>
      </c>
      <c r="Y1762" s="1">
        <v>79.407691613</v>
      </c>
      <c r="Z1762" s="1">
        <v>8.4</v>
      </c>
      <c r="AA1762" s="1">
        <v>13.845005285</v>
      </c>
      <c r="AB1762" s="1">
        <v>58942.0</v>
      </c>
      <c r="AC1762" s="1">
        <v>26.814204838</v>
      </c>
      <c r="AD1762" s="1">
        <v>73.901955228</v>
      </c>
      <c r="AE1762" s="1">
        <v>6.244451021</v>
      </c>
      <c r="AF1762" s="1">
        <v>4.907651715</v>
      </c>
      <c r="AG1762" s="1">
        <v>5.0659630607</v>
      </c>
      <c r="AH1762" s="1">
        <v>1.2031662269</v>
      </c>
      <c r="AI1762" s="1">
        <v>0.2005277045</v>
      </c>
      <c r="AJ1762" s="1">
        <v>16.284960422</v>
      </c>
      <c r="AK1762" s="1">
        <v>71.482849604</v>
      </c>
      <c r="AL1762" s="1">
        <v>0.8897569444</v>
      </c>
      <c r="AM1762" s="1">
        <v>41.920844327</v>
      </c>
      <c r="AN1762" s="1">
        <v>53.33000997</v>
      </c>
      <c r="AO1762" s="1">
        <v>24186.0</v>
      </c>
      <c r="AP1762" s="1">
        <v>12.8</v>
      </c>
      <c r="AQ1762" s="1">
        <v>7.9</v>
      </c>
      <c r="AR1762" s="1">
        <v>16.2</v>
      </c>
      <c r="AS1762" s="1">
        <v>15.0</v>
      </c>
      <c r="AT1762" s="1">
        <v>21.2</v>
      </c>
      <c r="AU1762" s="1">
        <v>19.9</v>
      </c>
      <c r="AV1762" s="1">
        <v>26.8</v>
      </c>
      <c r="AW1762" s="1">
        <v>1.1</v>
      </c>
      <c r="AX1762" s="1">
        <v>0.4613</v>
      </c>
      <c r="AY1762" s="1">
        <v>13.7</v>
      </c>
      <c r="AZ1762" s="1">
        <v>11.5</v>
      </c>
      <c r="BA1762" s="1">
        <v>19.3</v>
      </c>
      <c r="BB1762" s="1">
        <v>3.12</v>
      </c>
      <c r="BC1762" s="1" t="s">
        <v>2937</v>
      </c>
      <c r="BD1762" s="1">
        <v>11.9</v>
      </c>
      <c r="BE1762" s="1">
        <v>41.5</v>
      </c>
      <c r="BF1762" s="1">
        <v>33.4</v>
      </c>
      <c r="BG1762" s="1">
        <v>13.2</v>
      </c>
      <c r="BH1762" s="1" t="s">
        <v>2961</v>
      </c>
    </row>
    <row r="1763">
      <c r="A1763" s="1">
        <v>32510.0</v>
      </c>
      <c r="B1763" s="2" t="str">
        <f>IFERROR(__xludf.DUMMYFUNCTION("TO_TEXT(A1763)"),"32510")</f>
        <v>32510</v>
      </c>
      <c r="C1763" s="1">
        <v>54412.0</v>
      </c>
      <c r="D1763" s="1">
        <v>144.660684215811</v>
      </c>
      <c r="E1763" s="1" t="s">
        <v>2962</v>
      </c>
      <c r="F1763" s="1" t="s">
        <v>2963</v>
      </c>
      <c r="G1763" s="1">
        <v>376.135370124652</v>
      </c>
      <c r="H1763" s="1">
        <v>19.819263311</v>
      </c>
      <c r="I1763" s="1">
        <v>4.4693166965</v>
      </c>
      <c r="J1763" s="1">
        <v>7.7517507848</v>
      </c>
      <c r="K1763" s="1">
        <v>18.972461727</v>
      </c>
      <c r="L1763" s="1">
        <v>28.3</v>
      </c>
      <c r="M1763" s="1">
        <v>7.9</v>
      </c>
      <c r="N1763" s="1">
        <v>22.3</v>
      </c>
      <c r="O1763" s="1">
        <v>99.683395448</v>
      </c>
      <c r="P1763" s="1">
        <v>12.628434016</v>
      </c>
      <c r="Q1763" s="1">
        <v>76.71934</v>
      </c>
      <c r="R1763" s="1">
        <v>70.880149813</v>
      </c>
      <c r="S1763" s="1">
        <v>16.9</v>
      </c>
      <c r="T1763" s="1">
        <v>11175.0</v>
      </c>
      <c r="U1763" s="1">
        <v>41.914988814</v>
      </c>
      <c r="V1763" s="1">
        <v>291.08472678</v>
      </c>
      <c r="W1763" s="1">
        <v>18.463302752</v>
      </c>
      <c r="X1763" s="1">
        <v>13.4029227559999</v>
      </c>
      <c r="Y1763" s="1">
        <v>74.735673648</v>
      </c>
      <c r="Z1763" s="1">
        <v>11.1</v>
      </c>
      <c r="AA1763" s="1">
        <v>5.1673434723</v>
      </c>
      <c r="AB1763" s="1">
        <v>56382.0</v>
      </c>
      <c r="AC1763" s="1">
        <v>45.156972499</v>
      </c>
      <c r="AD1763" s="1">
        <v>55.700992832</v>
      </c>
      <c r="AE1763" s="1">
        <v>12.838574805</v>
      </c>
      <c r="AF1763" s="1">
        <v>1.8858050312</v>
      </c>
      <c r="AG1763" s="1">
        <v>2.8927707799</v>
      </c>
      <c r="AH1763" s="1">
        <v>2.5444833436</v>
      </c>
      <c r="AI1763" s="1">
        <v>0.3410690439</v>
      </c>
      <c r="AJ1763" s="1">
        <v>24.5335113869999</v>
      </c>
      <c r="AK1763" s="1">
        <v>66.732233732</v>
      </c>
      <c r="AL1763" s="1">
        <v>3.2199906948</v>
      </c>
      <c r="AM1763" s="1">
        <v>48.679034179</v>
      </c>
      <c r="AN1763" s="1">
        <v>4.8395267214</v>
      </c>
      <c r="AO1763" s="1">
        <v>26553.0</v>
      </c>
      <c r="AP1763" s="1">
        <v>16.7</v>
      </c>
      <c r="AQ1763" s="1">
        <v>9.5</v>
      </c>
      <c r="AR1763" s="1">
        <v>12.7</v>
      </c>
      <c r="AS1763" s="1">
        <v>19.1</v>
      </c>
      <c r="AT1763" s="1">
        <v>20.7</v>
      </c>
      <c r="AU1763" s="1">
        <v>22.8</v>
      </c>
      <c r="AV1763" s="1">
        <v>31.4</v>
      </c>
      <c r="AW1763" s="1">
        <v>3.3</v>
      </c>
      <c r="AX1763" s="1">
        <v>0.8749</v>
      </c>
      <c r="AY1763" s="1">
        <v>12.2</v>
      </c>
      <c r="AZ1763" s="1">
        <v>14.7</v>
      </c>
      <c r="BA1763" s="1">
        <v>22.9</v>
      </c>
      <c r="BB1763" s="1">
        <v>3.24</v>
      </c>
      <c r="BC1763" s="1" t="s">
        <v>2937</v>
      </c>
      <c r="BD1763" s="1">
        <v>13.0</v>
      </c>
      <c r="BE1763" s="1">
        <v>26.0</v>
      </c>
      <c r="BF1763" s="1">
        <v>38.9</v>
      </c>
      <c r="BG1763" s="1">
        <v>22.2</v>
      </c>
      <c r="BH1763" s="1" t="s">
        <v>2963</v>
      </c>
    </row>
    <row r="1764">
      <c r="A1764" s="1">
        <v>33001.0</v>
      </c>
      <c r="B1764" s="2" t="str">
        <f>IFERROR(__xludf.DUMMYFUNCTION("TO_TEXT(A1764)"),"33001")</f>
        <v>33001</v>
      </c>
      <c r="C1764" s="1">
        <v>60392.0</v>
      </c>
      <c r="D1764" s="1">
        <v>401.596570558539</v>
      </c>
      <c r="E1764" s="1" t="s">
        <v>2964</v>
      </c>
      <c r="F1764" s="1" t="s">
        <v>2965</v>
      </c>
      <c r="G1764" s="1">
        <v>150.379770215684</v>
      </c>
      <c r="H1764" s="1">
        <v>12.06237751</v>
      </c>
      <c r="I1764" s="1">
        <v>3.7582135459</v>
      </c>
      <c r="J1764" s="1">
        <v>7.6427771557</v>
      </c>
      <c r="K1764" s="1">
        <v>14.268955146</v>
      </c>
      <c r="L1764" s="1">
        <v>28.6</v>
      </c>
      <c r="M1764" s="1">
        <v>8.7</v>
      </c>
      <c r="N1764" s="1">
        <v>22.9</v>
      </c>
      <c r="O1764" s="1">
        <v>87.193782452</v>
      </c>
      <c r="P1764" s="1">
        <v>7.6264920249</v>
      </c>
      <c r="Q1764" s="1">
        <v>64.1605699999999</v>
      </c>
      <c r="R1764" s="1">
        <v>88.150289017</v>
      </c>
      <c r="S1764" s="1">
        <v>11.6</v>
      </c>
      <c r="T1764" s="1">
        <v>11332.0</v>
      </c>
      <c r="U1764" s="1">
        <v>31.521355454</v>
      </c>
      <c r="V1764" s="1">
        <v>238.69108088</v>
      </c>
      <c r="W1764" s="1">
        <v>15.982015124</v>
      </c>
      <c r="X1764" s="1">
        <v>14.580751755</v>
      </c>
      <c r="Y1764" s="1">
        <v>77.980267836</v>
      </c>
      <c r="Z1764" s="1">
        <v>8.9</v>
      </c>
      <c r="AA1764" s="1">
        <v>4.3017205183</v>
      </c>
      <c r="AB1764" s="1">
        <v>64777.0</v>
      </c>
      <c r="AC1764" s="1">
        <v>31.808731809</v>
      </c>
      <c r="AD1764" s="1">
        <v>76.910950321</v>
      </c>
      <c r="AE1764" s="1">
        <v>14.168039539</v>
      </c>
      <c r="AF1764" s="1">
        <v>0.5653698666</v>
      </c>
      <c r="AG1764" s="1">
        <v>0.298253089</v>
      </c>
      <c r="AH1764" s="1">
        <v>1.122545967</v>
      </c>
      <c r="AI1764" s="1">
        <v>0.0196650388</v>
      </c>
      <c r="AJ1764" s="1">
        <v>1.6944708466</v>
      </c>
      <c r="AK1764" s="1">
        <v>95.013273901</v>
      </c>
      <c r="AL1764" s="1">
        <v>0.1966025696</v>
      </c>
      <c r="AM1764" s="1">
        <v>50.606338698</v>
      </c>
      <c r="AN1764" s="1">
        <v>66.279456797</v>
      </c>
      <c r="AO1764" s="1">
        <v>32501.0</v>
      </c>
      <c r="AP1764" s="1">
        <v>10.3</v>
      </c>
      <c r="AQ1764" s="1">
        <v>5.1</v>
      </c>
      <c r="AR1764" s="1">
        <v>8.3</v>
      </c>
      <c r="AS1764" s="1">
        <v>19.6</v>
      </c>
      <c r="AT1764" s="1">
        <v>19.2</v>
      </c>
      <c r="AU1764" s="1">
        <v>14.4</v>
      </c>
      <c r="AV1764" s="1">
        <v>4.8</v>
      </c>
      <c r="AW1764" s="1">
        <v>0.3</v>
      </c>
      <c r="AX1764" s="1">
        <v>0.0942</v>
      </c>
      <c r="AY1764" s="1">
        <v>8.6</v>
      </c>
      <c r="AZ1764" s="1">
        <v>9.4</v>
      </c>
      <c r="BA1764" s="1">
        <v>14.6</v>
      </c>
      <c r="BB1764" s="1">
        <v>3.74</v>
      </c>
      <c r="BC1764" s="1" t="s">
        <v>2966</v>
      </c>
      <c r="BD1764" s="1">
        <v>6.8</v>
      </c>
      <c r="BE1764" s="1">
        <v>29.5</v>
      </c>
      <c r="BF1764" s="1">
        <v>31.2</v>
      </c>
      <c r="BG1764" s="1">
        <v>32.6</v>
      </c>
      <c r="BH1764" s="1" t="s">
        <v>2965</v>
      </c>
    </row>
    <row r="1765">
      <c r="A1765" s="1">
        <v>33003.0</v>
      </c>
      <c r="B1765" s="2" t="str">
        <f>IFERROR(__xludf.DUMMYFUNCTION("TO_TEXT(A1765)"),"33003")</f>
        <v>33003</v>
      </c>
      <c r="C1765" s="1">
        <v>47416.0</v>
      </c>
      <c r="D1765" s="1">
        <v>932.004105027283</v>
      </c>
      <c r="E1765" s="1" t="s">
        <v>298</v>
      </c>
      <c r="F1765" s="1" t="s">
        <v>2967</v>
      </c>
      <c r="G1765" s="1">
        <v>50.8753123985563</v>
      </c>
      <c r="H1765" s="1">
        <v>12.584887675</v>
      </c>
      <c r="I1765" s="1">
        <v>4.04494885459999</v>
      </c>
      <c r="J1765" s="1">
        <v>6.0075093867</v>
      </c>
      <c r="K1765" s="1">
        <v>14.7989972609999</v>
      </c>
      <c r="L1765" s="1">
        <v>27.2</v>
      </c>
      <c r="M1765" s="1">
        <v>9.0</v>
      </c>
      <c r="N1765" s="1">
        <v>21.6</v>
      </c>
      <c r="O1765" s="1">
        <v>80.622359781</v>
      </c>
      <c r="P1765" s="1">
        <v>8.98818252389999</v>
      </c>
      <c r="Q1765" s="1">
        <v>91.54461</v>
      </c>
      <c r="R1765" s="1">
        <v>93.704600484</v>
      </c>
      <c r="S1765" s="1">
        <v>14.3</v>
      </c>
      <c r="T1765" s="1">
        <v>7678.0</v>
      </c>
      <c r="U1765" s="1">
        <v>34.201615004</v>
      </c>
      <c r="V1765" s="1">
        <v>181.4903147</v>
      </c>
      <c r="W1765" s="1">
        <v>15.467885494</v>
      </c>
      <c r="X1765" s="1">
        <v>12.960271318</v>
      </c>
      <c r="Y1765" s="1">
        <v>79.42713929</v>
      </c>
      <c r="Z1765" s="1">
        <v>10.1</v>
      </c>
      <c r="AA1765" s="1">
        <v>0.5061435917</v>
      </c>
      <c r="AB1765" s="1">
        <v>59413.0</v>
      </c>
      <c r="AC1765" s="1">
        <v>33.780640544</v>
      </c>
      <c r="AD1765" s="1">
        <v>79.383009018</v>
      </c>
      <c r="AE1765" s="1">
        <v>13.169708207</v>
      </c>
      <c r="AF1765" s="1">
        <v>0.5453166322</v>
      </c>
      <c r="AG1765" s="1">
        <v>0.3526107546</v>
      </c>
      <c r="AH1765" s="1">
        <v>0.7400725722</v>
      </c>
      <c r="AI1765" s="1">
        <v>0.0410012505</v>
      </c>
      <c r="AJ1765" s="1">
        <v>1.6154492712</v>
      </c>
      <c r="AK1765" s="1">
        <v>95.676418131</v>
      </c>
      <c r="AL1765" s="1">
        <v>0.0978367214</v>
      </c>
      <c r="AM1765" s="1">
        <v>50.386436786</v>
      </c>
      <c r="AN1765" s="1">
        <v>90.20243423</v>
      </c>
      <c r="AO1765" s="1">
        <v>33481.0</v>
      </c>
      <c r="AP1765" s="1">
        <v>10.1</v>
      </c>
      <c r="AQ1765" s="1">
        <v>5.1</v>
      </c>
      <c r="AR1765" s="1">
        <v>6.7</v>
      </c>
      <c r="AS1765" s="1">
        <v>24.2</v>
      </c>
      <c r="AT1765" s="1">
        <v>16.8</v>
      </c>
      <c r="AU1765" s="1">
        <v>16.5</v>
      </c>
      <c r="AV1765" s="1">
        <v>3.8</v>
      </c>
      <c r="AW1765" s="1">
        <v>0.3</v>
      </c>
      <c r="AX1765" s="1">
        <v>0.0662</v>
      </c>
      <c r="AY1765" s="1">
        <v>9.0</v>
      </c>
      <c r="AZ1765" s="1">
        <v>9.6</v>
      </c>
      <c r="BA1765" s="1">
        <v>15.0</v>
      </c>
      <c r="BB1765" s="1">
        <v>3.95</v>
      </c>
      <c r="BC1765" s="1" t="s">
        <v>2966</v>
      </c>
      <c r="BD1765" s="1">
        <v>5.8</v>
      </c>
      <c r="BE1765" s="1">
        <v>29.5</v>
      </c>
      <c r="BF1765" s="1">
        <v>30.4</v>
      </c>
      <c r="BG1765" s="1">
        <v>34.3</v>
      </c>
      <c r="BH1765" s="1" t="s">
        <v>2967</v>
      </c>
    </row>
    <row r="1766">
      <c r="A1766" s="1">
        <v>33005.0</v>
      </c>
      <c r="B1766" s="2" t="str">
        <f>IFERROR(__xludf.DUMMYFUNCTION("TO_TEXT(A1766)"),"33005")</f>
        <v>33005</v>
      </c>
      <c r="C1766" s="1">
        <v>76320.0</v>
      </c>
      <c r="D1766" s="1">
        <v>706.697538153246</v>
      </c>
      <c r="E1766" s="1" t="s">
        <v>2968</v>
      </c>
      <c r="F1766" s="1" t="s">
        <v>2969</v>
      </c>
      <c r="G1766" s="1">
        <v>107.995282110986</v>
      </c>
      <c r="H1766" s="1">
        <v>12.8603032029999</v>
      </c>
      <c r="I1766" s="1">
        <v>4.1038608695</v>
      </c>
      <c r="J1766" s="1">
        <v>5.9331175836</v>
      </c>
      <c r="K1766" s="1">
        <v>16.624635489</v>
      </c>
      <c r="L1766" s="1">
        <v>30.0</v>
      </c>
      <c r="M1766" s="1">
        <v>8.6</v>
      </c>
      <c r="N1766" s="1">
        <v>19.4</v>
      </c>
      <c r="O1766" s="1">
        <v>75.314133071</v>
      </c>
      <c r="P1766" s="1">
        <v>7.1532488475</v>
      </c>
      <c r="Q1766" s="1">
        <v>68.45708</v>
      </c>
      <c r="R1766" s="1">
        <v>89.446366782</v>
      </c>
      <c r="S1766" s="1">
        <v>12.9</v>
      </c>
      <c r="T1766" s="1">
        <v>13679.0</v>
      </c>
      <c r="U1766" s="1">
        <v>30.389648366</v>
      </c>
      <c r="V1766" s="1">
        <v>187.30609281</v>
      </c>
      <c r="W1766" s="1">
        <v>17.161607875</v>
      </c>
      <c r="X1766" s="1">
        <v>15.01898003</v>
      </c>
      <c r="Y1766" s="1">
        <v>78.808828836</v>
      </c>
      <c r="Z1766" s="1">
        <v>8.7</v>
      </c>
      <c r="AA1766" s="1">
        <v>3.2788856941</v>
      </c>
      <c r="AB1766" s="1">
        <v>60251.0</v>
      </c>
      <c r="AC1766" s="1">
        <v>33.975579702</v>
      </c>
      <c r="AD1766" s="1">
        <v>69.820904383</v>
      </c>
      <c r="AE1766" s="1">
        <v>13.493424814</v>
      </c>
      <c r="AF1766" s="1">
        <v>0.720327350199999</v>
      </c>
      <c r="AG1766" s="1">
        <v>0.3137541997</v>
      </c>
      <c r="AH1766" s="1">
        <v>1.7282627168</v>
      </c>
      <c r="AI1766" s="1">
        <v>0.0457558208</v>
      </c>
      <c r="AJ1766" s="1">
        <v>1.9439687292</v>
      </c>
      <c r="AK1766" s="1">
        <v>93.915783144</v>
      </c>
      <c r="AL1766" s="1">
        <v>0.3572900921</v>
      </c>
      <c r="AM1766" s="1">
        <v>51.05826677</v>
      </c>
      <c r="AN1766" s="1">
        <v>65.015495935</v>
      </c>
      <c r="AO1766" s="1">
        <v>30935.0</v>
      </c>
      <c r="AP1766" s="1">
        <v>10.9</v>
      </c>
      <c r="AQ1766" s="1">
        <v>5.0</v>
      </c>
      <c r="AR1766" s="1">
        <v>7.3</v>
      </c>
      <c r="AS1766" s="1">
        <v>17.2</v>
      </c>
      <c r="AT1766" s="1">
        <v>18.5</v>
      </c>
      <c r="AU1766" s="1">
        <v>13.6</v>
      </c>
      <c r="AV1766" s="1">
        <v>5.4</v>
      </c>
      <c r="AW1766" s="1">
        <v>0.3</v>
      </c>
      <c r="AX1766" s="1">
        <v>0.1496</v>
      </c>
      <c r="AY1766" s="1">
        <v>9.7</v>
      </c>
      <c r="AZ1766" s="1">
        <v>9.5</v>
      </c>
      <c r="BA1766" s="1">
        <v>13.7</v>
      </c>
      <c r="BB1766" s="1">
        <v>3.38</v>
      </c>
      <c r="BC1766" s="1" t="s">
        <v>2966</v>
      </c>
      <c r="BD1766" s="1">
        <v>6.6</v>
      </c>
      <c r="BE1766" s="1">
        <v>31.4</v>
      </c>
      <c r="BF1766" s="1">
        <v>28.8</v>
      </c>
      <c r="BG1766" s="1">
        <v>33.1</v>
      </c>
      <c r="BH1766" s="1" t="s">
        <v>2969</v>
      </c>
    </row>
    <row r="1767">
      <c r="A1767" s="1">
        <v>33007.0</v>
      </c>
      <c r="B1767" s="2" t="str">
        <f>IFERROR(__xludf.DUMMYFUNCTION("TO_TEXT(A1767)"),"33007")</f>
        <v>33007</v>
      </c>
      <c r="C1767" s="1">
        <v>32219.0</v>
      </c>
      <c r="D1767" s="1">
        <v>1794.5653966188</v>
      </c>
      <c r="E1767" s="1" t="s">
        <v>2970</v>
      </c>
      <c r="F1767" s="1" t="s">
        <v>2971</v>
      </c>
      <c r="G1767" s="1">
        <v>17.9536505388463</v>
      </c>
      <c r="H1767" s="1">
        <v>14.858929085</v>
      </c>
      <c r="I1767" s="1">
        <v>4.0307989713</v>
      </c>
      <c r="J1767" s="1">
        <v>8.1239041496</v>
      </c>
      <c r="K1767" s="1">
        <v>16.509778171</v>
      </c>
      <c r="L1767" s="1">
        <v>33.6</v>
      </c>
      <c r="M1767" s="1">
        <v>8.2</v>
      </c>
      <c r="N1767" s="1">
        <v>25.9</v>
      </c>
      <c r="O1767" s="1">
        <v>73.510815308</v>
      </c>
      <c r="P1767" s="1">
        <v>7.7905777937</v>
      </c>
      <c r="Q1767" s="1">
        <v>113.80161</v>
      </c>
      <c r="R1767" s="1">
        <v>92.3566878979999</v>
      </c>
      <c r="S1767" s="1">
        <v>21.0</v>
      </c>
      <c r="T1767" s="1">
        <v>5200.0</v>
      </c>
      <c r="U1767" s="1">
        <v>39.480769231</v>
      </c>
      <c r="V1767" s="1">
        <v>158.66981803</v>
      </c>
      <c r="W1767" s="1">
        <v>15.163492634</v>
      </c>
      <c r="X1767" s="1">
        <v>13.015184382</v>
      </c>
      <c r="Y1767" s="1">
        <v>77.136315707</v>
      </c>
      <c r="Z1767" s="1">
        <v>13.1</v>
      </c>
      <c r="AA1767" s="1">
        <v>4.708515456</v>
      </c>
      <c r="AB1767" s="1">
        <v>44259.0</v>
      </c>
      <c r="AC1767" s="1">
        <v>46.265060241</v>
      </c>
      <c r="AD1767" s="1">
        <v>70.911078717</v>
      </c>
      <c r="AE1767" s="1">
        <v>12.820512821</v>
      </c>
      <c r="AF1767" s="1">
        <v>0.8673905473</v>
      </c>
      <c r="AG1767" s="1">
        <v>0.4843458166</v>
      </c>
      <c r="AH1767" s="1">
        <v>0.6078065149</v>
      </c>
      <c r="AI1767" s="1">
        <v>0.0063313179</v>
      </c>
      <c r="AJ1767" s="1">
        <v>1.8392478394</v>
      </c>
      <c r="AK1767" s="1">
        <v>94.915951755</v>
      </c>
      <c r="AL1767" s="1">
        <v>0.5819056598</v>
      </c>
      <c r="AM1767" s="1">
        <v>47.187312039</v>
      </c>
      <c r="AN1767" s="1">
        <v>66.241113296</v>
      </c>
      <c r="AO1767" s="1">
        <v>25467.0</v>
      </c>
      <c r="AP1767" s="1">
        <v>13.3</v>
      </c>
      <c r="AQ1767" s="1">
        <v>6.7</v>
      </c>
      <c r="AR1767" s="1">
        <v>12.1</v>
      </c>
      <c r="AS1767" s="1">
        <v>21.5</v>
      </c>
      <c r="AT1767" s="1">
        <v>16.6</v>
      </c>
      <c r="AU1767" s="1">
        <v>20.0</v>
      </c>
      <c r="AV1767" s="1">
        <v>4.7</v>
      </c>
      <c r="AW1767" s="1">
        <v>0.6</v>
      </c>
      <c r="AX1767" s="1">
        <v>0.4807</v>
      </c>
      <c r="AY1767" s="1">
        <v>13.9</v>
      </c>
      <c r="AZ1767" s="1">
        <v>12.6</v>
      </c>
      <c r="BA1767" s="1">
        <v>18.6</v>
      </c>
      <c r="BB1767" s="1">
        <v>3.59</v>
      </c>
      <c r="BC1767" s="1" t="s">
        <v>2966</v>
      </c>
      <c r="BD1767" s="1">
        <v>12.2</v>
      </c>
      <c r="BE1767" s="1">
        <v>39.0</v>
      </c>
      <c r="BF1767" s="1">
        <v>30.6</v>
      </c>
      <c r="BG1767" s="1">
        <v>18.2</v>
      </c>
      <c r="BH1767" s="1" t="s">
        <v>2971</v>
      </c>
    </row>
    <row r="1768">
      <c r="A1768" s="1">
        <v>33009.0</v>
      </c>
      <c r="B1768" s="2" t="str">
        <f>IFERROR(__xludf.DUMMYFUNCTION("TO_TEXT(A1768)"),"33009")</f>
        <v>33009</v>
      </c>
      <c r="C1768" s="1">
        <v>89164.0</v>
      </c>
      <c r="D1768" s="1">
        <v>1708.5848055612</v>
      </c>
      <c r="E1768" s="1" t="s">
        <v>2972</v>
      </c>
      <c r="F1768" s="1" t="s">
        <v>2973</v>
      </c>
      <c r="G1768" s="1">
        <v>52.1858790443318</v>
      </c>
      <c r="H1768" s="1">
        <v>11.73241985</v>
      </c>
      <c r="I1768" s="1">
        <v>3.9984256974</v>
      </c>
      <c r="J1768" s="1">
        <v>6.8204025796</v>
      </c>
      <c r="K1768" s="1">
        <v>13.236828867</v>
      </c>
      <c r="L1768" s="1">
        <v>23.6</v>
      </c>
      <c r="M1768" s="1">
        <v>8.5</v>
      </c>
      <c r="N1768" s="1">
        <v>19.2</v>
      </c>
      <c r="O1768" s="1">
        <v>89.59693889</v>
      </c>
      <c r="P1768" s="1">
        <v>8.4228177595</v>
      </c>
      <c r="Q1768" s="1">
        <v>196.89884</v>
      </c>
      <c r="R1768" s="1">
        <v>94.5538818079999</v>
      </c>
      <c r="S1768" s="1">
        <v>12.5</v>
      </c>
      <c r="T1768" s="1">
        <v>14643.0</v>
      </c>
      <c r="U1768" s="1">
        <v>28.744109814</v>
      </c>
      <c r="V1768" s="1">
        <v>166.82952406</v>
      </c>
      <c r="W1768" s="1">
        <v>14.553788855</v>
      </c>
      <c r="X1768" s="1">
        <v>12.414091828</v>
      </c>
      <c r="Y1768" s="1">
        <v>80.80190948</v>
      </c>
      <c r="Z1768" s="1">
        <v>7.0</v>
      </c>
      <c r="AA1768" s="1">
        <v>4.8287682104</v>
      </c>
      <c r="AB1768" s="1">
        <v>65163.0</v>
      </c>
      <c r="AC1768" s="1">
        <v>29.158334848</v>
      </c>
      <c r="AD1768" s="1">
        <v>68.980202578</v>
      </c>
      <c r="AE1768" s="1">
        <v>11.89345447</v>
      </c>
      <c r="AF1768" s="1">
        <v>1.0903704364</v>
      </c>
      <c r="AG1768" s="1">
        <v>0.3875882654</v>
      </c>
      <c r="AH1768" s="1">
        <v>3.7934644599</v>
      </c>
      <c r="AI1768" s="1">
        <v>0.0334127815</v>
      </c>
      <c r="AJ1768" s="1">
        <v>2.5293475598</v>
      </c>
      <c r="AK1768" s="1">
        <v>90.6098946379999</v>
      </c>
      <c r="AL1768" s="1">
        <v>0.6863872339</v>
      </c>
      <c r="AM1768" s="1">
        <v>50.574699842</v>
      </c>
      <c r="AN1768" s="1">
        <v>68.71563545</v>
      </c>
      <c r="AO1768" s="1">
        <v>33964.0</v>
      </c>
      <c r="AP1768" s="1">
        <v>11.7</v>
      </c>
      <c r="AQ1768" s="1">
        <v>4.6</v>
      </c>
      <c r="AR1768" s="1">
        <v>7.8</v>
      </c>
      <c r="AS1768" s="1">
        <v>18.0</v>
      </c>
      <c r="AT1768" s="1">
        <v>17.1</v>
      </c>
      <c r="AU1768" s="1">
        <v>13.7</v>
      </c>
      <c r="AV1768" s="1">
        <v>8.6</v>
      </c>
      <c r="AW1768" s="1">
        <v>0.5</v>
      </c>
      <c r="AX1768" s="1">
        <v>0.1961</v>
      </c>
      <c r="AY1768" s="1">
        <v>9.2</v>
      </c>
      <c r="AZ1768" s="1">
        <v>9.7</v>
      </c>
      <c r="BA1768" s="1">
        <v>14.3</v>
      </c>
      <c r="BB1768" s="1">
        <v>3.79</v>
      </c>
      <c r="BC1768" s="1" t="s">
        <v>2966</v>
      </c>
      <c r="BD1768" s="1">
        <v>7.2</v>
      </c>
      <c r="BE1768" s="1">
        <v>26.5</v>
      </c>
      <c r="BF1768" s="1">
        <v>25.7</v>
      </c>
      <c r="BG1768" s="1">
        <v>40.6</v>
      </c>
      <c r="BH1768" s="1" t="s">
        <v>2973</v>
      </c>
    </row>
    <row r="1769">
      <c r="A1769" s="1">
        <v>33011.0</v>
      </c>
      <c r="B1769" s="2" t="str">
        <f>IFERROR(__xludf.DUMMYFUNCTION("TO_TEXT(A1769)"),"33011")</f>
        <v>33011</v>
      </c>
      <c r="C1769" s="1">
        <v>404948.0</v>
      </c>
      <c r="D1769" s="1">
        <v>876.403937098318</v>
      </c>
      <c r="E1769" s="1" t="s">
        <v>729</v>
      </c>
      <c r="F1769" s="1" t="s">
        <v>2974</v>
      </c>
      <c r="G1769" s="1">
        <v>462.056345092127</v>
      </c>
      <c r="H1769" s="1">
        <v>12.123609309</v>
      </c>
      <c r="I1769" s="1">
        <v>3.6696247121</v>
      </c>
      <c r="J1769" s="1">
        <v>7.07943527809999</v>
      </c>
      <c r="K1769" s="1">
        <v>13.527797003</v>
      </c>
      <c r="L1769" s="1">
        <v>28.0</v>
      </c>
      <c r="M1769" s="1">
        <v>8.5</v>
      </c>
      <c r="N1769" s="1">
        <v>22.5</v>
      </c>
      <c r="O1769" s="1">
        <v>91.730905044</v>
      </c>
      <c r="P1769" s="1">
        <v>7.1801539878</v>
      </c>
      <c r="Q1769" s="1">
        <v>88.1139</v>
      </c>
      <c r="R1769" s="1">
        <v>87.981670485</v>
      </c>
      <c r="S1769" s="1">
        <v>10.0</v>
      </c>
      <c r="T1769" s="1">
        <v>85457.0</v>
      </c>
      <c r="U1769" s="1">
        <v>27.83037083</v>
      </c>
      <c r="V1769" s="1">
        <v>273.06590869</v>
      </c>
      <c r="W1769" s="1">
        <v>15.312429939</v>
      </c>
      <c r="X1769" s="1">
        <v>13.414318945</v>
      </c>
      <c r="Y1769" s="1">
        <v>79.426993582</v>
      </c>
      <c r="Z1769" s="1">
        <v>9.5</v>
      </c>
      <c r="AA1769" s="1">
        <v>5.5092842752</v>
      </c>
      <c r="AB1769" s="1">
        <v>78714.0</v>
      </c>
      <c r="AC1769" s="1">
        <v>29.254604923</v>
      </c>
      <c r="AD1769" s="1">
        <v>65.9541457289999</v>
      </c>
      <c r="AE1769" s="1">
        <v>13.313322263</v>
      </c>
      <c r="AF1769" s="1">
        <v>2.4912883176</v>
      </c>
      <c r="AG1769" s="1">
        <v>0.3226995017</v>
      </c>
      <c r="AH1769" s="1">
        <v>4.4992498441</v>
      </c>
      <c r="AI1769" s="1">
        <v>0.0659848235</v>
      </c>
      <c r="AJ1769" s="1">
        <v>7.0324409327</v>
      </c>
      <c r="AK1769" s="1">
        <v>84.052864921</v>
      </c>
      <c r="AL1769" s="1">
        <v>1.9850594105</v>
      </c>
      <c r="AM1769" s="1">
        <v>50.2387735489999</v>
      </c>
      <c r="AN1769" s="1">
        <v>21.191302677</v>
      </c>
      <c r="AO1769" s="1">
        <v>36012.0</v>
      </c>
      <c r="AP1769" s="1">
        <v>8.6</v>
      </c>
      <c r="AQ1769" s="1">
        <v>5.2</v>
      </c>
      <c r="AR1769" s="1">
        <v>8.4</v>
      </c>
      <c r="AS1769" s="1">
        <v>13.9</v>
      </c>
      <c r="AT1769" s="1">
        <v>21.7</v>
      </c>
      <c r="AU1769" s="1">
        <v>11.1</v>
      </c>
      <c r="AV1769" s="1">
        <v>13.9</v>
      </c>
      <c r="AW1769" s="1">
        <v>1.9</v>
      </c>
      <c r="AX1769" s="1">
        <v>0.1812</v>
      </c>
      <c r="AY1769" s="1">
        <v>7.5</v>
      </c>
      <c r="AZ1769" s="1">
        <v>8.7</v>
      </c>
      <c r="BA1769" s="1">
        <v>11.5</v>
      </c>
      <c r="BB1769" s="1">
        <v>3.52</v>
      </c>
      <c r="BC1769" s="1" t="s">
        <v>2966</v>
      </c>
      <c r="BD1769" s="1">
        <v>7.9</v>
      </c>
      <c r="BE1769" s="1">
        <v>25.8</v>
      </c>
      <c r="BF1769" s="1">
        <v>28.2</v>
      </c>
      <c r="BG1769" s="1">
        <v>38.1</v>
      </c>
      <c r="BH1769" s="1" t="s">
        <v>2974</v>
      </c>
    </row>
    <row r="1770">
      <c r="A1770" s="1">
        <v>33013.0</v>
      </c>
      <c r="B1770" s="2" t="str">
        <f>IFERROR(__xludf.DUMMYFUNCTION("TO_TEXT(A1770)"),"33013")</f>
        <v>33013</v>
      </c>
      <c r="C1770" s="1">
        <v>147715.0</v>
      </c>
      <c r="D1770" s="1">
        <v>932.756415507836</v>
      </c>
      <c r="E1770" s="1" t="s">
        <v>2975</v>
      </c>
      <c r="F1770" s="1" t="s">
        <v>2976</v>
      </c>
      <c r="G1770" s="1">
        <v>158.363960348187</v>
      </c>
      <c r="H1770" s="1">
        <v>10.9260913309999</v>
      </c>
      <c r="I1770" s="1">
        <v>3.7003090262</v>
      </c>
      <c r="J1770" s="1">
        <v>6.7472741013</v>
      </c>
      <c r="K1770" s="1">
        <v>13.603645069</v>
      </c>
      <c r="L1770" s="1">
        <v>27.6</v>
      </c>
      <c r="M1770" s="1">
        <v>8.6</v>
      </c>
      <c r="N1770" s="1">
        <v>20.0</v>
      </c>
      <c r="O1770" s="1">
        <v>92.608829253</v>
      </c>
      <c r="P1770" s="1">
        <v>7.466197853</v>
      </c>
      <c r="Q1770" s="1">
        <v>110.57795</v>
      </c>
      <c r="R1770" s="1">
        <v>87.981510015</v>
      </c>
      <c r="S1770" s="1">
        <v>9.0</v>
      </c>
      <c r="T1770" s="1">
        <v>28719.0</v>
      </c>
      <c r="U1770" s="1">
        <v>26.88464083</v>
      </c>
      <c r="V1770" s="1">
        <v>157.63524344</v>
      </c>
      <c r="W1770" s="1">
        <v>15.020250044</v>
      </c>
      <c r="X1770" s="1">
        <v>13.245209368</v>
      </c>
      <c r="Y1770" s="1">
        <v>79.570595404</v>
      </c>
      <c r="Z1770" s="1">
        <v>8.8</v>
      </c>
      <c r="AA1770" s="1">
        <v>5.084897979</v>
      </c>
      <c r="AB1770" s="1">
        <v>74351.0</v>
      </c>
      <c r="AC1770" s="1">
        <v>26.829787234</v>
      </c>
      <c r="AD1770" s="1">
        <v>71.567864737</v>
      </c>
      <c r="AE1770" s="1">
        <v>12.646113642</v>
      </c>
      <c r="AF1770" s="1">
        <v>1.4464177011</v>
      </c>
      <c r="AG1770" s="1">
        <v>0.2884895323</v>
      </c>
      <c r="AH1770" s="1">
        <v>2.3681285234</v>
      </c>
      <c r="AI1770" s="1">
        <v>0.0337453352</v>
      </c>
      <c r="AJ1770" s="1">
        <v>2.2510123601</v>
      </c>
      <c r="AK1770" s="1">
        <v>92.2193843789999</v>
      </c>
      <c r="AL1770" s="1">
        <v>1.0782391104</v>
      </c>
      <c r="AM1770" s="1">
        <v>50.7450440669999</v>
      </c>
      <c r="AN1770" s="1">
        <v>54.61299464</v>
      </c>
      <c r="AO1770" s="1">
        <v>32848.0</v>
      </c>
      <c r="AP1770" s="1">
        <v>8.6</v>
      </c>
      <c r="AQ1770" s="1">
        <v>4.8</v>
      </c>
      <c r="AR1770" s="1">
        <v>6.9</v>
      </c>
      <c r="AS1770" s="1">
        <v>16.1</v>
      </c>
      <c r="AT1770" s="1">
        <v>20.0</v>
      </c>
      <c r="AU1770" s="1">
        <v>13.7</v>
      </c>
      <c r="AV1770" s="1">
        <v>6.6</v>
      </c>
      <c r="AW1770" s="1">
        <v>0.8</v>
      </c>
      <c r="AX1770" s="1">
        <v>0.1388</v>
      </c>
      <c r="AY1770" s="1">
        <v>6.4</v>
      </c>
      <c r="AZ1770" s="1">
        <v>8.6</v>
      </c>
      <c r="BA1770" s="1">
        <v>11.9</v>
      </c>
      <c r="BB1770" s="1">
        <v>3.76</v>
      </c>
      <c r="BC1770" s="1" t="s">
        <v>2966</v>
      </c>
      <c r="BD1770" s="1">
        <v>6.8</v>
      </c>
      <c r="BE1770" s="1">
        <v>27.7</v>
      </c>
      <c r="BF1770" s="1">
        <v>29.9</v>
      </c>
      <c r="BG1770" s="1">
        <v>35.6</v>
      </c>
      <c r="BH1770" s="1" t="s">
        <v>2976</v>
      </c>
    </row>
    <row r="1771">
      <c r="A1771" s="1">
        <v>33015.0</v>
      </c>
      <c r="B1771" s="2" t="str">
        <f>IFERROR(__xludf.DUMMYFUNCTION("TO_TEXT(A1771)"),"33015")</f>
        <v>33015</v>
      </c>
      <c r="C1771" s="1">
        <v>300365.0</v>
      </c>
      <c r="D1771" s="1">
        <v>695.117643803544</v>
      </c>
      <c r="E1771" s="1" t="s">
        <v>2977</v>
      </c>
      <c r="F1771" s="1" t="s">
        <v>2978</v>
      </c>
      <c r="G1771" s="1">
        <v>432.106712694649</v>
      </c>
      <c r="H1771" s="1">
        <v>9.2801835442</v>
      </c>
      <c r="I1771" s="1">
        <v>3.6051467869</v>
      </c>
      <c r="J1771" s="1">
        <v>6.6233414568</v>
      </c>
      <c r="K1771" s="1">
        <v>12.4584406159999</v>
      </c>
      <c r="L1771" s="1">
        <v>26.6</v>
      </c>
      <c r="M1771" s="1">
        <v>8.9</v>
      </c>
      <c r="N1771" s="1">
        <v>18.9</v>
      </c>
      <c r="O1771" s="1">
        <v>88.437215258</v>
      </c>
      <c r="P1771" s="1">
        <v>5.5747480006</v>
      </c>
      <c r="Q1771" s="1">
        <v>75.72716</v>
      </c>
      <c r="R1771" s="1">
        <v>93.02662037</v>
      </c>
      <c r="S1771" s="1">
        <v>6.7</v>
      </c>
      <c r="T1771" s="1">
        <v>60501.0</v>
      </c>
      <c r="U1771" s="1">
        <v>22.928546636</v>
      </c>
      <c r="V1771" s="1">
        <v>117.178702599999</v>
      </c>
      <c r="W1771" s="1">
        <v>13.263672369</v>
      </c>
      <c r="X1771" s="1">
        <v>11.945349182</v>
      </c>
      <c r="Y1771" s="1">
        <v>80.632618</v>
      </c>
      <c r="Z1771" s="1">
        <v>8.9</v>
      </c>
      <c r="AA1771" s="1">
        <v>5.5321108917</v>
      </c>
      <c r="AB1771" s="1">
        <v>93645.0</v>
      </c>
      <c r="AC1771" s="1">
        <v>13.6891694109999</v>
      </c>
      <c r="AD1771" s="1">
        <v>77.05310994</v>
      </c>
      <c r="AE1771" s="1">
        <v>11.7769240509999</v>
      </c>
      <c r="AF1771" s="1">
        <v>0.7781975315</v>
      </c>
      <c r="AG1771" s="1">
        <v>0.2254379383</v>
      </c>
      <c r="AH1771" s="1">
        <v>2.2301213548</v>
      </c>
      <c r="AI1771" s="1">
        <v>0.0475457345</v>
      </c>
      <c r="AJ1771" s="1">
        <v>3.1771547597</v>
      </c>
      <c r="AK1771" s="1">
        <v>92.323789686</v>
      </c>
      <c r="AL1771" s="1">
        <v>0.4792480444</v>
      </c>
      <c r="AM1771" s="1">
        <v>50.41044583</v>
      </c>
      <c r="AN1771" s="1">
        <v>24.898127856</v>
      </c>
      <c r="AO1771" s="1">
        <v>41449.0</v>
      </c>
      <c r="AP1771" s="1">
        <v>5.1</v>
      </c>
      <c r="AQ1771" s="1">
        <v>4.9</v>
      </c>
      <c r="AR1771" s="1">
        <v>5.2</v>
      </c>
      <c r="AS1771" s="1">
        <v>15.2</v>
      </c>
      <c r="AT1771" s="1">
        <v>20.7</v>
      </c>
      <c r="AU1771" s="1">
        <v>10.2</v>
      </c>
      <c r="AV1771" s="1">
        <v>6.6</v>
      </c>
      <c r="AW1771" s="1">
        <v>0.5</v>
      </c>
      <c r="AX1771" s="1">
        <v>0.0105</v>
      </c>
      <c r="AY1771" s="1">
        <v>5.1</v>
      </c>
      <c r="AZ1771" s="1">
        <v>7.0</v>
      </c>
      <c r="BA1771" s="1">
        <v>10.1</v>
      </c>
      <c r="BB1771" s="1">
        <v>3.61</v>
      </c>
      <c r="BC1771" s="1" t="s">
        <v>2966</v>
      </c>
      <c r="BD1771" s="1">
        <v>4.9</v>
      </c>
      <c r="BE1771" s="1">
        <v>25.4</v>
      </c>
      <c r="BF1771" s="1">
        <v>28.3</v>
      </c>
      <c r="BG1771" s="1">
        <v>41.4</v>
      </c>
      <c r="BH1771" s="1" t="s">
        <v>2978</v>
      </c>
    </row>
    <row r="1772">
      <c r="A1772" s="1">
        <v>33017.0</v>
      </c>
      <c r="B1772" s="2" t="str">
        <f>IFERROR(__xludf.DUMMYFUNCTION("TO_TEXT(A1772)"),"33017")</f>
        <v>33017</v>
      </c>
      <c r="C1772" s="1">
        <v>125913.0</v>
      </c>
      <c r="D1772" s="1">
        <v>367.46438927658</v>
      </c>
      <c r="E1772" s="1" t="s">
        <v>2979</v>
      </c>
      <c r="F1772" s="1" t="s">
        <v>2980</v>
      </c>
      <c r="G1772" s="1">
        <v>342.653611273415</v>
      </c>
      <c r="H1772" s="1">
        <v>14.280954236</v>
      </c>
      <c r="I1772" s="1">
        <v>4.25040978279999</v>
      </c>
      <c r="J1772" s="1">
        <v>6.631142688</v>
      </c>
      <c r="K1772" s="1">
        <v>17.177487002</v>
      </c>
      <c r="L1772" s="1">
        <v>29.8</v>
      </c>
      <c r="M1772" s="1">
        <v>8.4</v>
      </c>
      <c r="N1772" s="1">
        <v>23.8</v>
      </c>
      <c r="O1772" s="1">
        <v>89.344095889</v>
      </c>
      <c r="P1772" s="1">
        <v>7.4278383579</v>
      </c>
      <c r="Q1772" s="1">
        <v>63.75716</v>
      </c>
      <c r="R1772" s="1">
        <v>85.554520037</v>
      </c>
      <c r="S1772" s="1">
        <v>10.9</v>
      </c>
      <c r="T1772" s="1">
        <v>23739.0</v>
      </c>
      <c r="U1772" s="1">
        <v>27.659126332</v>
      </c>
      <c r="V1772" s="1">
        <v>235.77068532</v>
      </c>
      <c r="W1772" s="1">
        <v>17.507325241</v>
      </c>
      <c r="X1772" s="1">
        <v>14.885335578</v>
      </c>
      <c r="Y1772" s="1">
        <v>77.992696368</v>
      </c>
      <c r="Z1772" s="1">
        <v>10.4</v>
      </c>
      <c r="AA1772" s="1">
        <v>5.2949851237</v>
      </c>
      <c r="AB1772" s="1">
        <v>69919.0</v>
      </c>
      <c r="AC1772" s="1">
        <v>29.560603119</v>
      </c>
      <c r="AD1772" s="1">
        <v>66.299332619</v>
      </c>
      <c r="AE1772" s="1">
        <v>14.545151269</v>
      </c>
      <c r="AF1772" s="1">
        <v>1.162272273</v>
      </c>
      <c r="AG1772" s="1">
        <v>0.2705819048</v>
      </c>
      <c r="AH1772" s="1">
        <v>3.7481743408</v>
      </c>
      <c r="AI1772" s="1">
        <v>0.0468906142</v>
      </c>
      <c r="AJ1772" s="1">
        <v>2.5766776847</v>
      </c>
      <c r="AK1772" s="1">
        <v>90.544238604</v>
      </c>
      <c r="AL1772" s="1">
        <v>0.615316548</v>
      </c>
      <c r="AM1772" s="1">
        <v>51.003920363</v>
      </c>
      <c r="AN1772" s="1">
        <v>32.401354523</v>
      </c>
      <c r="AO1772" s="1">
        <v>30598.0</v>
      </c>
      <c r="AP1772" s="1">
        <v>10.1</v>
      </c>
      <c r="AQ1772" s="1">
        <v>5.5</v>
      </c>
      <c r="AR1772" s="1">
        <v>7.7</v>
      </c>
      <c r="AS1772" s="1">
        <v>13.6</v>
      </c>
      <c r="AT1772" s="1">
        <v>19.4</v>
      </c>
      <c r="AU1772" s="1">
        <v>12.9</v>
      </c>
      <c r="AV1772" s="1">
        <v>8.4</v>
      </c>
      <c r="AW1772" s="1">
        <v>0.7</v>
      </c>
      <c r="AX1772" s="1">
        <v>0.2432</v>
      </c>
      <c r="AY1772" s="1">
        <v>8.8</v>
      </c>
      <c r="AZ1772" s="1">
        <v>9.0</v>
      </c>
      <c r="BA1772" s="1">
        <v>12.5</v>
      </c>
      <c r="BB1772" s="1">
        <v>3.66</v>
      </c>
      <c r="BC1772" s="1" t="s">
        <v>2966</v>
      </c>
      <c r="BD1772" s="1">
        <v>7.2</v>
      </c>
      <c r="BE1772" s="1">
        <v>27.6</v>
      </c>
      <c r="BF1772" s="1">
        <v>29.4</v>
      </c>
      <c r="BG1772" s="1">
        <v>35.8</v>
      </c>
      <c r="BH1772" s="1" t="s">
        <v>2980</v>
      </c>
    </row>
    <row r="1773">
      <c r="A1773" s="1">
        <v>33019.0</v>
      </c>
      <c r="B1773" s="2" t="str">
        <f>IFERROR(__xludf.DUMMYFUNCTION("TO_TEXT(A1773)"),"33019")</f>
        <v>33019</v>
      </c>
      <c r="C1773" s="1">
        <v>43051.0</v>
      </c>
      <c r="D1773" s="1">
        <v>537.509552572044</v>
      </c>
      <c r="E1773" s="1" t="s">
        <v>1416</v>
      </c>
      <c r="F1773" s="1" t="s">
        <v>2981</v>
      </c>
      <c r="G1773" s="1">
        <v>80.0934602817682</v>
      </c>
      <c r="H1773" s="1">
        <v>13.018037672</v>
      </c>
      <c r="I1773" s="1">
        <v>4.4505401625</v>
      </c>
      <c r="J1773" s="1">
        <v>7.8273591807</v>
      </c>
      <c r="K1773" s="1">
        <v>16.256162544</v>
      </c>
      <c r="L1773" s="1">
        <v>33.4</v>
      </c>
      <c r="M1773" s="1">
        <v>8.6</v>
      </c>
      <c r="N1773" s="1">
        <v>26.5</v>
      </c>
      <c r="O1773" s="1">
        <v>77.867952997</v>
      </c>
      <c r="P1773" s="1">
        <v>7.2255192878</v>
      </c>
      <c r="Q1773" s="1">
        <v>74.28558</v>
      </c>
      <c r="R1773" s="1">
        <v>83.979328165</v>
      </c>
      <c r="S1773" s="1">
        <v>15.2</v>
      </c>
      <c r="T1773" s="1">
        <v>8204.0</v>
      </c>
      <c r="U1773" s="1">
        <v>37.993661628</v>
      </c>
      <c r="V1773" s="1">
        <v>175.22899243</v>
      </c>
      <c r="W1773" s="1">
        <v>14.187643021</v>
      </c>
      <c r="X1773" s="1">
        <v>13.11759607</v>
      </c>
      <c r="Y1773" s="1">
        <v>79.487220023</v>
      </c>
      <c r="Z1773" s="1">
        <v>10.1</v>
      </c>
      <c r="AA1773" s="1">
        <v>4.2130136842</v>
      </c>
      <c r="AB1773" s="1">
        <v>60034.0</v>
      </c>
      <c r="AC1773" s="1">
        <v>43.64651905</v>
      </c>
      <c r="AD1773" s="1">
        <v>73.139797069</v>
      </c>
      <c r="AE1773" s="1">
        <v>12.831807117</v>
      </c>
      <c r="AF1773" s="1">
        <v>0.6536250695</v>
      </c>
      <c r="AG1773" s="1">
        <v>0.3940292972</v>
      </c>
      <c r="AH1773" s="1">
        <v>1.0685147413</v>
      </c>
      <c r="AI1773" s="1">
        <v>0.011589097</v>
      </c>
      <c r="AJ1773" s="1">
        <v>1.675783423</v>
      </c>
      <c r="AK1773" s="1">
        <v>94.7153717779999</v>
      </c>
      <c r="AL1773" s="1">
        <v>0.2456285416</v>
      </c>
      <c r="AM1773" s="1">
        <v>50.637400334</v>
      </c>
      <c r="AN1773" s="1">
        <v>64.162589731</v>
      </c>
      <c r="AO1773" s="1">
        <v>30552.0</v>
      </c>
      <c r="AP1773" s="1">
        <v>9.0</v>
      </c>
      <c r="AQ1773" s="1">
        <v>4.5</v>
      </c>
      <c r="AR1773" s="1">
        <v>9.6</v>
      </c>
      <c r="AS1773" s="1">
        <v>18.7</v>
      </c>
      <c r="AT1773" s="1">
        <v>19.7</v>
      </c>
      <c r="AU1773" s="1">
        <v>14.4</v>
      </c>
      <c r="AV1773" s="1">
        <v>4.5</v>
      </c>
      <c r="AW1773" s="1">
        <v>0.3</v>
      </c>
      <c r="AX1773" s="1">
        <v>0.1452</v>
      </c>
      <c r="AY1773" s="1">
        <v>10.1</v>
      </c>
      <c r="AZ1773" s="1">
        <v>9.7</v>
      </c>
      <c r="BA1773" s="1">
        <v>14.2</v>
      </c>
      <c r="BB1773" s="1">
        <v>3.37</v>
      </c>
      <c r="BC1773" s="1" t="s">
        <v>2966</v>
      </c>
      <c r="BD1773" s="1">
        <v>8.8</v>
      </c>
      <c r="BE1773" s="1">
        <v>36.4</v>
      </c>
      <c r="BF1773" s="1">
        <v>26.7</v>
      </c>
      <c r="BG1773" s="1">
        <v>28.1</v>
      </c>
      <c r="BH1773" s="1" t="s">
        <v>2981</v>
      </c>
    </row>
    <row r="1774">
      <c r="A1774" s="1">
        <v>34001.0</v>
      </c>
      <c r="B1774" s="2" t="str">
        <f>IFERROR(__xludf.DUMMYFUNCTION("TO_TEXT(A1774)"),"34001")</f>
        <v>34001</v>
      </c>
      <c r="C1774" s="1">
        <v>274026.0</v>
      </c>
      <c r="D1774" s="1">
        <v>555.59405017265</v>
      </c>
      <c r="E1774" s="1" t="s">
        <v>2982</v>
      </c>
      <c r="F1774" s="1" t="s">
        <v>2983</v>
      </c>
      <c r="G1774" s="1">
        <v>493.212625143928</v>
      </c>
      <c r="H1774" s="1">
        <v>20.650695155</v>
      </c>
      <c r="I1774" s="1">
        <v>4.4232872226</v>
      </c>
      <c r="J1774" s="1">
        <v>8.1003721019</v>
      </c>
      <c r="K1774" s="1">
        <v>15.6441948</v>
      </c>
      <c r="L1774" s="1">
        <v>29.8</v>
      </c>
      <c r="M1774" s="1">
        <v>7.6</v>
      </c>
      <c r="N1774" s="1">
        <v>30.2</v>
      </c>
      <c r="O1774" s="1">
        <v>91.388786701</v>
      </c>
      <c r="P1774" s="1">
        <v>10.4637739579999</v>
      </c>
      <c r="Q1774" s="1">
        <v>84.09962</v>
      </c>
      <c r="R1774" s="1">
        <v>90.064289889</v>
      </c>
      <c r="S1774" s="1">
        <v>19.1</v>
      </c>
      <c r="T1774" s="1">
        <v>57557.0</v>
      </c>
      <c r="U1774" s="1">
        <v>40.754382612</v>
      </c>
      <c r="V1774" s="1">
        <v>373.1873109</v>
      </c>
      <c r="W1774" s="1">
        <v>25.077904734</v>
      </c>
      <c r="X1774" s="1">
        <v>22.461507798</v>
      </c>
      <c r="Y1774" s="1">
        <v>77.247047169</v>
      </c>
      <c r="Z1774" s="1">
        <v>12.3</v>
      </c>
      <c r="AA1774" s="1">
        <v>8.453772752</v>
      </c>
      <c r="AB1774" s="1">
        <v>60826.0</v>
      </c>
      <c r="AC1774" s="1">
        <v>57.734101435</v>
      </c>
      <c r="AD1774" s="1">
        <v>67.420950398</v>
      </c>
      <c r="AE1774" s="1">
        <v>21.206187985</v>
      </c>
      <c r="AF1774" s="1">
        <v>14.563970026</v>
      </c>
      <c r="AG1774" s="1">
        <v>0.6611937656</v>
      </c>
      <c r="AH1774" s="1">
        <v>8.3024085537</v>
      </c>
      <c r="AI1774" s="1">
        <v>0.0810009456</v>
      </c>
      <c r="AJ1774" s="1">
        <v>19.221336026</v>
      </c>
      <c r="AK1774" s="1">
        <v>55.948671773</v>
      </c>
      <c r="AL1774" s="1">
        <v>5.8506500942</v>
      </c>
      <c r="AM1774" s="1">
        <v>51.5731137139999</v>
      </c>
      <c r="AN1774" s="1">
        <v>12.71357754</v>
      </c>
      <c r="AO1774" s="1">
        <v>28575.0</v>
      </c>
      <c r="AP1774" s="1">
        <v>15.5</v>
      </c>
      <c r="AQ1774" s="1">
        <v>11.8</v>
      </c>
      <c r="AR1774" s="1">
        <v>14.3</v>
      </c>
      <c r="AS1774" s="1">
        <v>15.9</v>
      </c>
      <c r="AT1774" s="1">
        <v>22.1</v>
      </c>
      <c r="AU1774" s="1">
        <v>12.9</v>
      </c>
      <c r="AV1774" s="1">
        <v>43.2</v>
      </c>
      <c r="AW1774" s="1">
        <v>5.9</v>
      </c>
      <c r="AX1774" s="1">
        <v>0.8023</v>
      </c>
      <c r="AY1774" s="1">
        <v>11.3</v>
      </c>
      <c r="AZ1774" s="1">
        <v>11.4</v>
      </c>
      <c r="BA1774" s="1">
        <v>17.1</v>
      </c>
      <c r="BB1774" s="1">
        <v>3.45</v>
      </c>
      <c r="BC1774" s="1" t="s">
        <v>2984</v>
      </c>
      <c r="BD1774" s="1">
        <v>13.0</v>
      </c>
      <c r="BE1774" s="1">
        <v>32.0</v>
      </c>
      <c r="BF1774" s="1">
        <v>26.9</v>
      </c>
      <c r="BG1774" s="1">
        <v>28.1</v>
      </c>
      <c r="BH1774" s="1" t="s">
        <v>2983</v>
      </c>
    </row>
    <row r="1775">
      <c r="A1775" s="1">
        <v>34003.0</v>
      </c>
      <c r="B1775" s="2" t="str">
        <f>IFERROR(__xludf.DUMMYFUNCTION("TO_TEXT(A1775)"),"34003")</f>
        <v>34003</v>
      </c>
      <c r="C1775" s="1">
        <v>930310.0</v>
      </c>
      <c r="D1775" s="1">
        <v>232.760950542884</v>
      </c>
      <c r="E1775" s="1" t="s">
        <v>2985</v>
      </c>
      <c r="F1775" s="1" t="s">
        <v>2986</v>
      </c>
      <c r="G1775" s="1">
        <v>3996.84740000492</v>
      </c>
      <c r="H1775" s="1">
        <v>14.471950907</v>
      </c>
      <c r="I1775" s="1">
        <v>3.4234342335</v>
      </c>
      <c r="J1775" s="1">
        <v>7.8286580975</v>
      </c>
      <c r="K1775" s="1">
        <v>11.410986988</v>
      </c>
      <c r="L1775" s="1">
        <v>22.3</v>
      </c>
      <c r="M1775" s="1">
        <v>9.3</v>
      </c>
      <c r="N1775" s="1">
        <v>24.5</v>
      </c>
      <c r="O1775" s="1">
        <v>99.468686887</v>
      </c>
      <c r="P1775" s="1">
        <v>8.62337252549999</v>
      </c>
      <c r="Q1775" s="1">
        <v>117.67112</v>
      </c>
      <c r="R1775" s="1">
        <v>94.9645797429999</v>
      </c>
      <c r="S1775" s="1">
        <v>8.2</v>
      </c>
      <c r="T1775" s="1">
        <v>198794.0</v>
      </c>
      <c r="U1775" s="1">
        <v>18.659516887</v>
      </c>
      <c r="V1775" s="1">
        <v>84.250499119</v>
      </c>
      <c r="W1775" s="1">
        <v>21.360548254</v>
      </c>
      <c r="X1775" s="1">
        <v>19.576663858</v>
      </c>
      <c r="Y1775" s="1">
        <v>83.227791467</v>
      </c>
      <c r="Z1775" s="1">
        <v>8.2</v>
      </c>
      <c r="AA1775" s="1">
        <v>0.9453630798</v>
      </c>
      <c r="AB1775" s="1">
        <v>100181.0</v>
      </c>
      <c r="AC1775" s="1">
        <v>20.9277127079999</v>
      </c>
      <c r="AD1775" s="1">
        <v>64.414381122</v>
      </c>
      <c r="AE1775" s="1">
        <v>19.535095163</v>
      </c>
      <c r="AF1775" s="1">
        <v>5.5067193912</v>
      </c>
      <c r="AG1775" s="1">
        <v>0.4695246677</v>
      </c>
      <c r="AH1775" s="1">
        <v>16.9253073579999</v>
      </c>
      <c r="AI1775" s="1">
        <v>0.0905313593</v>
      </c>
      <c r="AJ1775" s="1">
        <v>20.578802851</v>
      </c>
      <c r="AK1775" s="1">
        <v>55.659064025</v>
      </c>
      <c r="AL1775" s="1">
        <v>6.72607955559999</v>
      </c>
      <c r="AM1775" s="1">
        <v>51.45811003</v>
      </c>
      <c r="AN1775" s="1">
        <v>0.101533947</v>
      </c>
      <c r="AO1775" s="1">
        <v>44978.0</v>
      </c>
      <c r="AP1775" s="1">
        <v>7.5</v>
      </c>
      <c r="AQ1775" s="1">
        <v>5.8</v>
      </c>
      <c r="AR1775" s="1">
        <v>8.0</v>
      </c>
      <c r="AS1775" s="1">
        <v>16.0</v>
      </c>
      <c r="AT1775" s="1">
        <v>21.8</v>
      </c>
      <c r="AU1775" s="1">
        <v>8.1</v>
      </c>
      <c r="AV1775" s="1">
        <v>41.3</v>
      </c>
      <c r="AW1775" s="1">
        <v>6.5</v>
      </c>
      <c r="AX1775" s="1">
        <v>0.242</v>
      </c>
      <c r="AY1775" s="1">
        <v>5.7</v>
      </c>
      <c r="AZ1775" s="1">
        <v>6.5</v>
      </c>
      <c r="BA1775" s="1">
        <v>7.1</v>
      </c>
      <c r="BB1775" s="1">
        <v>3.96</v>
      </c>
      <c r="BC1775" s="1" t="s">
        <v>2984</v>
      </c>
      <c r="BD1775" s="1">
        <v>7.5</v>
      </c>
      <c r="BE1775" s="1">
        <v>22.7</v>
      </c>
      <c r="BF1775" s="1">
        <v>20.5</v>
      </c>
      <c r="BG1775" s="1">
        <v>49.3</v>
      </c>
      <c r="BH1775" s="1" t="s">
        <v>2986</v>
      </c>
    </row>
    <row r="1776">
      <c r="A1776" s="1">
        <v>34005.0</v>
      </c>
      <c r="B1776" s="2" t="str">
        <f>IFERROR(__xludf.DUMMYFUNCTION("TO_TEXT(A1776)"),"34005")</f>
        <v>34005</v>
      </c>
      <c r="C1776" s="1">
        <v>450236.0</v>
      </c>
      <c r="D1776" s="1">
        <v>798.909288847718</v>
      </c>
      <c r="E1776" s="1" t="s">
        <v>2987</v>
      </c>
      <c r="F1776" s="1" t="s">
        <v>2988</v>
      </c>
      <c r="G1776" s="1">
        <v>563.563356046821</v>
      </c>
      <c r="H1776" s="1">
        <v>14.399465002</v>
      </c>
      <c r="I1776" s="1">
        <v>4.1521063452</v>
      </c>
      <c r="J1776" s="1">
        <v>8.3051557015</v>
      </c>
      <c r="K1776" s="1">
        <v>12.445638161</v>
      </c>
      <c r="L1776" s="1">
        <v>29.3</v>
      </c>
      <c r="M1776" s="1">
        <v>8.5</v>
      </c>
      <c r="N1776" s="1">
        <v>23.8</v>
      </c>
      <c r="O1776" s="1">
        <v>81.8636430489999</v>
      </c>
      <c r="P1776" s="1">
        <v>5.5470544276</v>
      </c>
      <c r="Q1776" s="1">
        <v>84.03998</v>
      </c>
      <c r="R1776" s="1">
        <v>93.314110651</v>
      </c>
      <c r="S1776" s="1">
        <v>7.9</v>
      </c>
      <c r="T1776" s="1">
        <v>93476.0</v>
      </c>
      <c r="U1776" s="1">
        <v>26.5394325819999</v>
      </c>
      <c r="V1776" s="1">
        <v>162.75354558</v>
      </c>
      <c r="W1776" s="1">
        <v>15.586940015</v>
      </c>
      <c r="X1776" s="1">
        <v>14.2577826659999</v>
      </c>
      <c r="Y1776" s="1">
        <v>79.393127475</v>
      </c>
      <c r="Z1776" s="1">
        <v>11.5</v>
      </c>
      <c r="AA1776" s="1">
        <v>5.6468673029</v>
      </c>
      <c r="AB1776" s="1">
        <v>84470.0</v>
      </c>
      <c r="AC1776" s="1">
        <v>24.6302558819999</v>
      </c>
      <c r="AD1776" s="1">
        <v>75.745033113</v>
      </c>
      <c r="AE1776" s="1">
        <v>14.280635076</v>
      </c>
      <c r="AF1776" s="1">
        <v>16.748019686</v>
      </c>
      <c r="AG1776" s="1">
        <v>0.3340937259</v>
      </c>
      <c r="AH1776" s="1">
        <v>5.3394374293</v>
      </c>
      <c r="AI1776" s="1">
        <v>0.0877894132</v>
      </c>
      <c r="AJ1776" s="1">
        <v>8.3301151366</v>
      </c>
      <c r="AK1776" s="1">
        <v>67.028900903</v>
      </c>
      <c r="AL1776" s="1">
        <v>1.8258775485</v>
      </c>
      <c r="AM1776" s="1">
        <v>50.7306055</v>
      </c>
      <c r="AN1776" s="1">
        <v>6.6631902196</v>
      </c>
      <c r="AO1776" s="1">
        <v>38137.0</v>
      </c>
      <c r="AP1776" s="1">
        <v>6.5</v>
      </c>
      <c r="AQ1776" s="1">
        <v>7.9</v>
      </c>
      <c r="AR1776" s="1">
        <v>7.1</v>
      </c>
      <c r="AS1776" s="1">
        <v>15.5</v>
      </c>
      <c r="AT1776" s="1">
        <v>21.7</v>
      </c>
      <c r="AU1776" s="1">
        <v>11.2</v>
      </c>
      <c r="AV1776" s="1">
        <v>31.3</v>
      </c>
      <c r="AW1776" s="1">
        <v>1.7</v>
      </c>
      <c r="AX1776" s="1">
        <v>0.198</v>
      </c>
      <c r="AY1776" s="1">
        <v>5.7</v>
      </c>
      <c r="AZ1776" s="1">
        <v>7.5</v>
      </c>
      <c r="BA1776" s="1">
        <v>10.4</v>
      </c>
      <c r="BB1776" s="1">
        <v>3.37</v>
      </c>
      <c r="BC1776" s="1" t="s">
        <v>2984</v>
      </c>
      <c r="BD1776" s="1">
        <v>6.3</v>
      </c>
      <c r="BE1776" s="1">
        <v>28.1</v>
      </c>
      <c r="BF1776" s="1">
        <v>27.6</v>
      </c>
      <c r="BG1776" s="1">
        <v>38.0</v>
      </c>
      <c r="BH1776" s="1" t="s">
        <v>2988</v>
      </c>
    </row>
    <row r="1777">
      <c r="A1777" s="1">
        <v>34007.0</v>
      </c>
      <c r="B1777" s="2" t="str">
        <f>IFERROR(__xludf.DUMMYFUNCTION("TO_TEXT(A1777)"),"34007")</f>
        <v>34007</v>
      </c>
      <c r="C1777" s="1">
        <v>511145.0</v>
      </c>
      <c r="D1777" s="1">
        <v>221.34732484185</v>
      </c>
      <c r="E1777" s="1" t="s">
        <v>831</v>
      </c>
      <c r="F1777" s="1" t="s">
        <v>2989</v>
      </c>
      <c r="G1777" s="1">
        <v>2309.24408219167</v>
      </c>
      <c r="H1777" s="1">
        <v>18.538404778</v>
      </c>
      <c r="I1777" s="1">
        <v>4.1831127777</v>
      </c>
      <c r="J1777" s="1">
        <v>9.1040329973</v>
      </c>
      <c r="K1777" s="1">
        <v>16.134609166</v>
      </c>
      <c r="L1777" s="1">
        <v>31.4</v>
      </c>
      <c r="M1777" s="1">
        <v>8.1</v>
      </c>
      <c r="N1777" s="1">
        <v>28.7</v>
      </c>
      <c r="O1777" s="1">
        <v>89.898512042</v>
      </c>
      <c r="P1777" s="1">
        <v>7.64225475269999</v>
      </c>
      <c r="Q1777" s="1">
        <v>102.99206</v>
      </c>
      <c r="R1777" s="1">
        <v>87.577639752</v>
      </c>
      <c r="S1777" s="1">
        <v>18.4</v>
      </c>
      <c r="T1777" s="1">
        <v>115472.0</v>
      </c>
      <c r="U1777" s="1">
        <v>40.926804767</v>
      </c>
      <c r="V1777" s="1">
        <v>464.90041066</v>
      </c>
      <c r="W1777" s="1">
        <v>20.28052983</v>
      </c>
      <c r="X1777" s="1">
        <v>18.569557387</v>
      </c>
      <c r="Y1777" s="1">
        <v>77.336141472</v>
      </c>
      <c r="Z1777" s="1">
        <v>12.0</v>
      </c>
      <c r="AA1777" s="1">
        <v>4.6253999374</v>
      </c>
      <c r="AB1777" s="1">
        <v>67135.0</v>
      </c>
      <c r="AC1777" s="1">
        <v>44.14027928</v>
      </c>
      <c r="AD1777" s="1">
        <v>66.702999605</v>
      </c>
      <c r="AE1777" s="1">
        <v>18.308577693</v>
      </c>
      <c r="AF1777" s="1">
        <v>18.616859734</v>
      </c>
      <c r="AG1777" s="1">
        <v>0.6379689121</v>
      </c>
      <c r="AH1777" s="1">
        <v>6.0006547316</v>
      </c>
      <c r="AI1777" s="1">
        <v>0.1094506171</v>
      </c>
      <c r="AJ1777" s="1">
        <v>17.242514958</v>
      </c>
      <c r="AK1777" s="1">
        <v>56.267083171</v>
      </c>
      <c r="AL1777" s="1">
        <v>4.5326713167</v>
      </c>
      <c r="AM1777" s="1">
        <v>51.761267497</v>
      </c>
      <c r="AN1777" s="1">
        <v>1.6174217425</v>
      </c>
      <c r="AO1777" s="1">
        <v>31736.0</v>
      </c>
      <c r="AP1777" s="1">
        <v>13.3</v>
      </c>
      <c r="AQ1777" s="1">
        <v>8.8</v>
      </c>
      <c r="AR1777" s="1">
        <v>11.7</v>
      </c>
      <c r="AS1777" s="1">
        <v>14.2</v>
      </c>
      <c r="AT1777" s="1">
        <v>23.3</v>
      </c>
      <c r="AU1777" s="1">
        <v>13.5</v>
      </c>
      <c r="AV1777" s="1">
        <v>41.9</v>
      </c>
      <c r="AW1777" s="1">
        <v>4.6</v>
      </c>
      <c r="AX1777" s="1">
        <v>0.6062</v>
      </c>
      <c r="AY1777" s="1">
        <v>10.7</v>
      </c>
      <c r="AZ1777" s="1">
        <v>10.3</v>
      </c>
      <c r="BA1777" s="1">
        <v>14.1</v>
      </c>
      <c r="BB1777" s="1">
        <v>3.46</v>
      </c>
      <c r="BC1777" s="1" t="s">
        <v>2984</v>
      </c>
      <c r="BD1777" s="1">
        <v>11.3</v>
      </c>
      <c r="BE1777" s="1">
        <v>29.5</v>
      </c>
      <c r="BF1777" s="1">
        <v>26.7</v>
      </c>
      <c r="BG1777" s="1">
        <v>32.5</v>
      </c>
      <c r="BH1777" s="1" t="s">
        <v>2989</v>
      </c>
    </row>
    <row r="1778">
      <c r="A1778" s="1">
        <v>34009.0</v>
      </c>
      <c r="B1778" s="2" t="str">
        <f>IFERROR(__xludf.DUMMYFUNCTION("TO_TEXT(A1778)"),"34009")</f>
        <v>34009</v>
      </c>
      <c r="C1778" s="1">
        <v>95404.0</v>
      </c>
      <c r="D1778" s="1">
        <v>252.126510641166</v>
      </c>
      <c r="E1778" s="1" t="s">
        <v>2990</v>
      </c>
      <c r="F1778" s="1" t="s">
        <v>2991</v>
      </c>
      <c r="G1778" s="1">
        <v>378.397336152332</v>
      </c>
      <c r="H1778" s="1">
        <v>17.648060469</v>
      </c>
      <c r="I1778" s="1">
        <v>4.1976037503</v>
      </c>
      <c r="J1778" s="1">
        <v>7.0743801653</v>
      </c>
      <c r="K1778" s="1">
        <v>15.756107441</v>
      </c>
      <c r="L1778" s="1">
        <v>28.7</v>
      </c>
      <c r="M1778" s="1">
        <v>7.7</v>
      </c>
      <c r="N1778" s="1">
        <v>27.2</v>
      </c>
      <c r="O1778" s="1">
        <v>94.907726315</v>
      </c>
      <c r="P1778" s="1">
        <v>8.1090199645</v>
      </c>
      <c r="Q1778" s="1">
        <v>58.7902</v>
      </c>
      <c r="R1778" s="1">
        <v>87.675350701</v>
      </c>
      <c r="S1778" s="1">
        <v>15.5</v>
      </c>
      <c r="T1778" s="1">
        <v>16368.0</v>
      </c>
      <c r="U1778" s="1">
        <v>26.9489247309999</v>
      </c>
      <c r="V1778" s="1">
        <v>235.92623479</v>
      </c>
      <c r="W1778" s="1">
        <v>20.399251404</v>
      </c>
      <c r="X1778" s="1">
        <v>18.897142138</v>
      </c>
      <c r="Y1778" s="1">
        <v>77.208290049</v>
      </c>
      <c r="Z1778" s="1">
        <v>10.2</v>
      </c>
      <c r="AA1778" s="1">
        <v>8.7852763999</v>
      </c>
      <c r="AB1778" s="1">
        <v>62175.0</v>
      </c>
      <c r="AC1778" s="1">
        <v>40.265876512</v>
      </c>
      <c r="AD1778" s="1">
        <v>77.586206897</v>
      </c>
      <c r="AE1778" s="1">
        <v>19.370698132</v>
      </c>
      <c r="AF1778" s="1">
        <v>4.1054451167</v>
      </c>
      <c r="AG1778" s="1">
        <v>0.3414001729</v>
      </c>
      <c r="AH1778" s="1">
        <v>1.0101555748</v>
      </c>
      <c r="AI1778" s="1">
        <v>0.0777873812</v>
      </c>
      <c r="AJ1778" s="1">
        <v>7.8867761452</v>
      </c>
      <c r="AK1778" s="1">
        <v>85.206352636</v>
      </c>
      <c r="AL1778" s="1">
        <v>1.26057946349999</v>
      </c>
      <c r="AM1778" s="1">
        <v>51.147363872</v>
      </c>
      <c r="AN1778" s="1">
        <v>17.454377217</v>
      </c>
      <c r="AO1778" s="1">
        <v>34550.0</v>
      </c>
      <c r="AP1778" s="1">
        <v>10.4</v>
      </c>
      <c r="AQ1778" s="1">
        <v>9.2</v>
      </c>
      <c r="AR1778" s="1">
        <v>9.9</v>
      </c>
      <c r="AS1778" s="1">
        <v>23.9</v>
      </c>
      <c r="AT1778" s="1">
        <v>17.9</v>
      </c>
      <c r="AU1778" s="1">
        <v>14.5</v>
      </c>
      <c r="AV1778" s="1">
        <v>14.2</v>
      </c>
      <c r="AW1778" s="1">
        <v>1.2</v>
      </c>
      <c r="AX1778" s="1">
        <v>0.3438</v>
      </c>
      <c r="AY1778" s="1">
        <v>9.8</v>
      </c>
      <c r="AZ1778" s="1">
        <v>11.7</v>
      </c>
      <c r="BA1778" s="1">
        <v>18.7</v>
      </c>
      <c r="BB1778" s="1">
        <v>3.77</v>
      </c>
      <c r="BC1778" s="1" t="s">
        <v>2984</v>
      </c>
      <c r="BD1778" s="1">
        <v>7.5</v>
      </c>
      <c r="BE1778" s="1">
        <v>32.0</v>
      </c>
      <c r="BF1778" s="1">
        <v>27.7</v>
      </c>
      <c r="BG1778" s="1">
        <v>32.8</v>
      </c>
      <c r="BH1778" s="1" t="s">
        <v>2991</v>
      </c>
    </row>
    <row r="1779">
      <c r="A1779" s="1">
        <v>34011.0</v>
      </c>
      <c r="B1779" s="2" t="str">
        <f>IFERROR(__xludf.DUMMYFUNCTION("TO_TEXT(A1779)"),"34011")</f>
        <v>34011</v>
      </c>
      <c r="C1779" s="1">
        <v>155744.0</v>
      </c>
      <c r="D1779" s="1">
        <v>483.52611572531</v>
      </c>
      <c r="E1779" s="1" t="s">
        <v>1178</v>
      </c>
      <c r="F1779" s="1" t="s">
        <v>2992</v>
      </c>
      <c r="G1779" s="1">
        <v>322.100492475732</v>
      </c>
      <c r="H1779" s="1">
        <v>22.577367563</v>
      </c>
      <c r="I1779" s="1">
        <v>4.620191471</v>
      </c>
      <c r="J1779" s="1">
        <v>9.5987811072</v>
      </c>
      <c r="K1779" s="1">
        <v>18.261146678</v>
      </c>
      <c r="L1779" s="1">
        <v>35.9</v>
      </c>
      <c r="M1779" s="1">
        <v>7.4</v>
      </c>
      <c r="N1779" s="1">
        <v>31.2</v>
      </c>
      <c r="O1779" s="1">
        <v>79.276345141</v>
      </c>
      <c r="P1779" s="1">
        <v>12.092197695</v>
      </c>
      <c r="Q1779" s="1">
        <v>43.26791</v>
      </c>
      <c r="R1779" s="1">
        <v>81.213097155</v>
      </c>
      <c r="S1779" s="1">
        <v>21.8</v>
      </c>
      <c r="T1779" s="1">
        <v>35798.0</v>
      </c>
      <c r="U1779" s="1">
        <v>50.430191631</v>
      </c>
      <c r="V1779" s="1">
        <v>516.27564574</v>
      </c>
      <c r="W1779" s="1">
        <v>23.472003155</v>
      </c>
      <c r="X1779" s="1">
        <v>20.423375075</v>
      </c>
      <c r="Y1779" s="1">
        <v>75.360669825</v>
      </c>
      <c r="Z1779" s="1">
        <v>12.4</v>
      </c>
      <c r="AA1779" s="1">
        <v>9.8591191757</v>
      </c>
      <c r="AB1779" s="1">
        <v>51790.0</v>
      </c>
      <c r="AC1779" s="1">
        <v>59.017576786</v>
      </c>
      <c r="AD1779" s="1">
        <v>64.420644957</v>
      </c>
      <c r="AE1779" s="1">
        <v>20.844871147</v>
      </c>
      <c r="AF1779" s="1">
        <v>18.615372387</v>
      </c>
      <c r="AG1779" s="1">
        <v>1.6334154678</v>
      </c>
      <c r="AH1779" s="1">
        <v>1.4857059587</v>
      </c>
      <c r="AI1779" s="1">
        <v>0.1351243939</v>
      </c>
      <c r="AJ1779" s="1">
        <v>31.41377209</v>
      </c>
      <c r="AK1779" s="1">
        <v>45.877381236</v>
      </c>
      <c r="AL1779" s="1">
        <v>7.7132201736</v>
      </c>
      <c r="AM1779" s="1">
        <v>48.985242297</v>
      </c>
      <c r="AN1779" s="1">
        <v>23.027062168</v>
      </c>
      <c r="AO1779" s="1">
        <v>22303.0</v>
      </c>
      <c r="AP1779" s="1">
        <v>18.5</v>
      </c>
      <c r="AQ1779" s="1">
        <v>9.9</v>
      </c>
      <c r="AR1779" s="1">
        <v>22.7</v>
      </c>
      <c r="AS1779" s="1">
        <v>13.8</v>
      </c>
      <c r="AT1779" s="1">
        <v>23.8</v>
      </c>
      <c r="AU1779" s="1">
        <v>14.7</v>
      </c>
      <c r="AV1779" s="1">
        <v>52.0</v>
      </c>
      <c r="AW1779" s="1">
        <v>7.2</v>
      </c>
      <c r="AX1779" s="1">
        <v>0.9605</v>
      </c>
      <c r="AY1779" s="1">
        <v>13.8</v>
      </c>
      <c r="AZ1779" s="1">
        <v>12.6</v>
      </c>
      <c r="BA1779" s="1">
        <v>18.0</v>
      </c>
      <c r="BB1779" s="1">
        <v>3.03</v>
      </c>
      <c r="BC1779" s="1" t="s">
        <v>2984</v>
      </c>
      <c r="BD1779" s="1">
        <v>20.6</v>
      </c>
      <c r="BE1779" s="1">
        <v>39.4</v>
      </c>
      <c r="BF1779" s="1">
        <v>24.4</v>
      </c>
      <c r="BG1779" s="1">
        <v>15.6</v>
      </c>
      <c r="BH1779" s="1" t="s">
        <v>2992</v>
      </c>
    </row>
    <row r="1780">
      <c r="A1780" s="1">
        <v>34013.0</v>
      </c>
      <c r="B1780" s="2" t="str">
        <f>IFERROR(__xludf.DUMMYFUNCTION("TO_TEXT(A1780)"),"34013")</f>
        <v>34013</v>
      </c>
      <c r="C1780" s="1">
        <v>792586.0</v>
      </c>
      <c r="D1780" s="1">
        <v>126.117713656326</v>
      </c>
      <c r="E1780" s="1" t="s">
        <v>2125</v>
      </c>
      <c r="F1780" s="1" t="s">
        <v>2993</v>
      </c>
      <c r="G1780" s="1">
        <v>6284.49388291178</v>
      </c>
      <c r="H1780" s="1">
        <v>18.7050655159999</v>
      </c>
      <c r="I1780" s="1">
        <v>3.7811610889</v>
      </c>
      <c r="J1780" s="1">
        <v>9.5707112509</v>
      </c>
      <c r="K1780" s="1">
        <v>14.2353892679999</v>
      </c>
      <c r="L1780" s="1">
        <v>29.1</v>
      </c>
      <c r="M1780" s="1">
        <v>7.6</v>
      </c>
      <c r="N1780" s="1">
        <v>28.4</v>
      </c>
      <c r="O1780" s="1">
        <v>99.731111817</v>
      </c>
      <c r="P1780" s="1">
        <v>11.540175169</v>
      </c>
      <c r="Q1780" s="1">
        <v>83.51015</v>
      </c>
      <c r="R1780" s="1">
        <v>86.9630833529999</v>
      </c>
      <c r="S1780" s="1">
        <v>21.0</v>
      </c>
      <c r="T1780" s="1">
        <v>187728.0</v>
      </c>
      <c r="U1780" s="1">
        <v>43.535327708</v>
      </c>
      <c r="V1780" s="1">
        <v>606.18997605</v>
      </c>
      <c r="W1780" s="1">
        <v>28.6693144409999</v>
      </c>
      <c r="X1780" s="1">
        <v>25.160504156</v>
      </c>
      <c r="Y1780" s="1">
        <v>79.499817191</v>
      </c>
      <c r="Z1780" s="1">
        <v>10.6</v>
      </c>
      <c r="AA1780" s="1">
        <v>0.7060985568</v>
      </c>
      <c r="AB1780" s="1">
        <v>62875.0</v>
      </c>
      <c r="AC1780" s="1">
        <v>54.701201989</v>
      </c>
      <c r="AD1780" s="1">
        <v>44.20251892</v>
      </c>
      <c r="AE1780" s="1">
        <v>25.126403166</v>
      </c>
      <c r="AF1780" s="1">
        <v>38.628000405</v>
      </c>
      <c r="AG1780" s="1">
        <v>0.744716898799999</v>
      </c>
      <c r="AH1780" s="1">
        <v>5.7961881398</v>
      </c>
      <c r="AI1780" s="1">
        <v>0.133288820399999</v>
      </c>
      <c r="AJ1780" s="1">
        <v>23.546482913</v>
      </c>
      <c r="AK1780" s="1">
        <v>30.519888918</v>
      </c>
      <c r="AL1780" s="1">
        <v>8.1076704246</v>
      </c>
      <c r="AM1780" s="1">
        <v>51.865480821</v>
      </c>
      <c r="AN1780" s="1">
        <v>0.0145413913</v>
      </c>
      <c r="AO1780" s="1">
        <v>33482.0</v>
      </c>
      <c r="AP1780" s="1">
        <v>17.2</v>
      </c>
      <c r="AQ1780" s="1">
        <v>12.1</v>
      </c>
      <c r="AR1780" s="1">
        <v>15.3</v>
      </c>
      <c r="AS1780" s="1">
        <v>12.4</v>
      </c>
      <c r="AT1780" s="1">
        <v>24.1</v>
      </c>
      <c r="AU1780" s="1">
        <v>12.5</v>
      </c>
      <c r="AV1780" s="1">
        <v>68.5</v>
      </c>
      <c r="AW1780" s="1">
        <v>8.1</v>
      </c>
      <c r="AX1780" s="1">
        <v>0.8469</v>
      </c>
      <c r="AY1780" s="1">
        <v>13.8</v>
      </c>
      <c r="AZ1780" s="1">
        <v>12.7</v>
      </c>
      <c r="BA1780" s="1">
        <v>15.5</v>
      </c>
      <c r="BB1780" s="1">
        <v>4.21</v>
      </c>
      <c r="BC1780" s="1" t="s">
        <v>2984</v>
      </c>
      <c r="BD1780" s="1">
        <v>13.9</v>
      </c>
      <c r="BE1780" s="1">
        <v>28.0</v>
      </c>
      <c r="BF1780" s="1">
        <v>22.6</v>
      </c>
      <c r="BG1780" s="1">
        <v>35.5</v>
      </c>
      <c r="BH1780" s="1" t="s">
        <v>2993</v>
      </c>
    </row>
    <row r="1781">
      <c r="A1781" s="1">
        <v>34015.0</v>
      </c>
      <c r="B1781" s="2" t="str">
        <f>IFERROR(__xludf.DUMMYFUNCTION("TO_TEXT(A1781)"),"34015")</f>
        <v>34015</v>
      </c>
      <c r="C1781" s="1">
        <v>291286.0</v>
      </c>
      <c r="D1781" s="1">
        <v>321.957475506352</v>
      </c>
      <c r="E1781" s="1" t="s">
        <v>2994</v>
      </c>
      <c r="F1781" s="1" t="s">
        <v>2995</v>
      </c>
      <c r="G1781" s="1">
        <v>904.734389353394</v>
      </c>
      <c r="H1781" s="1">
        <v>16.132406848</v>
      </c>
      <c r="I1781" s="1">
        <v>3.9856737244</v>
      </c>
      <c r="J1781" s="1">
        <v>8.426529223</v>
      </c>
      <c r="K1781" s="1">
        <v>15.611318452</v>
      </c>
      <c r="L1781" s="1">
        <v>31.0</v>
      </c>
      <c r="M1781" s="1">
        <v>8.2</v>
      </c>
      <c r="N1781" s="1">
        <v>27.7</v>
      </c>
      <c r="O1781" s="1">
        <v>82.876845377</v>
      </c>
      <c r="P1781" s="1">
        <v>5.5061964086</v>
      </c>
      <c r="Q1781" s="1">
        <v>54.07144</v>
      </c>
      <c r="R1781" s="1">
        <v>93.303571429</v>
      </c>
      <c r="S1781" s="1">
        <v>8.9</v>
      </c>
      <c r="T1781" s="1">
        <v>64663.0</v>
      </c>
      <c r="U1781" s="1">
        <v>25.159674002</v>
      </c>
      <c r="V1781" s="1">
        <v>115.52068542</v>
      </c>
      <c r="W1781" s="1">
        <v>15.82187858</v>
      </c>
      <c r="X1781" s="1">
        <v>14.609608164</v>
      </c>
      <c r="Y1781" s="1">
        <v>77.808662323</v>
      </c>
      <c r="Z1781" s="1">
        <v>10.0</v>
      </c>
      <c r="AA1781" s="1">
        <v>8.7485023325</v>
      </c>
      <c r="AB1781" s="1">
        <v>81315.0</v>
      </c>
      <c r="AC1781" s="1">
        <v>28.438218603</v>
      </c>
      <c r="AD1781" s="1">
        <v>80.167707268</v>
      </c>
      <c r="AE1781" s="1">
        <v>14.153445579</v>
      </c>
      <c r="AF1781" s="1">
        <v>10.365535606</v>
      </c>
      <c r="AG1781" s="1">
        <v>0.2779607972</v>
      </c>
      <c r="AH1781" s="1">
        <v>3.0994344699</v>
      </c>
      <c r="AI1781" s="1">
        <v>0.071034426</v>
      </c>
      <c r="AJ1781" s="1">
        <v>6.3961867897</v>
      </c>
      <c r="AK1781" s="1">
        <v>78.131348487</v>
      </c>
      <c r="AL1781" s="1">
        <v>1.195232146</v>
      </c>
      <c r="AM1781" s="1">
        <v>51.343477187</v>
      </c>
      <c r="AN1781" s="1">
        <v>8.3458208458</v>
      </c>
      <c r="AO1781" s="1">
        <v>34886.0</v>
      </c>
      <c r="AP1781" s="1">
        <v>8.1</v>
      </c>
      <c r="AQ1781" s="1">
        <v>8.1</v>
      </c>
      <c r="AR1781" s="1">
        <v>8.0</v>
      </c>
      <c r="AS1781" s="1">
        <v>14.1</v>
      </c>
      <c r="AT1781" s="1">
        <v>23.0</v>
      </c>
      <c r="AU1781" s="1">
        <v>12.7</v>
      </c>
      <c r="AV1781" s="1">
        <v>20.6</v>
      </c>
      <c r="AW1781" s="1">
        <v>1.4</v>
      </c>
      <c r="AX1781" s="1">
        <v>0.199</v>
      </c>
      <c r="AY1781" s="1">
        <v>7.5</v>
      </c>
      <c r="AZ1781" s="1">
        <v>7.8</v>
      </c>
      <c r="BA1781" s="1">
        <v>11.2</v>
      </c>
      <c r="BB1781" s="1">
        <v>3.26</v>
      </c>
      <c r="BC1781" s="1" t="s">
        <v>2984</v>
      </c>
      <c r="BD1781" s="1">
        <v>7.1</v>
      </c>
      <c r="BE1781" s="1">
        <v>32.0</v>
      </c>
      <c r="BF1781" s="1">
        <v>27.9</v>
      </c>
      <c r="BG1781" s="1">
        <v>33.0</v>
      </c>
      <c r="BH1781" s="1" t="s">
        <v>2995</v>
      </c>
    </row>
    <row r="1782">
      <c r="A1782" s="1">
        <v>34017.0</v>
      </c>
      <c r="B1782" s="2" t="str">
        <f>IFERROR(__xludf.DUMMYFUNCTION("TO_TEXT(A1782)"),"34017")</f>
        <v>34017</v>
      </c>
      <c r="C1782" s="1">
        <v>668526.0</v>
      </c>
      <c r="D1782" s="1">
        <v>46.249899501378</v>
      </c>
      <c r="E1782" s="1" t="s">
        <v>2996</v>
      </c>
      <c r="F1782" s="1" t="s">
        <v>2997</v>
      </c>
      <c r="G1782" s="1">
        <v>14454.6476253442</v>
      </c>
      <c r="H1782" s="1">
        <v>20.490570741</v>
      </c>
      <c r="I1782" s="1">
        <v>3.9177409798</v>
      </c>
      <c r="J1782" s="1">
        <v>8.619442435</v>
      </c>
      <c r="K1782" s="1">
        <v>15.382038155</v>
      </c>
      <c r="L1782" s="1">
        <v>23.9</v>
      </c>
      <c r="M1782" s="1">
        <v>8.7</v>
      </c>
      <c r="N1782" s="1">
        <v>28.8</v>
      </c>
      <c r="O1782" s="1">
        <v>99.971305414</v>
      </c>
      <c r="P1782" s="1">
        <v>13.248526475</v>
      </c>
      <c r="Q1782" s="1">
        <v>51.18247</v>
      </c>
      <c r="R1782" s="1">
        <v>85.275862069</v>
      </c>
      <c r="S1782" s="1">
        <v>22.3</v>
      </c>
      <c r="T1782" s="1">
        <v>136624.0</v>
      </c>
      <c r="U1782" s="1">
        <v>40.664890502</v>
      </c>
      <c r="V1782" s="1">
        <v>341.7111839</v>
      </c>
      <c r="W1782" s="1">
        <v>28.518643596</v>
      </c>
      <c r="X1782" s="1">
        <v>22.8969596309999</v>
      </c>
      <c r="Y1782" s="1">
        <v>82.19676215</v>
      </c>
      <c r="Z1782" s="1">
        <v>7.7</v>
      </c>
      <c r="AA1782" s="1">
        <v>0.1205798481</v>
      </c>
      <c r="AB1782" s="1">
        <v>73337.0</v>
      </c>
      <c r="AC1782" s="1">
        <v>66.68628272</v>
      </c>
      <c r="AD1782" s="1">
        <v>31.469410286</v>
      </c>
      <c r="AE1782" s="1">
        <v>22.015802784</v>
      </c>
      <c r="AF1782" s="1">
        <v>10.698147061</v>
      </c>
      <c r="AG1782" s="1">
        <v>1.1132131568</v>
      </c>
      <c r="AH1782" s="1">
        <v>16.422630502</v>
      </c>
      <c r="AI1782" s="1">
        <v>0.1952486536</v>
      </c>
      <c r="AJ1782" s="1">
        <v>42.90411664</v>
      </c>
      <c r="AK1782" s="1">
        <v>28.77151618</v>
      </c>
      <c r="AL1782" s="1">
        <v>13.6784188809999</v>
      </c>
      <c r="AM1782" s="1">
        <v>50.2018309</v>
      </c>
      <c r="AN1782" s="1">
        <v>0.0</v>
      </c>
      <c r="AO1782" s="1">
        <v>34468.0</v>
      </c>
      <c r="AP1782" s="1">
        <v>17.4</v>
      </c>
      <c r="AQ1782" s="1">
        <v>8.1</v>
      </c>
      <c r="AR1782" s="1">
        <v>16.6</v>
      </c>
      <c r="AS1782" s="1">
        <v>10.7</v>
      </c>
      <c r="AT1782" s="1">
        <v>20.6</v>
      </c>
      <c r="AU1782" s="1">
        <v>9.4</v>
      </c>
      <c r="AV1782" s="1">
        <v>71.0</v>
      </c>
      <c r="AW1782" s="1">
        <v>14.1</v>
      </c>
      <c r="AX1782" s="1">
        <v>0.6425</v>
      </c>
      <c r="AY1782" s="1">
        <v>13.7</v>
      </c>
      <c r="AZ1782" s="1">
        <v>10.9</v>
      </c>
      <c r="BA1782" s="1">
        <v>12.4</v>
      </c>
      <c r="BB1782" s="1">
        <v>3.26</v>
      </c>
      <c r="BC1782" s="1" t="s">
        <v>2984</v>
      </c>
      <c r="BD1782" s="1">
        <v>15.2</v>
      </c>
      <c r="BE1782" s="1">
        <v>25.1</v>
      </c>
      <c r="BF1782" s="1">
        <v>17.4</v>
      </c>
      <c r="BG1782" s="1">
        <v>42.3</v>
      </c>
      <c r="BH1782" s="1" t="s">
        <v>2997</v>
      </c>
    </row>
    <row r="1783">
      <c r="A1783" s="1">
        <v>34019.0</v>
      </c>
      <c r="B1783" s="2" t="str">
        <f>IFERROR(__xludf.DUMMYFUNCTION("TO_TEXT(A1783)"),"34019")</f>
        <v>34019</v>
      </c>
      <c r="C1783" s="1">
        <v>125708.0</v>
      </c>
      <c r="D1783" s="1">
        <v>427.82805665357</v>
      </c>
      <c r="E1783" s="1" t="s">
        <v>2998</v>
      </c>
      <c r="F1783" s="1" t="s">
        <v>2999</v>
      </c>
      <c r="G1783" s="1">
        <v>293.828322020944</v>
      </c>
      <c r="H1783" s="1">
        <v>10.516076106</v>
      </c>
      <c r="I1783" s="1">
        <v>3.5438788659</v>
      </c>
      <c r="J1783" s="1">
        <v>6.2199472623</v>
      </c>
      <c r="K1783" s="1">
        <v>12.5295514179999</v>
      </c>
      <c r="L1783" s="1">
        <v>20.4</v>
      </c>
      <c r="M1783" s="1">
        <v>9.5</v>
      </c>
      <c r="N1783" s="1">
        <v>18.8</v>
      </c>
      <c r="O1783" s="1">
        <v>88.976150963</v>
      </c>
      <c r="P1783" s="1">
        <v>4.8940934039</v>
      </c>
      <c r="Q1783" s="1">
        <v>120.74301</v>
      </c>
      <c r="R1783" s="1">
        <v>96.426577331</v>
      </c>
      <c r="S1783" s="1">
        <v>4.0</v>
      </c>
      <c r="T1783" s="1">
        <v>24299.0</v>
      </c>
      <c r="U1783" s="1">
        <v>14.222807523</v>
      </c>
      <c r="V1783" s="1">
        <v>42.286840415</v>
      </c>
      <c r="W1783" s="1">
        <v>14.3815915629999</v>
      </c>
      <c r="X1783" s="1">
        <v>13.729486217</v>
      </c>
      <c r="Y1783" s="1">
        <v>83.396535951</v>
      </c>
      <c r="Z1783" s="1">
        <v>6.8</v>
      </c>
      <c r="AA1783" s="1">
        <v>2.1038296142</v>
      </c>
      <c r="AB1783" s="1">
        <v>112335.0</v>
      </c>
      <c r="AC1783" s="1">
        <v>10.13678681</v>
      </c>
      <c r="AD1783" s="1">
        <v>83.276812209</v>
      </c>
      <c r="AE1783" s="1">
        <v>13.55359449</v>
      </c>
      <c r="AF1783" s="1">
        <v>2.5121477942</v>
      </c>
      <c r="AG1783" s="1">
        <v>0.2076751608</v>
      </c>
      <c r="AH1783" s="1">
        <v>4.2064242988</v>
      </c>
      <c r="AI1783" s="1">
        <v>0.2124861684</v>
      </c>
      <c r="AJ1783" s="1">
        <v>6.8196032522</v>
      </c>
      <c r="AK1783" s="1">
        <v>85.082669147</v>
      </c>
      <c r="AL1783" s="1">
        <v>1.14184344</v>
      </c>
      <c r="AM1783" s="1">
        <v>50.473082413</v>
      </c>
      <c r="AN1783" s="1">
        <v>49.56953307</v>
      </c>
      <c r="AO1783" s="1">
        <v>53222.0</v>
      </c>
      <c r="AP1783" s="1">
        <v>4.5</v>
      </c>
      <c r="AQ1783" s="1">
        <v>5.3</v>
      </c>
      <c r="AR1783" s="1">
        <v>5.3</v>
      </c>
      <c r="AS1783" s="1">
        <v>15.7</v>
      </c>
      <c r="AT1783" s="1">
        <v>21.0</v>
      </c>
      <c r="AU1783" s="1">
        <v>8.9</v>
      </c>
      <c r="AV1783" s="1">
        <v>13.3</v>
      </c>
      <c r="AW1783" s="1">
        <v>1.2</v>
      </c>
      <c r="AX1783" s="1">
        <v>0.0363</v>
      </c>
      <c r="AY1783" s="1">
        <v>4.0</v>
      </c>
      <c r="AZ1783" s="1">
        <v>5.3</v>
      </c>
      <c r="BA1783" s="1">
        <v>6.9</v>
      </c>
      <c r="BB1783" s="1">
        <v>3.4</v>
      </c>
      <c r="BC1783" s="1" t="s">
        <v>2984</v>
      </c>
      <c r="BD1783" s="1">
        <v>5.0</v>
      </c>
      <c r="BE1783" s="1">
        <v>21.0</v>
      </c>
      <c r="BF1783" s="1">
        <v>21.3</v>
      </c>
      <c r="BG1783" s="1">
        <v>52.7</v>
      </c>
      <c r="BH1783" s="1" t="s">
        <v>2999</v>
      </c>
    </row>
    <row r="1784">
      <c r="A1784" s="1">
        <v>34021.0</v>
      </c>
      <c r="B1784" s="2" t="str">
        <f>IFERROR(__xludf.DUMMYFUNCTION("TO_TEXT(A1784)"),"34021")</f>
        <v>34021</v>
      </c>
      <c r="C1784" s="1">
        <v>371101.0</v>
      </c>
      <c r="D1784" s="1">
        <v>224.363053663759</v>
      </c>
      <c r="E1784" s="1" t="s">
        <v>1252</v>
      </c>
      <c r="F1784" s="1" t="s">
        <v>3000</v>
      </c>
      <c r="G1784" s="1">
        <v>1654.02009796206</v>
      </c>
      <c r="H1784" s="1">
        <v>14.958288885</v>
      </c>
      <c r="I1784" s="1">
        <v>3.7777979645</v>
      </c>
      <c r="J1784" s="1">
        <v>8.6493337444</v>
      </c>
      <c r="K1784" s="1">
        <v>13.55615998</v>
      </c>
      <c r="L1784" s="1">
        <v>25.8</v>
      </c>
      <c r="M1784" s="1">
        <v>8.4</v>
      </c>
      <c r="N1784" s="1">
        <v>24.3</v>
      </c>
      <c r="O1784" s="1">
        <v>99.162649074</v>
      </c>
      <c r="P1784" s="1">
        <v>9.6829627667</v>
      </c>
      <c r="Q1784" s="1">
        <v>100.87182</v>
      </c>
      <c r="R1784" s="1">
        <v>89.6551724139999</v>
      </c>
      <c r="S1784" s="1">
        <v>13.7</v>
      </c>
      <c r="T1784" s="1">
        <v>78637.0</v>
      </c>
      <c r="U1784" s="1">
        <v>32.479621552</v>
      </c>
      <c r="V1784" s="1">
        <v>375.28864469</v>
      </c>
      <c r="W1784" s="1">
        <v>18.504572351</v>
      </c>
      <c r="X1784" s="1">
        <v>16.529794107</v>
      </c>
      <c r="Y1784" s="1">
        <v>80.478793854</v>
      </c>
      <c r="Z1784" s="1">
        <v>9.0</v>
      </c>
      <c r="AA1784" s="1">
        <v>3.6523841735</v>
      </c>
      <c r="AB1784" s="1">
        <v>79979.0</v>
      </c>
      <c r="AC1784" s="1">
        <v>41.552783803</v>
      </c>
      <c r="AD1784" s="1">
        <v>63.857768743</v>
      </c>
      <c r="AE1784" s="1">
        <v>17.180856519</v>
      </c>
      <c r="AF1784" s="1">
        <v>19.551879203</v>
      </c>
      <c r="AG1784" s="1">
        <v>0.6043627691</v>
      </c>
      <c r="AH1784" s="1">
        <v>11.623234571</v>
      </c>
      <c r="AI1784" s="1">
        <v>0.2179491686</v>
      </c>
      <c r="AJ1784" s="1">
        <v>18.13980655</v>
      </c>
      <c r="AK1784" s="1">
        <v>48.7924913</v>
      </c>
      <c r="AL1784" s="1">
        <v>6.7001713569</v>
      </c>
      <c r="AM1784" s="1">
        <v>51.068248376</v>
      </c>
      <c r="AN1784" s="1">
        <v>3.4825504143</v>
      </c>
      <c r="AO1784" s="1">
        <v>38652.0</v>
      </c>
      <c r="AP1784" s="1">
        <v>11.2</v>
      </c>
      <c r="AQ1784" s="1">
        <v>8.6</v>
      </c>
      <c r="AR1784" s="1">
        <v>12.3</v>
      </c>
      <c r="AS1784" s="1">
        <v>13.7</v>
      </c>
      <c r="AT1784" s="1">
        <v>21.7</v>
      </c>
      <c r="AU1784" s="1">
        <v>10.0</v>
      </c>
      <c r="AV1784" s="1">
        <v>48.3</v>
      </c>
      <c r="AW1784" s="1">
        <v>6.4</v>
      </c>
      <c r="AX1784" s="1">
        <v>0.5387</v>
      </c>
      <c r="AY1784" s="1">
        <v>11.9</v>
      </c>
      <c r="AZ1784" s="1">
        <v>8.9</v>
      </c>
      <c r="BA1784" s="1">
        <v>11.0</v>
      </c>
      <c r="BB1784" s="1">
        <v>3.45</v>
      </c>
      <c r="BC1784" s="1" t="s">
        <v>2984</v>
      </c>
      <c r="BD1784" s="1">
        <v>11.5</v>
      </c>
      <c r="BE1784" s="1">
        <v>24.6</v>
      </c>
      <c r="BF1784" s="1">
        <v>21.3</v>
      </c>
      <c r="BG1784" s="1">
        <v>42.6</v>
      </c>
      <c r="BH1784" s="1" t="s">
        <v>3000</v>
      </c>
    </row>
    <row r="1785">
      <c r="A1785" s="1">
        <v>34023.0</v>
      </c>
      <c r="B1785" s="2" t="str">
        <f>IFERROR(__xludf.DUMMYFUNCTION("TO_TEXT(A1785)"),"34023")</f>
        <v>34023</v>
      </c>
      <c r="C1785" s="1">
        <v>831852.0</v>
      </c>
      <c r="D1785" s="1">
        <v>309.253340163906</v>
      </c>
      <c r="E1785" s="1" t="s">
        <v>659</v>
      </c>
      <c r="F1785" s="1" t="s">
        <v>3001</v>
      </c>
      <c r="G1785" s="1">
        <v>2689.8723213761</v>
      </c>
      <c r="H1785" s="1">
        <v>14.479573857</v>
      </c>
      <c r="I1785" s="1">
        <v>3.6234584343</v>
      </c>
      <c r="J1785" s="1">
        <v>8.114068674</v>
      </c>
      <c r="K1785" s="1">
        <v>10.970467888</v>
      </c>
      <c r="L1785" s="1">
        <v>25.9</v>
      </c>
      <c r="M1785" s="1">
        <v>8.8</v>
      </c>
      <c r="N1785" s="1">
        <v>25.9</v>
      </c>
      <c r="O1785" s="1">
        <v>96.6643535039999</v>
      </c>
      <c r="P1785" s="1">
        <v>8.4690294423</v>
      </c>
      <c r="Q1785" s="1">
        <v>92.31156</v>
      </c>
      <c r="R1785" s="1">
        <v>90.432946146</v>
      </c>
      <c r="S1785" s="1">
        <v>11.2</v>
      </c>
      <c r="T1785" s="1">
        <v>180147.0</v>
      </c>
      <c r="U1785" s="1">
        <v>24.898555069</v>
      </c>
      <c r="V1785" s="1">
        <v>148.55705318</v>
      </c>
      <c r="W1785" s="1">
        <v>20.569754307</v>
      </c>
      <c r="X1785" s="1">
        <v>17.126756545</v>
      </c>
      <c r="Y1785" s="1">
        <v>81.502399379</v>
      </c>
      <c r="Z1785" s="1">
        <v>10.5</v>
      </c>
      <c r="AA1785" s="1">
        <v>3.7333727601</v>
      </c>
      <c r="AB1785" s="1">
        <v>87666.0</v>
      </c>
      <c r="AC1785" s="1">
        <v>33.85808772</v>
      </c>
      <c r="AD1785" s="1">
        <v>63.332324562</v>
      </c>
      <c r="AE1785" s="1">
        <v>17.056929659</v>
      </c>
      <c r="AF1785" s="1">
        <v>9.6519763525</v>
      </c>
      <c r="AG1785" s="1">
        <v>0.6406045668</v>
      </c>
      <c r="AH1785" s="1">
        <v>25.057099984</v>
      </c>
      <c r="AI1785" s="1">
        <v>0.1155860357</v>
      </c>
      <c r="AJ1785" s="1">
        <v>21.5919294669999</v>
      </c>
      <c r="AK1785" s="1">
        <v>42.26013487</v>
      </c>
      <c r="AL1785" s="1">
        <v>6.9358308424</v>
      </c>
      <c r="AM1785" s="1">
        <v>50.7127403769999</v>
      </c>
      <c r="AN1785" s="1">
        <v>0.6743157442</v>
      </c>
      <c r="AO1785" s="1">
        <v>35209.0</v>
      </c>
      <c r="AP1785" s="1">
        <v>8.9</v>
      </c>
      <c r="AQ1785" s="1">
        <v>7.0</v>
      </c>
      <c r="AR1785" s="1">
        <v>11.0</v>
      </c>
      <c r="AS1785" s="1">
        <v>13.5</v>
      </c>
      <c r="AT1785" s="1">
        <v>22.1</v>
      </c>
      <c r="AU1785" s="1">
        <v>8.9</v>
      </c>
      <c r="AV1785" s="1">
        <v>54.7</v>
      </c>
      <c r="AW1785" s="1">
        <v>7.7</v>
      </c>
      <c r="AX1785" s="1">
        <v>0.4645</v>
      </c>
      <c r="AY1785" s="1">
        <v>8.5</v>
      </c>
      <c r="AZ1785" s="1">
        <v>7.3</v>
      </c>
      <c r="BA1785" s="1">
        <v>8.7</v>
      </c>
      <c r="BB1785" s="1">
        <v>3.21</v>
      </c>
      <c r="BC1785" s="1" t="s">
        <v>2984</v>
      </c>
      <c r="BD1785" s="1">
        <v>10.2</v>
      </c>
      <c r="BE1785" s="1">
        <v>25.3</v>
      </c>
      <c r="BF1785" s="1">
        <v>21.0</v>
      </c>
      <c r="BG1785" s="1">
        <v>43.6</v>
      </c>
      <c r="BH1785" s="1" t="s">
        <v>3001</v>
      </c>
    </row>
    <row r="1786">
      <c r="A1786" s="1">
        <v>34025.0</v>
      </c>
      <c r="B1786" s="2" t="str">
        <f>IFERROR(__xludf.DUMMYFUNCTION("TO_TEXT(A1786)"),"34025")</f>
        <v>34025</v>
      </c>
      <c r="C1786" s="1">
        <v>627532.0</v>
      </c>
      <c r="D1786" s="1">
        <v>468.390086047704</v>
      </c>
      <c r="E1786" s="1" t="s">
        <v>3002</v>
      </c>
      <c r="F1786" s="1" t="s">
        <v>3003</v>
      </c>
      <c r="G1786" s="1">
        <v>1339.76362585968</v>
      </c>
      <c r="H1786" s="1">
        <v>13.6345305</v>
      </c>
      <c r="I1786" s="1">
        <v>4.0226271564</v>
      </c>
      <c r="J1786" s="1">
        <v>7.54612723429999</v>
      </c>
      <c r="K1786" s="1">
        <v>13.360452416</v>
      </c>
      <c r="L1786" s="1">
        <v>25.2</v>
      </c>
      <c r="M1786" s="1">
        <v>8.8</v>
      </c>
      <c r="N1786" s="1">
        <v>24.2</v>
      </c>
      <c r="O1786" s="1">
        <v>94.808845458</v>
      </c>
      <c r="P1786" s="1">
        <v>6.8377420213</v>
      </c>
      <c r="Q1786" s="1">
        <v>116.38841</v>
      </c>
      <c r="R1786" s="1">
        <v>93.948768717</v>
      </c>
      <c r="S1786" s="1">
        <v>9.1</v>
      </c>
      <c r="T1786" s="1">
        <v>134573.0</v>
      </c>
      <c r="U1786" s="1">
        <v>22.337318779</v>
      </c>
      <c r="V1786" s="1">
        <v>149.57254746</v>
      </c>
      <c r="W1786" s="1">
        <v>19.56671104</v>
      </c>
      <c r="X1786" s="1">
        <v>18.194227769</v>
      </c>
      <c r="Y1786" s="1">
        <v>80.535548588</v>
      </c>
      <c r="Z1786" s="1">
        <v>9.1</v>
      </c>
      <c r="AA1786" s="1">
        <v>4.5826536675</v>
      </c>
      <c r="AB1786" s="1">
        <v>99223.0</v>
      </c>
      <c r="AC1786" s="1">
        <v>23.6266217769999</v>
      </c>
      <c r="AD1786" s="1">
        <v>73.681555025</v>
      </c>
      <c r="AE1786" s="1">
        <v>18.06347724</v>
      </c>
      <c r="AF1786" s="1">
        <v>6.8138291538</v>
      </c>
      <c r="AG1786" s="1">
        <v>0.2784242155</v>
      </c>
      <c r="AH1786" s="1">
        <v>5.6679445212</v>
      </c>
      <c r="AI1786" s="1">
        <v>0.0669505628</v>
      </c>
      <c r="AJ1786" s="1">
        <v>11.0527976</v>
      </c>
      <c r="AK1786" s="1">
        <v>75.000080469</v>
      </c>
      <c r="AL1786" s="1">
        <v>2.6849797178</v>
      </c>
      <c r="AM1786" s="1">
        <v>51.350116037</v>
      </c>
      <c r="AN1786" s="1">
        <v>3.7294964942</v>
      </c>
      <c r="AO1786" s="1">
        <v>44504.0</v>
      </c>
      <c r="AP1786" s="1">
        <v>7.6</v>
      </c>
      <c r="AQ1786" s="1">
        <v>6.8</v>
      </c>
      <c r="AR1786" s="1">
        <v>7.3</v>
      </c>
      <c r="AS1786" s="1">
        <v>15.6</v>
      </c>
      <c r="AT1786" s="1">
        <v>22.3</v>
      </c>
      <c r="AU1786" s="1">
        <v>9.9</v>
      </c>
      <c r="AV1786" s="1">
        <v>24.3</v>
      </c>
      <c r="AW1786" s="1">
        <v>3.0</v>
      </c>
      <c r="AX1786" s="1">
        <v>0.1735</v>
      </c>
      <c r="AY1786" s="1">
        <v>6.2</v>
      </c>
      <c r="AZ1786" s="1">
        <v>7.1</v>
      </c>
      <c r="BA1786" s="1">
        <v>9.1</v>
      </c>
      <c r="BB1786" s="1">
        <v>3.55</v>
      </c>
      <c r="BC1786" s="1" t="s">
        <v>2984</v>
      </c>
      <c r="BD1786" s="1">
        <v>6.6</v>
      </c>
      <c r="BE1786" s="1">
        <v>23.4</v>
      </c>
      <c r="BF1786" s="1">
        <v>24.0</v>
      </c>
      <c r="BG1786" s="1">
        <v>46.0</v>
      </c>
      <c r="BH1786" s="1" t="s">
        <v>3003</v>
      </c>
    </row>
    <row r="1787">
      <c r="A1787" s="1">
        <v>34027.0</v>
      </c>
      <c r="B1787" s="2" t="str">
        <f>IFERROR(__xludf.DUMMYFUNCTION("TO_TEXT(A1787)"),"34027")</f>
        <v>34027</v>
      </c>
      <c r="C1787" s="1">
        <v>498215.0</v>
      </c>
      <c r="D1787" s="1">
        <v>460.549304624726</v>
      </c>
      <c r="E1787" s="1" t="s">
        <v>1684</v>
      </c>
      <c r="F1787" s="1" t="s">
        <v>3004</v>
      </c>
      <c r="G1787" s="1">
        <v>1081.78428454249</v>
      </c>
      <c r="H1787" s="1">
        <v>12.8264683479999</v>
      </c>
      <c r="I1787" s="1">
        <v>3.491036641</v>
      </c>
      <c r="J1787" s="1">
        <v>6.4952764442</v>
      </c>
      <c r="K1787" s="1">
        <v>12.111935176</v>
      </c>
      <c r="L1787" s="1">
        <v>21.3</v>
      </c>
      <c r="M1787" s="1">
        <v>9.3</v>
      </c>
      <c r="N1787" s="1">
        <v>21.3</v>
      </c>
      <c r="O1787" s="1">
        <v>95.485662515</v>
      </c>
      <c r="P1787" s="1">
        <v>5.9275168693</v>
      </c>
      <c r="Q1787" s="1">
        <v>102.66304</v>
      </c>
      <c r="R1787" s="1">
        <v>94.753328113</v>
      </c>
      <c r="S1787" s="1">
        <v>5.0</v>
      </c>
      <c r="T1787" s="1">
        <v>106437.0</v>
      </c>
      <c r="U1787" s="1">
        <v>15.124439809</v>
      </c>
      <c r="V1787" s="1">
        <v>63.4859061289999</v>
      </c>
      <c r="W1787" s="1">
        <v>15.748184828</v>
      </c>
      <c r="X1787" s="1">
        <v>14.1509433959999</v>
      </c>
      <c r="Y1787" s="1">
        <v>82.614664162</v>
      </c>
      <c r="Z1787" s="1">
        <v>7.6</v>
      </c>
      <c r="AA1787" s="1">
        <v>3.5283128772</v>
      </c>
      <c r="AB1787" s="1">
        <v>112396.0</v>
      </c>
      <c r="AC1787" s="1">
        <v>14.042095764</v>
      </c>
      <c r="AD1787" s="1">
        <v>74.407394304</v>
      </c>
      <c r="AE1787" s="1">
        <v>13.85342551</v>
      </c>
      <c r="AF1787" s="1">
        <v>3.2282671156</v>
      </c>
      <c r="AG1787" s="1">
        <v>0.3136204343</v>
      </c>
      <c r="AH1787" s="1">
        <v>10.747671115</v>
      </c>
      <c r="AI1787" s="1">
        <v>0.0418835032</v>
      </c>
      <c r="AJ1787" s="1">
        <v>13.711283052</v>
      </c>
      <c r="AK1787" s="1">
        <v>70.761875086</v>
      </c>
      <c r="AL1787" s="1">
        <v>3.5790930381</v>
      </c>
      <c r="AM1787" s="1">
        <v>50.876720866</v>
      </c>
      <c r="AN1787" s="1">
        <v>6.7693732784</v>
      </c>
      <c r="AO1787" s="1">
        <v>51182.0</v>
      </c>
      <c r="AP1787" s="1">
        <v>4.6</v>
      </c>
      <c r="AQ1787" s="1">
        <v>5.6</v>
      </c>
      <c r="AR1787" s="1">
        <v>6.0</v>
      </c>
      <c r="AS1787" s="1">
        <v>15.4</v>
      </c>
      <c r="AT1787" s="1">
        <v>22.3</v>
      </c>
      <c r="AU1787" s="1">
        <v>8.1</v>
      </c>
      <c r="AV1787" s="1">
        <v>27.5</v>
      </c>
      <c r="AW1787" s="1">
        <v>3.7</v>
      </c>
      <c r="AX1787" s="1">
        <v>0.1076</v>
      </c>
      <c r="AY1787" s="1">
        <v>5.3</v>
      </c>
      <c r="AZ1787" s="1">
        <v>5.3</v>
      </c>
      <c r="BA1787" s="1">
        <v>6.0</v>
      </c>
      <c r="BB1787" s="1">
        <v>3.85</v>
      </c>
      <c r="BC1787" s="1" t="s">
        <v>2984</v>
      </c>
      <c r="BD1787" s="1">
        <v>5.5</v>
      </c>
      <c r="BE1787" s="1">
        <v>20.1</v>
      </c>
      <c r="BF1787" s="1">
        <v>20.4</v>
      </c>
      <c r="BG1787" s="1">
        <v>54.1</v>
      </c>
      <c r="BH1787" s="1" t="s">
        <v>3004</v>
      </c>
    </row>
    <row r="1788">
      <c r="A1788" s="1">
        <v>34029.0</v>
      </c>
      <c r="B1788" s="2" t="str">
        <f>IFERROR(__xludf.DUMMYFUNCTION("TO_TEXT(A1788)"),"34029")</f>
        <v>34029</v>
      </c>
      <c r="C1788" s="1">
        <v>586166.0</v>
      </c>
      <c r="D1788" s="1">
        <v>628.827316904186</v>
      </c>
      <c r="E1788" s="1" t="s">
        <v>3005</v>
      </c>
      <c r="F1788" s="1" t="s">
        <v>3006</v>
      </c>
      <c r="G1788" s="1">
        <v>932.157341519109</v>
      </c>
      <c r="H1788" s="1">
        <v>14.812623183</v>
      </c>
      <c r="I1788" s="1">
        <v>4.232122294</v>
      </c>
      <c r="J1788" s="1">
        <v>6.0890008964</v>
      </c>
      <c r="K1788" s="1">
        <v>14.443273724</v>
      </c>
      <c r="L1788" s="1">
        <v>28.1</v>
      </c>
      <c r="M1788" s="1">
        <v>8.2</v>
      </c>
      <c r="N1788" s="1">
        <v>29.2</v>
      </c>
      <c r="O1788" s="1">
        <v>89.979828884</v>
      </c>
      <c r="P1788" s="1">
        <v>7.5825049529</v>
      </c>
      <c r="Q1788" s="1">
        <v>43.98413</v>
      </c>
      <c r="R1788" s="1">
        <v>90.88</v>
      </c>
      <c r="S1788" s="1">
        <v>16.1</v>
      </c>
      <c r="T1788" s="1">
        <v>139714.0</v>
      </c>
      <c r="U1788" s="1">
        <v>19.4168086229999</v>
      </c>
      <c r="V1788" s="1">
        <v>99.2524120889999</v>
      </c>
      <c r="W1788" s="1">
        <v>20.028300615</v>
      </c>
      <c r="X1788" s="1">
        <v>18.319102552</v>
      </c>
      <c r="Y1788" s="1">
        <v>79.062568871</v>
      </c>
      <c r="Z1788" s="1">
        <v>10.9</v>
      </c>
      <c r="AA1788" s="1">
        <v>9.01263301659999</v>
      </c>
      <c r="AB1788" s="1">
        <v>68483.0</v>
      </c>
      <c r="AC1788" s="1">
        <v>33.899708099</v>
      </c>
      <c r="AD1788" s="1">
        <v>79.983575265</v>
      </c>
      <c r="AE1788" s="1">
        <v>18.181075302</v>
      </c>
      <c r="AF1788" s="1">
        <v>3.0251757248</v>
      </c>
      <c r="AG1788" s="1">
        <v>0.2692590887</v>
      </c>
      <c r="AH1788" s="1">
        <v>1.9411585786</v>
      </c>
      <c r="AI1788" s="1">
        <v>0.0418847471</v>
      </c>
      <c r="AJ1788" s="1">
        <v>9.4509940148</v>
      </c>
      <c r="AK1788" s="1">
        <v>84.427516949</v>
      </c>
      <c r="AL1788" s="1">
        <v>1.6752006391</v>
      </c>
      <c r="AM1788" s="1">
        <v>51.73846632</v>
      </c>
      <c r="AN1788" s="1">
        <v>2.8983622025</v>
      </c>
      <c r="AO1788" s="1">
        <v>31903.0</v>
      </c>
      <c r="AP1788" s="1">
        <v>11.2</v>
      </c>
      <c r="AQ1788" s="1">
        <v>7.6</v>
      </c>
      <c r="AR1788" s="1">
        <v>9.1</v>
      </c>
      <c r="AS1788" s="1">
        <v>21.9</v>
      </c>
      <c r="AT1788" s="1">
        <v>23.5</v>
      </c>
      <c r="AU1788" s="1">
        <v>13.4</v>
      </c>
      <c r="AV1788" s="1">
        <v>14.9</v>
      </c>
      <c r="AW1788" s="1">
        <v>2.0</v>
      </c>
      <c r="AX1788" s="1">
        <v>0.361</v>
      </c>
      <c r="AY1788" s="1">
        <v>9.0</v>
      </c>
      <c r="AZ1788" s="1">
        <v>8.9</v>
      </c>
      <c r="BA1788" s="1">
        <v>14.5</v>
      </c>
      <c r="BB1788" s="1">
        <v>3.49</v>
      </c>
      <c r="BC1788" s="1" t="s">
        <v>2984</v>
      </c>
      <c r="BD1788" s="1">
        <v>8.0</v>
      </c>
      <c r="BE1788" s="1">
        <v>34.0</v>
      </c>
      <c r="BF1788" s="1">
        <v>28.0</v>
      </c>
      <c r="BG1788" s="1">
        <v>30.0</v>
      </c>
      <c r="BH1788" s="1" t="s">
        <v>3006</v>
      </c>
    </row>
    <row r="1789">
      <c r="A1789" s="1">
        <v>34031.0</v>
      </c>
      <c r="B1789" s="2" t="str">
        <f>IFERROR(__xludf.DUMMYFUNCTION("TO_TEXT(A1789)"),"34031")</f>
        <v>34031</v>
      </c>
      <c r="C1789" s="1">
        <v>507204.0</v>
      </c>
      <c r="D1789" s="1">
        <v>186.004402591678</v>
      </c>
      <c r="E1789" s="1" t="s">
        <v>3007</v>
      </c>
      <c r="F1789" s="1" t="s">
        <v>3008</v>
      </c>
      <c r="G1789" s="1">
        <v>2726.83868195006</v>
      </c>
      <c r="H1789" s="1">
        <v>24.005839859</v>
      </c>
      <c r="I1789" s="1">
        <v>4.1857221259</v>
      </c>
      <c r="J1789" s="1">
        <v>8.4598018312</v>
      </c>
      <c r="K1789" s="1">
        <v>13.782069143</v>
      </c>
      <c r="L1789" s="1">
        <v>27.3</v>
      </c>
      <c r="M1789" s="1">
        <v>8.7</v>
      </c>
      <c r="N1789" s="1">
        <v>27.5</v>
      </c>
      <c r="O1789" s="1">
        <v>97.363464784</v>
      </c>
      <c r="P1789" s="1">
        <v>13.1651382559999</v>
      </c>
      <c r="Q1789" s="1">
        <v>56.76864</v>
      </c>
      <c r="R1789" s="1">
        <v>89.594797399</v>
      </c>
      <c r="S1789" s="1">
        <v>21.9</v>
      </c>
      <c r="T1789" s="1">
        <v>120381.0</v>
      </c>
      <c r="U1789" s="1">
        <v>37.698640151</v>
      </c>
      <c r="V1789" s="1">
        <v>382.03689452</v>
      </c>
      <c r="W1789" s="1">
        <v>30.5475593519999</v>
      </c>
      <c r="X1789" s="1">
        <v>25.407630204</v>
      </c>
      <c r="Y1789" s="1">
        <v>80.667856611</v>
      </c>
      <c r="Z1789" s="1">
        <v>8.6</v>
      </c>
      <c r="AA1789" s="1">
        <v>1.7341870731</v>
      </c>
      <c r="AB1789" s="1">
        <v>71959.0</v>
      </c>
      <c r="AC1789" s="1">
        <v>59.979992939</v>
      </c>
      <c r="AD1789" s="1">
        <v>52.952893016</v>
      </c>
      <c r="AE1789" s="1">
        <v>25.300676363</v>
      </c>
      <c r="AF1789" s="1">
        <v>10.15914645</v>
      </c>
      <c r="AG1789" s="1">
        <v>1.4859629254</v>
      </c>
      <c r="AH1789" s="1">
        <v>5.7541078063</v>
      </c>
      <c r="AI1789" s="1">
        <v>0.2167650156</v>
      </c>
      <c r="AJ1789" s="1">
        <v>42.284675449</v>
      </c>
      <c r="AK1789" s="1">
        <v>40.806461227</v>
      </c>
      <c r="AL1789" s="1">
        <v>12.51211052</v>
      </c>
      <c r="AM1789" s="1">
        <v>51.214559615</v>
      </c>
      <c r="AN1789" s="1">
        <v>2.4100904582</v>
      </c>
      <c r="AO1789" s="1">
        <v>28661.0</v>
      </c>
      <c r="AP1789" s="1">
        <v>16.8</v>
      </c>
      <c r="AQ1789" s="1">
        <v>7.0</v>
      </c>
      <c r="AR1789" s="1">
        <v>17.5</v>
      </c>
      <c r="AS1789" s="1">
        <v>13.1</v>
      </c>
      <c r="AT1789" s="1">
        <v>24.3</v>
      </c>
      <c r="AU1789" s="1">
        <v>8.8</v>
      </c>
      <c r="AV1789" s="1">
        <v>57.4</v>
      </c>
      <c r="AW1789" s="1">
        <v>11.8</v>
      </c>
      <c r="AX1789" s="1">
        <v>0.7768</v>
      </c>
      <c r="AY1789" s="1">
        <v>13.3</v>
      </c>
      <c r="AZ1789" s="1">
        <v>10.4</v>
      </c>
      <c r="BA1789" s="1">
        <v>14.0</v>
      </c>
      <c r="BB1789" s="1">
        <v>3.5</v>
      </c>
      <c r="BC1789" s="1" t="s">
        <v>2984</v>
      </c>
      <c r="BD1789" s="1">
        <v>16.3</v>
      </c>
      <c r="BE1789" s="1">
        <v>34.5</v>
      </c>
      <c r="BF1789" s="1">
        <v>21.0</v>
      </c>
      <c r="BG1789" s="1">
        <v>28.2</v>
      </c>
      <c r="BH1789" s="1" t="s">
        <v>3008</v>
      </c>
    </row>
    <row r="1790">
      <c r="A1790" s="1">
        <v>34033.0</v>
      </c>
      <c r="B1790" s="2" t="str">
        <f>IFERROR(__xludf.DUMMYFUNCTION("TO_TEXT(A1790)"),"34033")</f>
        <v>34033</v>
      </c>
      <c r="C1790" s="1">
        <v>64504.0</v>
      </c>
      <c r="D1790" s="1">
        <v>331.84049519558</v>
      </c>
      <c r="E1790" s="1" t="s">
        <v>3009</v>
      </c>
      <c r="F1790" s="1" t="s">
        <v>3010</v>
      </c>
      <c r="G1790" s="1">
        <v>194.3825450296</v>
      </c>
      <c r="H1790" s="1">
        <v>19.157700893</v>
      </c>
      <c r="I1790" s="1">
        <v>4.7289181772</v>
      </c>
      <c r="J1790" s="1">
        <v>7.6776649746</v>
      </c>
      <c r="K1790" s="1">
        <v>17.793654646</v>
      </c>
      <c r="L1790" s="1">
        <v>36.5</v>
      </c>
      <c r="M1790" s="1">
        <v>8.0</v>
      </c>
      <c r="N1790" s="1">
        <v>29.6</v>
      </c>
      <c r="O1790" s="1">
        <v>69.5352813889999</v>
      </c>
      <c r="P1790" s="1">
        <v>7.6036185183</v>
      </c>
      <c r="Q1790" s="1">
        <v>33.44375</v>
      </c>
      <c r="R1790" s="1">
        <v>87.309048179</v>
      </c>
      <c r="S1790" s="1">
        <v>16.2</v>
      </c>
      <c r="T1790" s="1">
        <v>13566.0</v>
      </c>
      <c r="U1790" s="1">
        <v>38.92820286</v>
      </c>
      <c r="V1790" s="1">
        <v>266.00502454</v>
      </c>
      <c r="W1790" s="1">
        <v>17.522160379</v>
      </c>
      <c r="X1790" s="1">
        <v>16.032405484</v>
      </c>
      <c r="Y1790" s="1">
        <v>76.171195281</v>
      </c>
      <c r="Z1790" s="1">
        <v>14.4</v>
      </c>
      <c r="AA1790" s="1">
        <v>3.2743001625</v>
      </c>
      <c r="AB1790" s="1">
        <v>64524.0</v>
      </c>
      <c r="AC1790" s="1">
        <v>42.342841318</v>
      </c>
      <c r="AD1790" s="1">
        <v>70.491049021</v>
      </c>
      <c r="AE1790" s="1">
        <v>16.485344938</v>
      </c>
      <c r="AF1790" s="1">
        <v>13.394668328</v>
      </c>
      <c r="AG1790" s="1">
        <v>0.5957800246</v>
      </c>
      <c r="AH1790" s="1">
        <v>1.0541952178</v>
      </c>
      <c r="AI1790" s="1">
        <v>0.0495152299</v>
      </c>
      <c r="AJ1790" s="1">
        <v>9.4845624291</v>
      </c>
      <c r="AK1790" s="1">
        <v>73.897487501</v>
      </c>
      <c r="AL1790" s="1">
        <v>2.5555852307</v>
      </c>
      <c r="AM1790" s="1">
        <v>50.936796205</v>
      </c>
      <c r="AN1790" s="1">
        <v>45.300606813</v>
      </c>
      <c r="AO1790" s="1">
        <v>30295.0</v>
      </c>
      <c r="AP1790" s="1">
        <v>13.8</v>
      </c>
      <c r="AQ1790" s="1">
        <v>9.4</v>
      </c>
      <c r="AR1790" s="1">
        <v>13.4</v>
      </c>
      <c r="AS1790" s="1">
        <v>17.1</v>
      </c>
      <c r="AT1790" s="1">
        <v>22.3</v>
      </c>
      <c r="AU1790" s="1">
        <v>15.8</v>
      </c>
      <c r="AV1790" s="1">
        <v>24.5</v>
      </c>
      <c r="AW1790" s="1">
        <v>2.6</v>
      </c>
      <c r="AX1790" s="1">
        <v>0.6119</v>
      </c>
      <c r="AY1790" s="1">
        <v>11.4</v>
      </c>
      <c r="AZ1790" s="1">
        <v>11.3</v>
      </c>
      <c r="BA1790" s="1">
        <v>17.5</v>
      </c>
      <c r="BB1790" s="1">
        <v>3.78</v>
      </c>
      <c r="BC1790" s="1" t="s">
        <v>2984</v>
      </c>
      <c r="BD1790" s="1">
        <v>11.2</v>
      </c>
      <c r="BE1790" s="1">
        <v>38.4</v>
      </c>
      <c r="BF1790" s="1">
        <v>29.4</v>
      </c>
      <c r="BG1790" s="1">
        <v>21.0</v>
      </c>
      <c r="BH1790" s="1" t="s">
        <v>3010</v>
      </c>
    </row>
    <row r="1791">
      <c r="A1791" s="1">
        <v>34035.0</v>
      </c>
      <c r="B1791" s="2" t="str">
        <f>IFERROR(__xludf.DUMMYFUNCTION("TO_TEXT(A1791)"),"34035")</f>
        <v>34035</v>
      </c>
      <c r="C1791" s="1">
        <v>331686.0</v>
      </c>
      <c r="D1791" s="1">
        <v>301.862390350946</v>
      </c>
      <c r="E1791" s="1" t="s">
        <v>2069</v>
      </c>
      <c r="F1791" s="1" t="s">
        <v>3011</v>
      </c>
      <c r="G1791" s="1">
        <v>1098.79869305474</v>
      </c>
      <c r="H1791" s="1">
        <v>12.169988251</v>
      </c>
      <c r="I1791" s="1">
        <v>3.5474035743</v>
      </c>
      <c r="J1791" s="1">
        <v>7.78783506059999</v>
      </c>
      <c r="K1791" s="1">
        <v>10.8438211509999</v>
      </c>
      <c r="L1791" s="1">
        <v>22.2</v>
      </c>
      <c r="M1791" s="1">
        <v>9.3</v>
      </c>
      <c r="N1791" s="1">
        <v>20.1</v>
      </c>
      <c r="O1791" s="1">
        <v>97.095324075</v>
      </c>
      <c r="P1791" s="1">
        <v>5.6926429751</v>
      </c>
      <c r="Q1791" s="1">
        <v>115.96985</v>
      </c>
      <c r="R1791" s="1">
        <v>94.2889647329999</v>
      </c>
      <c r="S1791" s="1">
        <v>5.2</v>
      </c>
      <c r="T1791" s="1">
        <v>73866.0</v>
      </c>
      <c r="U1791" s="1">
        <v>16.835892021</v>
      </c>
      <c r="V1791" s="1">
        <v>64.202760719</v>
      </c>
      <c r="W1791" s="1">
        <v>16.238031858</v>
      </c>
      <c r="X1791" s="1">
        <v>14.79818692</v>
      </c>
      <c r="Y1791" s="1">
        <v>82.510982071</v>
      </c>
      <c r="Z1791" s="1">
        <v>7.3</v>
      </c>
      <c r="AA1791" s="1">
        <v>2.6928232134</v>
      </c>
      <c r="AB1791" s="1">
        <v>119731.0</v>
      </c>
      <c r="AC1791" s="1">
        <v>19.622479141</v>
      </c>
      <c r="AD1791" s="1">
        <v>75.633268383</v>
      </c>
      <c r="AE1791" s="1">
        <v>14.720072195</v>
      </c>
      <c r="AF1791" s="1">
        <v>9.3998743825</v>
      </c>
      <c r="AG1791" s="1">
        <v>0.361754297</v>
      </c>
      <c r="AH1791" s="1">
        <v>18.552439275</v>
      </c>
      <c r="AI1791" s="1">
        <v>0.0818325662999999</v>
      </c>
      <c r="AJ1791" s="1">
        <v>14.984418596</v>
      </c>
      <c r="AK1791" s="1">
        <v>55.452585426</v>
      </c>
      <c r="AL1791" s="1">
        <v>3.312439468</v>
      </c>
      <c r="AM1791" s="1">
        <v>51.118177097</v>
      </c>
      <c r="AN1791" s="1">
        <v>5.7926565341</v>
      </c>
      <c r="AO1791" s="1">
        <v>50034.0</v>
      </c>
      <c r="AP1791" s="1">
        <v>5.2</v>
      </c>
      <c r="AQ1791" s="1">
        <v>5.4</v>
      </c>
      <c r="AR1791" s="1">
        <v>5.9</v>
      </c>
      <c r="AS1791" s="1">
        <v>14.1</v>
      </c>
      <c r="AT1791" s="1">
        <v>23.2</v>
      </c>
      <c r="AU1791" s="1">
        <v>8.0</v>
      </c>
      <c r="AV1791" s="1">
        <v>41.5</v>
      </c>
      <c r="AW1791" s="1">
        <v>3.5</v>
      </c>
      <c r="AX1791" s="1">
        <v>0.1149</v>
      </c>
      <c r="AY1791" s="1">
        <v>5.4</v>
      </c>
      <c r="AZ1791" s="1">
        <v>5.2</v>
      </c>
      <c r="BA1791" s="1">
        <v>5.9</v>
      </c>
      <c r="BB1791" s="1">
        <v>3.72</v>
      </c>
      <c r="BC1791" s="1" t="s">
        <v>2984</v>
      </c>
      <c r="BD1791" s="1">
        <v>5.5</v>
      </c>
      <c r="BE1791" s="1">
        <v>20.3</v>
      </c>
      <c r="BF1791" s="1">
        <v>19.6</v>
      </c>
      <c r="BG1791" s="1">
        <v>54.7</v>
      </c>
      <c r="BH1791" s="1" t="s">
        <v>3011</v>
      </c>
    </row>
    <row r="1792">
      <c r="A1792" s="1">
        <v>34037.0</v>
      </c>
      <c r="B1792" s="2" t="str">
        <f>IFERROR(__xludf.DUMMYFUNCTION("TO_TEXT(A1792)"),"34037")</f>
        <v>34037</v>
      </c>
      <c r="C1792" s="1">
        <v>144694.0</v>
      </c>
      <c r="D1792" s="1">
        <v>518.748483031409</v>
      </c>
      <c r="E1792" s="1" t="s">
        <v>674</v>
      </c>
      <c r="F1792" s="1" t="s">
        <v>3012</v>
      </c>
      <c r="G1792" s="1">
        <v>278.929008436713</v>
      </c>
      <c r="H1792" s="1">
        <v>13.00397837</v>
      </c>
      <c r="I1792" s="1">
        <v>3.7120238131</v>
      </c>
      <c r="J1792" s="1">
        <v>5.9554513482</v>
      </c>
      <c r="K1792" s="1">
        <v>13.757305722</v>
      </c>
      <c r="L1792" s="1">
        <v>27.8</v>
      </c>
      <c r="M1792" s="1">
        <v>9.0</v>
      </c>
      <c r="N1792" s="1">
        <v>25.6</v>
      </c>
      <c r="O1792" s="1">
        <v>93.9483469</v>
      </c>
      <c r="P1792" s="1">
        <v>6.1253730331</v>
      </c>
      <c r="Q1792" s="1">
        <v>49.40642</v>
      </c>
      <c r="R1792" s="1">
        <v>94.814814815</v>
      </c>
      <c r="S1792" s="1">
        <v>5.9</v>
      </c>
      <c r="T1792" s="1">
        <v>28907.0</v>
      </c>
      <c r="U1792" s="1">
        <v>18.825889923</v>
      </c>
      <c r="V1792" s="1">
        <v>54.26426698</v>
      </c>
      <c r="W1792" s="1">
        <v>15.917986952</v>
      </c>
      <c r="X1792" s="1">
        <v>14.8689138579999</v>
      </c>
      <c r="Y1792" s="1">
        <v>79.394027599</v>
      </c>
      <c r="Z1792" s="1">
        <v>8.5</v>
      </c>
      <c r="AA1792" s="1">
        <v>5.5283439574</v>
      </c>
      <c r="AB1792" s="1">
        <v>92284.0</v>
      </c>
      <c r="AC1792" s="1">
        <v>15.968222443</v>
      </c>
      <c r="AD1792" s="1">
        <v>82.470343509</v>
      </c>
      <c r="AE1792" s="1">
        <v>14.162754304</v>
      </c>
      <c r="AF1792" s="1">
        <v>2.1200434662</v>
      </c>
      <c r="AG1792" s="1">
        <v>0.2819622298</v>
      </c>
      <c r="AH1792" s="1">
        <v>2.0049858309</v>
      </c>
      <c r="AI1792" s="1">
        <v>0.0419037067</v>
      </c>
      <c r="AJ1792" s="1">
        <v>8.6421068331</v>
      </c>
      <c r="AK1792" s="1">
        <v>85.784700175</v>
      </c>
      <c r="AL1792" s="1">
        <v>0.9208686051</v>
      </c>
      <c r="AM1792" s="1">
        <v>50.294391295</v>
      </c>
      <c r="AN1792" s="1">
        <v>39.84993133</v>
      </c>
      <c r="AO1792" s="1">
        <v>39667.0</v>
      </c>
      <c r="AP1792" s="1">
        <v>5.8</v>
      </c>
      <c r="AQ1792" s="1">
        <v>7.2</v>
      </c>
      <c r="AR1792" s="1">
        <v>6.1</v>
      </c>
      <c r="AS1792" s="1">
        <v>14.7</v>
      </c>
      <c r="AT1792" s="1">
        <v>21.5</v>
      </c>
      <c r="AU1792" s="1">
        <v>10.1</v>
      </c>
      <c r="AV1792" s="1">
        <v>12.5</v>
      </c>
      <c r="AW1792" s="1">
        <v>1.1</v>
      </c>
      <c r="AX1792" s="1">
        <v>0.0325</v>
      </c>
      <c r="AY1792" s="1">
        <v>5.2</v>
      </c>
      <c r="AZ1792" s="1">
        <v>6.4</v>
      </c>
      <c r="BA1792" s="1">
        <v>9.5</v>
      </c>
      <c r="BB1792" s="1">
        <v>4.01</v>
      </c>
      <c r="BC1792" s="1" t="s">
        <v>2984</v>
      </c>
      <c r="BD1792" s="1">
        <v>5.1</v>
      </c>
      <c r="BE1792" s="1">
        <v>30.6</v>
      </c>
      <c r="BF1792" s="1">
        <v>28.2</v>
      </c>
      <c r="BG1792" s="1">
        <v>36.1</v>
      </c>
      <c r="BH1792" s="1" t="s">
        <v>3012</v>
      </c>
    </row>
    <row r="1793">
      <c r="A1793" s="1">
        <v>34039.0</v>
      </c>
      <c r="B1793" s="2" t="str">
        <f>IFERROR(__xludf.DUMMYFUNCTION("TO_TEXT(A1793)"),"34039")</f>
        <v>34039</v>
      </c>
      <c r="C1793" s="1">
        <v>550436.0</v>
      </c>
      <c r="D1793" s="1">
        <v>102.770462011168</v>
      </c>
      <c r="E1793" s="1" t="s">
        <v>406</v>
      </c>
      <c r="F1793" s="1" t="s">
        <v>3013</v>
      </c>
      <c r="G1793" s="1">
        <v>5355.97475410964</v>
      </c>
      <c r="H1793" s="1">
        <v>19.405232537</v>
      </c>
      <c r="I1793" s="1">
        <v>3.9480522034</v>
      </c>
      <c r="J1793" s="1">
        <v>7.7939261562</v>
      </c>
      <c r="K1793" s="1">
        <v>13.07573586</v>
      </c>
      <c r="L1793" s="1">
        <v>24.9</v>
      </c>
      <c r="M1793" s="1">
        <v>8.9</v>
      </c>
      <c r="N1793" s="1">
        <v>24.4</v>
      </c>
      <c r="O1793" s="1">
        <v>99.71146265</v>
      </c>
      <c r="P1793" s="1">
        <v>11.297647844</v>
      </c>
      <c r="Q1793" s="1">
        <v>66.32476</v>
      </c>
      <c r="R1793" s="1">
        <v>88.392986524</v>
      </c>
      <c r="S1793" s="1">
        <v>10.7</v>
      </c>
      <c r="T1793" s="1">
        <v>129749.0</v>
      </c>
      <c r="U1793" s="1">
        <v>34.028007923</v>
      </c>
      <c r="V1793" s="1">
        <v>356.53325539</v>
      </c>
      <c r="W1793" s="1">
        <v>25.563165498</v>
      </c>
      <c r="X1793" s="1">
        <v>21.341661259</v>
      </c>
      <c r="Y1793" s="1">
        <v>81.548893486</v>
      </c>
      <c r="Z1793" s="1">
        <v>8.3</v>
      </c>
      <c r="AA1793" s="1">
        <v>1.0421373679</v>
      </c>
      <c r="AB1793" s="1">
        <v>80737.0</v>
      </c>
      <c r="AC1793" s="1">
        <v>46.784887721</v>
      </c>
      <c r="AD1793" s="1">
        <v>58.88711922</v>
      </c>
      <c r="AE1793" s="1">
        <v>20.5912472429999</v>
      </c>
      <c r="AF1793" s="1">
        <v>20.934403934</v>
      </c>
      <c r="AG1793" s="1">
        <v>0.765499482999999</v>
      </c>
      <c r="AH1793" s="1">
        <v>5.6842637174</v>
      </c>
      <c r="AI1793" s="1">
        <v>0.1179069897</v>
      </c>
      <c r="AJ1793" s="1">
        <v>32.333035281</v>
      </c>
      <c r="AK1793" s="1">
        <v>39.788950072</v>
      </c>
      <c r="AL1793" s="1">
        <v>11.5391594759999</v>
      </c>
      <c r="AM1793" s="1">
        <v>51.211951253</v>
      </c>
      <c r="AN1793" s="1">
        <v>0.0</v>
      </c>
      <c r="AO1793" s="1">
        <v>36374.0</v>
      </c>
      <c r="AP1793" s="1">
        <v>10.8</v>
      </c>
      <c r="AQ1793" s="1">
        <v>8.5</v>
      </c>
      <c r="AR1793" s="1">
        <v>14.2</v>
      </c>
      <c r="AS1793" s="1">
        <v>13.2</v>
      </c>
      <c r="AT1793" s="1">
        <v>23.8</v>
      </c>
      <c r="AU1793" s="1">
        <v>9.3</v>
      </c>
      <c r="AV1793" s="1">
        <v>58.6</v>
      </c>
      <c r="AW1793" s="1">
        <v>11.2</v>
      </c>
      <c r="AX1793" s="1">
        <v>0.6316</v>
      </c>
      <c r="AY1793" s="1">
        <v>9.1</v>
      </c>
      <c r="AZ1793" s="1">
        <v>8.2</v>
      </c>
      <c r="BA1793" s="1">
        <v>10.2</v>
      </c>
      <c r="BB1793" s="1">
        <v>3.57</v>
      </c>
      <c r="BC1793" s="1" t="s">
        <v>2984</v>
      </c>
      <c r="BD1793" s="1">
        <v>13.6</v>
      </c>
      <c r="BE1793" s="1">
        <v>28.6</v>
      </c>
      <c r="BF1793" s="1">
        <v>21.8</v>
      </c>
      <c r="BG1793" s="1">
        <v>36.0</v>
      </c>
      <c r="BH1793" s="1" t="s">
        <v>3013</v>
      </c>
    </row>
    <row r="1794">
      <c r="A1794" s="1">
        <v>34041.0</v>
      </c>
      <c r="B1794" s="2" t="str">
        <f>IFERROR(__xludf.DUMMYFUNCTION("TO_TEXT(A1794)"),"34041")</f>
        <v>34041</v>
      </c>
      <c r="C1794" s="1">
        <v>107095.0</v>
      </c>
      <c r="D1794" s="1">
        <v>356.507904868628</v>
      </c>
      <c r="E1794" s="1" t="s">
        <v>1045</v>
      </c>
      <c r="F1794" s="1" t="s">
        <v>3014</v>
      </c>
      <c r="G1794" s="1">
        <v>300.400071183454</v>
      </c>
      <c r="H1794" s="1">
        <v>14.501765246</v>
      </c>
      <c r="I1794" s="1">
        <v>4.1437782137</v>
      </c>
      <c r="J1794" s="1">
        <v>7.7047019189</v>
      </c>
      <c r="K1794" s="1">
        <v>14.330127644</v>
      </c>
      <c r="L1794" s="1">
        <v>29.6</v>
      </c>
      <c r="M1794" s="1">
        <v>8.6</v>
      </c>
      <c r="N1794" s="1">
        <v>28.4</v>
      </c>
      <c r="O1794" s="1">
        <v>97.0457807379999</v>
      </c>
      <c r="P1794" s="1">
        <v>7.218858925</v>
      </c>
      <c r="Q1794" s="1">
        <v>58.98987</v>
      </c>
      <c r="R1794" s="1">
        <v>93.385490754</v>
      </c>
      <c r="S1794" s="1">
        <v>8.9</v>
      </c>
      <c r="T1794" s="1">
        <v>21568.0</v>
      </c>
      <c r="U1794" s="1">
        <v>24.930452522</v>
      </c>
      <c r="V1794" s="1">
        <v>70.825515947</v>
      </c>
      <c r="W1794" s="1">
        <v>15.522856109</v>
      </c>
      <c r="X1794" s="1">
        <v>13.915896937</v>
      </c>
      <c r="Y1794" s="1">
        <v>79.44555847</v>
      </c>
      <c r="Z1794" s="1">
        <v>9.5</v>
      </c>
      <c r="AA1794" s="1">
        <v>5.6615149083</v>
      </c>
      <c r="AB1794" s="1">
        <v>77571.0</v>
      </c>
      <c r="AC1794" s="1">
        <v>27.050835016</v>
      </c>
      <c r="AD1794" s="1">
        <v>71.881499395</v>
      </c>
      <c r="AE1794" s="1">
        <v>13.93018746</v>
      </c>
      <c r="AF1794" s="1">
        <v>4.7882850093</v>
      </c>
      <c r="AG1794" s="1">
        <v>0.3100804508</v>
      </c>
      <c r="AH1794" s="1">
        <v>2.9580540561</v>
      </c>
      <c r="AI1794" s="1">
        <v>0.0860284177</v>
      </c>
      <c r="AJ1794" s="1">
        <v>9.7155390011</v>
      </c>
      <c r="AK1794" s="1">
        <v>81.08981934</v>
      </c>
      <c r="AL1794" s="1">
        <v>2.5812939993</v>
      </c>
      <c r="AM1794" s="1">
        <v>51.0422673689999</v>
      </c>
      <c r="AN1794" s="1">
        <v>37.564862179</v>
      </c>
      <c r="AO1794" s="1">
        <v>35386.0</v>
      </c>
      <c r="AP1794" s="1">
        <v>7.9</v>
      </c>
      <c r="AQ1794" s="1">
        <v>8.3</v>
      </c>
      <c r="AR1794" s="1">
        <v>9.6</v>
      </c>
      <c r="AS1794" s="1">
        <v>15.9</v>
      </c>
      <c r="AT1794" s="1">
        <v>21.4</v>
      </c>
      <c r="AU1794" s="1">
        <v>11.8</v>
      </c>
      <c r="AV1794" s="1">
        <v>16.5</v>
      </c>
      <c r="AW1794" s="1">
        <v>2.3</v>
      </c>
      <c r="AX1794" s="1">
        <v>0.2375</v>
      </c>
      <c r="AY1794" s="1">
        <v>7.1</v>
      </c>
      <c r="AZ1794" s="1">
        <v>8.2</v>
      </c>
      <c r="BA1794" s="1">
        <v>11.3</v>
      </c>
      <c r="BB1794" s="1">
        <v>3.55</v>
      </c>
      <c r="BC1794" s="1" t="s">
        <v>2984</v>
      </c>
      <c r="BD1794" s="1">
        <v>8.5</v>
      </c>
      <c r="BE1794" s="1">
        <v>30.6</v>
      </c>
      <c r="BF1794" s="1">
        <v>27.9</v>
      </c>
      <c r="BG1794" s="1">
        <v>33.0</v>
      </c>
      <c r="BH1794" s="1" t="s">
        <v>3014</v>
      </c>
    </row>
    <row r="1795">
      <c r="A1795" s="1">
        <v>35001.0</v>
      </c>
      <c r="B1795" s="2" t="str">
        <f>IFERROR(__xludf.DUMMYFUNCTION("TO_TEXT(A1795)"),"35001")</f>
        <v>35001</v>
      </c>
      <c r="C1795" s="1">
        <v>674777.0</v>
      </c>
      <c r="D1795" s="1">
        <v>1161.03913420438</v>
      </c>
      <c r="E1795" s="1" t="s">
        <v>3015</v>
      </c>
      <c r="F1795" s="1" t="s">
        <v>3016</v>
      </c>
      <c r="G1795" s="1">
        <v>581.183682893171</v>
      </c>
      <c r="H1795" s="1">
        <v>18.215684201</v>
      </c>
      <c r="I1795" s="1">
        <v>4.5770902299</v>
      </c>
      <c r="J1795" s="1">
        <v>9.394910323</v>
      </c>
      <c r="K1795" s="1">
        <v>15.209989631</v>
      </c>
      <c r="L1795" s="1">
        <v>23.4</v>
      </c>
      <c r="M1795" s="1">
        <v>7.3</v>
      </c>
      <c r="N1795" s="1">
        <v>17.0</v>
      </c>
      <c r="O1795" s="1">
        <v>91.044940564</v>
      </c>
      <c r="P1795" s="1">
        <v>9.6581751273</v>
      </c>
      <c r="Q1795" s="1">
        <v>103.1365</v>
      </c>
      <c r="R1795" s="1">
        <v>67.757733693</v>
      </c>
      <c r="S1795" s="1">
        <v>22.2</v>
      </c>
      <c r="T1795" s="1">
        <v>150167.0</v>
      </c>
      <c r="U1795" s="1">
        <v>39.500689233</v>
      </c>
      <c r="V1795" s="1">
        <v>944.83551575</v>
      </c>
      <c r="W1795" s="1">
        <v>18.93379552</v>
      </c>
      <c r="X1795" s="1">
        <v>16.37761939</v>
      </c>
      <c r="Y1795" s="1">
        <v>78.506776048</v>
      </c>
      <c r="Z1795" s="1">
        <v>7.0</v>
      </c>
      <c r="AA1795" s="1">
        <v>6.5770302279</v>
      </c>
      <c r="AB1795" s="1">
        <v>51372.0</v>
      </c>
      <c r="AC1795" s="1">
        <v>67.7913918989999</v>
      </c>
      <c r="AD1795" s="1">
        <v>62.827254693</v>
      </c>
      <c r="AE1795" s="1">
        <v>16.4676233209999</v>
      </c>
      <c r="AF1795" s="1">
        <v>2.494618396</v>
      </c>
      <c r="AG1795" s="1">
        <v>6.2258638193</v>
      </c>
      <c r="AH1795" s="1">
        <v>2.8663579397</v>
      </c>
      <c r="AI1795" s="1">
        <v>0.1498450717</v>
      </c>
      <c r="AJ1795" s="1">
        <v>50.346323344</v>
      </c>
      <c r="AK1795" s="1">
        <v>38.48233611</v>
      </c>
      <c r="AL1795" s="1">
        <v>3.9349210728</v>
      </c>
      <c r="AM1795" s="1">
        <v>50.939810019</v>
      </c>
      <c r="AN1795" s="1">
        <v>4.1955192253</v>
      </c>
      <c r="AO1795" s="1">
        <v>27402.0</v>
      </c>
      <c r="AP1795" s="1">
        <v>18.7</v>
      </c>
      <c r="AQ1795" s="1">
        <v>7.3</v>
      </c>
      <c r="AR1795" s="1">
        <v>11.9</v>
      </c>
      <c r="AS1795" s="1">
        <v>14.2</v>
      </c>
      <c r="AT1795" s="1">
        <v>22.9</v>
      </c>
      <c r="AU1795" s="1">
        <v>13.3</v>
      </c>
      <c r="AV1795" s="1">
        <v>60.1</v>
      </c>
      <c r="AW1795" s="1">
        <v>4.3</v>
      </c>
      <c r="AX1795" s="1">
        <v>0.6998</v>
      </c>
      <c r="AY1795" s="1">
        <v>15.5</v>
      </c>
      <c r="AZ1795" s="1">
        <v>13.1</v>
      </c>
      <c r="BA1795" s="1">
        <v>20.5</v>
      </c>
      <c r="BB1795" s="1">
        <v>3.1</v>
      </c>
      <c r="BC1795" s="1" t="s">
        <v>3017</v>
      </c>
      <c r="BD1795" s="1">
        <v>11.1</v>
      </c>
      <c r="BE1795" s="1">
        <v>23.2</v>
      </c>
      <c r="BF1795" s="1">
        <v>31.3</v>
      </c>
      <c r="BG1795" s="1">
        <v>34.4</v>
      </c>
      <c r="BH1795" s="1" t="s">
        <v>3016</v>
      </c>
    </row>
    <row r="1796">
      <c r="A1796" s="1">
        <v>35003.0</v>
      </c>
      <c r="B1796" s="2" t="str">
        <f>IFERROR(__xludf.DUMMYFUNCTION("TO_TEXT(A1796)"),"35003")</f>
        <v>35003</v>
      </c>
      <c r="C1796" s="1">
        <v>3547.0</v>
      </c>
      <c r="D1796" s="1">
        <v>6924.18339508916</v>
      </c>
      <c r="E1796" s="1" t="s">
        <v>3018</v>
      </c>
      <c r="F1796" s="1" t="s">
        <v>3019</v>
      </c>
      <c r="G1796" s="1">
        <v>0.512262572726719</v>
      </c>
      <c r="H1796" s="1">
        <v>16.332267408</v>
      </c>
      <c r="I1796" s="1">
        <v>4.3365221087</v>
      </c>
      <c r="J1796" s="1">
        <v>8.3333333333</v>
      </c>
      <c r="K1796" s="1">
        <v>14.479116819</v>
      </c>
      <c r="L1796" s="1">
        <v>25.5</v>
      </c>
      <c r="M1796" s="1">
        <v>3.2</v>
      </c>
      <c r="N1796" s="1">
        <v>20.1</v>
      </c>
      <c r="O1796" s="1">
        <v>73.583892617</v>
      </c>
      <c r="P1796" s="1">
        <v>10.046948357</v>
      </c>
      <c r="Q1796" s="1">
        <v>83.63535</v>
      </c>
      <c r="R1796" s="1">
        <v>85.3090909089999</v>
      </c>
      <c r="S1796" s="1">
        <v>40.2</v>
      </c>
      <c r="T1796" s="1">
        <v>468.0</v>
      </c>
      <c r="U1796" s="1">
        <v>48.717948718</v>
      </c>
      <c r="V1796" s="1">
        <v>158.182341099999</v>
      </c>
      <c r="W1796" s="1">
        <v>8.4210526316</v>
      </c>
      <c r="X1796" s="1">
        <v>6.2456140351</v>
      </c>
      <c r="Y1796" s="1">
        <v>83.503607769</v>
      </c>
      <c r="Z1796" s="1">
        <v>10.8</v>
      </c>
      <c r="AA1796" s="1">
        <v>45.474197098</v>
      </c>
      <c r="AB1796" s="1">
        <v>34777.0</v>
      </c>
      <c r="AC1796" s="1">
        <v>87.410071942</v>
      </c>
      <c r="AD1796" s="1">
        <v>92.396813903</v>
      </c>
      <c r="AE1796" s="1">
        <v>9.0977443609</v>
      </c>
      <c r="AF1796" s="1">
        <v>0.6148686417</v>
      </c>
      <c r="AG1796" s="1">
        <v>3.8010061487</v>
      </c>
      <c r="AH1796" s="1">
        <v>0.2794857462</v>
      </c>
      <c r="AI1796" s="1">
        <v>0.0279485746</v>
      </c>
      <c r="AJ1796" s="1">
        <v>18.725544997</v>
      </c>
      <c r="AK1796" s="1">
        <v>75.377305757</v>
      </c>
      <c r="AL1796" s="1">
        <v>0.5179856115</v>
      </c>
      <c r="AM1796" s="1">
        <v>47.205142538</v>
      </c>
      <c r="AN1796" s="1">
        <v>100.0</v>
      </c>
      <c r="AO1796" s="1">
        <v>20762.0</v>
      </c>
      <c r="AP1796" s="1">
        <v>22.9</v>
      </c>
      <c r="AQ1796" s="1">
        <v>4.0</v>
      </c>
      <c r="AR1796" s="1">
        <v>7.7</v>
      </c>
      <c r="AS1796" s="1">
        <v>34.3</v>
      </c>
      <c r="AT1796" s="1">
        <v>15.7</v>
      </c>
      <c r="AU1796" s="1">
        <v>29.1</v>
      </c>
      <c r="AV1796" s="1">
        <v>21.4</v>
      </c>
      <c r="AW1796" s="1">
        <v>0.0</v>
      </c>
      <c r="AX1796" s="1">
        <v>0.3941</v>
      </c>
      <c r="AY1796" s="1">
        <v>20.6</v>
      </c>
      <c r="AZ1796" s="1">
        <v>19.2</v>
      </c>
      <c r="BA1796" s="1">
        <v>34.8</v>
      </c>
      <c r="BB1796" s="1">
        <v>2.97</v>
      </c>
      <c r="BC1796" s="1" t="s">
        <v>3017</v>
      </c>
      <c r="BD1796" s="1">
        <v>5.9</v>
      </c>
      <c r="BE1796" s="1">
        <v>47.1</v>
      </c>
      <c r="BF1796" s="1">
        <v>31.3</v>
      </c>
      <c r="BG1796" s="1">
        <v>15.7</v>
      </c>
      <c r="BH1796" s="1" t="s">
        <v>3019</v>
      </c>
    </row>
    <row r="1797">
      <c r="A1797" s="1">
        <v>35005.0</v>
      </c>
      <c r="B1797" s="2" t="str">
        <f>IFERROR(__xludf.DUMMYFUNCTION("TO_TEXT(A1797)"),"35005")</f>
        <v>35005</v>
      </c>
      <c r="C1797" s="1">
        <v>65610.0</v>
      </c>
      <c r="D1797" s="1">
        <v>6065.23258075153</v>
      </c>
      <c r="E1797" s="1" t="s">
        <v>3020</v>
      </c>
      <c r="F1797" s="1" t="s">
        <v>3021</v>
      </c>
      <c r="G1797" s="1">
        <v>10.8173922642666</v>
      </c>
      <c r="H1797" s="1">
        <v>23.165229448</v>
      </c>
      <c r="I1797" s="1">
        <v>4.5752628159</v>
      </c>
      <c r="J1797" s="1">
        <v>7.98660927789999</v>
      </c>
      <c r="K1797" s="1">
        <v>17.439444818</v>
      </c>
      <c r="L1797" s="1">
        <v>34.0</v>
      </c>
      <c r="M1797" s="1">
        <v>6.8</v>
      </c>
      <c r="N1797" s="1">
        <v>26.4</v>
      </c>
      <c r="O1797" s="1">
        <v>71.083860157</v>
      </c>
      <c r="P1797" s="1">
        <v>11.789553083</v>
      </c>
      <c r="Q1797" s="1">
        <v>67.83215</v>
      </c>
      <c r="R1797" s="1">
        <v>66.753840993</v>
      </c>
      <c r="S1797" s="1">
        <v>24.1</v>
      </c>
      <c r="T1797" s="1">
        <v>17263.0</v>
      </c>
      <c r="U1797" s="1">
        <v>40.340612871</v>
      </c>
      <c r="V1797" s="1">
        <v>622.07923887</v>
      </c>
      <c r="W1797" s="1">
        <v>16.065644569</v>
      </c>
      <c r="X1797" s="1">
        <v>11.857394366</v>
      </c>
      <c r="Y1797" s="1">
        <v>75.661416457</v>
      </c>
      <c r="Z1797" s="1">
        <v>11.7</v>
      </c>
      <c r="AA1797" s="1">
        <v>13.190911135</v>
      </c>
      <c r="AB1797" s="1">
        <v>43527.0</v>
      </c>
      <c r="AC1797" s="1">
        <v>88.966865062</v>
      </c>
      <c r="AD1797" s="1">
        <v>69.027579956</v>
      </c>
      <c r="AE1797" s="1">
        <v>11.49536144</v>
      </c>
      <c r="AF1797" s="1">
        <v>1.4190975282</v>
      </c>
      <c r="AG1797" s="1">
        <v>2.3002365163</v>
      </c>
      <c r="AH1797" s="1">
        <v>1.1624851211</v>
      </c>
      <c r="AI1797" s="1">
        <v>0.2581582649</v>
      </c>
      <c r="AJ1797" s="1">
        <v>57.199833047</v>
      </c>
      <c r="AK1797" s="1">
        <v>38.697460156</v>
      </c>
      <c r="AL1797" s="1">
        <v>6.04276671799999</v>
      </c>
      <c r="AM1797" s="1">
        <v>50.381053966</v>
      </c>
      <c r="AN1797" s="1">
        <v>24.248609947</v>
      </c>
      <c r="AO1797" s="1">
        <v>21015.0</v>
      </c>
      <c r="AP1797" s="1">
        <v>22.2</v>
      </c>
      <c r="AQ1797" s="1">
        <v>7.1</v>
      </c>
      <c r="AR1797" s="1">
        <v>21.9</v>
      </c>
      <c r="AS1797" s="1">
        <v>14.7</v>
      </c>
      <c r="AT1797" s="1">
        <v>27.1</v>
      </c>
      <c r="AU1797" s="1">
        <v>17.1</v>
      </c>
      <c r="AV1797" s="1">
        <v>59.0</v>
      </c>
      <c r="AW1797" s="1">
        <v>6.4</v>
      </c>
      <c r="AX1797" s="1">
        <v>0.9589</v>
      </c>
      <c r="AY1797" s="1">
        <v>18.1</v>
      </c>
      <c r="AZ1797" s="1">
        <v>14.3</v>
      </c>
      <c r="BA1797" s="1">
        <v>23.2</v>
      </c>
      <c r="BB1797" s="1">
        <v>2.91</v>
      </c>
      <c r="BC1797" s="1" t="s">
        <v>3017</v>
      </c>
      <c r="BD1797" s="1">
        <v>21.8</v>
      </c>
      <c r="BE1797" s="1">
        <v>27.7</v>
      </c>
      <c r="BF1797" s="1">
        <v>32.5</v>
      </c>
      <c r="BG1797" s="1">
        <v>18.0</v>
      </c>
      <c r="BH1797" s="1" t="s">
        <v>3021</v>
      </c>
    </row>
    <row r="1798">
      <c r="A1798" s="1">
        <v>35006.0</v>
      </c>
      <c r="B1798" s="2" t="str">
        <f>IFERROR(__xludf.DUMMYFUNCTION("TO_TEXT(A1798)"),"35006")</f>
        <v>35006</v>
      </c>
      <c r="C1798" s="1">
        <v>27373.0</v>
      </c>
      <c r="D1798" s="1">
        <v>4539.88001793189</v>
      </c>
      <c r="E1798" s="1" t="s">
        <v>3022</v>
      </c>
      <c r="F1798" s="1" t="s">
        <v>3023</v>
      </c>
      <c r="G1798" s="1">
        <v>6.02945449921154</v>
      </c>
      <c r="H1798" s="1">
        <v>27.81915578</v>
      </c>
      <c r="I1798" s="1">
        <v>5.3513506065</v>
      </c>
      <c r="J1798" s="1">
        <v>9.5585257189</v>
      </c>
      <c r="K1798" s="1">
        <v>23.253058172</v>
      </c>
      <c r="L1798" s="1">
        <v>30.9</v>
      </c>
      <c r="M1798" s="1">
        <v>5.0</v>
      </c>
      <c r="N1798" s="1">
        <v>29.4</v>
      </c>
      <c r="O1798" s="1">
        <v>66.361665381</v>
      </c>
      <c r="P1798" s="1">
        <v>12.601001338</v>
      </c>
      <c r="Q1798" s="1">
        <v>52.1357</v>
      </c>
      <c r="R1798" s="1">
        <v>68.156134157</v>
      </c>
      <c r="S1798" s="1">
        <v>34.3</v>
      </c>
      <c r="T1798" s="1">
        <v>6401.0</v>
      </c>
      <c r="U1798" s="1">
        <v>57.4129042339999</v>
      </c>
      <c r="V1798" s="1">
        <v>543.13919777</v>
      </c>
      <c r="W1798" s="1">
        <v>19.749573136</v>
      </c>
      <c r="X1798" s="1">
        <v>8.9430894309</v>
      </c>
      <c r="Y1798" s="1">
        <v>76.542064761</v>
      </c>
      <c r="Z1798" s="1">
        <v>13.9</v>
      </c>
      <c r="AA1798" s="1">
        <v>22.05752659</v>
      </c>
      <c r="AB1798" s="1">
        <v>38097.0</v>
      </c>
      <c r="AC1798" s="1">
        <v>100.0</v>
      </c>
      <c r="AD1798" s="1">
        <v>69.795279114</v>
      </c>
      <c r="AE1798" s="1">
        <v>9.3115942029</v>
      </c>
      <c r="AF1798" s="1">
        <v>0.990802363</v>
      </c>
      <c r="AG1798" s="1">
        <v>43.842069842</v>
      </c>
      <c r="AH1798" s="1">
        <v>0.6318701862</v>
      </c>
      <c r="AI1798" s="1">
        <v>0.1121663052</v>
      </c>
      <c r="AJ1798" s="1">
        <v>38.443131683</v>
      </c>
      <c r="AK1798" s="1">
        <v>19.057055261</v>
      </c>
      <c r="AL1798" s="1">
        <v>1.8134096874</v>
      </c>
      <c r="AM1798" s="1">
        <v>48.904509085</v>
      </c>
      <c r="AN1798" s="1">
        <v>55.344871936</v>
      </c>
      <c r="AO1798" s="1">
        <v>16885.0</v>
      </c>
      <c r="AP1798" s="1">
        <v>27.4</v>
      </c>
      <c r="AQ1798" s="1">
        <v>16.3</v>
      </c>
      <c r="AR1798" s="1">
        <v>19.9</v>
      </c>
      <c r="AS1798" s="1">
        <v>14.4</v>
      </c>
      <c r="AT1798" s="1">
        <v>24.4</v>
      </c>
      <c r="AU1798" s="1">
        <v>23.6</v>
      </c>
      <c r="AV1798" s="1">
        <v>79.7</v>
      </c>
      <c r="AW1798" s="1">
        <v>3.8</v>
      </c>
      <c r="AX1798" s="1">
        <v>0.9994</v>
      </c>
      <c r="AY1798" s="1">
        <v>25.5</v>
      </c>
      <c r="AZ1798" s="1">
        <v>19.4</v>
      </c>
      <c r="BA1798" s="1">
        <v>31.1</v>
      </c>
      <c r="BB1798" s="1">
        <v>2.88</v>
      </c>
      <c r="BC1798" s="1" t="s">
        <v>3017</v>
      </c>
      <c r="BD1798" s="1">
        <v>17.0</v>
      </c>
      <c r="BE1798" s="1">
        <v>32.2</v>
      </c>
      <c r="BF1798" s="1">
        <v>36.6</v>
      </c>
      <c r="BG1798" s="1">
        <v>14.2</v>
      </c>
      <c r="BH1798" s="1" t="s">
        <v>3023</v>
      </c>
    </row>
    <row r="1799">
      <c r="A1799" s="1">
        <v>35007.0</v>
      </c>
      <c r="B1799" s="2" t="str">
        <f>IFERROR(__xludf.DUMMYFUNCTION("TO_TEXT(A1799)"),"35007")</f>
        <v>35007</v>
      </c>
      <c r="C1799" s="1">
        <v>12716.0</v>
      </c>
      <c r="D1799" s="1">
        <v>3757.97327042476</v>
      </c>
      <c r="E1799" s="1" t="s">
        <v>2827</v>
      </c>
      <c r="F1799" s="1" t="s">
        <v>3024</v>
      </c>
      <c r="G1799" s="1">
        <v>3.3837388094468</v>
      </c>
      <c r="H1799" s="1">
        <v>23.55919616</v>
      </c>
      <c r="I1799" s="1">
        <v>4.7036878535</v>
      </c>
      <c r="J1799" s="1">
        <v>14.42193087</v>
      </c>
      <c r="K1799" s="1">
        <v>16.948099829</v>
      </c>
      <c r="L1799" s="1">
        <v>28.1</v>
      </c>
      <c r="M1799" s="1">
        <v>5.1</v>
      </c>
      <c r="N1799" s="1">
        <v>28.4</v>
      </c>
      <c r="O1799" s="1">
        <v>75.810909091</v>
      </c>
      <c r="P1799" s="1">
        <v>9.1275322284</v>
      </c>
      <c r="Q1799" s="1">
        <v>41.07114</v>
      </c>
      <c r="R1799" s="1">
        <v>80.884529148</v>
      </c>
      <c r="S1799" s="1">
        <v>30.2</v>
      </c>
      <c r="T1799" s="1">
        <v>2280.0</v>
      </c>
      <c r="U1799" s="1">
        <v>50.350877193</v>
      </c>
      <c r="V1799" s="1">
        <v>273.50710704</v>
      </c>
      <c r="W1799" s="1">
        <v>17.734447539</v>
      </c>
      <c r="X1799" s="1">
        <v>15.645617342</v>
      </c>
      <c r="Y1799" s="1">
        <v>77.650114333</v>
      </c>
      <c r="Z1799" s="1">
        <v>13.3</v>
      </c>
      <c r="AA1799" s="1">
        <v>28.898795354</v>
      </c>
      <c r="AB1799" s="1">
        <v>41592.0</v>
      </c>
      <c r="AC1799" s="1">
        <v>87.990196078</v>
      </c>
      <c r="AD1799" s="1">
        <v>68.93272279</v>
      </c>
      <c r="AE1799" s="1">
        <v>12.821959015</v>
      </c>
      <c r="AF1799" s="1">
        <v>0.5697770438</v>
      </c>
      <c r="AG1799" s="1">
        <v>2.8323699422</v>
      </c>
      <c r="AH1799" s="1">
        <v>0.8257638315</v>
      </c>
      <c r="AI1799" s="1">
        <v>0.2312138728</v>
      </c>
      <c r="AJ1799" s="1">
        <v>49.298100743</v>
      </c>
      <c r="AK1799" s="1">
        <v>46.7712634189999</v>
      </c>
      <c r="AL1799" s="1">
        <v>1.2356199403</v>
      </c>
      <c r="AM1799" s="1">
        <v>49.281585467</v>
      </c>
      <c r="AN1799" s="1">
        <v>52.356363636</v>
      </c>
      <c r="AO1799" s="1">
        <v>20911.0</v>
      </c>
      <c r="AP1799" s="1">
        <v>21.4</v>
      </c>
      <c r="AQ1799" s="1">
        <v>11.5</v>
      </c>
      <c r="AR1799" s="1">
        <v>11.3</v>
      </c>
      <c r="AS1799" s="1">
        <v>23.5</v>
      </c>
      <c r="AT1799" s="1">
        <v>18.8</v>
      </c>
      <c r="AU1799" s="1">
        <v>21.4</v>
      </c>
      <c r="AV1799" s="1">
        <v>52.5</v>
      </c>
      <c r="AW1799" s="1">
        <v>1.7</v>
      </c>
      <c r="AX1799" s="1">
        <v>0.9379</v>
      </c>
      <c r="AY1799" s="1">
        <v>17.0</v>
      </c>
      <c r="AZ1799" s="1">
        <v>16.9</v>
      </c>
      <c r="BA1799" s="1">
        <v>27.9</v>
      </c>
      <c r="BB1799" s="1">
        <v>3.51</v>
      </c>
      <c r="BC1799" s="1" t="s">
        <v>3017</v>
      </c>
      <c r="BD1799" s="1">
        <v>11.8</v>
      </c>
      <c r="BE1799" s="1">
        <v>29.4</v>
      </c>
      <c r="BF1799" s="1">
        <v>37.1</v>
      </c>
      <c r="BG1799" s="1">
        <v>21.7</v>
      </c>
      <c r="BH1799" s="1" t="s">
        <v>3024</v>
      </c>
    </row>
    <row r="1800">
      <c r="A1800" s="1">
        <v>35009.0</v>
      </c>
      <c r="B1800" s="2" t="str">
        <f>IFERROR(__xludf.DUMMYFUNCTION("TO_TEXT(A1800)"),"35009")</f>
        <v>35009</v>
      </c>
      <c r="C1800" s="1">
        <v>50544.0</v>
      </c>
      <c r="D1800" s="1">
        <v>1405.45421106748</v>
      </c>
      <c r="E1800" s="1" t="s">
        <v>3025</v>
      </c>
      <c r="F1800" s="1" t="s">
        <v>3026</v>
      </c>
      <c r="G1800" s="1">
        <v>35.9627511177403</v>
      </c>
      <c r="H1800" s="1">
        <v>22.052434319</v>
      </c>
      <c r="I1800" s="1">
        <v>4.4604687189</v>
      </c>
      <c r="J1800" s="1">
        <v>8.2580645161</v>
      </c>
      <c r="K1800" s="1">
        <v>18.999062719</v>
      </c>
      <c r="L1800" s="1">
        <v>30.1</v>
      </c>
      <c r="M1800" s="1">
        <v>6.0</v>
      </c>
      <c r="N1800" s="1">
        <v>30.4</v>
      </c>
      <c r="O1800" s="1">
        <v>78.334297999</v>
      </c>
      <c r="P1800" s="1">
        <v>9.6027510969</v>
      </c>
      <c r="Q1800" s="1">
        <v>48.18116</v>
      </c>
      <c r="R1800" s="1">
        <v>77.929672131</v>
      </c>
      <c r="S1800" s="1">
        <v>25.6</v>
      </c>
      <c r="T1800" s="1">
        <v>13250.0</v>
      </c>
      <c r="U1800" s="1">
        <v>39.290566038</v>
      </c>
      <c r="V1800" s="1">
        <v>407.38621792</v>
      </c>
      <c r="W1800" s="1">
        <v>16.889860618</v>
      </c>
      <c r="X1800" s="1">
        <v>13.842746401</v>
      </c>
      <c r="Y1800" s="1">
        <v>76.529998633</v>
      </c>
      <c r="Z1800" s="1">
        <v>7.1</v>
      </c>
      <c r="AA1800" s="1">
        <v>15.335998745</v>
      </c>
      <c r="AB1800" s="1">
        <v>47202.0</v>
      </c>
      <c r="AC1800" s="1">
        <v>76.1978361669999</v>
      </c>
      <c r="AD1800" s="1">
        <v>57.429111531</v>
      </c>
      <c r="AE1800" s="1">
        <v>14.33423913</v>
      </c>
      <c r="AF1800" s="1">
        <v>5.679956308</v>
      </c>
      <c r="AG1800" s="1">
        <v>2.1239152861</v>
      </c>
      <c r="AH1800" s="1">
        <v>1.8670226753</v>
      </c>
      <c r="AI1800" s="1">
        <v>0.2508242814</v>
      </c>
      <c r="AJ1800" s="1">
        <v>42.708902239</v>
      </c>
      <c r="AK1800" s="1">
        <v>47.053826082</v>
      </c>
      <c r="AL1800" s="1">
        <v>5.3280914008</v>
      </c>
      <c r="AM1800" s="1">
        <v>48.12994316</v>
      </c>
      <c r="AN1800" s="1">
        <v>14.068959815</v>
      </c>
      <c r="AO1800" s="1">
        <v>21502.0</v>
      </c>
      <c r="AP1800" s="1">
        <v>21.6</v>
      </c>
      <c r="AQ1800" s="1">
        <v>8.9</v>
      </c>
      <c r="AR1800" s="1">
        <v>16.8</v>
      </c>
      <c r="AS1800" s="1">
        <v>11.4</v>
      </c>
      <c r="AT1800" s="1">
        <v>26.9</v>
      </c>
      <c r="AU1800" s="1">
        <v>16.6</v>
      </c>
      <c r="AV1800" s="1">
        <v>50.2</v>
      </c>
      <c r="AW1800" s="1">
        <v>5.7</v>
      </c>
      <c r="AX1800" s="1">
        <v>0.8902</v>
      </c>
      <c r="AY1800" s="1">
        <v>18.7</v>
      </c>
      <c r="AZ1800" s="1">
        <v>15.0</v>
      </c>
      <c r="BA1800" s="1">
        <v>23.7</v>
      </c>
      <c r="BB1800" s="1">
        <v>3.23</v>
      </c>
      <c r="BC1800" s="1" t="s">
        <v>3017</v>
      </c>
      <c r="BD1800" s="1">
        <v>18.1</v>
      </c>
      <c r="BE1800" s="1">
        <v>26.7</v>
      </c>
      <c r="BF1800" s="1">
        <v>36.0</v>
      </c>
      <c r="BG1800" s="1">
        <v>19.2</v>
      </c>
      <c r="BH1800" s="1" t="s">
        <v>3026</v>
      </c>
    </row>
    <row r="1801">
      <c r="A1801" s="1">
        <v>35011.0</v>
      </c>
      <c r="B1801" s="2" t="str">
        <f>IFERROR(__xludf.DUMMYFUNCTION("TO_TEXT(A1801)"),"35011")</f>
        <v>35011</v>
      </c>
      <c r="C1801" s="1">
        <v>1977.0</v>
      </c>
      <c r="D1801" s="1">
        <v>2323.08373091273</v>
      </c>
      <c r="E1801" s="1" t="s">
        <v>3027</v>
      </c>
      <c r="F1801" s="1" t="s">
        <v>3028</v>
      </c>
      <c r="G1801" s="1">
        <v>0.851023996118833</v>
      </c>
      <c r="H1801" s="1">
        <v>21.432810007</v>
      </c>
      <c r="I1801" s="1">
        <v>4.557889022</v>
      </c>
      <c r="J1801" s="1">
        <v>7.80443539465</v>
      </c>
      <c r="K1801" s="1">
        <v>16.493202636</v>
      </c>
      <c r="L1801" s="1">
        <v>37.3</v>
      </c>
      <c r="M1801" s="1">
        <v>7.1</v>
      </c>
      <c r="N1801" s="1">
        <v>29.6</v>
      </c>
      <c r="O1801" s="1">
        <v>85.459940653</v>
      </c>
      <c r="P1801" s="1">
        <v>13.26762699</v>
      </c>
      <c r="Q1801" s="1">
        <v>54.67469</v>
      </c>
      <c r="R1801" s="1">
        <v>88.1</v>
      </c>
      <c r="S1801" s="1">
        <v>36.3</v>
      </c>
      <c r="T1801" s="1">
        <v>544.0</v>
      </c>
      <c r="U1801" s="1">
        <v>29.963235294</v>
      </c>
      <c r="V1801" s="1">
        <v>218.459858</v>
      </c>
      <c r="W1801" s="1">
        <v>4.2477876106</v>
      </c>
      <c r="X1801" s="1">
        <v>3.9215686275</v>
      </c>
      <c r="Y1801" s="1">
        <v>78.133954356</v>
      </c>
      <c r="Z1801" s="1">
        <v>26.2</v>
      </c>
      <c r="AA1801" s="1">
        <v>6.7914372101</v>
      </c>
      <c r="AB1801" s="1">
        <v>35087.0</v>
      </c>
      <c r="AC1801" s="1">
        <v>68.524590164</v>
      </c>
      <c r="AD1801" s="1">
        <v>66.382978723</v>
      </c>
      <c r="AE1801" s="1">
        <v>8.3469721768</v>
      </c>
      <c r="AF1801" s="1">
        <v>0.3930376193</v>
      </c>
      <c r="AG1801" s="1">
        <v>1.9651880966</v>
      </c>
      <c r="AH1801" s="1">
        <v>0.2807411567</v>
      </c>
      <c r="AI1801" s="1">
        <v>0.0</v>
      </c>
      <c r="AJ1801" s="1">
        <v>44.30095452</v>
      </c>
      <c r="AK1801" s="1">
        <v>52.105558675</v>
      </c>
      <c r="AL1801" s="1">
        <v>0.869565217399999</v>
      </c>
      <c r="AM1801" s="1">
        <v>50.477259966</v>
      </c>
      <c r="AN1801" s="1">
        <v>100.0</v>
      </c>
      <c r="AO1801" s="1">
        <v>28232.0</v>
      </c>
      <c r="AP1801" s="1">
        <v>20.0</v>
      </c>
      <c r="AQ1801" s="1">
        <v>6.6</v>
      </c>
      <c r="AR1801" s="1">
        <v>14.1</v>
      </c>
      <c r="AS1801" s="1">
        <v>23.4</v>
      </c>
      <c r="AT1801" s="1">
        <v>17.0</v>
      </c>
      <c r="AU1801" s="1">
        <v>23.6</v>
      </c>
      <c r="AV1801" s="1">
        <v>53.0</v>
      </c>
      <c r="AW1801" s="1">
        <v>0.6</v>
      </c>
      <c r="AX1801" s="1">
        <v>0.4378</v>
      </c>
      <c r="AY1801" s="1">
        <v>18.6</v>
      </c>
      <c r="AZ1801" s="1">
        <v>14.9</v>
      </c>
      <c r="BA1801" s="1">
        <v>20.3</v>
      </c>
      <c r="BB1801" s="1">
        <v>3.07</v>
      </c>
      <c r="BC1801" s="1" t="s">
        <v>3017</v>
      </c>
      <c r="BD1801" s="1">
        <v>15.7</v>
      </c>
      <c r="BE1801" s="1">
        <v>36.2</v>
      </c>
      <c r="BF1801" s="1">
        <v>35.0</v>
      </c>
      <c r="BG1801" s="1">
        <v>13.0</v>
      </c>
      <c r="BH1801" s="1" t="s">
        <v>3028</v>
      </c>
    </row>
    <row r="1802">
      <c r="A1802" s="1">
        <v>35013.0</v>
      </c>
      <c r="B1802" s="2" t="str">
        <f>IFERROR(__xludf.DUMMYFUNCTION("TO_TEXT(A1802)"),"35013")</f>
        <v>35013</v>
      </c>
      <c r="C1802" s="1">
        <v>213825.0</v>
      </c>
      <c r="D1802" s="1">
        <v>3808.16323041097</v>
      </c>
      <c r="E1802" s="1" t="s">
        <v>3029</v>
      </c>
      <c r="F1802" s="1" t="s">
        <v>3030</v>
      </c>
      <c r="G1802" s="1">
        <v>56.1491162701352</v>
      </c>
      <c r="H1802" s="1">
        <v>25.121962458</v>
      </c>
      <c r="I1802" s="1">
        <v>4.5088270152</v>
      </c>
      <c r="J1802" s="1">
        <v>7.9953650058</v>
      </c>
      <c r="K1802" s="1">
        <v>16.428989415</v>
      </c>
      <c r="L1802" s="1">
        <v>28.4</v>
      </c>
      <c r="M1802" s="1">
        <v>6.1</v>
      </c>
      <c r="N1802" s="1">
        <v>17.2</v>
      </c>
      <c r="O1802" s="1">
        <v>78.032623917</v>
      </c>
      <c r="P1802" s="1">
        <v>11.54159132</v>
      </c>
      <c r="Q1802" s="1">
        <v>62.15819</v>
      </c>
      <c r="R1802" s="1">
        <v>82.575017532</v>
      </c>
      <c r="S1802" s="1">
        <v>33.3</v>
      </c>
      <c r="T1802" s="1">
        <v>53662.0</v>
      </c>
      <c r="U1802" s="1">
        <v>37.546122023</v>
      </c>
      <c r="V1802" s="1">
        <v>282.71952821</v>
      </c>
      <c r="W1802" s="1">
        <v>18.602480331</v>
      </c>
      <c r="X1802" s="1">
        <v>14.611934212</v>
      </c>
      <c r="Y1802" s="1">
        <v>80.210093501</v>
      </c>
      <c r="Z1802" s="1">
        <v>8.7</v>
      </c>
      <c r="AA1802" s="1">
        <v>19.489991583</v>
      </c>
      <c r="AB1802" s="1">
        <v>38409.0</v>
      </c>
      <c r="AC1802" s="1">
        <v>84.539720679</v>
      </c>
      <c r="AD1802" s="1">
        <v>61.80909713</v>
      </c>
      <c r="AE1802" s="1">
        <v>16.073217622</v>
      </c>
      <c r="AF1802" s="1">
        <v>1.6099520968</v>
      </c>
      <c r="AG1802" s="1">
        <v>2.3528654573</v>
      </c>
      <c r="AH1802" s="1">
        <v>1.3405540589</v>
      </c>
      <c r="AI1802" s="1">
        <v>0.1728560789</v>
      </c>
      <c r="AJ1802" s="1">
        <v>68.573293736</v>
      </c>
      <c r="AK1802" s="1">
        <v>26.931528765</v>
      </c>
      <c r="AL1802" s="1">
        <v>8.6872586873</v>
      </c>
      <c r="AM1802" s="1">
        <v>50.918987505</v>
      </c>
      <c r="AN1802" s="1">
        <v>19.290456094</v>
      </c>
      <c r="AO1802" s="1">
        <v>20143.0</v>
      </c>
      <c r="AP1802" s="1">
        <v>27.6</v>
      </c>
      <c r="AQ1802" s="1">
        <v>10.6</v>
      </c>
      <c r="AR1802" s="1">
        <v>21.0</v>
      </c>
      <c r="AS1802" s="1">
        <v>14.0</v>
      </c>
      <c r="AT1802" s="1">
        <v>25.6</v>
      </c>
      <c r="AU1802" s="1">
        <v>11.7</v>
      </c>
      <c r="AV1802" s="1">
        <v>71.5</v>
      </c>
      <c r="AW1802" s="1">
        <v>8.2</v>
      </c>
      <c r="AX1802" s="1">
        <v>0.9647</v>
      </c>
      <c r="AY1802" s="1">
        <v>23.8</v>
      </c>
      <c r="AZ1802" s="1">
        <v>15.7</v>
      </c>
      <c r="BA1802" s="1">
        <v>25.8</v>
      </c>
      <c r="BB1802" s="1">
        <v>2.94</v>
      </c>
      <c r="BC1802" s="1" t="s">
        <v>3017</v>
      </c>
      <c r="BD1802" s="1">
        <v>20.6</v>
      </c>
      <c r="BE1802" s="1">
        <v>22.7</v>
      </c>
      <c r="BF1802" s="1">
        <v>29.6</v>
      </c>
      <c r="BG1802" s="1">
        <v>27.1</v>
      </c>
      <c r="BH1802" s="1" t="s">
        <v>3030</v>
      </c>
    </row>
    <row r="1803">
      <c r="A1803" s="1">
        <v>35015.0</v>
      </c>
      <c r="B1803" s="2" t="str">
        <f>IFERROR(__xludf.DUMMYFUNCTION("TO_TEXT(A1803)"),"35015")</f>
        <v>35015</v>
      </c>
      <c r="C1803" s="1">
        <v>56369.0</v>
      </c>
      <c r="D1803" s="1">
        <v>4176.36381311232</v>
      </c>
      <c r="E1803" s="1" t="s">
        <v>3031</v>
      </c>
      <c r="F1803" s="1" t="s">
        <v>3032</v>
      </c>
      <c r="G1803" s="1">
        <v>13.4971478832905</v>
      </c>
      <c r="H1803" s="1">
        <v>19.44133274</v>
      </c>
      <c r="I1803" s="1">
        <v>3.9888420143</v>
      </c>
      <c r="J1803" s="1">
        <v>7.95666158789999</v>
      </c>
      <c r="K1803" s="1">
        <v>15.5308703659999</v>
      </c>
      <c r="L1803" s="1">
        <v>34.5</v>
      </c>
      <c r="M1803" s="1">
        <v>7.1</v>
      </c>
      <c r="N1803" s="1">
        <v>27.7</v>
      </c>
      <c r="O1803" s="1">
        <v>70.0291664339999</v>
      </c>
      <c r="P1803" s="1">
        <v>8.8484798448</v>
      </c>
      <c r="Q1803" s="1">
        <v>33.33509</v>
      </c>
      <c r="R1803" s="1">
        <v>75.4281433</v>
      </c>
      <c r="S1803" s="1">
        <v>17.8</v>
      </c>
      <c r="T1803" s="1">
        <v>14913.0</v>
      </c>
      <c r="U1803" s="1">
        <v>37.913230068</v>
      </c>
      <c r="V1803" s="1">
        <v>567.4680909</v>
      </c>
      <c r="W1803" s="1">
        <v>13.085004776</v>
      </c>
      <c r="X1803" s="1">
        <v>7.5530888031</v>
      </c>
      <c r="Y1803" s="1">
        <v>75.383382246</v>
      </c>
      <c r="Z1803" s="1">
        <v>9.4</v>
      </c>
      <c r="AA1803" s="1">
        <v>13.043863297</v>
      </c>
      <c r="AB1803" s="1">
        <v>58320.0</v>
      </c>
      <c r="AC1803" s="1">
        <v>56.6211222819999</v>
      </c>
      <c r="AD1803" s="1">
        <v>70.809819413</v>
      </c>
      <c r="AE1803" s="1">
        <v>7.8832838773</v>
      </c>
      <c r="AF1803" s="1">
        <v>1.2953367876</v>
      </c>
      <c r="AG1803" s="1">
        <v>2.4248704663</v>
      </c>
      <c r="AH1803" s="1">
        <v>0.873920552699999</v>
      </c>
      <c r="AI1803" s="1">
        <v>0.145077720199999</v>
      </c>
      <c r="AJ1803" s="1">
        <v>49.791018998</v>
      </c>
      <c r="AK1803" s="1">
        <v>46.065630397</v>
      </c>
      <c r="AL1803" s="1">
        <v>3.3947314069</v>
      </c>
      <c r="AM1803" s="1">
        <v>49.6545768569999</v>
      </c>
      <c r="AN1803" s="1">
        <v>20.854929499</v>
      </c>
      <c r="AO1803" s="1">
        <v>27974.0</v>
      </c>
      <c r="AP1803" s="1">
        <v>13.7</v>
      </c>
      <c r="AQ1803" s="1">
        <v>5.5</v>
      </c>
      <c r="AR1803" s="1">
        <v>15.5</v>
      </c>
      <c r="AS1803" s="1">
        <v>14.1</v>
      </c>
      <c r="AT1803" s="1">
        <v>26.2</v>
      </c>
      <c r="AU1803" s="1">
        <v>14.3</v>
      </c>
      <c r="AV1803" s="1">
        <v>50.7</v>
      </c>
      <c r="AW1803" s="1">
        <v>2.8</v>
      </c>
      <c r="AX1803" s="1">
        <v>0.6412</v>
      </c>
      <c r="AY1803" s="1">
        <v>11.2</v>
      </c>
      <c r="AZ1803" s="1">
        <v>11.3</v>
      </c>
      <c r="BA1803" s="1">
        <v>18.2</v>
      </c>
      <c r="BB1803" s="1">
        <v>3.1</v>
      </c>
      <c r="BC1803" s="1" t="s">
        <v>3017</v>
      </c>
      <c r="BD1803" s="1">
        <v>15.6</v>
      </c>
      <c r="BE1803" s="1">
        <v>36.6</v>
      </c>
      <c r="BF1803" s="1">
        <v>31.6</v>
      </c>
      <c r="BG1803" s="1">
        <v>16.2</v>
      </c>
      <c r="BH1803" s="1" t="s">
        <v>3032</v>
      </c>
    </row>
    <row r="1804">
      <c r="A1804" s="1">
        <v>35017.0</v>
      </c>
      <c r="B1804" s="2" t="str">
        <f>IFERROR(__xludf.DUMMYFUNCTION("TO_TEXT(A1804)"),"35017")</f>
        <v>35017</v>
      </c>
      <c r="C1804" s="1">
        <v>28879.0</v>
      </c>
      <c r="D1804" s="1">
        <v>3961.18220786547</v>
      </c>
      <c r="E1804" s="1" t="s">
        <v>332</v>
      </c>
      <c r="F1804" s="1" t="s">
        <v>3033</v>
      </c>
      <c r="G1804" s="1">
        <v>7.29050028111729</v>
      </c>
      <c r="H1804" s="1">
        <v>20.335959542</v>
      </c>
      <c r="I1804" s="1">
        <v>4.1252866451</v>
      </c>
      <c r="J1804" s="1">
        <v>10.25515211</v>
      </c>
      <c r="K1804" s="1">
        <v>14.353432204</v>
      </c>
      <c r="L1804" s="1">
        <v>27.4</v>
      </c>
      <c r="M1804" s="1">
        <v>6.5</v>
      </c>
      <c r="N1804" s="1">
        <v>19.1</v>
      </c>
      <c r="O1804" s="1">
        <v>78.393304872</v>
      </c>
      <c r="P1804" s="1">
        <v>7.7248677249</v>
      </c>
      <c r="Q1804" s="1">
        <v>83.07148</v>
      </c>
      <c r="R1804" s="1">
        <v>85.671860465</v>
      </c>
      <c r="S1804" s="1">
        <v>30.3</v>
      </c>
      <c r="T1804" s="1">
        <v>5852.0</v>
      </c>
      <c r="U1804" s="1">
        <v>40.789473684</v>
      </c>
      <c r="V1804" s="1">
        <v>204.509002055</v>
      </c>
      <c r="W1804" s="1">
        <v>14.405360134</v>
      </c>
      <c r="X1804" s="1">
        <v>11.418832552</v>
      </c>
      <c r="Y1804" s="1">
        <v>78.3191699039999</v>
      </c>
      <c r="Z1804" s="1">
        <v>8.5</v>
      </c>
      <c r="AA1804" s="1">
        <v>15.063129078</v>
      </c>
      <c r="AB1804" s="1">
        <v>38341.0</v>
      </c>
      <c r="AC1804" s="1">
        <v>89.442379182</v>
      </c>
      <c r="AD1804" s="1">
        <v>70.282429393</v>
      </c>
      <c r="AE1804" s="1">
        <v>12.910922587</v>
      </c>
      <c r="AF1804" s="1">
        <v>0.7130841805</v>
      </c>
      <c r="AG1804" s="1">
        <v>2.4610546332</v>
      </c>
      <c r="AH1804" s="1">
        <v>0.9361515395</v>
      </c>
      <c r="AI1804" s="1">
        <v>0.1645578878</v>
      </c>
      <c r="AJ1804" s="1">
        <v>50.716741022</v>
      </c>
      <c r="AK1804" s="1">
        <v>45.589848607</v>
      </c>
      <c r="AL1804" s="1">
        <v>1.1811470755</v>
      </c>
      <c r="AM1804" s="1">
        <v>50.895926278</v>
      </c>
      <c r="AN1804" s="1">
        <v>42.352781731</v>
      </c>
      <c r="AO1804" s="1">
        <v>24882.0</v>
      </c>
      <c r="AP1804" s="1">
        <v>21.5</v>
      </c>
      <c r="AQ1804" s="1">
        <v>9.3</v>
      </c>
      <c r="AR1804" s="1">
        <v>14.0</v>
      </c>
      <c r="AS1804" s="1">
        <v>24.4</v>
      </c>
      <c r="AT1804" s="1">
        <v>20.9</v>
      </c>
      <c r="AU1804" s="1">
        <v>21.3</v>
      </c>
      <c r="AV1804" s="1">
        <v>53.0</v>
      </c>
      <c r="AW1804" s="1">
        <v>1.5</v>
      </c>
      <c r="AX1804" s="1">
        <v>0.8529</v>
      </c>
      <c r="AY1804" s="1">
        <v>18.1</v>
      </c>
      <c r="AZ1804" s="1">
        <v>15.3</v>
      </c>
      <c r="BA1804" s="1">
        <v>24.4</v>
      </c>
      <c r="BB1804" s="1">
        <v>3.29</v>
      </c>
      <c r="BC1804" s="1" t="s">
        <v>3017</v>
      </c>
      <c r="BD1804" s="1">
        <v>12.5</v>
      </c>
      <c r="BE1804" s="1">
        <v>26.5</v>
      </c>
      <c r="BF1804" s="1">
        <v>32.2</v>
      </c>
      <c r="BG1804" s="1">
        <v>28.8</v>
      </c>
      <c r="BH1804" s="1" t="s">
        <v>3033</v>
      </c>
    </row>
    <row r="1805">
      <c r="A1805" s="1">
        <v>35019.0</v>
      </c>
      <c r="B1805" s="2" t="str">
        <f>IFERROR(__xludf.DUMMYFUNCTION("TO_TEXT(A1805)"),"35019")</f>
        <v>35019</v>
      </c>
      <c r="C1805" s="1">
        <v>4469.0</v>
      </c>
      <c r="D1805" s="1">
        <v>3029.76925086901</v>
      </c>
      <c r="E1805" s="1" t="s">
        <v>3034</v>
      </c>
      <c r="F1805" s="1" t="s">
        <v>3035</v>
      </c>
      <c r="G1805" s="1">
        <v>1.47502982239264</v>
      </c>
      <c r="H1805" s="1">
        <v>23.876109044</v>
      </c>
      <c r="I1805" s="1">
        <v>4.0181428842</v>
      </c>
      <c r="J1805" s="1">
        <v>8.3333333333</v>
      </c>
      <c r="K1805" s="1">
        <v>14.932569973</v>
      </c>
      <c r="L1805" s="1">
        <v>35.2</v>
      </c>
      <c r="M1805" s="1">
        <v>7.5</v>
      </c>
      <c r="N1805" s="1">
        <v>26.5</v>
      </c>
      <c r="O1805" s="1">
        <v>54.6191593769999</v>
      </c>
      <c r="P1805" s="1">
        <v>8.2525893752</v>
      </c>
      <c r="Q1805" s="1">
        <v>45.15692</v>
      </c>
      <c r="R1805" s="1">
        <v>86.811111111</v>
      </c>
      <c r="S1805" s="1">
        <v>29.4</v>
      </c>
      <c r="T1805" s="1">
        <v>774.0</v>
      </c>
      <c r="U1805" s="1">
        <v>42.248062016</v>
      </c>
      <c r="V1805" s="1">
        <v>511.53802433</v>
      </c>
      <c r="W1805" s="1">
        <v>6.4102564103</v>
      </c>
      <c r="X1805" s="1">
        <v>4.0</v>
      </c>
      <c r="Y1805" s="1">
        <v>76.7403817169999</v>
      </c>
      <c r="Z1805" s="1">
        <v>12.1</v>
      </c>
      <c r="AA1805" s="1">
        <v>16.418257158</v>
      </c>
      <c r="AB1805" s="1">
        <v>29515.0</v>
      </c>
      <c r="AC1805" s="1">
        <v>99.587912088</v>
      </c>
      <c r="AD1805" s="1">
        <v>65.384615385</v>
      </c>
      <c r="AE1805" s="1">
        <v>4.0734824281</v>
      </c>
      <c r="AF1805" s="1">
        <v>1.5203870076</v>
      </c>
      <c r="AG1805" s="1">
        <v>3.3863165169</v>
      </c>
      <c r="AH1805" s="1">
        <v>1.2439530062</v>
      </c>
      <c r="AI1805" s="1">
        <v>0.0</v>
      </c>
      <c r="AJ1805" s="1">
        <v>79.24441373</v>
      </c>
      <c r="AK1805" s="1">
        <v>15.917991246</v>
      </c>
      <c r="AL1805" s="1">
        <v>3.2916866891</v>
      </c>
      <c r="AM1805" s="1">
        <v>43.031559548</v>
      </c>
      <c r="AN1805" s="1">
        <v>44.079368466</v>
      </c>
      <c r="AO1805" s="1">
        <v>16034.0</v>
      </c>
      <c r="AP1805" s="1">
        <v>14.2</v>
      </c>
      <c r="AQ1805" s="1">
        <v>0.3</v>
      </c>
      <c r="AR1805" s="1">
        <v>24.1</v>
      </c>
      <c r="AS1805" s="1">
        <v>21.6</v>
      </c>
      <c r="AT1805" s="1">
        <v>20.4</v>
      </c>
      <c r="AU1805" s="1">
        <v>20.6</v>
      </c>
      <c r="AV1805" s="1">
        <v>80.7</v>
      </c>
      <c r="AW1805" s="1">
        <v>2.9</v>
      </c>
      <c r="AX1805" s="1">
        <v>0.8762</v>
      </c>
      <c r="AY1805" s="1">
        <v>23.5</v>
      </c>
      <c r="AZ1805" s="1">
        <v>14.0</v>
      </c>
      <c r="BA1805" s="1">
        <v>22.1</v>
      </c>
      <c r="BB1805" s="1">
        <v>3.15</v>
      </c>
      <c r="BC1805" s="1" t="s">
        <v>3017</v>
      </c>
      <c r="BD1805" s="1">
        <v>17.3</v>
      </c>
      <c r="BE1805" s="1">
        <v>47.5</v>
      </c>
      <c r="BF1805" s="1">
        <v>27.6</v>
      </c>
      <c r="BG1805" s="1">
        <v>7.6</v>
      </c>
      <c r="BH1805" s="1" t="s">
        <v>3035</v>
      </c>
    </row>
    <row r="1806">
      <c r="A1806" s="1">
        <v>35021.0</v>
      </c>
      <c r="B1806" s="2" t="str">
        <f>IFERROR(__xludf.DUMMYFUNCTION("TO_TEXT(A1806)"),"35021")</f>
        <v>35021</v>
      </c>
      <c r="C1806" s="1">
        <v>565.0</v>
      </c>
      <c r="D1806" s="1">
        <v>2125.47726553891</v>
      </c>
      <c r="E1806" s="1" t="s">
        <v>3036</v>
      </c>
      <c r="F1806" s="1" t="s">
        <v>3037</v>
      </c>
      <c r="G1806" s="1">
        <v>0.265822650357422</v>
      </c>
      <c r="H1806" s="1">
        <v>19.845985901</v>
      </c>
      <c r="I1806" s="1">
        <v>4.2344624908</v>
      </c>
      <c r="J1806" s="1">
        <v>7.80443539465</v>
      </c>
      <c r="K1806" s="1">
        <v>13.742185854</v>
      </c>
      <c r="L1806" s="1">
        <v>24.9</v>
      </c>
      <c r="M1806" s="1">
        <v>4.0</v>
      </c>
      <c r="N1806" s="1">
        <v>30.3</v>
      </c>
      <c r="O1806" s="1">
        <v>6.7625899281</v>
      </c>
      <c r="P1806" s="1">
        <v>9.1903719912</v>
      </c>
      <c r="Q1806" s="1">
        <v>0.0</v>
      </c>
      <c r="R1806" s="1">
        <v>89.912280702</v>
      </c>
      <c r="S1806" s="1">
        <v>20.3</v>
      </c>
      <c r="T1806" s="1">
        <v>70.0</v>
      </c>
      <c r="U1806" s="1">
        <v>30.0</v>
      </c>
      <c r="V1806" s="1">
        <v>204.509002055</v>
      </c>
      <c r="W1806" s="1">
        <v>12.307692308</v>
      </c>
      <c r="X1806" s="1">
        <v>14.136125654</v>
      </c>
      <c r="Y1806" s="1">
        <v>77.482572377</v>
      </c>
      <c r="Z1806" s="1">
        <v>8.3</v>
      </c>
      <c r="AA1806" s="1">
        <v>40.788723734</v>
      </c>
      <c r="AB1806" s="1">
        <v>37544.0</v>
      </c>
      <c r="AC1806" s="1">
        <v>73.863636364</v>
      </c>
      <c r="AD1806" s="1">
        <v>62.559241706</v>
      </c>
      <c r="AE1806" s="1">
        <v>14.556962025</v>
      </c>
      <c r="AF1806" s="1">
        <v>0.3053435115</v>
      </c>
      <c r="AG1806" s="1">
        <v>2.1374045802</v>
      </c>
      <c r="AH1806" s="1">
        <v>0.3053435115</v>
      </c>
      <c r="AI1806" s="1">
        <v>0.0</v>
      </c>
      <c r="AJ1806" s="1">
        <v>45.496183206</v>
      </c>
      <c r="AK1806" s="1">
        <v>53.58778626</v>
      </c>
      <c r="AL1806" s="1">
        <v>0.2283105023</v>
      </c>
      <c r="AM1806" s="1">
        <v>48.854961832</v>
      </c>
      <c r="AN1806" s="1">
        <v>100.0</v>
      </c>
      <c r="AO1806" s="1">
        <v>23339.0</v>
      </c>
      <c r="AP1806" s="1">
        <v>14.3</v>
      </c>
      <c r="AQ1806" s="1">
        <v>6.0</v>
      </c>
      <c r="AR1806" s="1">
        <v>11.0</v>
      </c>
      <c r="AS1806" s="1">
        <v>28.8</v>
      </c>
      <c r="AT1806" s="1">
        <v>16.6</v>
      </c>
      <c r="AU1806" s="1">
        <v>21.4</v>
      </c>
      <c r="AV1806" s="1">
        <v>42.3</v>
      </c>
      <c r="AW1806" s="1">
        <v>0.2</v>
      </c>
      <c r="AX1806" s="1">
        <v>0.2467</v>
      </c>
      <c r="AY1806" s="1">
        <v>15.4</v>
      </c>
      <c r="AZ1806" s="1">
        <v>16.9</v>
      </c>
      <c r="BA1806" s="1">
        <v>31.0</v>
      </c>
      <c r="BB1806" s="1">
        <v>3.35</v>
      </c>
      <c r="BC1806" s="1" t="s">
        <v>3017</v>
      </c>
      <c r="BD1806" s="1">
        <v>14.6</v>
      </c>
      <c r="BE1806" s="1">
        <v>26.5</v>
      </c>
      <c r="BF1806" s="1">
        <v>37.2</v>
      </c>
      <c r="BG1806" s="1">
        <v>21.7</v>
      </c>
      <c r="BH1806" s="1" t="s">
        <v>3037</v>
      </c>
    </row>
    <row r="1807">
      <c r="A1807" s="1">
        <v>35023.0</v>
      </c>
      <c r="B1807" s="2" t="str">
        <f>IFERROR(__xludf.DUMMYFUNCTION("TO_TEXT(A1807)"),"35023")</f>
        <v>35023</v>
      </c>
      <c r="C1807" s="1">
        <v>4531.0</v>
      </c>
      <c r="D1807" s="1">
        <v>3438.45803910379</v>
      </c>
      <c r="E1807" s="1" t="s">
        <v>3038</v>
      </c>
      <c r="F1807" s="1" t="s">
        <v>3039</v>
      </c>
      <c r="G1807" s="1">
        <v>1.31774183324947</v>
      </c>
      <c r="H1807" s="1">
        <v>24.871776454</v>
      </c>
      <c r="I1807" s="1">
        <v>4.524524616</v>
      </c>
      <c r="J1807" s="1">
        <v>13.483146067</v>
      </c>
      <c r="K1807" s="1">
        <v>17.024888149</v>
      </c>
      <c r="L1807" s="1">
        <v>24.9</v>
      </c>
      <c r="M1807" s="1">
        <v>6.5</v>
      </c>
      <c r="N1807" s="1">
        <v>28.6</v>
      </c>
      <c r="O1807" s="1">
        <v>47.118921128</v>
      </c>
      <c r="P1807" s="1">
        <v>10.04842615</v>
      </c>
      <c r="Q1807" s="1">
        <v>48.31939</v>
      </c>
      <c r="R1807" s="1">
        <v>86.313142857</v>
      </c>
      <c r="S1807" s="1">
        <v>36.6</v>
      </c>
      <c r="T1807" s="1">
        <v>1001.0</v>
      </c>
      <c r="U1807" s="1">
        <v>25.374625375</v>
      </c>
      <c r="V1807" s="1">
        <v>504.54086781</v>
      </c>
      <c r="W1807" s="1">
        <v>14.4475920679999</v>
      </c>
      <c r="X1807" s="1">
        <v>12.320916905</v>
      </c>
      <c r="Y1807" s="1">
        <v>77.163894253</v>
      </c>
      <c r="Z1807" s="1">
        <v>8.6</v>
      </c>
      <c r="AA1807" s="1">
        <v>15.819884944</v>
      </c>
      <c r="AB1807" s="1">
        <v>39882.0</v>
      </c>
      <c r="AC1807" s="1">
        <v>88.444444444</v>
      </c>
      <c r="AD1807" s="1">
        <v>70.3365658869999</v>
      </c>
      <c r="AE1807" s="1">
        <v>16.503067485</v>
      </c>
      <c r="AF1807" s="1">
        <v>1.0141509434</v>
      </c>
      <c r="AG1807" s="1">
        <v>1.2735849057</v>
      </c>
      <c r="AH1807" s="1">
        <v>0.5424528302</v>
      </c>
      <c r="AI1807" s="1">
        <v>0.1886792453</v>
      </c>
      <c r="AJ1807" s="1">
        <v>57.7358490569999</v>
      </c>
      <c r="AK1807" s="1">
        <v>39.221698113</v>
      </c>
      <c r="AL1807" s="1">
        <v>4.2527339004</v>
      </c>
      <c r="AM1807" s="1">
        <v>50.448113208</v>
      </c>
      <c r="AN1807" s="1">
        <v>100.0</v>
      </c>
      <c r="AO1807" s="1">
        <v>18077.0</v>
      </c>
      <c r="AP1807" s="1">
        <v>24.3</v>
      </c>
      <c r="AQ1807" s="1">
        <v>11.4</v>
      </c>
      <c r="AR1807" s="1">
        <v>23.1</v>
      </c>
      <c r="AS1807" s="1">
        <v>19.5</v>
      </c>
      <c r="AT1807" s="1">
        <v>23.2</v>
      </c>
      <c r="AU1807" s="1">
        <v>18.8</v>
      </c>
      <c r="AV1807" s="1">
        <v>58.3</v>
      </c>
      <c r="AW1807" s="1">
        <v>5.0</v>
      </c>
      <c r="AX1807" s="1">
        <v>0.9395</v>
      </c>
      <c r="AY1807" s="1">
        <v>22.9</v>
      </c>
      <c r="AZ1807" s="1">
        <v>16.9</v>
      </c>
      <c r="BA1807" s="1">
        <v>27.2</v>
      </c>
      <c r="BB1807" s="1">
        <v>3.0</v>
      </c>
      <c r="BC1807" s="1" t="s">
        <v>3017</v>
      </c>
      <c r="BD1807" s="1">
        <v>17.7</v>
      </c>
      <c r="BE1807" s="1">
        <v>35.1</v>
      </c>
      <c r="BF1807" s="1">
        <v>32.5</v>
      </c>
      <c r="BG1807" s="1">
        <v>14.6</v>
      </c>
      <c r="BH1807" s="1" t="s">
        <v>3039</v>
      </c>
    </row>
    <row r="1808">
      <c r="A1808" s="1">
        <v>35025.0</v>
      </c>
      <c r="B1808" s="2" t="str">
        <f>IFERROR(__xludf.DUMMYFUNCTION("TO_TEXT(A1808)"),"35025")</f>
        <v>35025</v>
      </c>
      <c r="C1808" s="1">
        <v>68930.0</v>
      </c>
      <c r="D1808" s="1">
        <v>4391.42453793112</v>
      </c>
      <c r="E1808" s="1" t="s">
        <v>3040</v>
      </c>
      <c r="F1808" s="1" t="s">
        <v>3041</v>
      </c>
      <c r="G1808" s="1">
        <v>15.6965010794593</v>
      </c>
      <c r="H1808" s="1">
        <v>22.2105906019999</v>
      </c>
      <c r="I1808" s="1">
        <v>4.17399165779999</v>
      </c>
      <c r="J1808" s="1">
        <v>8.7384692097</v>
      </c>
      <c r="K1808" s="1">
        <v>16.779396195</v>
      </c>
      <c r="L1808" s="1">
        <v>33.1</v>
      </c>
      <c r="M1808" s="1">
        <v>7.8</v>
      </c>
      <c r="N1808" s="1">
        <v>30.3</v>
      </c>
      <c r="O1808" s="1">
        <v>83.736307878</v>
      </c>
      <c r="P1808" s="1">
        <v>11.993579997</v>
      </c>
      <c r="Q1808" s="1">
        <v>34.90452</v>
      </c>
      <c r="R1808" s="1">
        <v>85.567330271</v>
      </c>
      <c r="S1808" s="1">
        <v>18.2</v>
      </c>
      <c r="T1808" s="1">
        <v>21095.0</v>
      </c>
      <c r="U1808" s="1">
        <v>31.917515999</v>
      </c>
      <c r="V1808" s="1">
        <v>438.84524856</v>
      </c>
      <c r="W1808" s="1">
        <v>14.298978644</v>
      </c>
      <c r="X1808" s="1">
        <v>8.7780898876</v>
      </c>
      <c r="Y1808" s="1">
        <v>76.180185966</v>
      </c>
      <c r="Z1808" s="1">
        <v>11.3</v>
      </c>
      <c r="AA1808" s="1">
        <v>4.4898564746</v>
      </c>
      <c r="AB1808" s="1">
        <v>51656.0</v>
      </c>
      <c r="AC1808" s="1">
        <v>63.420225308</v>
      </c>
      <c r="AD1808" s="1">
        <v>67.708239125</v>
      </c>
      <c r="AE1808" s="1">
        <v>9.66162912269999</v>
      </c>
      <c r="AF1808" s="1">
        <v>3.3873956702</v>
      </c>
      <c r="AG1808" s="1">
        <v>1.999683958</v>
      </c>
      <c r="AH1808" s="1">
        <v>0.689546192399999</v>
      </c>
      <c r="AI1808" s="1">
        <v>0.1206705837</v>
      </c>
      <c r="AJ1808" s="1">
        <v>59.3627443939999</v>
      </c>
      <c r="AK1808" s="1">
        <v>34.995905819</v>
      </c>
      <c r="AL1808" s="1">
        <v>6.7101944827</v>
      </c>
      <c r="AM1808" s="1">
        <v>48.617316229</v>
      </c>
      <c r="AN1808" s="1">
        <v>21.03140884</v>
      </c>
      <c r="AO1808" s="1">
        <v>24126.0</v>
      </c>
      <c r="AP1808" s="1">
        <v>15.8</v>
      </c>
      <c r="AQ1808" s="1">
        <v>6.6</v>
      </c>
      <c r="AR1808" s="1">
        <v>28.2</v>
      </c>
      <c r="AS1808" s="1">
        <v>10.6</v>
      </c>
      <c r="AT1808" s="1">
        <v>30.2</v>
      </c>
      <c r="AU1808" s="1">
        <v>12.0</v>
      </c>
      <c r="AV1808" s="1">
        <v>61.8</v>
      </c>
      <c r="AW1808" s="1">
        <v>7.6</v>
      </c>
      <c r="AX1808" s="1">
        <v>0.8736</v>
      </c>
      <c r="AY1808" s="1">
        <v>15.1</v>
      </c>
      <c r="AZ1808" s="1">
        <v>11.6</v>
      </c>
      <c r="BA1808" s="1">
        <v>18.2</v>
      </c>
      <c r="BB1808" s="1">
        <v>3.18</v>
      </c>
      <c r="BC1808" s="1" t="s">
        <v>3017</v>
      </c>
      <c r="BD1808" s="1">
        <v>25.7</v>
      </c>
      <c r="BE1808" s="1">
        <v>31.5</v>
      </c>
      <c r="BF1808" s="1">
        <v>29.2</v>
      </c>
      <c r="BG1808" s="1">
        <v>13.6</v>
      </c>
      <c r="BH1808" s="1" t="s">
        <v>3041</v>
      </c>
    </row>
    <row r="1809">
      <c r="A1809" s="1">
        <v>35027.0</v>
      </c>
      <c r="B1809" s="2" t="str">
        <f>IFERROR(__xludf.DUMMYFUNCTION("TO_TEXT(A1809)"),"35027")</f>
        <v>35027</v>
      </c>
      <c r="C1809" s="1">
        <v>19726.0</v>
      </c>
      <c r="D1809" s="1">
        <v>4831.11290863936</v>
      </c>
      <c r="E1809" s="1" t="s">
        <v>353</v>
      </c>
      <c r="F1809" s="1" t="s">
        <v>3042</v>
      </c>
      <c r="G1809" s="1">
        <v>4.08311715603344</v>
      </c>
      <c r="H1809" s="1">
        <v>17.980392752</v>
      </c>
      <c r="I1809" s="1">
        <v>4.2910237596</v>
      </c>
      <c r="J1809" s="1">
        <v>9.6825396825</v>
      </c>
      <c r="K1809" s="1">
        <v>15.914026166</v>
      </c>
      <c r="L1809" s="1">
        <v>23.2</v>
      </c>
      <c r="M1809" s="1">
        <v>6.3</v>
      </c>
      <c r="N1809" s="1">
        <v>25.2</v>
      </c>
      <c r="O1809" s="1">
        <v>85.090501049</v>
      </c>
      <c r="P1809" s="1">
        <v>12.8113879</v>
      </c>
      <c r="Q1809" s="1">
        <v>67.02758</v>
      </c>
      <c r="R1809" s="1">
        <v>82.4533419019999</v>
      </c>
      <c r="S1809" s="1">
        <v>29.3</v>
      </c>
      <c r="T1809" s="1">
        <v>3609.0</v>
      </c>
      <c r="U1809" s="1">
        <v>30.8395677469999</v>
      </c>
      <c r="V1809" s="1">
        <v>379.55196942</v>
      </c>
      <c r="W1809" s="1">
        <v>18.6525265129999</v>
      </c>
      <c r="X1809" s="1">
        <v>14.971572963</v>
      </c>
      <c r="Y1809" s="1">
        <v>77.138705583</v>
      </c>
      <c r="Z1809" s="1">
        <v>11.7</v>
      </c>
      <c r="AA1809" s="1">
        <v>17.664121983</v>
      </c>
      <c r="AB1809" s="1">
        <v>45095.0</v>
      </c>
      <c r="AC1809" s="1">
        <v>86.169467787</v>
      </c>
      <c r="AD1809" s="1">
        <v>76.992962252</v>
      </c>
      <c r="AE1809" s="1">
        <v>15.202793446</v>
      </c>
      <c r="AF1809" s="1">
        <v>0.588054816899999</v>
      </c>
      <c r="AG1809" s="1">
        <v>4.3362650849</v>
      </c>
      <c r="AH1809" s="1">
        <v>0.659644099</v>
      </c>
      <c r="AI1809" s="1">
        <v>0.1585191246</v>
      </c>
      <c r="AJ1809" s="1">
        <v>33.769687053</v>
      </c>
      <c r="AK1809" s="1">
        <v>61.050317038</v>
      </c>
      <c r="AL1809" s="1">
        <v>3.7756087096</v>
      </c>
      <c r="AM1809" s="1">
        <v>51.1863366739999</v>
      </c>
      <c r="AN1809" s="1">
        <v>53.183392692</v>
      </c>
      <c r="AO1809" s="1">
        <v>25230.0</v>
      </c>
      <c r="AP1809" s="1">
        <v>18.0</v>
      </c>
      <c r="AQ1809" s="1">
        <v>6.7</v>
      </c>
      <c r="AR1809" s="1">
        <v>10.5</v>
      </c>
      <c r="AS1809" s="1">
        <v>26.3</v>
      </c>
      <c r="AT1809" s="1">
        <v>18.4</v>
      </c>
      <c r="AU1809" s="1">
        <v>19.3</v>
      </c>
      <c r="AV1809" s="1">
        <v>36.1</v>
      </c>
      <c r="AW1809" s="1">
        <v>3.8</v>
      </c>
      <c r="AX1809" s="1">
        <v>0.5699</v>
      </c>
      <c r="AY1809" s="1">
        <v>13.7</v>
      </c>
      <c r="AZ1809" s="1">
        <v>14.3</v>
      </c>
      <c r="BA1809" s="1">
        <v>23.3</v>
      </c>
      <c r="BB1809" s="1">
        <v>3.01</v>
      </c>
      <c r="BC1809" s="1" t="s">
        <v>3017</v>
      </c>
      <c r="BD1809" s="1">
        <v>10.5</v>
      </c>
      <c r="BE1809" s="1">
        <v>29.9</v>
      </c>
      <c r="BF1809" s="1">
        <v>33.9</v>
      </c>
      <c r="BG1809" s="1">
        <v>25.8</v>
      </c>
      <c r="BH1809" s="1" t="s">
        <v>3042</v>
      </c>
    </row>
    <row r="1810">
      <c r="A1810" s="1">
        <v>35028.0</v>
      </c>
      <c r="B1810" s="2" t="str">
        <f>IFERROR(__xludf.DUMMYFUNCTION("TO_TEXT(A1810)"),"35028")</f>
        <v>35028</v>
      </c>
      <c r="C1810" s="1">
        <v>17895.0</v>
      </c>
      <c r="D1810" s="1">
        <v>109.183716231586</v>
      </c>
      <c r="E1810" s="1" t="s">
        <v>3043</v>
      </c>
      <c r="F1810" s="1" t="s">
        <v>3044</v>
      </c>
      <c r="G1810" s="1">
        <v>163.898066649824</v>
      </c>
      <c r="H1810" s="1">
        <v>10.42026489</v>
      </c>
      <c r="I1810" s="1">
        <v>3.5360246383</v>
      </c>
      <c r="J1810" s="1">
        <v>9.16808149409999</v>
      </c>
      <c r="K1810" s="1">
        <v>11.4489648</v>
      </c>
      <c r="L1810" s="1">
        <v>23.1</v>
      </c>
      <c r="M1810" s="1">
        <v>7.9</v>
      </c>
      <c r="N1810" s="1">
        <v>12.8</v>
      </c>
      <c r="O1810" s="1">
        <v>99.164345404</v>
      </c>
      <c r="P1810" s="1">
        <v>3.0065022855</v>
      </c>
      <c r="Q1810" s="1">
        <v>149.42897</v>
      </c>
      <c r="R1810" s="1">
        <v>86.6</v>
      </c>
      <c r="S1810" s="1">
        <v>3.1</v>
      </c>
      <c r="T1810" s="1">
        <v>4168.0</v>
      </c>
      <c r="U1810" s="1">
        <v>14.299424184</v>
      </c>
      <c r="V1810" s="1">
        <v>178.11704835</v>
      </c>
      <c r="W1810" s="1">
        <v>7.448912327</v>
      </c>
      <c r="X1810" s="1">
        <v>6.1073825503</v>
      </c>
      <c r="Y1810" s="1">
        <v>83.369206874</v>
      </c>
      <c r="Z1810" s="1">
        <v>6.4</v>
      </c>
      <c r="AA1810" s="1">
        <v>4.6983898543</v>
      </c>
      <c r="AB1810" s="1">
        <v>124947.0</v>
      </c>
      <c r="AC1810" s="1">
        <v>12.4225276209999</v>
      </c>
      <c r="AD1810" s="1">
        <v>74.1509184619999</v>
      </c>
      <c r="AE1810" s="1">
        <v>5.3474484256</v>
      </c>
      <c r="AF1810" s="1">
        <v>1.3978325742</v>
      </c>
      <c r="AG1810" s="1">
        <v>1.3297733103</v>
      </c>
      <c r="AH1810" s="1">
        <v>6.4656300717</v>
      </c>
      <c r="AI1810" s="1">
        <v>0.1047065599</v>
      </c>
      <c r="AJ1810" s="1">
        <v>18.229412073</v>
      </c>
      <c r="AK1810" s="1">
        <v>71.430815141</v>
      </c>
      <c r="AL1810" s="1">
        <v>0.6837901511</v>
      </c>
      <c r="AM1810" s="1">
        <v>49.191141825</v>
      </c>
      <c r="AN1810" s="1">
        <v>11.2423398329999</v>
      </c>
      <c r="AO1810" s="1">
        <v>51066.0</v>
      </c>
      <c r="AP1810" s="1">
        <v>5.1</v>
      </c>
      <c r="AQ1810" s="1">
        <v>2.6</v>
      </c>
      <c r="AR1810" s="1">
        <v>2.8</v>
      </c>
      <c r="AS1810" s="1">
        <v>17.1</v>
      </c>
      <c r="AT1810" s="1">
        <v>23.4</v>
      </c>
      <c r="AU1810" s="1">
        <v>10.9</v>
      </c>
      <c r="AV1810" s="1">
        <v>26.4</v>
      </c>
      <c r="AW1810" s="1">
        <v>1.9</v>
      </c>
      <c r="AX1810" s="1">
        <v>0.0487</v>
      </c>
      <c r="AY1810" s="1">
        <v>3.5</v>
      </c>
      <c r="AZ1810" s="1">
        <v>8.1</v>
      </c>
      <c r="BA1810" s="1">
        <v>13.4</v>
      </c>
      <c r="BB1810" s="1">
        <v>3.36</v>
      </c>
      <c r="BC1810" s="1" t="s">
        <v>3017</v>
      </c>
      <c r="BD1810" s="1">
        <v>2.4</v>
      </c>
      <c r="BE1810" s="1">
        <v>8.8</v>
      </c>
      <c r="BF1810" s="1">
        <v>21.4</v>
      </c>
      <c r="BG1810" s="1">
        <v>67.4</v>
      </c>
      <c r="BH1810" s="1" t="s">
        <v>3044</v>
      </c>
    </row>
    <row r="1811">
      <c r="A1811" s="1">
        <v>35029.0</v>
      </c>
      <c r="B1811" s="2" t="str">
        <f>IFERROR(__xludf.DUMMYFUNCTION("TO_TEXT(A1811)"),"35029")</f>
        <v>35029</v>
      </c>
      <c r="C1811" s="1">
        <v>24627.0</v>
      </c>
      <c r="D1811" s="1">
        <v>2965.24201859805</v>
      </c>
      <c r="E1811" s="1" t="s">
        <v>3045</v>
      </c>
      <c r="F1811" s="1" t="s">
        <v>3046</v>
      </c>
      <c r="G1811" s="1">
        <v>8.30522427698617</v>
      </c>
      <c r="H1811" s="1">
        <v>26.683478984</v>
      </c>
      <c r="I1811" s="1">
        <v>4.8378281544</v>
      </c>
      <c r="J1811" s="1">
        <v>7.7374404107</v>
      </c>
      <c r="K1811" s="1">
        <v>19.216084489</v>
      </c>
      <c r="L1811" s="1">
        <v>32.5</v>
      </c>
      <c r="M1811" s="1">
        <v>5.3</v>
      </c>
      <c r="N1811" s="1">
        <v>27.1</v>
      </c>
      <c r="O1811" s="1">
        <v>70.173341303</v>
      </c>
      <c r="P1811" s="1">
        <v>12.909556779</v>
      </c>
      <c r="Q1811" s="1">
        <v>37.37852</v>
      </c>
      <c r="R1811" s="1">
        <v>68.084426773</v>
      </c>
      <c r="S1811" s="1">
        <v>37.8</v>
      </c>
      <c r="T1811" s="1">
        <v>6371.0</v>
      </c>
      <c r="U1811" s="1">
        <v>41.610422226</v>
      </c>
      <c r="V1811" s="1">
        <v>700.97767939</v>
      </c>
      <c r="W1811" s="1">
        <v>17.525773196</v>
      </c>
      <c r="X1811" s="1">
        <v>13.9485981309999</v>
      </c>
      <c r="Y1811" s="1">
        <v>75.78579767</v>
      </c>
      <c r="Z1811" s="1">
        <v>11.0</v>
      </c>
      <c r="AA1811" s="1">
        <v>16.656450845</v>
      </c>
      <c r="AB1811" s="1">
        <v>30570.0</v>
      </c>
      <c r="AC1811" s="1">
        <v>100.0</v>
      </c>
      <c r="AD1811" s="1">
        <v>60.498614958</v>
      </c>
      <c r="AE1811" s="1">
        <v>14.36576061</v>
      </c>
      <c r="AF1811" s="1">
        <v>0.9556399449</v>
      </c>
      <c r="AG1811" s="1">
        <v>2.2785127071</v>
      </c>
      <c r="AH1811" s="1">
        <v>1.06414055</v>
      </c>
      <c r="AI1811" s="1">
        <v>0.1752702082</v>
      </c>
      <c r="AJ1811" s="1">
        <v>67.625088678</v>
      </c>
      <c r="AK1811" s="1">
        <v>28.93627676</v>
      </c>
      <c r="AL1811" s="1">
        <v>12.778742155</v>
      </c>
      <c r="AM1811" s="1">
        <v>49.735008138</v>
      </c>
      <c r="AN1811" s="1">
        <v>40.613668061</v>
      </c>
      <c r="AO1811" s="1">
        <v>15650.0</v>
      </c>
      <c r="AP1811" s="1">
        <v>29.5</v>
      </c>
      <c r="AQ1811" s="1">
        <v>14.1</v>
      </c>
      <c r="AR1811" s="1">
        <v>30.7</v>
      </c>
      <c r="AS1811" s="1">
        <v>20.4</v>
      </c>
      <c r="AT1811" s="1">
        <v>26.6</v>
      </c>
      <c r="AU1811" s="1">
        <v>20.7</v>
      </c>
      <c r="AV1811" s="1">
        <v>68.0</v>
      </c>
      <c r="AW1811" s="1">
        <v>12.1</v>
      </c>
      <c r="AX1811" s="1">
        <v>0.9997</v>
      </c>
      <c r="AY1811" s="1">
        <v>23.8</v>
      </c>
      <c r="AZ1811" s="1">
        <v>21.8</v>
      </c>
      <c r="BA1811" s="1">
        <v>33.9</v>
      </c>
      <c r="BB1811" s="1">
        <v>2.99</v>
      </c>
      <c r="BC1811" s="1" t="s">
        <v>3017</v>
      </c>
      <c r="BD1811" s="1">
        <v>30.2</v>
      </c>
      <c r="BE1811" s="1">
        <v>34.4</v>
      </c>
      <c r="BF1811" s="1">
        <v>22.9</v>
      </c>
      <c r="BG1811" s="1">
        <v>12.5</v>
      </c>
      <c r="BH1811" s="1" t="s">
        <v>3046</v>
      </c>
    </row>
    <row r="1812">
      <c r="A1812" s="1">
        <v>35031.0</v>
      </c>
      <c r="B1812" s="2" t="str">
        <f>IFERROR(__xludf.DUMMYFUNCTION("TO_TEXT(A1812)"),"35031")</f>
        <v>35031</v>
      </c>
      <c r="C1812" s="1">
        <v>74346.0</v>
      </c>
      <c r="D1812" s="1">
        <v>5450.52435375294</v>
      </c>
      <c r="E1812" s="1" t="s">
        <v>3047</v>
      </c>
      <c r="F1812" s="1" t="s">
        <v>3048</v>
      </c>
      <c r="G1812" s="1">
        <v>13.640155547385</v>
      </c>
      <c r="H1812" s="1">
        <v>26.475818375</v>
      </c>
      <c r="I1812" s="1">
        <v>5.3206566925</v>
      </c>
      <c r="J1812" s="1">
        <v>8.2912457912</v>
      </c>
      <c r="K1812" s="1">
        <v>21.621669653</v>
      </c>
      <c r="L1812" s="1">
        <v>38.8</v>
      </c>
      <c r="M1812" s="1">
        <v>2.2</v>
      </c>
      <c r="N1812" s="1">
        <v>25.6</v>
      </c>
      <c r="O1812" s="1">
        <v>43.281765792</v>
      </c>
      <c r="P1812" s="1">
        <v>17.380284814</v>
      </c>
      <c r="Q1812" s="1">
        <v>78.55135</v>
      </c>
      <c r="R1812" s="1">
        <v>66.300635647</v>
      </c>
      <c r="S1812" s="1">
        <v>42.8</v>
      </c>
      <c r="T1812" s="1">
        <v>21202.0</v>
      </c>
      <c r="U1812" s="1">
        <v>53.820394302</v>
      </c>
      <c r="V1812" s="1">
        <v>710.1548164</v>
      </c>
      <c r="W1812" s="1">
        <v>30.021085925</v>
      </c>
      <c r="X1812" s="1">
        <v>11.867759254</v>
      </c>
      <c r="Y1812" s="1">
        <v>72.225791685</v>
      </c>
      <c r="Z1812" s="1">
        <v>17.1</v>
      </c>
      <c r="AA1812" s="1">
        <v>41.30636648</v>
      </c>
      <c r="AB1812" s="1">
        <v>33976.0</v>
      </c>
      <c r="AC1812" s="1">
        <v>99.798543313</v>
      </c>
      <c r="AD1812" s="1">
        <v>71.081547179</v>
      </c>
      <c r="AE1812" s="1">
        <v>11.264518957</v>
      </c>
      <c r="AF1812" s="1">
        <v>0.4675612118</v>
      </c>
      <c r="AG1812" s="1">
        <v>79.243325495</v>
      </c>
      <c r="AH1812" s="1">
        <v>1.0457877991</v>
      </c>
      <c r="AI1812" s="1">
        <v>0.0539493706</v>
      </c>
      <c r="AJ1812" s="1">
        <v>14.4127818509999</v>
      </c>
      <c r="AK1812" s="1">
        <v>8.4396182045</v>
      </c>
      <c r="AL1812" s="1">
        <v>3.1213235842</v>
      </c>
      <c r="AM1812" s="1">
        <v>51.617097801</v>
      </c>
      <c r="AN1812" s="1">
        <v>57.378447938</v>
      </c>
      <c r="AO1812" s="1">
        <v>12882.0</v>
      </c>
      <c r="AP1812" s="1">
        <v>38.1</v>
      </c>
      <c r="AQ1812" s="1">
        <v>15.7</v>
      </c>
      <c r="AR1812" s="1">
        <v>26.2</v>
      </c>
      <c r="AS1812" s="1">
        <v>10.6</v>
      </c>
      <c r="AT1812" s="1">
        <v>30.5</v>
      </c>
      <c r="AU1812" s="1">
        <v>15.1</v>
      </c>
      <c r="AV1812" s="1">
        <v>90.9</v>
      </c>
      <c r="AW1812" s="1">
        <v>3.7</v>
      </c>
      <c r="AX1812" s="1">
        <v>0.9841</v>
      </c>
      <c r="AY1812" s="1">
        <v>30.1</v>
      </c>
      <c r="AZ1812" s="1">
        <v>22.1</v>
      </c>
      <c r="BA1812" s="1">
        <v>34.5</v>
      </c>
      <c r="BB1812" s="1">
        <v>2.82</v>
      </c>
      <c r="BC1812" s="1" t="s">
        <v>3017</v>
      </c>
      <c r="BD1812" s="1">
        <v>22.8</v>
      </c>
      <c r="BE1812" s="1">
        <v>34.4</v>
      </c>
      <c r="BF1812" s="1">
        <v>31.4</v>
      </c>
      <c r="BG1812" s="1">
        <v>11.4</v>
      </c>
      <c r="BH1812" s="1" t="s">
        <v>3048</v>
      </c>
    </row>
    <row r="1813">
      <c r="A1813" s="1">
        <v>35033.0</v>
      </c>
      <c r="B1813" s="2" t="str">
        <f>IFERROR(__xludf.DUMMYFUNCTION("TO_TEXT(A1813)"),"35033")</f>
        <v>35033</v>
      </c>
      <c r="C1813" s="1">
        <v>4598.0</v>
      </c>
      <c r="D1813" s="1">
        <v>1927.68218393267</v>
      </c>
      <c r="E1813" s="1" t="s">
        <v>3049</v>
      </c>
      <c r="F1813" s="1" t="s">
        <v>3050</v>
      </c>
      <c r="G1813" s="1">
        <v>2.38524796168402</v>
      </c>
      <c r="H1813" s="1">
        <v>34.394211596</v>
      </c>
      <c r="I1813" s="1">
        <v>4.9973416781</v>
      </c>
      <c r="J1813" s="1">
        <v>6.2717770035</v>
      </c>
      <c r="K1813" s="1">
        <v>18.682486789</v>
      </c>
      <c r="L1813" s="1">
        <v>27.2</v>
      </c>
      <c r="M1813" s="1">
        <v>7.1</v>
      </c>
      <c r="N1813" s="1">
        <v>22.0</v>
      </c>
      <c r="O1813" s="1">
        <v>28.170456874</v>
      </c>
      <c r="P1813" s="1">
        <v>9.9572388516</v>
      </c>
      <c r="Q1813" s="1">
        <v>48.31939</v>
      </c>
      <c r="R1813" s="1">
        <v>73.1</v>
      </c>
      <c r="S1813" s="1">
        <v>31.8</v>
      </c>
      <c r="T1813" s="1">
        <v>844.0</v>
      </c>
      <c r="U1813" s="1">
        <v>36.492890995</v>
      </c>
      <c r="V1813" s="1">
        <v>119.93022242</v>
      </c>
      <c r="W1813" s="1">
        <v>20.454545455</v>
      </c>
      <c r="X1813" s="1">
        <v>15.947712418</v>
      </c>
      <c r="Y1813" s="1">
        <v>82.876837221</v>
      </c>
      <c r="Z1813" s="1">
        <v>13.7</v>
      </c>
      <c r="AA1813" s="1">
        <v>16.030306439</v>
      </c>
      <c r="AB1813" s="1">
        <v>34491.0</v>
      </c>
      <c r="AC1813" s="1">
        <v>100.0</v>
      </c>
      <c r="AD1813" s="1">
        <v>75.2442996739999</v>
      </c>
      <c r="AE1813" s="1">
        <v>13.427561837</v>
      </c>
      <c r="AF1813" s="1">
        <v>0.3550821127</v>
      </c>
      <c r="AG1813" s="1">
        <v>2.9738126942</v>
      </c>
      <c r="AH1813" s="1">
        <v>0.5770084332</v>
      </c>
      <c r="AI1813" s="1">
        <v>0.022192632</v>
      </c>
      <c r="AJ1813" s="1">
        <v>80.980914336</v>
      </c>
      <c r="AK1813" s="1">
        <v>17.2436751</v>
      </c>
      <c r="AL1813" s="1">
        <v>3.6203295428</v>
      </c>
      <c r="AM1813" s="1">
        <v>48.868175766</v>
      </c>
      <c r="AN1813" s="1">
        <v>100.0</v>
      </c>
      <c r="AO1813" s="1">
        <v>13826.0</v>
      </c>
      <c r="AP1813" s="1">
        <v>22.5</v>
      </c>
      <c r="AQ1813" s="1">
        <v>2.9</v>
      </c>
      <c r="AR1813" s="1">
        <v>12.3</v>
      </c>
      <c r="AS1813" s="1">
        <v>20.7</v>
      </c>
      <c r="AT1813" s="1">
        <v>20.0</v>
      </c>
      <c r="AU1813" s="1">
        <v>26.1</v>
      </c>
      <c r="AV1813" s="1">
        <v>86.1</v>
      </c>
      <c r="AW1813" s="1">
        <v>3.2</v>
      </c>
      <c r="AX1813" s="1">
        <v>0.703</v>
      </c>
      <c r="AY1813" s="1">
        <v>21.2</v>
      </c>
      <c r="AZ1813" s="1">
        <v>15.3</v>
      </c>
      <c r="BA1813" s="1">
        <v>23.7</v>
      </c>
      <c r="BB1813" s="1">
        <v>3.46</v>
      </c>
      <c r="BC1813" s="1" t="s">
        <v>3017</v>
      </c>
      <c r="BD1813" s="1">
        <v>10.8</v>
      </c>
      <c r="BE1813" s="1">
        <v>34.1</v>
      </c>
      <c r="BF1813" s="1">
        <v>44.2</v>
      </c>
      <c r="BG1813" s="1">
        <v>11.0</v>
      </c>
      <c r="BH1813" s="1" t="s">
        <v>3050</v>
      </c>
    </row>
    <row r="1814">
      <c r="A1814" s="1">
        <v>35035.0</v>
      </c>
      <c r="B1814" s="2" t="str">
        <f>IFERROR(__xludf.DUMMYFUNCTION("TO_TEXT(A1814)"),"35035")</f>
        <v>35035</v>
      </c>
      <c r="C1814" s="1">
        <v>65333.0</v>
      </c>
      <c r="D1814" s="1">
        <v>6612.55344846599</v>
      </c>
      <c r="E1814" s="1" t="s">
        <v>617</v>
      </c>
      <c r="F1814" s="1" t="s">
        <v>3051</v>
      </c>
      <c r="G1814" s="1">
        <v>9.88014698242723</v>
      </c>
      <c r="H1814" s="1">
        <v>22.305648284</v>
      </c>
      <c r="I1814" s="1">
        <v>4.3076708898</v>
      </c>
      <c r="J1814" s="1">
        <v>7.9805056351</v>
      </c>
      <c r="K1814" s="1">
        <v>19.321365567</v>
      </c>
      <c r="L1814" s="1">
        <v>31.2</v>
      </c>
      <c r="M1814" s="1">
        <v>6.0</v>
      </c>
      <c r="N1814" s="1">
        <v>23.0</v>
      </c>
      <c r="O1814" s="1">
        <v>54.649905168</v>
      </c>
      <c r="P1814" s="1">
        <v>10.739711425</v>
      </c>
      <c r="Q1814" s="1">
        <v>42.5422</v>
      </c>
      <c r="R1814" s="1">
        <v>75.484685653</v>
      </c>
      <c r="S1814" s="1">
        <v>29.6</v>
      </c>
      <c r="T1814" s="1">
        <v>15346.0</v>
      </c>
      <c r="U1814" s="1">
        <v>34.504105304</v>
      </c>
      <c r="V1814" s="1">
        <v>354.53032473</v>
      </c>
      <c r="W1814" s="1">
        <v>14.536775873</v>
      </c>
      <c r="X1814" s="1">
        <v>10.99166301</v>
      </c>
      <c r="Y1814" s="1">
        <v>77.603083131</v>
      </c>
      <c r="Z1814" s="1">
        <v>10.3</v>
      </c>
      <c r="AA1814" s="1">
        <v>15.28397821</v>
      </c>
      <c r="AB1814" s="1">
        <v>42701.0</v>
      </c>
      <c r="AC1814" s="1">
        <v>66.202046036</v>
      </c>
      <c r="AD1814" s="1">
        <v>65.324270018</v>
      </c>
      <c r="AE1814" s="1">
        <v>10.374887082</v>
      </c>
      <c r="AF1814" s="1">
        <v>3.3287911232</v>
      </c>
      <c r="AG1814" s="1">
        <v>8.4874440335</v>
      </c>
      <c r="AH1814" s="1">
        <v>1.5213908148</v>
      </c>
      <c r="AI1814" s="1">
        <v>0.2785223342</v>
      </c>
      <c r="AJ1814" s="1">
        <v>38.719096749</v>
      </c>
      <c r="AK1814" s="1">
        <v>48.370045372</v>
      </c>
      <c r="AL1814" s="1">
        <v>5.940884771</v>
      </c>
      <c r="AM1814" s="1">
        <v>48.293676345</v>
      </c>
      <c r="AN1814" s="1">
        <v>29.59386805</v>
      </c>
      <c r="AO1814" s="1">
        <v>20652.0</v>
      </c>
      <c r="AP1814" s="1">
        <v>24.8</v>
      </c>
      <c r="AQ1814" s="1">
        <v>11.0</v>
      </c>
      <c r="AR1814" s="1">
        <v>16.3</v>
      </c>
      <c r="AS1814" s="1">
        <v>16.2</v>
      </c>
      <c r="AT1814" s="1">
        <v>23.8</v>
      </c>
      <c r="AU1814" s="1">
        <v>16.2</v>
      </c>
      <c r="AV1814" s="1">
        <v>49.5</v>
      </c>
      <c r="AW1814" s="1">
        <v>5.4</v>
      </c>
      <c r="AX1814" s="1">
        <v>0.9472</v>
      </c>
      <c r="AY1814" s="1">
        <v>20.1</v>
      </c>
      <c r="AZ1814" s="1">
        <v>15.9</v>
      </c>
      <c r="BA1814" s="1">
        <v>25.2</v>
      </c>
      <c r="BB1814" s="1">
        <v>3.18</v>
      </c>
      <c r="BC1814" s="1" t="s">
        <v>3017</v>
      </c>
      <c r="BD1814" s="1">
        <v>16.6</v>
      </c>
      <c r="BE1814" s="1">
        <v>27.3</v>
      </c>
      <c r="BF1814" s="1">
        <v>38.7</v>
      </c>
      <c r="BG1814" s="1">
        <v>17.5</v>
      </c>
      <c r="BH1814" s="1" t="s">
        <v>3051</v>
      </c>
    </row>
    <row r="1815">
      <c r="A1815" s="1">
        <v>35037.0</v>
      </c>
      <c r="B1815" s="2" t="str">
        <f>IFERROR(__xludf.DUMMYFUNCTION("TO_TEXT(A1815)"),"35037")</f>
        <v>35037</v>
      </c>
      <c r="C1815" s="1">
        <v>8555.0</v>
      </c>
      <c r="D1815" s="1">
        <v>2873.88686530654</v>
      </c>
      <c r="E1815" s="1" t="s">
        <v>3052</v>
      </c>
      <c r="F1815" s="1" t="s">
        <v>3053</v>
      </c>
      <c r="G1815" s="1">
        <v>2.97680472508353</v>
      </c>
      <c r="H1815" s="1">
        <v>22.557972201</v>
      </c>
      <c r="I1815" s="1">
        <v>4.5355851201</v>
      </c>
      <c r="J1815" s="1">
        <v>7.488299532</v>
      </c>
      <c r="K1815" s="1">
        <v>16.8227708559999</v>
      </c>
      <c r="L1815" s="1">
        <v>30.1</v>
      </c>
      <c r="M1815" s="1">
        <v>6.9</v>
      </c>
      <c r="N1815" s="1">
        <v>27.4</v>
      </c>
      <c r="O1815" s="1">
        <v>70.04756111</v>
      </c>
      <c r="P1815" s="1">
        <v>9.236031927</v>
      </c>
      <c r="Q1815" s="1">
        <v>36.11847</v>
      </c>
      <c r="R1815" s="1">
        <v>70.38919598</v>
      </c>
      <c r="S1815" s="1">
        <v>37.7</v>
      </c>
      <c r="T1815" s="1">
        <v>1846.0</v>
      </c>
      <c r="U1815" s="1">
        <v>52.762730228</v>
      </c>
      <c r="V1815" s="1">
        <v>479.58825594</v>
      </c>
      <c r="W1815" s="1">
        <v>7.40157480309999</v>
      </c>
      <c r="X1815" s="1">
        <v>6.2939297125</v>
      </c>
      <c r="Y1815" s="1">
        <v>74.049730038</v>
      </c>
      <c r="Z1815" s="1">
        <v>7.9</v>
      </c>
      <c r="AA1815" s="1">
        <v>7.38697519929999</v>
      </c>
      <c r="AB1815" s="1">
        <v>33085.0</v>
      </c>
      <c r="AC1815" s="1">
        <v>82.117028271</v>
      </c>
      <c r="AD1815" s="1">
        <v>63.594771242</v>
      </c>
      <c r="AE1815" s="1">
        <v>7.341684064</v>
      </c>
      <c r="AF1815" s="1">
        <v>1.5509511693</v>
      </c>
      <c r="AG1815" s="1">
        <v>2.7141645462</v>
      </c>
      <c r="AH1815" s="1">
        <v>1.235914213</v>
      </c>
      <c r="AI1815" s="1">
        <v>0.2302193142</v>
      </c>
      <c r="AJ1815" s="1">
        <v>45.910577972</v>
      </c>
      <c r="AK1815" s="1">
        <v>49.024597116</v>
      </c>
      <c r="AL1815" s="1">
        <v>0.9663064209</v>
      </c>
      <c r="AM1815" s="1">
        <v>51.181388586</v>
      </c>
      <c r="AN1815" s="1">
        <v>41.566198429</v>
      </c>
      <c r="AO1815" s="1">
        <v>18285.0</v>
      </c>
      <c r="AP1815" s="1">
        <v>19.3</v>
      </c>
      <c r="AQ1815" s="1">
        <v>2.7</v>
      </c>
      <c r="AR1815" s="1">
        <v>16.5</v>
      </c>
      <c r="AS1815" s="1">
        <v>24.0</v>
      </c>
      <c r="AT1815" s="1">
        <v>21.4</v>
      </c>
      <c r="AU1815" s="1">
        <v>24.4</v>
      </c>
      <c r="AV1815" s="1">
        <v>49.1</v>
      </c>
      <c r="AW1815" s="1">
        <v>0.9</v>
      </c>
      <c r="AX1815" s="1">
        <v>0.6772</v>
      </c>
      <c r="AY1815" s="1">
        <v>21.7</v>
      </c>
      <c r="AZ1815" s="1">
        <v>16.7</v>
      </c>
      <c r="BA1815" s="1">
        <v>30.0</v>
      </c>
      <c r="BB1815" s="1">
        <v>3.05</v>
      </c>
      <c r="BC1815" s="1" t="s">
        <v>3017</v>
      </c>
      <c r="BD1815" s="1">
        <v>18.1</v>
      </c>
      <c r="BE1815" s="1">
        <v>35.7</v>
      </c>
      <c r="BF1815" s="1">
        <v>29.2</v>
      </c>
      <c r="BG1815" s="1">
        <v>17.1</v>
      </c>
      <c r="BH1815" s="1" t="s">
        <v>3053</v>
      </c>
    </row>
    <row r="1816">
      <c r="A1816" s="1">
        <v>35039.0</v>
      </c>
      <c r="B1816" s="2" t="str">
        <f>IFERROR(__xludf.DUMMYFUNCTION("TO_TEXT(A1816)"),"35039")</f>
        <v>35039</v>
      </c>
      <c r="C1816" s="1">
        <v>39924.0</v>
      </c>
      <c r="D1816" s="1">
        <v>5860.91886919484</v>
      </c>
      <c r="E1816" s="1" t="s">
        <v>3054</v>
      </c>
      <c r="F1816" s="1" t="s">
        <v>3055</v>
      </c>
      <c r="G1816" s="1">
        <v>6.81190115253799</v>
      </c>
      <c r="H1816" s="1">
        <v>26.144443516</v>
      </c>
      <c r="I1816" s="1">
        <v>4.575294741</v>
      </c>
      <c r="J1816" s="1">
        <v>11.858156028</v>
      </c>
      <c r="K1816" s="1">
        <v>17.932582658</v>
      </c>
      <c r="L1816" s="1">
        <v>28.3</v>
      </c>
      <c r="M1816" s="1">
        <v>6.2</v>
      </c>
      <c r="N1816" s="1">
        <v>23.3</v>
      </c>
      <c r="O1816" s="1">
        <v>76.3877155489999</v>
      </c>
      <c r="P1816" s="1">
        <v>11.518058511</v>
      </c>
      <c r="Q1816" s="1">
        <v>40.85906</v>
      </c>
      <c r="R1816" s="1">
        <v>72.780252101</v>
      </c>
      <c r="S1816" s="1">
        <v>28.7</v>
      </c>
      <c r="T1816" s="1">
        <v>9291.0</v>
      </c>
      <c r="U1816" s="1">
        <v>54.8810677</v>
      </c>
      <c r="V1816" s="1">
        <v>602.15815507</v>
      </c>
      <c r="W1816" s="1">
        <v>14.162607718</v>
      </c>
      <c r="X1816" s="1">
        <v>12.089613035</v>
      </c>
      <c r="Y1816" s="1">
        <v>74.013201621</v>
      </c>
      <c r="Z1816" s="1">
        <v>8.9</v>
      </c>
      <c r="AA1816" s="1">
        <v>22.649349668</v>
      </c>
      <c r="AB1816" s="1">
        <v>41511.0</v>
      </c>
      <c r="AC1816" s="1">
        <v>98.4311328439999</v>
      </c>
      <c r="AD1816" s="1">
        <v>77.012421358</v>
      </c>
      <c r="AE1816" s="1">
        <v>10.825688073</v>
      </c>
      <c r="AF1816" s="1">
        <v>0.4153207199</v>
      </c>
      <c r="AG1816" s="1">
        <v>19.299594934</v>
      </c>
      <c r="AH1816" s="1">
        <v>0.7665487361</v>
      </c>
      <c r="AI1816" s="1">
        <v>0.2230426088</v>
      </c>
      <c r="AJ1816" s="1">
        <v>71.237758294</v>
      </c>
      <c r="AK1816" s="1">
        <v>12.73137466</v>
      </c>
      <c r="AL1816" s="1">
        <v>2.0583985387</v>
      </c>
      <c r="AM1816" s="1">
        <v>51.097267087</v>
      </c>
      <c r="AN1816" s="1">
        <v>49.7639516969999</v>
      </c>
      <c r="AO1816" s="1">
        <v>19600.0</v>
      </c>
      <c r="AP1816" s="1">
        <v>23.4</v>
      </c>
      <c r="AQ1816" s="1">
        <v>9.5</v>
      </c>
      <c r="AR1816" s="1">
        <v>15.8</v>
      </c>
      <c r="AS1816" s="1">
        <v>16.5</v>
      </c>
      <c r="AT1816" s="1">
        <v>24.2</v>
      </c>
      <c r="AU1816" s="1">
        <v>16.8</v>
      </c>
      <c r="AV1816" s="1">
        <v>87.2</v>
      </c>
      <c r="AW1816" s="1">
        <v>2.7</v>
      </c>
      <c r="AX1816" s="1">
        <v>0.8946</v>
      </c>
      <c r="AY1816" s="1">
        <v>22.2</v>
      </c>
      <c r="AZ1816" s="1">
        <v>11.5</v>
      </c>
      <c r="BA1816" s="1">
        <v>20.0</v>
      </c>
      <c r="BB1816" s="1">
        <v>3.08</v>
      </c>
      <c r="BC1816" s="1" t="s">
        <v>3017</v>
      </c>
      <c r="BD1816" s="1">
        <v>13.6</v>
      </c>
      <c r="BE1816" s="1">
        <v>32.2</v>
      </c>
      <c r="BF1816" s="1">
        <v>35.0</v>
      </c>
      <c r="BG1816" s="1">
        <v>19.3</v>
      </c>
      <c r="BH1816" s="1" t="s">
        <v>3055</v>
      </c>
    </row>
    <row r="1817">
      <c r="A1817" s="1">
        <v>35041.0</v>
      </c>
      <c r="B1817" s="2" t="str">
        <f>IFERROR(__xludf.DUMMYFUNCTION("TO_TEXT(A1817)"),"35041")</f>
        <v>35041</v>
      </c>
      <c r="C1817" s="1">
        <v>19618.0</v>
      </c>
      <c r="D1817" s="1">
        <v>2446.04257808318</v>
      </c>
      <c r="E1817" s="1" t="s">
        <v>2776</v>
      </c>
      <c r="F1817" s="1" t="s">
        <v>3056</v>
      </c>
      <c r="G1817" s="1">
        <v>8.02030192596786</v>
      </c>
      <c r="H1817" s="1">
        <v>21.854439634</v>
      </c>
      <c r="I1817" s="1">
        <v>4.6800826324</v>
      </c>
      <c r="J1817" s="1">
        <v>7.0773930754</v>
      </c>
      <c r="K1817" s="1">
        <v>17.930805607</v>
      </c>
      <c r="L1817" s="1">
        <v>28.7</v>
      </c>
      <c r="M1817" s="1">
        <v>6.0</v>
      </c>
      <c r="N1817" s="1">
        <v>29.5</v>
      </c>
      <c r="O1817" s="1">
        <v>80.278141691</v>
      </c>
      <c r="P1817" s="1">
        <v>13.461283918</v>
      </c>
      <c r="Q1817" s="1">
        <v>37.14119</v>
      </c>
      <c r="R1817" s="1">
        <v>80.99958635</v>
      </c>
      <c r="S1817" s="1">
        <v>27.6</v>
      </c>
      <c r="T1817" s="1">
        <v>4554.0</v>
      </c>
      <c r="U1817" s="1">
        <v>35.133948177</v>
      </c>
      <c r="V1817" s="1">
        <v>478.14780639</v>
      </c>
      <c r="W1817" s="1">
        <v>20.464135021</v>
      </c>
      <c r="X1817" s="1">
        <v>16.830135039</v>
      </c>
      <c r="Y1817" s="1">
        <v>77.939924933</v>
      </c>
      <c r="Z1817" s="1">
        <v>7.6</v>
      </c>
      <c r="AA1817" s="1">
        <v>13.732310348</v>
      </c>
      <c r="AB1817" s="1">
        <v>41700.0</v>
      </c>
      <c r="AC1817" s="1">
        <v>66.4323374339999</v>
      </c>
      <c r="AD1817" s="1">
        <v>61.032461032</v>
      </c>
      <c r="AE1817" s="1">
        <v>17.298362644</v>
      </c>
      <c r="AF1817" s="1">
        <v>2.0754414982</v>
      </c>
      <c r="AG1817" s="1">
        <v>2.2355012538</v>
      </c>
      <c r="AH1817" s="1">
        <v>1.4245318252</v>
      </c>
      <c r="AI1817" s="1">
        <v>0.2080776823</v>
      </c>
      <c r="AJ1817" s="1">
        <v>42.9066851619999</v>
      </c>
      <c r="AK1817" s="1">
        <v>51.101744651</v>
      </c>
      <c r="AL1817" s="1">
        <v>6.0246411213</v>
      </c>
      <c r="AM1817" s="1">
        <v>49.981326362</v>
      </c>
      <c r="AN1817" s="1">
        <v>36.460747758</v>
      </c>
      <c r="AO1817" s="1">
        <v>18447.0</v>
      </c>
      <c r="AP1817" s="1">
        <v>25.9</v>
      </c>
      <c r="AQ1817" s="1">
        <v>11.1</v>
      </c>
      <c r="AR1817" s="1">
        <v>20.2</v>
      </c>
      <c r="AS1817" s="1">
        <v>12.6</v>
      </c>
      <c r="AT1817" s="1">
        <v>25.1</v>
      </c>
      <c r="AU1817" s="1">
        <v>17.5</v>
      </c>
      <c r="AV1817" s="1">
        <v>46.3</v>
      </c>
      <c r="AW1817" s="1">
        <v>7.0</v>
      </c>
      <c r="AX1817" s="1">
        <v>0.9319</v>
      </c>
      <c r="AY1817" s="1">
        <v>18.8</v>
      </c>
      <c r="AZ1817" s="1">
        <v>16.3</v>
      </c>
      <c r="BA1817" s="1">
        <v>25.7</v>
      </c>
      <c r="BB1817" s="1">
        <v>3.04</v>
      </c>
      <c r="BC1817" s="1" t="s">
        <v>3017</v>
      </c>
      <c r="BD1817" s="1">
        <v>20.0</v>
      </c>
      <c r="BE1817" s="1">
        <v>28.1</v>
      </c>
      <c r="BF1817" s="1">
        <v>28.0</v>
      </c>
      <c r="BG1817" s="1">
        <v>23.9</v>
      </c>
      <c r="BH1817" s="1" t="s">
        <v>3056</v>
      </c>
    </row>
    <row r="1818">
      <c r="A1818" s="1">
        <v>35043.0</v>
      </c>
      <c r="B1818" s="2" t="str">
        <f>IFERROR(__xludf.DUMMYFUNCTION("TO_TEXT(A1818)"),"35043")</f>
        <v>35043</v>
      </c>
      <c r="C1818" s="1">
        <v>138117.0</v>
      </c>
      <c r="D1818" s="1">
        <v>3708.99597728355</v>
      </c>
      <c r="E1818" s="1" t="s">
        <v>3057</v>
      </c>
      <c r="F1818" s="1" t="s">
        <v>3058</v>
      </c>
      <c r="G1818" s="1">
        <v>37.2383795630742</v>
      </c>
      <c r="H1818" s="1">
        <v>16.06402641</v>
      </c>
      <c r="I1818" s="1">
        <v>4.3431532376</v>
      </c>
      <c r="J1818" s="1">
        <v>9.2064445112</v>
      </c>
      <c r="K1818" s="1">
        <v>16.191236811</v>
      </c>
      <c r="L1818" s="1">
        <v>24.8</v>
      </c>
      <c r="M1818" s="1">
        <v>6.9</v>
      </c>
      <c r="N1818" s="1">
        <v>12.9</v>
      </c>
      <c r="O1818" s="1">
        <v>85.234225948</v>
      </c>
      <c r="P1818" s="1">
        <v>9.6876456876</v>
      </c>
      <c r="Q1818" s="1">
        <v>61.04963</v>
      </c>
      <c r="R1818" s="1">
        <v>77.313276434</v>
      </c>
      <c r="S1818" s="1">
        <v>15.9</v>
      </c>
      <c r="T1818" s="1">
        <v>33345.0</v>
      </c>
      <c r="U1818" s="1">
        <v>29.8155645519999</v>
      </c>
      <c r="V1818" s="1">
        <v>245.96825168</v>
      </c>
      <c r="W1818" s="1">
        <v>16.081178531</v>
      </c>
      <c r="X1818" s="1">
        <v>11.85583307</v>
      </c>
      <c r="Y1818" s="1">
        <v>79.277759967</v>
      </c>
      <c r="Z1818" s="1">
        <v>7.2</v>
      </c>
      <c r="AA1818" s="1">
        <v>13.206084136</v>
      </c>
      <c r="AB1818" s="1">
        <v>57036.0</v>
      </c>
      <c r="AC1818" s="1">
        <v>51.153983247</v>
      </c>
      <c r="AD1818" s="1">
        <v>78.323400874</v>
      </c>
      <c r="AE1818" s="1">
        <v>12.2032188929999</v>
      </c>
      <c r="AF1818" s="1">
        <v>2.0271526874</v>
      </c>
      <c r="AG1818" s="1">
        <v>14.036465329</v>
      </c>
      <c r="AH1818" s="1">
        <v>1.6607085047</v>
      </c>
      <c r="AI1818" s="1">
        <v>0.199064603</v>
      </c>
      <c r="AJ1818" s="1">
        <v>39.37001908</v>
      </c>
      <c r="AK1818" s="1">
        <v>43.110918246</v>
      </c>
      <c r="AL1818" s="1">
        <v>1.8493866715</v>
      </c>
      <c r="AM1818" s="1">
        <v>50.995667417</v>
      </c>
      <c r="AN1818" s="1">
        <v>17.058246745</v>
      </c>
      <c r="AO1818" s="1">
        <v>27060.0</v>
      </c>
      <c r="AP1818" s="1">
        <v>14.4</v>
      </c>
      <c r="AQ1818" s="1">
        <v>8.5</v>
      </c>
      <c r="AR1818" s="1">
        <v>9.2</v>
      </c>
      <c r="AS1818" s="1">
        <v>15.0</v>
      </c>
      <c r="AT1818" s="1">
        <v>24.7</v>
      </c>
      <c r="AU1818" s="1">
        <v>12.7</v>
      </c>
      <c r="AV1818" s="1">
        <v>54.9</v>
      </c>
      <c r="AW1818" s="1">
        <v>1.4</v>
      </c>
      <c r="AX1818" s="1">
        <v>0.4158</v>
      </c>
      <c r="AY1818" s="1">
        <v>10.0</v>
      </c>
      <c r="AZ1818" s="1">
        <v>12.0</v>
      </c>
      <c r="BA1818" s="1">
        <v>19.8</v>
      </c>
      <c r="BB1818" s="1">
        <v>3.19</v>
      </c>
      <c r="BC1818" s="1" t="s">
        <v>3017</v>
      </c>
      <c r="BD1818" s="1">
        <v>10.1</v>
      </c>
      <c r="BE1818" s="1">
        <v>25.5</v>
      </c>
      <c r="BF1818" s="1">
        <v>34.0</v>
      </c>
      <c r="BG1818" s="1">
        <v>30.5</v>
      </c>
      <c r="BH1818" s="1" t="s">
        <v>3058</v>
      </c>
    </row>
    <row r="1819">
      <c r="A1819" s="1">
        <v>35045.0</v>
      </c>
      <c r="B1819" s="2" t="str">
        <f>IFERROR(__xludf.DUMMYFUNCTION("TO_TEXT(A1819)"),"35045")</f>
        <v>35045</v>
      </c>
      <c r="C1819" s="1">
        <v>122537.0</v>
      </c>
      <c r="D1819" s="1">
        <v>5513.15850050466</v>
      </c>
      <c r="E1819" s="1" t="s">
        <v>638</v>
      </c>
      <c r="F1819" s="1" t="s">
        <v>3059</v>
      </c>
      <c r="G1819" s="1">
        <v>22.2262791807606</v>
      </c>
      <c r="H1819" s="1">
        <v>21.953780472</v>
      </c>
      <c r="I1819" s="1">
        <v>4.9050394656</v>
      </c>
      <c r="J1819" s="1">
        <v>7.8159966846</v>
      </c>
      <c r="K1819" s="1">
        <v>21.6210460209999</v>
      </c>
      <c r="L1819" s="1">
        <v>33.2</v>
      </c>
      <c r="M1819" s="1">
        <v>5.5</v>
      </c>
      <c r="N1819" s="1">
        <v>23.9</v>
      </c>
      <c r="O1819" s="1">
        <v>55.5788809939999</v>
      </c>
      <c r="P1819" s="1">
        <v>13.985481685</v>
      </c>
      <c r="Q1819" s="1">
        <v>55.93811</v>
      </c>
      <c r="R1819" s="1">
        <v>66.650210236</v>
      </c>
      <c r="S1819" s="1">
        <v>26.9</v>
      </c>
      <c r="T1819" s="1">
        <v>34197.0</v>
      </c>
      <c r="U1819" s="1">
        <v>41.451004474</v>
      </c>
      <c r="V1819" s="1">
        <v>744.35520282</v>
      </c>
      <c r="W1819" s="1">
        <v>17.253564031</v>
      </c>
      <c r="X1819" s="1">
        <v>9.7244732577</v>
      </c>
      <c r="Y1819" s="1">
        <v>76.0292942069999</v>
      </c>
      <c r="Z1819" s="1">
        <v>12.6</v>
      </c>
      <c r="AA1819" s="1">
        <v>17.552302578</v>
      </c>
      <c r="AB1819" s="1">
        <v>46578.0</v>
      </c>
      <c r="AC1819" s="1">
        <v>84.686071251</v>
      </c>
      <c r="AD1819" s="1">
        <v>71.836602216</v>
      </c>
      <c r="AE1819" s="1">
        <v>10.210474792</v>
      </c>
      <c r="AF1819" s="1">
        <v>0.5742024743</v>
      </c>
      <c r="AG1819" s="1">
        <v>41.073070864</v>
      </c>
      <c r="AH1819" s="1">
        <v>0.637380741</v>
      </c>
      <c r="AI1819" s="1">
        <v>0.0687763409</v>
      </c>
      <c r="AJ1819" s="1">
        <v>20.524139696</v>
      </c>
      <c r="AK1819" s="1">
        <v>37.981334421</v>
      </c>
      <c r="AL1819" s="1">
        <v>2.1734908425</v>
      </c>
      <c r="AM1819" s="1">
        <v>50.498628472</v>
      </c>
      <c r="AN1819" s="1">
        <v>33.663990649</v>
      </c>
      <c r="AO1819" s="1">
        <v>22927.0</v>
      </c>
      <c r="AP1819" s="1">
        <v>20.6</v>
      </c>
      <c r="AQ1819" s="1">
        <v>9.9</v>
      </c>
      <c r="AR1819" s="1">
        <v>16.5</v>
      </c>
      <c r="AS1819" s="1">
        <v>13.2</v>
      </c>
      <c r="AT1819" s="1">
        <v>27.0</v>
      </c>
      <c r="AU1819" s="1">
        <v>14.2</v>
      </c>
      <c r="AV1819" s="1">
        <v>59.2</v>
      </c>
      <c r="AW1819" s="1">
        <v>2.4</v>
      </c>
      <c r="AX1819" s="1">
        <v>0.885999999999999</v>
      </c>
      <c r="AY1819" s="1">
        <v>19.9</v>
      </c>
      <c r="AZ1819" s="1">
        <v>16.1</v>
      </c>
      <c r="BA1819" s="1">
        <v>26.2</v>
      </c>
      <c r="BB1819" s="1">
        <v>2.85</v>
      </c>
      <c r="BC1819" s="1" t="s">
        <v>3017</v>
      </c>
      <c r="BD1819" s="1">
        <v>15.1</v>
      </c>
      <c r="BE1819" s="1">
        <v>30.5</v>
      </c>
      <c r="BF1819" s="1">
        <v>39.5</v>
      </c>
      <c r="BG1819" s="1">
        <v>14.9</v>
      </c>
      <c r="BH1819" s="1" t="s">
        <v>3059</v>
      </c>
    </row>
    <row r="1820">
      <c r="A1820" s="1">
        <v>35047.0</v>
      </c>
      <c r="B1820" s="2" t="str">
        <f>IFERROR(__xludf.DUMMYFUNCTION("TO_TEXT(A1820)"),"35047")</f>
        <v>35047</v>
      </c>
      <c r="C1820" s="1">
        <v>28350.0</v>
      </c>
      <c r="D1820" s="1">
        <v>4722.05529988471</v>
      </c>
      <c r="E1820" s="1" t="s">
        <v>640</v>
      </c>
      <c r="F1820" s="1" t="s">
        <v>3060</v>
      </c>
      <c r="G1820" s="1">
        <v>6.00374163358319</v>
      </c>
      <c r="H1820" s="1">
        <v>28.659265407</v>
      </c>
      <c r="I1820" s="1">
        <v>4.6935838301</v>
      </c>
      <c r="J1820" s="1">
        <v>10.783824264</v>
      </c>
      <c r="K1820" s="1">
        <v>18.35512046</v>
      </c>
      <c r="L1820" s="1">
        <v>29.1</v>
      </c>
      <c r="M1820" s="1">
        <v>5.5</v>
      </c>
      <c r="N1820" s="1">
        <v>22.6</v>
      </c>
      <c r="O1820" s="1">
        <v>65.641479264</v>
      </c>
      <c r="P1820" s="1">
        <v>8.9100346021</v>
      </c>
      <c r="Q1820" s="1">
        <v>57.66181</v>
      </c>
      <c r="R1820" s="1">
        <v>73.311520737</v>
      </c>
      <c r="S1820" s="1">
        <v>34.1</v>
      </c>
      <c r="T1820" s="1">
        <v>5488.0</v>
      </c>
      <c r="U1820" s="1">
        <v>51.731049563</v>
      </c>
      <c r="V1820" s="1">
        <v>479.91690991</v>
      </c>
      <c r="W1820" s="1">
        <v>19.755409219</v>
      </c>
      <c r="X1820" s="1">
        <v>19.002016129</v>
      </c>
      <c r="Y1820" s="1">
        <v>76.918894821</v>
      </c>
      <c r="Z1820" s="1">
        <v>14.0</v>
      </c>
      <c r="AA1820" s="1">
        <v>27.734777956</v>
      </c>
      <c r="AB1820" s="1">
        <v>35292.0</v>
      </c>
      <c r="AC1820" s="1">
        <v>94.684295737</v>
      </c>
      <c r="AD1820" s="1">
        <v>71.2097059869999</v>
      </c>
      <c r="AE1820" s="1">
        <v>17.976668579</v>
      </c>
      <c r="AF1820" s="1">
        <v>1.5766010656</v>
      </c>
      <c r="AG1820" s="1">
        <v>3.1930702041</v>
      </c>
      <c r="AH1820" s="1">
        <v>1.5113624008</v>
      </c>
      <c r="AI1820" s="1">
        <v>0.1812185133</v>
      </c>
      <c r="AJ1820" s="1">
        <v>77.463665688</v>
      </c>
      <c r="AK1820" s="1">
        <v>17.842774818</v>
      </c>
      <c r="AL1820" s="1">
        <v>6.9595834738</v>
      </c>
      <c r="AM1820" s="1">
        <v>50.451234098</v>
      </c>
      <c r="AN1820" s="1">
        <v>46.895519341</v>
      </c>
      <c r="AO1820" s="1">
        <v>16990.0</v>
      </c>
      <c r="AP1820" s="1">
        <v>30.1</v>
      </c>
      <c r="AQ1820" s="1">
        <v>4.9</v>
      </c>
      <c r="AR1820" s="1">
        <v>18.2</v>
      </c>
      <c r="AS1820" s="1">
        <v>18.0</v>
      </c>
      <c r="AT1820" s="1">
        <v>20.4</v>
      </c>
      <c r="AU1820" s="1">
        <v>29.9</v>
      </c>
      <c r="AV1820" s="1">
        <v>81.7</v>
      </c>
      <c r="AW1820" s="1">
        <v>7.8</v>
      </c>
      <c r="AX1820" s="1">
        <v>0.9366</v>
      </c>
      <c r="AY1820" s="1">
        <v>23.8</v>
      </c>
      <c r="AZ1820" s="1">
        <v>18.1</v>
      </c>
      <c r="BA1820" s="1">
        <v>28.3</v>
      </c>
      <c r="BB1820" s="1">
        <v>3.16</v>
      </c>
      <c r="BC1820" s="1" t="s">
        <v>3017</v>
      </c>
      <c r="BD1820" s="1">
        <v>16.7</v>
      </c>
      <c r="BE1820" s="1">
        <v>27.6</v>
      </c>
      <c r="BF1820" s="1">
        <v>34.2</v>
      </c>
      <c r="BG1820" s="1">
        <v>21.4</v>
      </c>
      <c r="BH1820" s="1" t="s">
        <v>3060</v>
      </c>
    </row>
    <row r="1821">
      <c r="A1821" s="1">
        <v>35049.0</v>
      </c>
      <c r="B1821" s="2" t="str">
        <f>IFERROR(__xludf.DUMMYFUNCTION("TO_TEXT(A1821)"),"35049")</f>
        <v>35049</v>
      </c>
      <c r="C1821" s="1">
        <v>147320.0</v>
      </c>
      <c r="D1821" s="1">
        <v>1907.96114898944</v>
      </c>
      <c r="E1821" s="1" t="s">
        <v>3061</v>
      </c>
      <c r="F1821" s="1" t="s">
        <v>3062</v>
      </c>
      <c r="G1821" s="1">
        <v>77.2133122721229</v>
      </c>
      <c r="H1821" s="1">
        <v>16.889147656</v>
      </c>
      <c r="I1821" s="1">
        <v>3.8829593812</v>
      </c>
      <c r="J1821" s="1">
        <v>10.663082437</v>
      </c>
      <c r="K1821" s="1">
        <v>13.676491996</v>
      </c>
      <c r="L1821" s="1">
        <v>14.4</v>
      </c>
      <c r="M1821" s="1">
        <v>7.4</v>
      </c>
      <c r="N1821" s="1">
        <v>12.1</v>
      </c>
      <c r="O1821" s="1">
        <v>78.730665187</v>
      </c>
      <c r="P1821" s="1">
        <v>13.2805464159999</v>
      </c>
      <c r="Q1821" s="1">
        <v>112.26891</v>
      </c>
      <c r="R1821" s="1">
        <v>68.170833333</v>
      </c>
      <c r="S1821" s="1">
        <v>17.7</v>
      </c>
      <c r="T1821" s="1">
        <v>27826.0</v>
      </c>
      <c r="U1821" s="1">
        <v>41.224035075</v>
      </c>
      <c r="V1821" s="1">
        <v>325.88109216</v>
      </c>
      <c r="W1821" s="1">
        <v>18.275271274</v>
      </c>
      <c r="X1821" s="1">
        <v>15.505487197</v>
      </c>
      <c r="Y1821" s="1">
        <v>81.621654475</v>
      </c>
      <c r="Z1821" s="1">
        <v>5.6</v>
      </c>
      <c r="AA1821" s="1">
        <v>11.043850881</v>
      </c>
      <c r="AB1821" s="1">
        <v>60187.0</v>
      </c>
      <c r="AC1821" s="1">
        <v>68.795822035</v>
      </c>
      <c r="AD1821" s="1">
        <v>70.309171884</v>
      </c>
      <c r="AE1821" s="1">
        <v>14.801341157</v>
      </c>
      <c r="AF1821" s="1">
        <v>0.8223596524</v>
      </c>
      <c r="AG1821" s="1">
        <v>4.2444154182</v>
      </c>
      <c r="AH1821" s="1">
        <v>1.5734125926</v>
      </c>
      <c r="AI1821" s="1">
        <v>0.1979261076</v>
      </c>
      <c r="AJ1821" s="1">
        <v>51.080263368</v>
      </c>
      <c r="AK1821" s="1">
        <v>42.984619076</v>
      </c>
      <c r="AL1821" s="1">
        <v>5.3519205894</v>
      </c>
      <c r="AM1821" s="1">
        <v>51.544090206</v>
      </c>
      <c r="AN1821" s="1">
        <v>25.160574322</v>
      </c>
      <c r="AO1821" s="1">
        <v>34176.0</v>
      </c>
      <c r="AP1821" s="1">
        <v>15.6</v>
      </c>
      <c r="AQ1821" s="1">
        <v>6.7</v>
      </c>
      <c r="AR1821" s="1">
        <v>11.7</v>
      </c>
      <c r="AS1821" s="1">
        <v>19.8</v>
      </c>
      <c r="AT1821" s="1">
        <v>19.5</v>
      </c>
      <c r="AU1821" s="1">
        <v>13.4</v>
      </c>
      <c r="AV1821" s="1">
        <v>56.9</v>
      </c>
      <c r="AW1821" s="1">
        <v>5.6</v>
      </c>
      <c r="AX1821" s="1">
        <v>0.5597</v>
      </c>
      <c r="AY1821" s="1">
        <v>12.4</v>
      </c>
      <c r="AZ1821" s="1">
        <v>10.7</v>
      </c>
      <c r="BA1821" s="1">
        <v>17.7</v>
      </c>
      <c r="BB1821" s="1">
        <v>3.45</v>
      </c>
      <c r="BC1821" s="1" t="s">
        <v>3017</v>
      </c>
      <c r="BD1821" s="1">
        <v>10.7</v>
      </c>
      <c r="BE1821" s="1">
        <v>22.3</v>
      </c>
      <c r="BF1821" s="1">
        <v>26.0</v>
      </c>
      <c r="BG1821" s="1">
        <v>41.0</v>
      </c>
      <c r="BH1821" s="1" t="s">
        <v>3062</v>
      </c>
    </row>
    <row r="1822">
      <c r="A1822" s="1">
        <v>35051.0</v>
      </c>
      <c r="B1822" s="2" t="str">
        <f>IFERROR(__xludf.DUMMYFUNCTION("TO_TEXT(A1822)"),"35051")</f>
        <v>35051</v>
      </c>
      <c r="C1822" s="1">
        <v>11442.0</v>
      </c>
      <c r="D1822" s="1">
        <v>4181.00901206585</v>
      </c>
      <c r="E1822" s="1" t="s">
        <v>506</v>
      </c>
      <c r="F1822" s="1" t="s">
        <v>3063</v>
      </c>
      <c r="G1822" s="1">
        <v>2.7366599705908</v>
      </c>
      <c r="H1822" s="1">
        <v>20.083415403</v>
      </c>
      <c r="I1822" s="1">
        <v>4.4791806278</v>
      </c>
      <c r="J1822" s="1">
        <v>8.606557377</v>
      </c>
      <c r="K1822" s="1">
        <v>15.750359494</v>
      </c>
      <c r="L1822" s="1">
        <v>26.7</v>
      </c>
      <c r="M1822" s="1">
        <v>5.3</v>
      </c>
      <c r="N1822" s="1">
        <v>26.7</v>
      </c>
      <c r="O1822" s="1">
        <v>86.761761762</v>
      </c>
      <c r="P1822" s="1">
        <v>9.7779675491</v>
      </c>
      <c r="Q1822" s="1">
        <v>35.98417</v>
      </c>
      <c r="R1822" s="1">
        <v>85.3</v>
      </c>
      <c r="S1822" s="1">
        <v>42.5</v>
      </c>
      <c r="T1822" s="1">
        <v>1796.0</v>
      </c>
      <c r="U1822" s="1">
        <v>59.020044543</v>
      </c>
      <c r="V1822" s="1">
        <v>531.81900126</v>
      </c>
      <c r="W1822" s="1">
        <v>15.262172285</v>
      </c>
      <c r="X1822" s="1">
        <v>12.629594722</v>
      </c>
      <c r="Y1822" s="1">
        <v>72.243965467</v>
      </c>
      <c r="Z1822" s="1">
        <v>14.2</v>
      </c>
      <c r="AA1822" s="1">
        <v>21.052210799</v>
      </c>
      <c r="AB1822" s="1">
        <v>31741.0</v>
      </c>
      <c r="AC1822" s="1">
        <v>100.0</v>
      </c>
      <c r="AD1822" s="1">
        <v>75.915938256</v>
      </c>
      <c r="AE1822" s="1">
        <v>13.2985910059999</v>
      </c>
      <c r="AF1822" s="1">
        <v>0.6838074398</v>
      </c>
      <c r="AG1822" s="1">
        <v>3.0269876003</v>
      </c>
      <c r="AH1822" s="1">
        <v>0.8114514953</v>
      </c>
      <c r="AI1822" s="1">
        <v>0.0455871627</v>
      </c>
      <c r="AJ1822" s="1">
        <v>30.898978848</v>
      </c>
      <c r="AK1822" s="1">
        <v>64.305251641</v>
      </c>
      <c r="AL1822" s="1">
        <v>1.6953941791</v>
      </c>
      <c r="AM1822" s="1">
        <v>49.954412837</v>
      </c>
      <c r="AN1822" s="1">
        <v>33.950617284</v>
      </c>
      <c r="AO1822" s="1">
        <v>20495.0</v>
      </c>
      <c r="AP1822" s="1">
        <v>22.1</v>
      </c>
      <c r="AQ1822" s="1">
        <v>10.0</v>
      </c>
      <c r="AR1822" s="1">
        <v>17.2</v>
      </c>
      <c r="AS1822" s="1">
        <v>34.6</v>
      </c>
      <c r="AT1822" s="1">
        <v>15.5</v>
      </c>
      <c r="AU1822" s="1">
        <v>24.1</v>
      </c>
      <c r="AV1822" s="1">
        <v>33.7</v>
      </c>
      <c r="AW1822" s="1">
        <v>1.3</v>
      </c>
      <c r="AX1822" s="1">
        <v>0.8949</v>
      </c>
      <c r="AY1822" s="1">
        <v>27.6</v>
      </c>
      <c r="AZ1822" s="1">
        <v>19.5</v>
      </c>
      <c r="BA1822" s="1">
        <v>33.7</v>
      </c>
      <c r="BB1822" s="1">
        <v>2.95</v>
      </c>
      <c r="BC1822" s="1" t="s">
        <v>3017</v>
      </c>
      <c r="BD1822" s="1">
        <v>16.0</v>
      </c>
      <c r="BE1822" s="1">
        <v>28.6</v>
      </c>
      <c r="BF1822" s="1">
        <v>34.2</v>
      </c>
      <c r="BG1822" s="1">
        <v>21.1</v>
      </c>
      <c r="BH1822" s="1" t="s">
        <v>3063</v>
      </c>
    </row>
    <row r="1823">
      <c r="A1823" s="1">
        <v>35053.0</v>
      </c>
      <c r="B1823" s="2" t="str">
        <f>IFERROR(__xludf.DUMMYFUNCTION("TO_TEXT(A1823)"),"35053")</f>
        <v>35053</v>
      </c>
      <c r="C1823" s="1">
        <v>17324.0</v>
      </c>
      <c r="D1823" s="1">
        <v>6646.20499878139</v>
      </c>
      <c r="E1823" s="1" t="s">
        <v>3064</v>
      </c>
      <c r="F1823" s="1" t="s">
        <v>3065</v>
      </c>
      <c r="G1823" s="1">
        <v>2.60660030847325</v>
      </c>
      <c r="H1823" s="1">
        <v>23.5952888269999</v>
      </c>
      <c r="I1823" s="1">
        <v>4.741735755</v>
      </c>
      <c r="J1823" s="1">
        <v>8.90313390309999</v>
      </c>
      <c r="K1823" s="1">
        <v>18.801987015</v>
      </c>
      <c r="L1823" s="1">
        <v>33.5</v>
      </c>
      <c r="M1823" s="1">
        <v>5.7</v>
      </c>
      <c r="N1823" s="1">
        <v>25.4</v>
      </c>
      <c r="O1823" s="1">
        <v>53.3303481469999</v>
      </c>
      <c r="P1823" s="1">
        <v>12.311097542</v>
      </c>
      <c r="Q1823" s="1">
        <v>41.67163</v>
      </c>
      <c r="R1823" s="1">
        <v>68.927468582</v>
      </c>
      <c r="S1823" s="1">
        <v>36.0</v>
      </c>
      <c r="T1823" s="1">
        <v>3824.0</v>
      </c>
      <c r="U1823" s="1">
        <v>43.5930962339999</v>
      </c>
      <c r="V1823" s="1">
        <v>515.09100906</v>
      </c>
      <c r="W1823" s="1">
        <v>14.002089864</v>
      </c>
      <c r="X1823" s="1">
        <v>9.9156118143</v>
      </c>
      <c r="Y1823" s="1">
        <v>76.199035343</v>
      </c>
      <c r="Z1823" s="1">
        <v>16.5</v>
      </c>
      <c r="AA1823" s="1">
        <v>21.8594684369999</v>
      </c>
      <c r="AB1823" s="1">
        <v>33989.0</v>
      </c>
      <c r="AC1823" s="1">
        <v>100.0</v>
      </c>
      <c r="AD1823" s="1">
        <v>73.648351648</v>
      </c>
      <c r="AE1823" s="1">
        <v>8.5468147812</v>
      </c>
      <c r="AF1823" s="1">
        <v>1.0038840753</v>
      </c>
      <c r="AG1823" s="1">
        <v>14.586196594</v>
      </c>
      <c r="AH1823" s="1">
        <v>2.0077681506</v>
      </c>
      <c r="AI1823" s="1">
        <v>0.1314610099</v>
      </c>
      <c r="AJ1823" s="1">
        <v>49.841649238</v>
      </c>
      <c r="AK1823" s="1">
        <v>33.761577532</v>
      </c>
      <c r="AL1823" s="1">
        <v>4.0767824497</v>
      </c>
      <c r="AM1823" s="1">
        <v>49.8296982369999</v>
      </c>
      <c r="AN1823" s="1">
        <v>49.675361021</v>
      </c>
      <c r="AO1823" s="1">
        <v>17277.0</v>
      </c>
      <c r="AP1823" s="1">
        <v>22.5</v>
      </c>
      <c r="AQ1823" s="1">
        <v>5.8</v>
      </c>
      <c r="AR1823" s="1">
        <v>20.3</v>
      </c>
      <c r="AS1823" s="1">
        <v>16.7</v>
      </c>
      <c r="AT1823" s="1">
        <v>26.1</v>
      </c>
      <c r="AU1823" s="1">
        <v>26.0</v>
      </c>
      <c r="AV1823" s="1">
        <v>64.4</v>
      </c>
      <c r="AW1823" s="1">
        <v>4.9</v>
      </c>
      <c r="AX1823" s="1">
        <v>0.9863</v>
      </c>
      <c r="AY1823" s="1">
        <v>26.0</v>
      </c>
      <c r="AZ1823" s="1">
        <v>18.7</v>
      </c>
      <c r="BA1823" s="1">
        <v>29.5</v>
      </c>
      <c r="BB1823" s="1">
        <v>3.1</v>
      </c>
      <c r="BC1823" s="1" t="s">
        <v>3017</v>
      </c>
      <c r="BD1823" s="1">
        <v>18.2</v>
      </c>
      <c r="BE1823" s="1">
        <v>37.4</v>
      </c>
      <c r="BF1823" s="1">
        <v>22.4</v>
      </c>
      <c r="BG1823" s="1">
        <v>22.0</v>
      </c>
      <c r="BH1823" s="1" t="s">
        <v>3065</v>
      </c>
    </row>
    <row r="1824">
      <c r="A1824" s="1">
        <v>35055.0</v>
      </c>
      <c r="B1824" s="2" t="str">
        <f>IFERROR(__xludf.DUMMYFUNCTION("TO_TEXT(A1824)"),"35055")</f>
        <v>35055</v>
      </c>
      <c r="C1824" s="1">
        <v>32961.0</v>
      </c>
      <c r="D1824" s="1">
        <v>2202.37178965938</v>
      </c>
      <c r="E1824" s="1" t="s">
        <v>3066</v>
      </c>
      <c r="F1824" s="1" t="s">
        <v>3067</v>
      </c>
      <c r="G1824" s="1">
        <v>14.9661379403601</v>
      </c>
      <c r="H1824" s="1">
        <v>21.7175936019999</v>
      </c>
      <c r="I1824" s="1">
        <v>4.5659020302</v>
      </c>
      <c r="J1824" s="1">
        <v>11.034482759</v>
      </c>
      <c r="K1824" s="1">
        <v>16.331722041</v>
      </c>
      <c r="L1824" s="1">
        <v>19.2</v>
      </c>
      <c r="M1824" s="1">
        <v>6.1</v>
      </c>
      <c r="N1824" s="1">
        <v>14.1</v>
      </c>
      <c r="O1824" s="1">
        <v>82.940158484</v>
      </c>
      <c r="P1824" s="1">
        <v>12.638900321</v>
      </c>
      <c r="Q1824" s="1">
        <v>88.42811</v>
      </c>
      <c r="R1824" s="1">
        <v>72.964344262</v>
      </c>
      <c r="S1824" s="1">
        <v>28.6</v>
      </c>
      <c r="T1824" s="1">
        <v>6035.0</v>
      </c>
      <c r="U1824" s="1">
        <v>44.987572494</v>
      </c>
      <c r="V1824" s="1">
        <v>416.67300293</v>
      </c>
      <c r="W1824" s="1">
        <v>19.2618223759999</v>
      </c>
      <c r="X1824" s="1">
        <v>15.761124122</v>
      </c>
      <c r="Y1824" s="1">
        <v>79.6434233539999</v>
      </c>
      <c r="Z1824" s="1">
        <v>6.3</v>
      </c>
      <c r="AA1824" s="1">
        <v>20.668123387</v>
      </c>
      <c r="AB1824" s="1">
        <v>38405.0</v>
      </c>
      <c r="AC1824" s="1">
        <v>84.606233643</v>
      </c>
      <c r="AD1824" s="1">
        <v>75.5174404219999</v>
      </c>
      <c r="AE1824" s="1">
        <v>13.3908147109999</v>
      </c>
      <c r="AF1824" s="1">
        <v>0.4842393787</v>
      </c>
      <c r="AG1824" s="1">
        <v>7.45241358309999</v>
      </c>
      <c r="AH1824" s="1">
        <v>1.0750723314</v>
      </c>
      <c r="AI1824" s="1">
        <v>0.1218212273</v>
      </c>
      <c r="AJ1824" s="1">
        <v>56.917922948</v>
      </c>
      <c r="AK1824" s="1">
        <v>35.437795036</v>
      </c>
      <c r="AL1824" s="1">
        <v>1.9694072658</v>
      </c>
      <c r="AM1824" s="1">
        <v>50.772042028</v>
      </c>
      <c r="AN1824" s="1">
        <v>58.447946079</v>
      </c>
      <c r="AO1824" s="1">
        <v>22302.0</v>
      </c>
      <c r="AP1824" s="1">
        <v>21.9</v>
      </c>
      <c r="AQ1824" s="1">
        <v>9.7</v>
      </c>
      <c r="AR1824" s="1">
        <v>12.3</v>
      </c>
      <c r="AS1824" s="1">
        <v>22.3</v>
      </c>
      <c r="AT1824" s="1">
        <v>19.1</v>
      </c>
      <c r="AU1824" s="1">
        <v>19.9</v>
      </c>
      <c r="AV1824" s="1">
        <v>64.5</v>
      </c>
      <c r="AW1824" s="1">
        <v>1.9</v>
      </c>
      <c r="AX1824" s="1">
        <v>0.8765</v>
      </c>
      <c r="AY1824" s="1">
        <v>18.2</v>
      </c>
      <c r="AZ1824" s="1">
        <v>15.2</v>
      </c>
      <c r="BA1824" s="1">
        <v>24.1</v>
      </c>
      <c r="BB1824" s="1">
        <v>3.82</v>
      </c>
      <c r="BC1824" s="1" t="s">
        <v>3017</v>
      </c>
      <c r="BD1824" s="1">
        <v>9.9</v>
      </c>
      <c r="BE1824" s="1">
        <v>28.2</v>
      </c>
      <c r="BF1824" s="1">
        <v>33.2</v>
      </c>
      <c r="BG1824" s="1">
        <v>28.7</v>
      </c>
      <c r="BH1824" s="1" t="s">
        <v>3067</v>
      </c>
    </row>
    <row r="1825">
      <c r="A1825" s="1">
        <v>35057.0</v>
      </c>
      <c r="B1825" s="2" t="str">
        <f>IFERROR(__xludf.DUMMYFUNCTION("TO_TEXT(A1825)"),"35057")</f>
        <v>35057</v>
      </c>
      <c r="C1825" s="1">
        <v>15599.0</v>
      </c>
      <c r="D1825" s="1">
        <v>3345.21726016978</v>
      </c>
      <c r="E1825" s="1" t="s">
        <v>3068</v>
      </c>
      <c r="F1825" s="1" t="s">
        <v>3069</v>
      </c>
      <c r="G1825" s="1">
        <v>4.66307530626824</v>
      </c>
      <c r="H1825" s="1">
        <v>23.409513805</v>
      </c>
      <c r="I1825" s="1">
        <v>4.6039506652</v>
      </c>
      <c r="J1825" s="1">
        <v>9.2007434944</v>
      </c>
      <c r="K1825" s="1">
        <v>19.551109321</v>
      </c>
      <c r="L1825" s="1">
        <v>25.3</v>
      </c>
      <c r="M1825" s="1">
        <v>5.5</v>
      </c>
      <c r="N1825" s="1">
        <v>26.3</v>
      </c>
      <c r="O1825" s="1">
        <v>8.7590795337</v>
      </c>
      <c r="P1825" s="1">
        <v>10.373727871</v>
      </c>
      <c r="Q1825" s="1">
        <v>6.44912</v>
      </c>
      <c r="R1825" s="1">
        <v>78.960552093</v>
      </c>
      <c r="S1825" s="1">
        <v>35.4</v>
      </c>
      <c r="T1825" s="1">
        <v>3251.0</v>
      </c>
      <c r="U1825" s="1">
        <v>35.035373731</v>
      </c>
      <c r="V1825" s="1">
        <v>396.49008775</v>
      </c>
      <c r="W1825" s="1">
        <v>22.046511628</v>
      </c>
      <c r="X1825" s="1">
        <v>17.914691943</v>
      </c>
      <c r="Y1825" s="1">
        <v>76.818650853</v>
      </c>
      <c r="Z1825" s="1">
        <v>7.0</v>
      </c>
      <c r="AA1825" s="1">
        <v>19.180918442</v>
      </c>
      <c r="AB1825" s="1">
        <v>39123.0</v>
      </c>
      <c r="AC1825" s="1">
        <v>74.717668488</v>
      </c>
      <c r="AD1825" s="1">
        <v>83.315677966</v>
      </c>
      <c r="AE1825" s="1">
        <v>15.434985968</v>
      </c>
      <c r="AF1825" s="1">
        <v>1.34693092169999</v>
      </c>
      <c r="AG1825" s="1">
        <v>4.21396959779999</v>
      </c>
      <c r="AH1825" s="1">
        <v>0.6157398499</v>
      </c>
      <c r="AI1825" s="1">
        <v>0.2693861843</v>
      </c>
      <c r="AJ1825" s="1">
        <v>43.813738695</v>
      </c>
      <c r="AK1825" s="1">
        <v>50.490667693</v>
      </c>
      <c r="AL1825" s="1">
        <v>1.9927292312</v>
      </c>
      <c r="AM1825" s="1">
        <v>46.995061253</v>
      </c>
      <c r="AN1825" s="1">
        <v>98.785326253</v>
      </c>
      <c r="AO1825" s="1">
        <v>18967.0</v>
      </c>
      <c r="AP1825" s="1">
        <v>31.1</v>
      </c>
      <c r="AQ1825" s="1">
        <v>9.6</v>
      </c>
      <c r="AR1825" s="1">
        <v>17.7</v>
      </c>
      <c r="AS1825" s="1">
        <v>18.1</v>
      </c>
      <c r="AT1825" s="1">
        <v>21.4</v>
      </c>
      <c r="AU1825" s="1">
        <v>17.2</v>
      </c>
      <c r="AV1825" s="1">
        <v>46.7</v>
      </c>
      <c r="AW1825" s="1">
        <v>2.8</v>
      </c>
      <c r="AX1825" s="1">
        <v>0.8545</v>
      </c>
      <c r="AY1825" s="1">
        <v>21.6</v>
      </c>
      <c r="AZ1825" s="1">
        <v>17.4</v>
      </c>
      <c r="BA1825" s="1">
        <v>28.6</v>
      </c>
      <c r="BB1825" s="1">
        <v>3.15</v>
      </c>
      <c r="BC1825" s="1" t="s">
        <v>3017</v>
      </c>
      <c r="BD1825" s="1">
        <v>15.4</v>
      </c>
      <c r="BE1825" s="1">
        <v>37.7</v>
      </c>
      <c r="BF1825" s="1">
        <v>32.0</v>
      </c>
      <c r="BG1825" s="1">
        <v>14.8</v>
      </c>
      <c r="BH1825" s="1" t="s">
        <v>3069</v>
      </c>
    </row>
    <row r="1826">
      <c r="A1826" s="1">
        <v>35059.0</v>
      </c>
      <c r="B1826" s="2" t="str">
        <f>IFERROR(__xludf.DUMMYFUNCTION("TO_TEXT(A1826)"),"35059")</f>
        <v>35059</v>
      </c>
      <c r="C1826" s="1">
        <v>4292.0</v>
      </c>
      <c r="D1826" s="1">
        <v>3823.90361744104</v>
      </c>
      <c r="E1826" s="1" t="s">
        <v>406</v>
      </c>
      <c r="F1826" s="1" t="s">
        <v>3070</v>
      </c>
      <c r="G1826" s="1">
        <v>1.1224132272644</v>
      </c>
      <c r="H1826" s="1">
        <v>18.166562614</v>
      </c>
      <c r="I1826" s="1">
        <v>4.0354259693</v>
      </c>
      <c r="J1826" s="1">
        <v>7.5</v>
      </c>
      <c r="K1826" s="1">
        <v>15.347977985</v>
      </c>
      <c r="L1826" s="1">
        <v>31.8</v>
      </c>
      <c r="M1826" s="1">
        <v>7.0</v>
      </c>
      <c r="N1826" s="1">
        <v>26.6</v>
      </c>
      <c r="O1826" s="1">
        <v>75.994724115</v>
      </c>
      <c r="P1826" s="1">
        <v>11.3451589059999</v>
      </c>
      <c r="Q1826" s="1">
        <v>23.88345</v>
      </c>
      <c r="R1826" s="1">
        <v>79.2</v>
      </c>
      <c r="S1826" s="1">
        <v>27.2</v>
      </c>
      <c r="T1826" s="1">
        <v>780.0</v>
      </c>
      <c r="U1826" s="1">
        <v>41.794871795</v>
      </c>
      <c r="V1826" s="1">
        <v>130.36264518</v>
      </c>
      <c r="W1826" s="1">
        <v>9.3851132686</v>
      </c>
      <c r="X1826" s="1">
        <v>8.6307592472</v>
      </c>
      <c r="Y1826" s="1">
        <v>81.521553678</v>
      </c>
      <c r="Z1826" s="1">
        <v>13.0</v>
      </c>
      <c r="AA1826" s="1">
        <v>11.423579695</v>
      </c>
      <c r="AB1826" s="1">
        <v>40426.0</v>
      </c>
      <c r="AC1826" s="1">
        <v>60.707964602</v>
      </c>
      <c r="AD1826" s="1">
        <v>69.876900797</v>
      </c>
      <c r="AE1826" s="1">
        <v>5.0741608119</v>
      </c>
      <c r="AF1826" s="1">
        <v>1.8941233609</v>
      </c>
      <c r="AG1826" s="1">
        <v>3.3754249636</v>
      </c>
      <c r="AH1826" s="1">
        <v>0.6799417193</v>
      </c>
      <c r="AI1826" s="1">
        <v>0.0485672657</v>
      </c>
      <c r="AJ1826" s="1">
        <v>42.617775619</v>
      </c>
      <c r="AK1826" s="1">
        <v>52.23409422</v>
      </c>
      <c r="AL1826" s="1">
        <v>3.9330119259</v>
      </c>
      <c r="AM1826" s="1">
        <v>44.050509956</v>
      </c>
      <c r="AN1826" s="1">
        <v>100.0</v>
      </c>
      <c r="AO1826" s="1">
        <v>21091.0</v>
      </c>
      <c r="AP1826" s="1">
        <v>16.9</v>
      </c>
      <c r="AQ1826" s="1">
        <v>3.1</v>
      </c>
      <c r="AR1826" s="1">
        <v>21.6</v>
      </c>
      <c r="AS1826" s="1">
        <v>19.3</v>
      </c>
      <c r="AT1826" s="1">
        <v>19.9</v>
      </c>
      <c r="AU1826" s="1">
        <v>18.4</v>
      </c>
      <c r="AV1826" s="1">
        <v>47.1</v>
      </c>
      <c r="AW1826" s="1">
        <v>3.5</v>
      </c>
      <c r="AX1826" s="1">
        <v>0.5992</v>
      </c>
      <c r="AY1826" s="1">
        <v>20.3</v>
      </c>
      <c r="AZ1826" s="1">
        <v>13.1</v>
      </c>
      <c r="BA1826" s="1">
        <v>24.4</v>
      </c>
      <c r="BB1826" s="1">
        <v>2.97</v>
      </c>
      <c r="BC1826" s="1" t="s">
        <v>3017</v>
      </c>
      <c r="BD1826" s="1">
        <v>18.1</v>
      </c>
      <c r="BE1826" s="1">
        <v>46.8</v>
      </c>
      <c r="BF1826" s="1">
        <v>23.4</v>
      </c>
      <c r="BG1826" s="1">
        <v>11.7</v>
      </c>
      <c r="BH1826" s="1" t="s">
        <v>3070</v>
      </c>
    </row>
    <row r="1827">
      <c r="A1827" s="1">
        <v>35061.0</v>
      </c>
      <c r="B1827" s="2" t="str">
        <f>IFERROR(__xludf.DUMMYFUNCTION("TO_TEXT(A1827)"),"35061")</f>
        <v>35061</v>
      </c>
      <c r="C1827" s="1">
        <v>75993.0</v>
      </c>
      <c r="D1827" s="1">
        <v>1065.70998051782</v>
      </c>
      <c r="E1827" s="1" t="s">
        <v>3071</v>
      </c>
      <c r="F1827" s="1" t="s">
        <v>3072</v>
      </c>
      <c r="G1827" s="1">
        <v>71.3073926201532</v>
      </c>
      <c r="H1827" s="1">
        <v>22.521308784</v>
      </c>
      <c r="I1827" s="1">
        <v>4.2929702207</v>
      </c>
      <c r="J1827" s="1">
        <v>9.1175962701</v>
      </c>
      <c r="K1827" s="1">
        <v>17.066381153</v>
      </c>
      <c r="L1827" s="1">
        <v>31.6</v>
      </c>
      <c r="M1827" s="1">
        <v>6.1</v>
      </c>
      <c r="N1827" s="1">
        <v>21.5</v>
      </c>
      <c r="O1827" s="1">
        <v>47.7072966869999</v>
      </c>
      <c r="P1827" s="1">
        <v>10.879084967</v>
      </c>
      <c r="Q1827" s="1">
        <v>31.6039</v>
      </c>
      <c r="R1827" s="1">
        <v>73.923109578</v>
      </c>
      <c r="S1827" s="1">
        <v>24.2</v>
      </c>
      <c r="T1827" s="1">
        <v>18040.0</v>
      </c>
      <c r="U1827" s="1">
        <v>36.768292683</v>
      </c>
      <c r="V1827" s="1">
        <v>917.35837825</v>
      </c>
      <c r="W1827" s="1">
        <v>17.753353204</v>
      </c>
      <c r="X1827" s="1">
        <v>15.349282297</v>
      </c>
      <c r="Y1827" s="1">
        <v>77.40413427</v>
      </c>
      <c r="Z1827" s="1">
        <v>12.6</v>
      </c>
      <c r="AA1827" s="1">
        <v>24.0227932709999</v>
      </c>
      <c r="AB1827" s="1">
        <v>46365.0</v>
      </c>
      <c r="AC1827" s="1">
        <v>75.870744555</v>
      </c>
      <c r="AD1827" s="1">
        <v>80.6831823639999</v>
      </c>
      <c r="AE1827" s="1">
        <v>13.845112273</v>
      </c>
      <c r="AF1827" s="1">
        <v>1.003191378</v>
      </c>
      <c r="AG1827" s="1">
        <v>6.2114157162</v>
      </c>
      <c r="AH1827" s="1">
        <v>0.827927173799999</v>
      </c>
      <c r="AI1827" s="1">
        <v>0.1870356807</v>
      </c>
      <c r="AJ1827" s="1">
        <v>61.020717798</v>
      </c>
      <c r="AK1827" s="1">
        <v>32.336245684</v>
      </c>
      <c r="AL1827" s="1">
        <v>3.1035349305</v>
      </c>
      <c r="AM1827" s="1">
        <v>49.840431098</v>
      </c>
      <c r="AN1827" s="1">
        <v>16.731314239</v>
      </c>
      <c r="AO1827" s="1">
        <v>19842.0</v>
      </c>
      <c r="AP1827" s="1">
        <v>23.2</v>
      </c>
      <c r="AQ1827" s="1">
        <v>10.7</v>
      </c>
      <c r="AR1827" s="1">
        <v>18.3</v>
      </c>
      <c r="AS1827" s="1">
        <v>15.3</v>
      </c>
      <c r="AT1827" s="1">
        <v>24.7</v>
      </c>
      <c r="AU1827" s="1">
        <v>19.7</v>
      </c>
      <c r="AV1827" s="1">
        <v>65.8</v>
      </c>
      <c r="AW1827" s="1">
        <v>3.6</v>
      </c>
      <c r="AX1827" s="1">
        <v>0.9242</v>
      </c>
      <c r="AY1827" s="1">
        <v>17.6</v>
      </c>
      <c r="AZ1827" s="1">
        <v>13.8</v>
      </c>
      <c r="BA1827" s="1">
        <v>23.1</v>
      </c>
      <c r="BB1827" s="1">
        <v>2.98</v>
      </c>
      <c r="BC1827" s="1" t="s">
        <v>3017</v>
      </c>
      <c r="BD1827" s="1">
        <v>15.5</v>
      </c>
      <c r="BE1827" s="1">
        <v>33.0</v>
      </c>
      <c r="BF1827" s="1">
        <v>32.9</v>
      </c>
      <c r="BG1827" s="1">
        <v>18.5</v>
      </c>
      <c r="BH1827" s="1" t="s">
        <v>3072</v>
      </c>
    </row>
    <row r="1828">
      <c r="A1828" s="1">
        <v>36001.0</v>
      </c>
      <c r="B1828" s="2" t="str">
        <f>IFERROR(__xludf.DUMMYFUNCTION("TO_TEXT(A1828)"),"36001")</f>
        <v>36001</v>
      </c>
      <c r="C1828" s="1">
        <v>307891.0</v>
      </c>
      <c r="D1828" s="1">
        <v>522.814401957382</v>
      </c>
      <c r="E1828" s="1" t="s">
        <v>3073</v>
      </c>
      <c r="F1828" s="1" t="s">
        <v>3074</v>
      </c>
      <c r="G1828" s="1">
        <v>588.910708747266</v>
      </c>
      <c r="H1828" s="1">
        <v>14.208671407</v>
      </c>
      <c r="I1828" s="1">
        <v>4.2743351354</v>
      </c>
      <c r="J1828" s="1">
        <v>8.11847831169999</v>
      </c>
      <c r="K1828" s="1">
        <v>14.531854664</v>
      </c>
      <c r="L1828" s="1">
        <v>27.3</v>
      </c>
      <c r="M1828" s="1">
        <v>8.0</v>
      </c>
      <c r="N1828" s="1">
        <v>22.0</v>
      </c>
      <c r="O1828" s="1">
        <v>92.059933466</v>
      </c>
      <c r="P1828" s="1">
        <v>4.4009381719</v>
      </c>
      <c r="Q1828" s="1">
        <v>100.4483</v>
      </c>
      <c r="R1828" s="1">
        <v>84.406104844</v>
      </c>
      <c r="S1828" s="1">
        <v>15.3</v>
      </c>
      <c r="T1828" s="1">
        <v>56350.0</v>
      </c>
      <c r="U1828" s="1">
        <v>37.755102041</v>
      </c>
      <c r="V1828" s="1">
        <v>348.21844179</v>
      </c>
      <c r="W1828" s="1">
        <v>15.550721134</v>
      </c>
      <c r="X1828" s="1">
        <v>14.679197689</v>
      </c>
      <c r="Y1828" s="1">
        <v>80.033193096</v>
      </c>
      <c r="Z1828" s="1">
        <v>9.1</v>
      </c>
      <c r="AA1828" s="1">
        <v>4.779734781</v>
      </c>
      <c r="AB1828" s="1">
        <v>64536.0</v>
      </c>
      <c r="AC1828" s="1">
        <v>35.501123376</v>
      </c>
      <c r="AD1828" s="1">
        <v>56.5464097519999</v>
      </c>
      <c r="AE1828" s="1">
        <v>14.780441625</v>
      </c>
      <c r="AF1828" s="1">
        <v>12.793821247</v>
      </c>
      <c r="AG1828" s="1">
        <v>0.2966296232</v>
      </c>
      <c r="AH1828" s="1">
        <v>6.78373388639999</v>
      </c>
      <c r="AI1828" s="1">
        <v>0.0674010231</v>
      </c>
      <c r="AJ1828" s="1">
        <v>6.100932218</v>
      </c>
      <c r="AK1828" s="1">
        <v>71.807487049</v>
      </c>
      <c r="AL1828" s="1">
        <v>1.9023927249</v>
      </c>
      <c r="AM1828" s="1">
        <v>51.571225299</v>
      </c>
      <c r="AN1828" s="1">
        <v>9.6961249688</v>
      </c>
      <c r="AO1828" s="1">
        <v>33888.0</v>
      </c>
      <c r="AP1828" s="1">
        <v>12.9</v>
      </c>
      <c r="AQ1828" s="1">
        <v>5.8</v>
      </c>
      <c r="AR1828" s="1">
        <v>7.3</v>
      </c>
      <c r="AS1828" s="1">
        <v>15.2</v>
      </c>
      <c r="AT1828" s="1">
        <v>19.0</v>
      </c>
      <c r="AU1828" s="1">
        <v>11.0</v>
      </c>
      <c r="AV1828" s="1">
        <v>26.4</v>
      </c>
      <c r="AW1828" s="1">
        <v>1.7</v>
      </c>
      <c r="AX1828" s="1">
        <v>0.2512</v>
      </c>
      <c r="AY1828" s="1">
        <v>11.7</v>
      </c>
      <c r="AZ1828" s="1">
        <v>10.2</v>
      </c>
      <c r="BA1828" s="1">
        <v>15.7</v>
      </c>
      <c r="BB1828" s="1">
        <v>3.62</v>
      </c>
      <c r="BC1828" s="1" t="s">
        <v>3075</v>
      </c>
      <c r="BD1828" s="1">
        <v>7.9</v>
      </c>
      <c r="BE1828" s="1">
        <v>23.0</v>
      </c>
      <c r="BF1828" s="1">
        <v>27.4</v>
      </c>
      <c r="BG1828" s="1">
        <v>41.8</v>
      </c>
      <c r="BH1828" s="1" t="s">
        <v>3074</v>
      </c>
    </row>
    <row r="1829">
      <c r="A1829" s="1">
        <v>36003.0</v>
      </c>
      <c r="B1829" s="2" t="str">
        <f>IFERROR(__xludf.DUMMYFUNCTION("TO_TEXT(A1829)"),"36003")</f>
        <v>36003</v>
      </c>
      <c r="C1829" s="1">
        <v>47700.0</v>
      </c>
      <c r="D1829" s="1">
        <v>1029.29973759005</v>
      </c>
      <c r="E1829" s="1" t="s">
        <v>3076</v>
      </c>
      <c r="F1829" s="1" t="s">
        <v>3077</v>
      </c>
      <c r="G1829" s="1">
        <v>46.3421861076952</v>
      </c>
      <c r="H1829" s="1">
        <v>14.416292355</v>
      </c>
      <c r="I1829" s="1">
        <v>4.3074988119</v>
      </c>
      <c r="J1829" s="1">
        <v>6.9578313253</v>
      </c>
      <c r="K1829" s="1">
        <v>16.559035378</v>
      </c>
      <c r="L1829" s="1">
        <v>35.9</v>
      </c>
      <c r="M1829" s="1">
        <v>8.1</v>
      </c>
      <c r="N1829" s="1">
        <v>29.3</v>
      </c>
      <c r="O1829" s="1">
        <v>62.364646754</v>
      </c>
      <c r="P1829" s="1">
        <v>5.8537727565</v>
      </c>
      <c r="Q1829" s="1">
        <v>42.64938</v>
      </c>
      <c r="R1829" s="1">
        <v>87.8486055779999</v>
      </c>
      <c r="S1829" s="1">
        <v>22.8</v>
      </c>
      <c r="T1829" s="1">
        <v>9385.0</v>
      </c>
      <c r="U1829" s="1">
        <v>33.851891316</v>
      </c>
      <c r="V1829" s="1">
        <v>195.02941427</v>
      </c>
      <c r="W1829" s="1">
        <v>14.143094842</v>
      </c>
      <c r="X1829" s="1">
        <v>10.541374474</v>
      </c>
      <c r="Y1829" s="1">
        <v>77.99982845</v>
      </c>
      <c r="Z1829" s="1">
        <v>10.9</v>
      </c>
      <c r="AA1829" s="1">
        <v>2.9916992658</v>
      </c>
      <c r="AB1829" s="1">
        <v>46262.0</v>
      </c>
      <c r="AC1829" s="1">
        <v>51.937743191</v>
      </c>
      <c r="AD1829" s="1">
        <v>75.145760453</v>
      </c>
      <c r="AE1829" s="1">
        <v>10.525100981</v>
      </c>
      <c r="AF1829" s="1">
        <v>1.277191471</v>
      </c>
      <c r="AG1829" s="1">
        <v>0.3166056429</v>
      </c>
      <c r="AH1829" s="1">
        <v>1.2944217101</v>
      </c>
      <c r="AI1829" s="1">
        <v>0.0409218178</v>
      </c>
      <c r="AJ1829" s="1">
        <v>1.6777945294</v>
      </c>
      <c r="AK1829" s="1">
        <v>94.2946370879999</v>
      </c>
      <c r="AL1829" s="1">
        <v>0.4618834081</v>
      </c>
      <c r="AM1829" s="1">
        <v>49.237561921</v>
      </c>
      <c r="AN1829" s="1">
        <v>78.7398357369999</v>
      </c>
      <c r="AO1829" s="1">
        <v>21478.0</v>
      </c>
      <c r="AP1829" s="1">
        <v>17.1</v>
      </c>
      <c r="AQ1829" s="1">
        <v>8.1</v>
      </c>
      <c r="AR1829" s="1">
        <v>11.0</v>
      </c>
      <c r="AS1829" s="1">
        <v>16.8</v>
      </c>
      <c r="AT1829" s="1">
        <v>20.5</v>
      </c>
      <c r="AU1829" s="1">
        <v>15.5</v>
      </c>
      <c r="AV1829" s="1">
        <v>5.4</v>
      </c>
      <c r="AW1829" s="1">
        <v>0.6</v>
      </c>
      <c r="AX1829" s="1">
        <v>0.6176</v>
      </c>
      <c r="AY1829" s="1">
        <v>17.9</v>
      </c>
      <c r="AZ1829" s="1">
        <v>12.8</v>
      </c>
      <c r="BA1829" s="1">
        <v>23.8</v>
      </c>
      <c r="BB1829" s="1">
        <v>3.34</v>
      </c>
      <c r="BC1829" s="1" t="s">
        <v>3075</v>
      </c>
      <c r="BD1829" s="1">
        <v>9.2</v>
      </c>
      <c r="BE1829" s="1">
        <v>36.7</v>
      </c>
      <c r="BF1829" s="1">
        <v>33.3</v>
      </c>
      <c r="BG1829" s="1">
        <v>20.9</v>
      </c>
      <c r="BH1829" s="1" t="s">
        <v>3077</v>
      </c>
    </row>
    <row r="1830">
      <c r="A1830" s="1">
        <v>36005.0</v>
      </c>
      <c r="B1830" s="2" t="str">
        <f>IFERROR(__xludf.DUMMYFUNCTION("TO_TEXT(A1830)"),"36005")</f>
        <v>36005</v>
      </c>
      <c r="C1830" s="1">
        <v>1436785.0</v>
      </c>
      <c r="D1830" s="1">
        <v>42.050624033422</v>
      </c>
      <c r="E1830" s="1" t="s">
        <v>3078</v>
      </c>
      <c r="F1830" s="1" t="s">
        <v>3079</v>
      </c>
      <c r="G1830" s="1">
        <v>34167.9828308383</v>
      </c>
      <c r="H1830" s="1">
        <v>26.79894691</v>
      </c>
      <c r="I1830" s="1">
        <v>4.08780786</v>
      </c>
      <c r="J1830" s="1">
        <v>9.4522077483</v>
      </c>
      <c r="K1830" s="1">
        <v>15.921168722</v>
      </c>
      <c r="L1830" s="1">
        <v>29.0</v>
      </c>
      <c r="M1830" s="1">
        <v>7.7</v>
      </c>
      <c r="N1830" s="1">
        <v>31.3</v>
      </c>
      <c r="O1830" s="1">
        <v>100.0</v>
      </c>
      <c r="P1830" s="1">
        <v>8.90274368419999</v>
      </c>
      <c r="Q1830" s="1">
        <v>56.55401</v>
      </c>
      <c r="R1830" s="1">
        <v>67.511864407</v>
      </c>
      <c r="S1830" s="1">
        <v>37.6</v>
      </c>
      <c r="T1830" s="1">
        <v>354082.0</v>
      </c>
      <c r="U1830" s="1">
        <v>60.170525472</v>
      </c>
      <c r="V1830" s="1">
        <v>586.05761611</v>
      </c>
      <c r="W1830" s="1">
        <v>38.922851204</v>
      </c>
      <c r="X1830" s="1">
        <v>30.858087524</v>
      </c>
      <c r="Y1830" s="1">
        <v>80.559175377</v>
      </c>
      <c r="Z1830" s="1">
        <v>12.5</v>
      </c>
      <c r="AA1830" s="1">
        <v>9.19861E-4</v>
      </c>
      <c r="AB1830" s="1">
        <v>38566.0</v>
      </c>
      <c r="AC1830" s="1">
        <v>86.602546857</v>
      </c>
      <c r="AD1830" s="1">
        <v>19.607266353</v>
      </c>
      <c r="AE1830" s="1">
        <v>31.661797237</v>
      </c>
      <c r="AF1830" s="1">
        <v>29.222585628</v>
      </c>
      <c r="AG1830" s="1">
        <v>2.9135582474</v>
      </c>
      <c r="AH1830" s="1">
        <v>4.5000740155</v>
      </c>
      <c r="AI1830" s="1">
        <v>0.4147662366</v>
      </c>
      <c r="AJ1830" s="1">
        <v>56.365474691</v>
      </c>
      <c r="AK1830" s="1">
        <v>9.130722587</v>
      </c>
      <c r="AL1830" s="1">
        <v>15.8366678209999</v>
      </c>
      <c r="AM1830" s="1">
        <v>52.8744557069999</v>
      </c>
      <c r="AN1830" s="1">
        <v>0.0028156649</v>
      </c>
      <c r="AO1830" s="1">
        <v>18896.0</v>
      </c>
      <c r="AP1830" s="1">
        <v>30.5</v>
      </c>
      <c r="AQ1830" s="1">
        <v>12.7</v>
      </c>
      <c r="AR1830" s="1">
        <v>28.8</v>
      </c>
      <c r="AS1830" s="1">
        <v>11.3</v>
      </c>
      <c r="AT1830" s="1">
        <v>25.6</v>
      </c>
      <c r="AU1830" s="1">
        <v>13.8</v>
      </c>
      <c r="AV1830" s="1">
        <v>90.4</v>
      </c>
      <c r="AW1830" s="1">
        <v>15.9</v>
      </c>
      <c r="AX1830" s="1">
        <v>0.9904</v>
      </c>
      <c r="AY1830" s="1">
        <v>26.2</v>
      </c>
      <c r="AZ1830" s="1">
        <v>17.5</v>
      </c>
      <c r="BA1830" s="1">
        <v>23.5</v>
      </c>
      <c r="BB1830" s="1">
        <v>3.36</v>
      </c>
      <c r="BC1830" s="1" t="s">
        <v>3075</v>
      </c>
      <c r="BD1830" s="1">
        <v>27.2</v>
      </c>
      <c r="BE1830" s="1">
        <v>27.9</v>
      </c>
      <c r="BF1830" s="1">
        <v>24.8</v>
      </c>
      <c r="BG1830" s="1">
        <v>20.1</v>
      </c>
      <c r="BH1830" s="1" t="s">
        <v>3079</v>
      </c>
    </row>
    <row r="1831">
      <c r="A1831" s="1">
        <v>36007.0</v>
      </c>
      <c r="B1831" s="2" t="str">
        <f>IFERROR(__xludf.DUMMYFUNCTION("TO_TEXT(A1831)"),"36007")</f>
        <v>36007</v>
      </c>
      <c r="C1831" s="1">
        <v>197381.0</v>
      </c>
      <c r="D1831" s="1">
        <v>705.789506172359</v>
      </c>
      <c r="E1831" s="1" t="s">
        <v>3080</v>
      </c>
      <c r="F1831" s="1" t="s">
        <v>3081</v>
      </c>
      <c r="G1831" s="1">
        <v>279.65986781305</v>
      </c>
      <c r="H1831" s="1">
        <v>15.929984942</v>
      </c>
      <c r="I1831" s="1">
        <v>4.0637240207</v>
      </c>
      <c r="J1831" s="1">
        <v>7.697228145</v>
      </c>
      <c r="K1831" s="1">
        <v>15.514051434</v>
      </c>
      <c r="L1831" s="1">
        <v>28.0</v>
      </c>
      <c r="M1831" s="1">
        <v>8.0</v>
      </c>
      <c r="N1831" s="1">
        <v>23.0</v>
      </c>
      <c r="O1831" s="1">
        <v>89.484047856</v>
      </c>
      <c r="P1831" s="1">
        <v>5.3378301362</v>
      </c>
      <c r="Q1831" s="1">
        <v>82.11156</v>
      </c>
      <c r="R1831" s="1">
        <v>82.947845805</v>
      </c>
      <c r="S1831" s="1">
        <v>23.9</v>
      </c>
      <c r="T1831" s="1">
        <v>37147.0</v>
      </c>
      <c r="U1831" s="1">
        <v>36.159043799</v>
      </c>
      <c r="V1831" s="1">
        <v>314.95458616</v>
      </c>
      <c r="W1831" s="1">
        <v>15.551181102</v>
      </c>
      <c r="X1831" s="1">
        <v>14.404432133</v>
      </c>
      <c r="Y1831" s="1">
        <v>78.673505459</v>
      </c>
      <c r="Z1831" s="1">
        <v>10.6</v>
      </c>
      <c r="AA1831" s="1">
        <v>3.2406715699</v>
      </c>
      <c r="AB1831" s="1">
        <v>50928.0</v>
      </c>
      <c r="AC1831" s="1">
        <v>54.397057133</v>
      </c>
      <c r="AD1831" s="1">
        <v>65.306511947</v>
      </c>
      <c r="AE1831" s="1">
        <v>15.237181929</v>
      </c>
      <c r="AF1831" s="1">
        <v>5.4696100888</v>
      </c>
      <c r="AG1831" s="1">
        <v>0.2681846404</v>
      </c>
      <c r="AH1831" s="1">
        <v>4.4271336071</v>
      </c>
      <c r="AI1831" s="1">
        <v>0.0667852801</v>
      </c>
      <c r="AJ1831" s="1">
        <v>4.3415649669</v>
      </c>
      <c r="AK1831" s="1">
        <v>82.996885093</v>
      </c>
      <c r="AL1831" s="1">
        <v>1.3561125497</v>
      </c>
      <c r="AM1831" s="1">
        <v>50.829337521</v>
      </c>
      <c r="AN1831" s="1">
        <v>26.056829511</v>
      </c>
      <c r="AO1831" s="1">
        <v>25880.0</v>
      </c>
      <c r="AP1831" s="1">
        <v>17.4</v>
      </c>
      <c r="AQ1831" s="1">
        <v>7.4</v>
      </c>
      <c r="AR1831" s="1">
        <v>9.8</v>
      </c>
      <c r="AS1831" s="1">
        <v>17.6</v>
      </c>
      <c r="AT1831" s="1">
        <v>19.7</v>
      </c>
      <c r="AU1831" s="1">
        <v>15.1</v>
      </c>
      <c r="AV1831" s="1">
        <v>15.5</v>
      </c>
      <c r="AW1831" s="1">
        <v>1.2</v>
      </c>
      <c r="AX1831" s="1">
        <v>0.5689</v>
      </c>
      <c r="AY1831" s="1">
        <v>17.8</v>
      </c>
      <c r="AZ1831" s="1">
        <v>12.7</v>
      </c>
      <c r="BA1831" s="1">
        <v>21.3</v>
      </c>
      <c r="BB1831" s="1">
        <v>3.11</v>
      </c>
      <c r="BC1831" s="1" t="s">
        <v>3075</v>
      </c>
      <c r="BD1831" s="1">
        <v>9.3</v>
      </c>
      <c r="BE1831" s="1">
        <v>31.5</v>
      </c>
      <c r="BF1831" s="1">
        <v>30.8</v>
      </c>
      <c r="BG1831" s="1">
        <v>28.4</v>
      </c>
      <c r="BH1831" s="1" t="s">
        <v>3081</v>
      </c>
    </row>
    <row r="1832">
      <c r="A1832" s="1">
        <v>36009.0</v>
      </c>
      <c r="B1832" s="2" t="str">
        <f>IFERROR(__xludf.DUMMYFUNCTION("TO_TEXT(A1832)"),"36009")</f>
        <v>36009</v>
      </c>
      <c r="C1832" s="1">
        <v>78506.0</v>
      </c>
      <c r="D1832" s="1">
        <v>1308.35954652622</v>
      </c>
      <c r="E1832" s="1" t="s">
        <v>3082</v>
      </c>
      <c r="F1832" s="1" t="s">
        <v>3083</v>
      </c>
      <c r="G1832" s="1">
        <v>60.0033837857785</v>
      </c>
      <c r="H1832" s="1">
        <v>16.370699866</v>
      </c>
      <c r="I1832" s="1">
        <v>4.4583873217</v>
      </c>
      <c r="J1832" s="1">
        <v>8.0166485704</v>
      </c>
      <c r="K1832" s="1">
        <v>16.754360363</v>
      </c>
      <c r="L1832" s="1">
        <v>37.6</v>
      </c>
      <c r="M1832" s="1">
        <v>8.1</v>
      </c>
      <c r="N1832" s="1">
        <v>26.6</v>
      </c>
      <c r="O1832" s="1">
        <v>63.128602911</v>
      </c>
      <c r="P1832" s="1">
        <v>6.4828015666</v>
      </c>
      <c r="Q1832" s="1">
        <v>46.5429</v>
      </c>
      <c r="R1832" s="1">
        <v>85.014409222</v>
      </c>
      <c r="S1832" s="1">
        <v>24.4</v>
      </c>
      <c r="T1832" s="1">
        <v>17048.0</v>
      </c>
      <c r="U1832" s="1">
        <v>35.834115439</v>
      </c>
      <c r="V1832" s="1">
        <v>197.20040087</v>
      </c>
      <c r="W1832" s="1">
        <v>14.555555556</v>
      </c>
      <c r="X1832" s="1">
        <v>11.558109834</v>
      </c>
      <c r="Y1832" s="1">
        <v>77.848798956</v>
      </c>
      <c r="Z1832" s="1">
        <v>13.3</v>
      </c>
      <c r="AA1832" s="1">
        <v>2.5839365013</v>
      </c>
      <c r="AB1832" s="1">
        <v>48017.0</v>
      </c>
      <c r="AC1832" s="1">
        <v>50.8432380339999</v>
      </c>
      <c r="AD1832" s="1">
        <v>71.4472051669999</v>
      </c>
      <c r="AE1832" s="1">
        <v>12.152538479</v>
      </c>
      <c r="AF1832" s="1">
        <v>1.3781884435</v>
      </c>
      <c r="AG1832" s="1">
        <v>3.547631442</v>
      </c>
      <c r="AH1832" s="1">
        <v>0.871941697</v>
      </c>
      <c r="AI1832" s="1">
        <v>0.03774076</v>
      </c>
      <c r="AJ1832" s="1">
        <v>2.1238938053</v>
      </c>
      <c r="AK1832" s="1">
        <v>90.393024466</v>
      </c>
      <c r="AL1832" s="1">
        <v>0.7631816072</v>
      </c>
      <c r="AM1832" s="1">
        <v>50.353982301</v>
      </c>
      <c r="AN1832" s="1">
        <v>61.752804512</v>
      </c>
      <c r="AO1832" s="1">
        <v>22832.0</v>
      </c>
      <c r="AP1832" s="1">
        <v>17.5</v>
      </c>
      <c r="AQ1832" s="1">
        <v>7.5</v>
      </c>
      <c r="AR1832" s="1">
        <v>11.8</v>
      </c>
      <c r="AS1832" s="1">
        <v>17.1</v>
      </c>
      <c r="AT1832" s="1">
        <v>22.8</v>
      </c>
      <c r="AU1832" s="1">
        <v>15.1</v>
      </c>
      <c r="AV1832" s="1">
        <v>8.9</v>
      </c>
      <c r="AW1832" s="1">
        <v>1.0</v>
      </c>
      <c r="AX1832" s="1">
        <v>0.7106</v>
      </c>
      <c r="AY1832" s="1">
        <v>14.7</v>
      </c>
      <c r="AZ1832" s="1">
        <v>12.8</v>
      </c>
      <c r="BA1832" s="1">
        <v>22.2</v>
      </c>
      <c r="BB1832" s="1">
        <v>2.87</v>
      </c>
      <c r="BC1832" s="1" t="s">
        <v>3075</v>
      </c>
      <c r="BD1832" s="1">
        <v>11.2</v>
      </c>
      <c r="BE1832" s="1">
        <v>39.2</v>
      </c>
      <c r="BF1832" s="1">
        <v>30.6</v>
      </c>
      <c r="BG1832" s="1">
        <v>19.1</v>
      </c>
      <c r="BH1832" s="1" t="s">
        <v>3083</v>
      </c>
    </row>
    <row r="1833">
      <c r="A1833" s="1">
        <v>36011.0</v>
      </c>
      <c r="B1833" s="2" t="str">
        <f>IFERROR(__xludf.DUMMYFUNCTION("TO_TEXT(A1833)"),"36011")</f>
        <v>36011</v>
      </c>
      <c r="C1833" s="1">
        <v>78783.0</v>
      </c>
      <c r="D1833" s="1">
        <v>691.582235975408</v>
      </c>
      <c r="E1833" s="1" t="s">
        <v>3084</v>
      </c>
      <c r="F1833" s="1" t="s">
        <v>3085</v>
      </c>
      <c r="G1833" s="1">
        <v>113.917038208601</v>
      </c>
      <c r="H1833" s="1">
        <v>14.158372297</v>
      </c>
      <c r="I1833" s="1">
        <v>4.0237946331</v>
      </c>
      <c r="J1833" s="1">
        <v>6.46690688409999</v>
      </c>
      <c r="K1833" s="1">
        <v>15.717610642</v>
      </c>
      <c r="L1833" s="1">
        <v>34.1</v>
      </c>
      <c r="M1833" s="1">
        <v>8.6</v>
      </c>
      <c r="N1833" s="1">
        <v>24.6</v>
      </c>
      <c r="O1833" s="1">
        <v>79.63037013</v>
      </c>
      <c r="P1833" s="1">
        <v>5.0618108921</v>
      </c>
      <c r="Q1833" s="1">
        <v>27.06081</v>
      </c>
      <c r="R1833" s="1">
        <v>83.070866142</v>
      </c>
      <c r="S1833" s="1">
        <v>17.6</v>
      </c>
      <c r="T1833" s="1">
        <v>15185.0</v>
      </c>
      <c r="U1833" s="1">
        <v>38.985841291</v>
      </c>
      <c r="V1833" s="1">
        <v>241.44125779</v>
      </c>
      <c r="W1833" s="1">
        <v>12.387242268</v>
      </c>
      <c r="X1833" s="1">
        <v>11.035044825</v>
      </c>
      <c r="Y1833" s="1">
        <v>79.440231197</v>
      </c>
      <c r="Z1833" s="1">
        <v>12.4</v>
      </c>
      <c r="AA1833" s="1">
        <v>1.6861754579</v>
      </c>
      <c r="AB1833" s="1">
        <v>52945.0</v>
      </c>
      <c r="AC1833" s="1">
        <v>46.415919983</v>
      </c>
      <c r="AD1833" s="1">
        <v>71.002527919</v>
      </c>
      <c r="AE1833" s="1">
        <v>12.009093305</v>
      </c>
      <c r="AF1833" s="1">
        <v>3.9652602243</v>
      </c>
      <c r="AG1833" s="1">
        <v>0.4666537041</v>
      </c>
      <c r="AH1833" s="1">
        <v>0.6468338842</v>
      </c>
      <c r="AI1833" s="1">
        <v>0.0687017953</v>
      </c>
      <c r="AJ1833" s="1">
        <v>3.0436191587</v>
      </c>
      <c r="AK1833" s="1">
        <v>90.030462117</v>
      </c>
      <c r="AL1833" s="1">
        <v>0.4815170492</v>
      </c>
      <c r="AM1833" s="1">
        <v>48.769200856</v>
      </c>
      <c r="AN1833" s="1">
        <v>55.781870892</v>
      </c>
      <c r="AO1833" s="1">
        <v>26596.0</v>
      </c>
      <c r="AP1833" s="1">
        <v>11.4</v>
      </c>
      <c r="AQ1833" s="1">
        <v>6.9</v>
      </c>
      <c r="AR1833" s="1">
        <v>12.4</v>
      </c>
      <c r="AS1833" s="1">
        <v>16.9</v>
      </c>
      <c r="AT1833" s="1">
        <v>20.5</v>
      </c>
      <c r="AU1833" s="1">
        <v>13.7</v>
      </c>
      <c r="AV1833" s="1">
        <v>9.4</v>
      </c>
      <c r="AW1833" s="1">
        <v>0.5</v>
      </c>
      <c r="AX1833" s="1">
        <v>0.4588</v>
      </c>
      <c r="AY1833" s="1">
        <v>13.8</v>
      </c>
      <c r="AZ1833" s="1">
        <v>10.7</v>
      </c>
      <c r="BA1833" s="1">
        <v>19.0</v>
      </c>
      <c r="BB1833" s="1">
        <v>3.03</v>
      </c>
      <c r="BC1833" s="1" t="s">
        <v>3075</v>
      </c>
      <c r="BD1833" s="1">
        <v>12.2</v>
      </c>
      <c r="BE1833" s="1">
        <v>33.3</v>
      </c>
      <c r="BF1833" s="1">
        <v>31.9</v>
      </c>
      <c r="BG1833" s="1">
        <v>22.6</v>
      </c>
      <c r="BH1833" s="1" t="s">
        <v>3085</v>
      </c>
    </row>
    <row r="1834">
      <c r="A1834" s="1">
        <v>36013.0</v>
      </c>
      <c r="B1834" s="2" t="str">
        <f>IFERROR(__xludf.DUMMYFUNCTION("TO_TEXT(A1834)"),"36013")</f>
        <v>36013</v>
      </c>
      <c r="C1834" s="1">
        <v>131748.0</v>
      </c>
      <c r="D1834" s="1">
        <v>1060.22602516255</v>
      </c>
      <c r="E1834" s="1" t="s">
        <v>1603</v>
      </c>
      <c r="F1834" s="1" t="s">
        <v>3086</v>
      </c>
      <c r="G1834" s="1">
        <v>124.26406905056</v>
      </c>
      <c r="H1834" s="1">
        <v>18.017901402</v>
      </c>
      <c r="I1834" s="1">
        <v>4.4638806388</v>
      </c>
      <c r="J1834" s="1">
        <v>7.4889403834</v>
      </c>
      <c r="K1834" s="1">
        <v>17.108594687</v>
      </c>
      <c r="L1834" s="1">
        <v>33.4</v>
      </c>
      <c r="M1834" s="1">
        <v>7.8</v>
      </c>
      <c r="N1834" s="1">
        <v>27.5</v>
      </c>
      <c r="O1834" s="1">
        <v>79.988881064</v>
      </c>
      <c r="P1834" s="1">
        <v>5.2759920195</v>
      </c>
      <c r="Q1834" s="1">
        <v>53.46931</v>
      </c>
      <c r="R1834" s="1">
        <v>83.497698882</v>
      </c>
      <c r="S1834" s="1">
        <v>27.0</v>
      </c>
      <c r="T1834" s="1">
        <v>26374.0</v>
      </c>
      <c r="U1834" s="1">
        <v>37.245014029</v>
      </c>
      <c r="V1834" s="1">
        <v>271.38336813</v>
      </c>
      <c r="W1834" s="1">
        <v>15.895295903</v>
      </c>
      <c r="X1834" s="1">
        <v>13.689849804</v>
      </c>
      <c r="Y1834" s="1">
        <v>77.34508697</v>
      </c>
      <c r="Z1834" s="1">
        <v>12.1</v>
      </c>
      <c r="AA1834" s="1">
        <v>6.7504729865</v>
      </c>
      <c r="AB1834" s="1">
        <v>45689.0</v>
      </c>
      <c r="AC1834" s="1">
        <v>52.614552397</v>
      </c>
      <c r="AD1834" s="1">
        <v>70.003043445</v>
      </c>
      <c r="AE1834" s="1">
        <v>13.871915394</v>
      </c>
      <c r="AF1834" s="1">
        <v>2.138519138</v>
      </c>
      <c r="AG1834" s="1">
        <v>0.712839712699999</v>
      </c>
      <c r="AH1834" s="1">
        <v>0.6807931905</v>
      </c>
      <c r="AI1834" s="1">
        <v>0.052368707</v>
      </c>
      <c r="AJ1834" s="1">
        <v>7.8201330321</v>
      </c>
      <c r="AK1834" s="1">
        <v>87.1212062</v>
      </c>
      <c r="AL1834" s="1">
        <v>1.3677067872</v>
      </c>
      <c r="AM1834" s="1">
        <v>50.628815295</v>
      </c>
      <c r="AN1834" s="1">
        <v>43.8627182089999</v>
      </c>
      <c r="AO1834" s="1">
        <v>23249.0</v>
      </c>
      <c r="AP1834" s="1">
        <v>19.4</v>
      </c>
      <c r="AQ1834" s="1">
        <v>7.9</v>
      </c>
      <c r="AR1834" s="1">
        <v>11.8</v>
      </c>
      <c r="AS1834" s="1">
        <v>18.0</v>
      </c>
      <c r="AT1834" s="1">
        <v>20.9</v>
      </c>
      <c r="AU1834" s="1">
        <v>15.4</v>
      </c>
      <c r="AV1834" s="1">
        <v>12.0</v>
      </c>
      <c r="AW1834" s="1">
        <v>1.3</v>
      </c>
      <c r="AX1834" s="1">
        <v>0.6893</v>
      </c>
      <c r="AY1834" s="1">
        <v>16.3</v>
      </c>
      <c r="AZ1834" s="1">
        <v>13.0</v>
      </c>
      <c r="BA1834" s="1">
        <v>23.0</v>
      </c>
      <c r="BB1834" s="1">
        <v>2.94</v>
      </c>
      <c r="BC1834" s="1" t="s">
        <v>3075</v>
      </c>
      <c r="BD1834" s="1">
        <v>11.2</v>
      </c>
      <c r="BE1834" s="1">
        <v>35.5</v>
      </c>
      <c r="BF1834" s="1">
        <v>31.1</v>
      </c>
      <c r="BG1834" s="1">
        <v>22.2</v>
      </c>
      <c r="BH1834" s="1" t="s">
        <v>3086</v>
      </c>
    </row>
    <row r="1835">
      <c r="A1835" s="1">
        <v>36015.0</v>
      </c>
      <c r="B1835" s="2" t="str">
        <f>IFERROR(__xludf.DUMMYFUNCTION("TO_TEXT(A1835)"),"36015")</f>
        <v>36015</v>
      </c>
      <c r="C1835" s="1">
        <v>87742.0</v>
      </c>
      <c r="D1835" s="1">
        <v>407.352530139586</v>
      </c>
      <c r="E1835" s="1" t="s">
        <v>3087</v>
      </c>
      <c r="F1835" s="1" t="s">
        <v>3088</v>
      </c>
      <c r="G1835" s="1">
        <v>215.395740809401</v>
      </c>
      <c r="H1835" s="1">
        <v>14.74862208</v>
      </c>
      <c r="I1835" s="1">
        <v>4.1240021472</v>
      </c>
      <c r="J1835" s="1">
        <v>7.223476298</v>
      </c>
      <c r="K1835" s="1">
        <v>16.802148251</v>
      </c>
      <c r="L1835" s="1">
        <v>36.0</v>
      </c>
      <c r="M1835" s="1">
        <v>7.8</v>
      </c>
      <c r="N1835" s="1">
        <v>28.2</v>
      </c>
      <c r="O1835" s="1">
        <v>82.590341101</v>
      </c>
      <c r="P1835" s="1">
        <v>4.1758673886</v>
      </c>
      <c r="Q1835" s="1">
        <v>75.97274</v>
      </c>
      <c r="R1835" s="1">
        <v>75.774336283</v>
      </c>
      <c r="S1835" s="1">
        <v>20.0</v>
      </c>
      <c r="T1835" s="1">
        <v>18294.0</v>
      </c>
      <c r="U1835" s="1">
        <v>37.520498524</v>
      </c>
      <c r="V1835" s="1">
        <v>192.94740036</v>
      </c>
      <c r="W1835" s="1">
        <v>13.960154794</v>
      </c>
      <c r="X1835" s="1">
        <v>12.776484284</v>
      </c>
      <c r="Y1835" s="1">
        <v>77.171017363</v>
      </c>
      <c r="Z1835" s="1">
        <v>11.9</v>
      </c>
      <c r="AA1835" s="1">
        <v>5.7984371079</v>
      </c>
      <c r="AB1835" s="1">
        <v>52565.0</v>
      </c>
      <c r="AC1835" s="1">
        <v>49.5882352939999</v>
      </c>
      <c r="AD1835" s="1">
        <v>67.928315829</v>
      </c>
      <c r="AE1835" s="1">
        <v>12.274841942</v>
      </c>
      <c r="AF1835" s="1">
        <v>6.025826667</v>
      </c>
      <c r="AG1835" s="1">
        <v>0.3489448572</v>
      </c>
      <c r="AH1835" s="1">
        <v>1.49547795949999</v>
      </c>
      <c r="AI1835" s="1">
        <v>0.0356066181</v>
      </c>
      <c r="AJ1835" s="1">
        <v>3.1844185439</v>
      </c>
      <c r="AK1835" s="1">
        <v>86.182258409</v>
      </c>
      <c r="AL1835" s="1">
        <v>0.2938077233</v>
      </c>
      <c r="AM1835" s="1">
        <v>50.328767774</v>
      </c>
      <c r="AN1835" s="1">
        <v>24.178768434</v>
      </c>
      <c r="AO1835" s="1">
        <v>26196.0</v>
      </c>
      <c r="AP1835" s="1">
        <v>15.9</v>
      </c>
      <c r="AQ1835" s="1">
        <v>5.6</v>
      </c>
      <c r="AR1835" s="1">
        <v>9.8</v>
      </c>
      <c r="AS1835" s="1">
        <v>16.8</v>
      </c>
      <c r="AT1835" s="1">
        <v>21.9</v>
      </c>
      <c r="AU1835" s="1">
        <v>14.0</v>
      </c>
      <c r="AV1835" s="1">
        <v>13.4</v>
      </c>
      <c r="AW1835" s="1">
        <v>0.3</v>
      </c>
      <c r="AX1835" s="1">
        <v>0.426</v>
      </c>
      <c r="AY1835" s="1">
        <v>14.1</v>
      </c>
      <c r="AZ1835" s="1">
        <v>12.1</v>
      </c>
      <c r="BA1835" s="1">
        <v>20.7</v>
      </c>
      <c r="BB1835" s="1">
        <v>2.83</v>
      </c>
      <c r="BC1835" s="1" t="s">
        <v>3075</v>
      </c>
      <c r="BD1835" s="1">
        <v>9.7</v>
      </c>
      <c r="BE1835" s="1">
        <v>35.3</v>
      </c>
      <c r="BF1835" s="1">
        <v>31.7</v>
      </c>
      <c r="BG1835" s="1">
        <v>23.3</v>
      </c>
      <c r="BH1835" s="1" t="s">
        <v>3088</v>
      </c>
    </row>
    <row r="1836">
      <c r="A1836" s="1">
        <v>36017.0</v>
      </c>
      <c r="B1836" s="2" t="str">
        <f>IFERROR(__xludf.DUMMYFUNCTION("TO_TEXT(A1836)"),"36017")</f>
        <v>36017</v>
      </c>
      <c r="C1836" s="1">
        <v>49286.0</v>
      </c>
      <c r="D1836" s="1">
        <v>893.586103514068</v>
      </c>
      <c r="E1836" s="1" t="s">
        <v>3089</v>
      </c>
      <c r="F1836" s="1" t="s">
        <v>3090</v>
      </c>
      <c r="G1836" s="1">
        <v>55.1552892398176</v>
      </c>
      <c r="H1836" s="1">
        <v>14.735076655</v>
      </c>
      <c r="I1836" s="1">
        <v>4.369675046</v>
      </c>
      <c r="J1836" s="1">
        <v>6.4004531294</v>
      </c>
      <c r="K1836" s="1">
        <v>16.2539680059999</v>
      </c>
      <c r="L1836" s="1">
        <v>38.8</v>
      </c>
      <c r="M1836" s="1">
        <v>8.5</v>
      </c>
      <c r="N1836" s="1">
        <v>24.2</v>
      </c>
      <c r="O1836" s="1">
        <v>74.178338649</v>
      </c>
      <c r="P1836" s="1">
        <v>5.0943495678</v>
      </c>
      <c r="Q1836" s="1">
        <v>37.60734</v>
      </c>
      <c r="R1836" s="1">
        <v>85.273972603</v>
      </c>
      <c r="S1836" s="1">
        <v>22.3</v>
      </c>
      <c r="T1836" s="1">
        <v>9987.0</v>
      </c>
      <c r="U1836" s="1">
        <v>36.928006408</v>
      </c>
      <c r="V1836" s="1">
        <v>183.39412319</v>
      </c>
      <c r="W1836" s="1">
        <v>14.040836904</v>
      </c>
      <c r="X1836" s="1">
        <v>11.261444557</v>
      </c>
      <c r="Y1836" s="1">
        <v>77.2995429389999</v>
      </c>
      <c r="Z1836" s="1">
        <v>13.3</v>
      </c>
      <c r="AA1836" s="1">
        <v>1.6152908549</v>
      </c>
      <c r="AB1836" s="1">
        <v>50312.0</v>
      </c>
      <c r="AC1836" s="1">
        <v>55.511914114</v>
      </c>
      <c r="AD1836" s="1">
        <v>74.5537446639999</v>
      </c>
      <c r="AE1836" s="1">
        <v>10.830035566</v>
      </c>
      <c r="AF1836" s="1">
        <v>0.8919555705</v>
      </c>
      <c r="AG1836" s="1">
        <v>0.4165264221</v>
      </c>
      <c r="AH1836" s="1">
        <v>0.6500336587</v>
      </c>
      <c r="AI1836" s="1">
        <v>0.0168293504</v>
      </c>
      <c r="AJ1836" s="1">
        <v>2.2340962639</v>
      </c>
      <c r="AK1836" s="1">
        <v>94.570430831</v>
      </c>
      <c r="AL1836" s="1">
        <v>0.518010141599999</v>
      </c>
      <c r="AM1836" s="1">
        <v>49.903231235</v>
      </c>
      <c r="AN1836" s="1">
        <v>83.412247162</v>
      </c>
      <c r="AO1836" s="1">
        <v>23805.0</v>
      </c>
      <c r="AP1836" s="1">
        <v>15.4</v>
      </c>
      <c r="AQ1836" s="1">
        <v>7.0</v>
      </c>
      <c r="AR1836" s="1">
        <v>13.1</v>
      </c>
      <c r="AS1836" s="1">
        <v>18.8</v>
      </c>
      <c r="AT1836" s="1">
        <v>21.4</v>
      </c>
      <c r="AU1836" s="1">
        <v>18.3</v>
      </c>
      <c r="AV1836" s="1">
        <v>5.0</v>
      </c>
      <c r="AW1836" s="1">
        <v>0.5</v>
      </c>
      <c r="AX1836" s="1">
        <v>0.5304</v>
      </c>
      <c r="AY1836" s="1">
        <v>13.7</v>
      </c>
      <c r="AZ1836" s="1">
        <v>12.4</v>
      </c>
      <c r="BA1836" s="1">
        <v>21.5</v>
      </c>
      <c r="BB1836" s="1">
        <v>2.75</v>
      </c>
      <c r="BC1836" s="1" t="s">
        <v>3075</v>
      </c>
      <c r="BD1836" s="1">
        <v>11.9</v>
      </c>
      <c r="BE1836" s="1">
        <v>39.0</v>
      </c>
      <c r="BF1836" s="1">
        <v>30.5</v>
      </c>
      <c r="BG1836" s="1">
        <v>18.7</v>
      </c>
      <c r="BH1836" s="1" t="s">
        <v>3090</v>
      </c>
    </row>
    <row r="1837">
      <c r="A1837" s="1">
        <v>36019.0</v>
      </c>
      <c r="B1837" s="2" t="str">
        <f>IFERROR(__xludf.DUMMYFUNCTION("TO_TEXT(A1837)"),"36019")</f>
        <v>36019</v>
      </c>
      <c r="C1837" s="1">
        <v>81505.0</v>
      </c>
      <c r="D1837" s="1">
        <v>1037.752214234</v>
      </c>
      <c r="E1837" s="1" t="s">
        <v>1172</v>
      </c>
      <c r="F1837" s="1" t="s">
        <v>3091</v>
      </c>
      <c r="G1837" s="1">
        <v>78.5399432369909</v>
      </c>
      <c r="H1837" s="1">
        <v>14.7672658209999</v>
      </c>
      <c r="I1837" s="1">
        <v>4.1679236624</v>
      </c>
      <c r="J1837" s="1">
        <v>7.4191739862</v>
      </c>
      <c r="K1837" s="1">
        <v>16.753447369</v>
      </c>
      <c r="L1837" s="1">
        <v>35.3</v>
      </c>
      <c r="M1837" s="1">
        <v>7.6</v>
      </c>
      <c r="N1837" s="1">
        <v>26.5</v>
      </c>
      <c r="O1837" s="1">
        <v>74.286479642</v>
      </c>
      <c r="P1837" s="1">
        <v>5.3857801078</v>
      </c>
      <c r="Q1837" s="1">
        <v>69.15288</v>
      </c>
      <c r="R1837" s="1">
        <v>87.066974596</v>
      </c>
      <c r="S1837" s="1">
        <v>16.9</v>
      </c>
      <c r="T1837" s="1">
        <v>14159.0</v>
      </c>
      <c r="U1837" s="1">
        <v>35.0448477999999</v>
      </c>
      <c r="V1837" s="1">
        <v>157.25500595</v>
      </c>
      <c r="W1837" s="1">
        <v>14.344391785</v>
      </c>
      <c r="X1837" s="1">
        <v>12.890812891</v>
      </c>
      <c r="Y1837" s="1">
        <v>79.447253971</v>
      </c>
      <c r="Z1837" s="1">
        <v>11.5</v>
      </c>
      <c r="AA1837" s="1">
        <v>9.9285943145</v>
      </c>
      <c r="AB1837" s="1">
        <v>55517.0</v>
      </c>
      <c r="AC1837" s="1">
        <v>44.294003868</v>
      </c>
      <c r="AD1837" s="1">
        <v>67.730530339</v>
      </c>
      <c r="AE1837" s="1">
        <v>12.763985435</v>
      </c>
      <c r="AF1837" s="1">
        <v>4.0448602763</v>
      </c>
      <c r="AG1837" s="1">
        <v>0.4077080364</v>
      </c>
      <c r="AH1837" s="1">
        <v>1.4585785984</v>
      </c>
      <c r="AI1837" s="1">
        <v>0.0421339612</v>
      </c>
      <c r="AJ1837" s="1">
        <v>2.9766404362</v>
      </c>
      <c r="AK1837" s="1">
        <v>89.807299089</v>
      </c>
      <c r="AL1837" s="1">
        <v>0.684459134099999</v>
      </c>
      <c r="AM1837" s="1">
        <v>48.538323316</v>
      </c>
      <c r="AN1837" s="1">
        <v>64.155951685</v>
      </c>
      <c r="AO1837" s="1">
        <v>25024.0</v>
      </c>
      <c r="AP1837" s="1">
        <v>16.1</v>
      </c>
      <c r="AQ1837" s="1">
        <v>6.6</v>
      </c>
      <c r="AR1837" s="1">
        <v>13.6</v>
      </c>
      <c r="AS1837" s="1">
        <v>15.1</v>
      </c>
      <c r="AT1837" s="1">
        <v>18.3</v>
      </c>
      <c r="AU1837" s="1">
        <v>15.5</v>
      </c>
      <c r="AV1837" s="1">
        <v>9.9</v>
      </c>
      <c r="AW1837" s="1">
        <v>0.7</v>
      </c>
      <c r="AX1837" s="1">
        <v>0.5753</v>
      </c>
      <c r="AY1837" s="1">
        <v>14.8</v>
      </c>
      <c r="AZ1837" s="1">
        <v>11.9</v>
      </c>
      <c r="BA1837" s="1">
        <v>20.2</v>
      </c>
      <c r="BB1837" s="1">
        <v>3.16</v>
      </c>
      <c r="BC1837" s="1" t="s">
        <v>3075</v>
      </c>
      <c r="BD1837" s="1">
        <v>12.4</v>
      </c>
      <c r="BE1837" s="1">
        <v>37.7</v>
      </c>
      <c r="BF1837" s="1">
        <v>27.1</v>
      </c>
      <c r="BG1837" s="1">
        <v>22.9</v>
      </c>
      <c r="BH1837" s="1" t="s">
        <v>3091</v>
      </c>
    </row>
    <row r="1838">
      <c r="A1838" s="1">
        <v>36021.0</v>
      </c>
      <c r="B1838" s="2" t="str">
        <f>IFERROR(__xludf.DUMMYFUNCTION("TO_TEXT(A1838)"),"36021")</f>
        <v>36021</v>
      </c>
      <c r="C1838" s="1">
        <v>61860.0</v>
      </c>
      <c r="D1838" s="1">
        <v>634.666105402884</v>
      </c>
      <c r="E1838" s="1" t="s">
        <v>308</v>
      </c>
      <c r="F1838" s="1" t="s">
        <v>3092</v>
      </c>
      <c r="G1838" s="1">
        <v>97.4685735907252</v>
      </c>
      <c r="H1838" s="1">
        <v>13.717136686</v>
      </c>
      <c r="I1838" s="1">
        <v>4.0712595354</v>
      </c>
      <c r="J1838" s="1">
        <v>6.3291139241</v>
      </c>
      <c r="K1838" s="1">
        <v>14.5780035959999</v>
      </c>
      <c r="L1838" s="1">
        <v>24.0</v>
      </c>
      <c r="M1838" s="1">
        <v>8.5</v>
      </c>
      <c r="N1838" s="1">
        <v>20.1</v>
      </c>
      <c r="O1838" s="1">
        <v>74.15684037</v>
      </c>
      <c r="P1838" s="1">
        <v>6.0419342899</v>
      </c>
      <c r="Q1838" s="1">
        <v>49.50168</v>
      </c>
      <c r="R1838" s="1">
        <v>82.847341338</v>
      </c>
      <c r="S1838" s="1">
        <v>16.4</v>
      </c>
      <c r="T1838" s="1">
        <v>10537.0</v>
      </c>
      <c r="U1838" s="1">
        <v>35.503463984</v>
      </c>
      <c r="V1838" s="1">
        <v>145.53647045</v>
      </c>
      <c r="W1838" s="1">
        <v>14.765763985</v>
      </c>
      <c r="X1838" s="1">
        <v>13.503795445</v>
      </c>
      <c r="Y1838" s="1">
        <v>79.642273987</v>
      </c>
      <c r="Z1838" s="1">
        <v>7.9</v>
      </c>
      <c r="AA1838" s="1">
        <v>5.0543034127</v>
      </c>
      <c r="AB1838" s="1">
        <v>64916.0</v>
      </c>
      <c r="AC1838" s="1">
        <v>49.9144324019999</v>
      </c>
      <c r="AD1838" s="1">
        <v>72.103157311</v>
      </c>
      <c r="AE1838" s="1">
        <v>14.866082398</v>
      </c>
      <c r="AF1838" s="1">
        <v>4.676547166</v>
      </c>
      <c r="AG1838" s="1">
        <v>0.3287936444</v>
      </c>
      <c r="AH1838" s="1">
        <v>1.962747847</v>
      </c>
      <c r="AI1838" s="1">
        <v>0.055077108</v>
      </c>
      <c r="AJ1838" s="1">
        <v>4.8551305161</v>
      </c>
      <c r="AK1838" s="1">
        <v>86.347553241</v>
      </c>
      <c r="AL1838" s="1">
        <v>1.3779628773</v>
      </c>
      <c r="AM1838" s="1">
        <v>49.928232859</v>
      </c>
      <c r="AN1838" s="1">
        <v>73.297831875</v>
      </c>
      <c r="AO1838" s="1">
        <v>33864.0</v>
      </c>
      <c r="AP1838" s="1">
        <v>12.7</v>
      </c>
      <c r="AQ1838" s="1">
        <v>5.5</v>
      </c>
      <c r="AR1838" s="1">
        <v>11.1</v>
      </c>
      <c r="AS1838" s="1">
        <v>20.7</v>
      </c>
      <c r="AT1838" s="1">
        <v>18.6</v>
      </c>
      <c r="AU1838" s="1">
        <v>15.9</v>
      </c>
      <c r="AV1838" s="1">
        <v>12.7</v>
      </c>
      <c r="AW1838" s="1">
        <v>1.2</v>
      </c>
      <c r="AX1838" s="1">
        <v>0.3684</v>
      </c>
      <c r="AY1838" s="1">
        <v>10.1</v>
      </c>
      <c r="AZ1838" s="1">
        <v>10.2</v>
      </c>
      <c r="BA1838" s="1">
        <v>17.5</v>
      </c>
      <c r="BB1838" s="1">
        <v>3.36</v>
      </c>
      <c r="BC1838" s="1" t="s">
        <v>3075</v>
      </c>
      <c r="BD1838" s="1">
        <v>9.7</v>
      </c>
      <c r="BE1838" s="1">
        <v>30.0</v>
      </c>
      <c r="BF1838" s="1">
        <v>27.7</v>
      </c>
      <c r="BG1838" s="1">
        <v>32.7</v>
      </c>
      <c r="BH1838" s="1" t="s">
        <v>3092</v>
      </c>
    </row>
    <row r="1839">
      <c r="A1839" s="1">
        <v>36023.0</v>
      </c>
      <c r="B1839" s="2" t="str">
        <f>IFERROR(__xludf.DUMMYFUNCTION("TO_TEXT(A1839)"),"36023")</f>
        <v>36023</v>
      </c>
      <c r="C1839" s="1">
        <v>48713.0</v>
      </c>
      <c r="D1839" s="1">
        <v>498.772655903458</v>
      </c>
      <c r="E1839" s="1" t="s">
        <v>3093</v>
      </c>
      <c r="F1839" s="1" t="s">
        <v>3094</v>
      </c>
      <c r="G1839" s="1">
        <v>97.6657389362356</v>
      </c>
      <c r="H1839" s="1">
        <v>13.406372374</v>
      </c>
      <c r="I1839" s="1">
        <v>4.1324157563</v>
      </c>
      <c r="J1839" s="1">
        <v>7.68049155149999</v>
      </c>
      <c r="K1839" s="1">
        <v>15.302328439</v>
      </c>
      <c r="L1839" s="1">
        <v>35.2</v>
      </c>
      <c r="M1839" s="1">
        <v>8.1</v>
      </c>
      <c r="N1839" s="1">
        <v>25.2</v>
      </c>
      <c r="O1839" s="1">
        <v>87.054078158</v>
      </c>
      <c r="P1839" s="1">
        <v>4.2295743173</v>
      </c>
      <c r="Q1839" s="1">
        <v>41.85326</v>
      </c>
      <c r="R1839" s="1">
        <v>87.861271676</v>
      </c>
      <c r="S1839" s="1">
        <v>18.4</v>
      </c>
      <c r="T1839" s="1">
        <v>9373.0</v>
      </c>
      <c r="U1839" s="1">
        <v>33.340445962</v>
      </c>
      <c r="V1839" s="1">
        <v>89.542293116</v>
      </c>
      <c r="W1839" s="1">
        <v>14.1645462259999</v>
      </c>
      <c r="X1839" s="1">
        <v>11.973833902</v>
      </c>
      <c r="Y1839" s="1">
        <v>78.185980446</v>
      </c>
      <c r="Z1839" s="1">
        <v>11.8</v>
      </c>
      <c r="AA1839" s="1">
        <v>3.4167829903</v>
      </c>
      <c r="AB1839" s="1">
        <v>51751.0</v>
      </c>
      <c r="AC1839" s="1">
        <v>50.812873258</v>
      </c>
      <c r="AD1839" s="1">
        <v>66.2143059089999</v>
      </c>
      <c r="AE1839" s="1">
        <v>12.1318168559999</v>
      </c>
      <c r="AF1839" s="1">
        <v>1.6728352466</v>
      </c>
      <c r="AG1839" s="1">
        <v>0.357568534</v>
      </c>
      <c r="AH1839" s="1">
        <v>1.1270727474</v>
      </c>
      <c r="AI1839" s="1">
        <v>0.035547749</v>
      </c>
      <c r="AJ1839" s="1">
        <v>2.7392677164</v>
      </c>
      <c r="AK1839" s="1">
        <v>92.470150346</v>
      </c>
      <c r="AL1839" s="1">
        <v>0.3618738486</v>
      </c>
      <c r="AM1839" s="1">
        <v>51.132300358</v>
      </c>
      <c r="AN1839" s="1">
        <v>44.273958164</v>
      </c>
      <c r="AO1839" s="1">
        <v>24665.0</v>
      </c>
      <c r="AP1839" s="1">
        <v>13.8</v>
      </c>
      <c r="AQ1839" s="1">
        <v>5.2</v>
      </c>
      <c r="AR1839" s="1">
        <v>9.6</v>
      </c>
      <c r="AS1839" s="1">
        <v>15.2</v>
      </c>
      <c r="AT1839" s="1">
        <v>19.7</v>
      </c>
      <c r="AU1839" s="1">
        <v>12.8</v>
      </c>
      <c r="AV1839" s="1">
        <v>7.1</v>
      </c>
      <c r="AW1839" s="1">
        <v>0.5</v>
      </c>
      <c r="AX1839" s="1">
        <v>0.3209</v>
      </c>
      <c r="AY1839" s="1">
        <v>17.3</v>
      </c>
      <c r="AZ1839" s="1">
        <v>11.1</v>
      </c>
      <c r="BA1839" s="1">
        <v>19.4</v>
      </c>
      <c r="BB1839" s="1">
        <v>2.93</v>
      </c>
      <c r="BC1839" s="1" t="s">
        <v>3075</v>
      </c>
      <c r="BD1839" s="1">
        <v>9.3</v>
      </c>
      <c r="BE1839" s="1">
        <v>32.1</v>
      </c>
      <c r="BF1839" s="1">
        <v>30.7</v>
      </c>
      <c r="BG1839" s="1">
        <v>28.0</v>
      </c>
      <c r="BH1839" s="1" t="s">
        <v>3094</v>
      </c>
    </row>
    <row r="1840">
      <c r="A1840" s="1">
        <v>36025.0</v>
      </c>
      <c r="B1840" s="2" t="str">
        <f>IFERROR(__xludf.DUMMYFUNCTION("TO_TEXT(A1840)"),"36025")</f>
        <v>36025</v>
      </c>
      <c r="C1840" s="1">
        <v>46480.0</v>
      </c>
      <c r="D1840" s="1">
        <v>1442.45891130633</v>
      </c>
      <c r="E1840" s="1" t="s">
        <v>1331</v>
      </c>
      <c r="F1840" s="1" t="s">
        <v>3095</v>
      </c>
      <c r="G1840" s="1">
        <v>32.2227549330375</v>
      </c>
      <c r="H1840" s="1">
        <v>15.393145055</v>
      </c>
      <c r="I1840" s="1">
        <v>4.1400915973</v>
      </c>
      <c r="J1840" s="1">
        <v>6.9110347461</v>
      </c>
      <c r="K1840" s="1">
        <v>15.84691835</v>
      </c>
      <c r="L1840" s="1">
        <v>29.9</v>
      </c>
      <c r="M1840" s="1">
        <v>8.5</v>
      </c>
      <c r="N1840" s="1">
        <v>26.2</v>
      </c>
      <c r="O1840" s="1">
        <v>61.444351813</v>
      </c>
      <c r="P1840" s="1">
        <v>6.6193488659</v>
      </c>
      <c r="Q1840" s="1">
        <v>31.11042</v>
      </c>
      <c r="R1840" s="1">
        <v>87.3913043479999</v>
      </c>
      <c r="S1840" s="1">
        <v>26.2</v>
      </c>
      <c r="T1840" s="1">
        <v>7628.0</v>
      </c>
      <c r="U1840" s="1">
        <v>40.652857892</v>
      </c>
      <c r="V1840" s="1">
        <v>193.05876087</v>
      </c>
      <c r="W1840" s="1">
        <v>16.954557534</v>
      </c>
      <c r="X1840" s="1">
        <v>13.694951665</v>
      </c>
      <c r="Y1840" s="1">
        <v>79.287105258</v>
      </c>
      <c r="Z1840" s="1">
        <v>9.1</v>
      </c>
      <c r="AA1840" s="1">
        <v>0.7892579852</v>
      </c>
      <c r="AB1840" s="1">
        <v>47382.0</v>
      </c>
      <c r="AC1840" s="1">
        <v>50.806049526</v>
      </c>
      <c r="AD1840" s="1">
        <v>74.261692065</v>
      </c>
      <c r="AE1840" s="1">
        <v>13.52530541</v>
      </c>
      <c r="AF1840" s="1">
        <v>1.7203045343</v>
      </c>
      <c r="AG1840" s="1">
        <v>0.3728075101</v>
      </c>
      <c r="AH1840" s="1">
        <v>1.0398185371</v>
      </c>
      <c r="AI1840" s="1">
        <v>0.0516540526</v>
      </c>
      <c r="AJ1840" s="1">
        <v>3.9908370202</v>
      </c>
      <c r="AK1840" s="1">
        <v>91.9172636829999</v>
      </c>
      <c r="AL1840" s="1">
        <v>1.0570389183</v>
      </c>
      <c r="AM1840" s="1">
        <v>49.477844903</v>
      </c>
      <c r="AN1840" s="1">
        <v>78.363901626</v>
      </c>
      <c r="AO1840" s="1">
        <v>24753.0</v>
      </c>
      <c r="AP1840" s="1">
        <v>15.9</v>
      </c>
      <c r="AQ1840" s="1">
        <v>8.3</v>
      </c>
      <c r="AR1840" s="1">
        <v>12.2</v>
      </c>
      <c r="AS1840" s="1">
        <v>22.0</v>
      </c>
      <c r="AT1840" s="1">
        <v>18.1</v>
      </c>
      <c r="AU1840" s="1">
        <v>16.6</v>
      </c>
      <c r="AV1840" s="1">
        <v>7.4</v>
      </c>
      <c r="AW1840" s="1">
        <v>0.8</v>
      </c>
      <c r="AX1840" s="1">
        <v>0.6705</v>
      </c>
      <c r="AY1840" s="1">
        <v>12.6</v>
      </c>
      <c r="AZ1840" s="1">
        <v>12.3</v>
      </c>
      <c r="BA1840" s="1">
        <v>23.8</v>
      </c>
      <c r="BB1840" s="1">
        <v>3.83</v>
      </c>
      <c r="BC1840" s="1" t="s">
        <v>3075</v>
      </c>
      <c r="BD1840" s="1">
        <v>11.1</v>
      </c>
      <c r="BE1840" s="1">
        <v>37.6</v>
      </c>
      <c r="BF1840" s="1">
        <v>28.8</v>
      </c>
      <c r="BG1840" s="1">
        <v>22.6</v>
      </c>
      <c r="BH1840" s="1" t="s">
        <v>3095</v>
      </c>
    </row>
    <row r="1841">
      <c r="A1841" s="1">
        <v>36027.0</v>
      </c>
      <c r="B1841" s="2" t="str">
        <f>IFERROR(__xludf.DUMMYFUNCTION("TO_TEXT(A1841)"),"36027")</f>
        <v>36027</v>
      </c>
      <c r="C1841" s="1">
        <v>295905.0</v>
      </c>
      <c r="D1841" s="1">
        <v>795.631967040462</v>
      </c>
      <c r="E1841" s="1" t="s">
        <v>3096</v>
      </c>
      <c r="F1841" s="1" t="s">
        <v>3097</v>
      </c>
      <c r="G1841" s="1">
        <v>371.911904320143</v>
      </c>
      <c r="H1841" s="1">
        <v>14.696919039</v>
      </c>
      <c r="I1841" s="1">
        <v>4.0133785274</v>
      </c>
      <c r="J1841" s="1">
        <v>7.4577938043</v>
      </c>
      <c r="K1841" s="1">
        <v>15.040865509</v>
      </c>
      <c r="L1841" s="1">
        <v>26.9</v>
      </c>
      <c r="M1841" s="1">
        <v>8.6</v>
      </c>
      <c r="N1841" s="1">
        <v>21.1</v>
      </c>
      <c r="O1841" s="1">
        <v>85.725810789</v>
      </c>
      <c r="P1841" s="1">
        <v>5.3434453996</v>
      </c>
      <c r="Q1841" s="1">
        <v>68.34299</v>
      </c>
      <c r="R1841" s="1">
        <v>85.693301998</v>
      </c>
      <c r="S1841" s="1">
        <v>11.0</v>
      </c>
      <c r="T1841" s="1">
        <v>55882.0</v>
      </c>
      <c r="U1841" s="1">
        <v>25.562793028</v>
      </c>
      <c r="V1841" s="1">
        <v>203.66598778</v>
      </c>
      <c r="W1841" s="1">
        <v>20.631136045</v>
      </c>
      <c r="X1841" s="1">
        <v>17.790642945</v>
      </c>
      <c r="Y1841" s="1">
        <v>80.571111352</v>
      </c>
      <c r="Z1841" s="1">
        <v>9.2</v>
      </c>
      <c r="AA1841" s="1">
        <v>5.6022082617</v>
      </c>
      <c r="AB1841" s="1">
        <v>79604.0</v>
      </c>
      <c r="AC1841" s="1">
        <v>33.794466403</v>
      </c>
      <c r="AD1841" s="1">
        <v>68.757394245</v>
      </c>
      <c r="AE1841" s="1">
        <v>17.748035246</v>
      </c>
      <c r="AF1841" s="1">
        <v>10.451521527</v>
      </c>
      <c r="AG1841" s="1">
        <v>0.465752865</v>
      </c>
      <c r="AH1841" s="1">
        <v>3.7920726683</v>
      </c>
      <c r="AI1841" s="1">
        <v>0.0803491785</v>
      </c>
      <c r="AJ1841" s="1">
        <v>12.484764298</v>
      </c>
      <c r="AK1841" s="1">
        <v>71.17915824</v>
      </c>
      <c r="AL1841" s="1">
        <v>2.0826866194</v>
      </c>
      <c r="AM1841" s="1">
        <v>50.198149245</v>
      </c>
      <c r="AN1841" s="1">
        <v>25.399343839</v>
      </c>
      <c r="AO1841" s="1">
        <v>35101.0</v>
      </c>
      <c r="AP1841" s="1">
        <v>9.2</v>
      </c>
      <c r="AQ1841" s="1">
        <v>7.6</v>
      </c>
      <c r="AR1841" s="1">
        <v>9.9</v>
      </c>
      <c r="AS1841" s="1">
        <v>15.5</v>
      </c>
      <c r="AT1841" s="1">
        <v>20.2</v>
      </c>
      <c r="AU1841" s="1">
        <v>13.2</v>
      </c>
      <c r="AV1841" s="1">
        <v>27.4</v>
      </c>
      <c r="AW1841" s="1">
        <v>2.0</v>
      </c>
      <c r="AX1841" s="1">
        <v>0.4422</v>
      </c>
      <c r="AY1841" s="1">
        <v>8.6</v>
      </c>
      <c r="AZ1841" s="1">
        <v>8.7</v>
      </c>
      <c r="BA1841" s="1">
        <v>14.1</v>
      </c>
      <c r="BB1841" s="1">
        <v>3.57</v>
      </c>
      <c r="BC1841" s="1" t="s">
        <v>3075</v>
      </c>
      <c r="BD1841" s="1">
        <v>8.9</v>
      </c>
      <c r="BE1841" s="1">
        <v>26.8</v>
      </c>
      <c r="BF1841" s="1">
        <v>29.2</v>
      </c>
      <c r="BG1841" s="1">
        <v>35.0</v>
      </c>
      <c r="BH1841" s="1" t="s">
        <v>3097</v>
      </c>
    </row>
    <row r="1842">
      <c r="A1842" s="1">
        <v>36029.0</v>
      </c>
      <c r="B1842" s="2" t="str">
        <f>IFERROR(__xludf.DUMMYFUNCTION("TO_TEXT(A1842)"),"36029")</f>
        <v>36029</v>
      </c>
      <c r="C1842" s="1">
        <v>922129.0</v>
      </c>
      <c r="D1842" s="1">
        <v>1042.6971959078</v>
      </c>
      <c r="E1842" s="1" t="s">
        <v>3098</v>
      </c>
      <c r="F1842" s="1" t="s">
        <v>3099</v>
      </c>
      <c r="G1842" s="1">
        <v>884.368926682659</v>
      </c>
      <c r="H1842" s="1">
        <v>15.9471744709999</v>
      </c>
      <c r="I1842" s="1">
        <v>4.2494151091</v>
      </c>
      <c r="J1842" s="1">
        <v>8.5883840561</v>
      </c>
      <c r="K1842" s="1">
        <v>17.253724261</v>
      </c>
      <c r="L1842" s="1">
        <v>30.1</v>
      </c>
      <c r="M1842" s="1">
        <v>7.8</v>
      </c>
      <c r="N1842" s="1">
        <v>25.6</v>
      </c>
      <c r="O1842" s="1">
        <v>96.282207521</v>
      </c>
      <c r="P1842" s="1">
        <v>4.4900963057</v>
      </c>
      <c r="Q1842" s="1">
        <v>79.95436</v>
      </c>
      <c r="R1842" s="1">
        <v>84.037273372</v>
      </c>
      <c r="S1842" s="1">
        <v>19.2</v>
      </c>
      <c r="T1842" s="1">
        <v>186435.0</v>
      </c>
      <c r="U1842" s="1">
        <v>36.706090595</v>
      </c>
      <c r="V1842" s="1">
        <v>427.52334492</v>
      </c>
      <c r="W1842" s="1">
        <v>14.862076172</v>
      </c>
      <c r="X1842" s="1">
        <v>13.432539157</v>
      </c>
      <c r="Y1842" s="1">
        <v>78.382904195</v>
      </c>
      <c r="Z1842" s="1">
        <v>11.1</v>
      </c>
      <c r="AA1842" s="1">
        <v>5.574711041</v>
      </c>
      <c r="AB1842" s="1">
        <v>56375.0</v>
      </c>
      <c r="AC1842" s="1">
        <v>47.009708278</v>
      </c>
      <c r="AD1842" s="1">
        <v>64.777605602</v>
      </c>
      <c r="AE1842" s="1">
        <v>14.128737984</v>
      </c>
      <c r="AF1842" s="1">
        <v>13.092585888</v>
      </c>
      <c r="AG1842" s="1">
        <v>0.7491418575</v>
      </c>
      <c r="AH1842" s="1">
        <v>3.7255944479</v>
      </c>
      <c r="AI1842" s="1">
        <v>0.0475145126</v>
      </c>
      <c r="AJ1842" s="1">
        <v>5.6983709155</v>
      </c>
      <c r="AK1842" s="1">
        <v>75.210036979</v>
      </c>
      <c r="AL1842" s="1">
        <v>1.7553361529</v>
      </c>
      <c r="AM1842" s="1">
        <v>51.621962795</v>
      </c>
      <c r="AN1842" s="1">
        <v>9.4038344359</v>
      </c>
      <c r="AO1842" s="1">
        <v>29940.0</v>
      </c>
      <c r="AP1842" s="1">
        <v>14.7</v>
      </c>
      <c r="AQ1842" s="1">
        <v>6.1</v>
      </c>
      <c r="AR1842" s="1">
        <v>9.2</v>
      </c>
      <c r="AS1842" s="1">
        <v>16.5</v>
      </c>
      <c r="AT1842" s="1">
        <v>20.7</v>
      </c>
      <c r="AU1842" s="1">
        <v>13.1</v>
      </c>
      <c r="AV1842" s="1">
        <v>23.7</v>
      </c>
      <c r="AW1842" s="1">
        <v>1.6</v>
      </c>
      <c r="AX1842" s="1">
        <v>0.3986</v>
      </c>
      <c r="AY1842" s="1">
        <v>13.3</v>
      </c>
      <c r="AZ1842" s="1">
        <v>11.4</v>
      </c>
      <c r="BA1842" s="1">
        <v>19.2</v>
      </c>
      <c r="BB1842" s="1">
        <v>3.18</v>
      </c>
      <c r="BC1842" s="1" t="s">
        <v>3075</v>
      </c>
      <c r="BD1842" s="1">
        <v>8.2</v>
      </c>
      <c r="BE1842" s="1">
        <v>27.6</v>
      </c>
      <c r="BF1842" s="1">
        <v>29.9</v>
      </c>
      <c r="BG1842" s="1">
        <v>34.4</v>
      </c>
      <c r="BH1842" s="1" t="s">
        <v>3099</v>
      </c>
    </row>
    <row r="1843">
      <c r="A1843" s="1">
        <v>36031.0</v>
      </c>
      <c r="B1843" s="2" t="str">
        <f>IFERROR(__xludf.DUMMYFUNCTION("TO_TEXT(A1843)"),"36031")</f>
        <v>36031</v>
      </c>
      <c r="C1843" s="1">
        <v>38598.0</v>
      </c>
      <c r="D1843" s="1">
        <v>1794.11330245106</v>
      </c>
      <c r="E1843" s="1" t="s">
        <v>2125</v>
      </c>
      <c r="F1843" s="1" t="s">
        <v>3100</v>
      </c>
      <c r="G1843" s="1">
        <v>21.5136914414874</v>
      </c>
      <c r="H1843" s="1">
        <v>11.420024915</v>
      </c>
      <c r="I1843" s="1">
        <v>3.9382128862</v>
      </c>
      <c r="J1843" s="1">
        <v>7.518115942</v>
      </c>
      <c r="K1843" s="1">
        <v>13.756577864</v>
      </c>
      <c r="L1843" s="1">
        <v>28.8</v>
      </c>
      <c r="M1843" s="1">
        <v>8.7</v>
      </c>
      <c r="N1843" s="1">
        <v>21.5</v>
      </c>
      <c r="O1843" s="1">
        <v>100.0</v>
      </c>
      <c r="P1843" s="1">
        <v>5.2979892955</v>
      </c>
      <c r="Q1843" s="1">
        <v>42.15407</v>
      </c>
      <c r="R1843" s="1">
        <v>91.095890411</v>
      </c>
      <c r="S1843" s="1">
        <v>16.1</v>
      </c>
      <c r="T1843" s="1">
        <v>6202.0</v>
      </c>
      <c r="U1843" s="1">
        <v>35.665914221</v>
      </c>
      <c r="V1843" s="1">
        <v>166.76003492</v>
      </c>
      <c r="W1843" s="1">
        <v>13.464052288</v>
      </c>
      <c r="X1843" s="1">
        <v>11.261943987</v>
      </c>
      <c r="Y1843" s="1">
        <v>80.821938143</v>
      </c>
      <c r="Z1843" s="1">
        <v>10.6</v>
      </c>
      <c r="AA1843" s="1">
        <v>2.0934384206</v>
      </c>
      <c r="AB1843" s="1">
        <v>54376.0</v>
      </c>
      <c r="AC1843" s="1">
        <v>45.6242424239999</v>
      </c>
      <c r="AD1843" s="1">
        <v>75.61102107</v>
      </c>
      <c r="AE1843" s="1">
        <v>11.446430972</v>
      </c>
      <c r="AF1843" s="1">
        <v>2.3243967828</v>
      </c>
      <c r="AG1843" s="1">
        <v>0.5254691689</v>
      </c>
      <c r="AH1843" s="1">
        <v>0.785522788199999</v>
      </c>
      <c r="AI1843" s="1">
        <v>0.0536193029</v>
      </c>
      <c r="AJ1843" s="1">
        <v>3.0080428954</v>
      </c>
      <c r="AK1843" s="1">
        <v>92.286863271</v>
      </c>
      <c r="AL1843" s="1">
        <v>0.5736981465</v>
      </c>
      <c r="AM1843" s="1">
        <v>48.378016086</v>
      </c>
      <c r="AN1843" s="1">
        <v>74.856489713</v>
      </c>
      <c r="AO1843" s="1">
        <v>28155.0</v>
      </c>
      <c r="AP1843" s="1">
        <v>10.1</v>
      </c>
      <c r="AQ1843" s="1">
        <v>7.5</v>
      </c>
      <c r="AR1843" s="1">
        <v>10.4</v>
      </c>
      <c r="AS1843" s="1">
        <v>21.1</v>
      </c>
      <c r="AT1843" s="1">
        <v>17.2</v>
      </c>
      <c r="AU1843" s="1">
        <v>16.8</v>
      </c>
      <c r="AV1843" s="1">
        <v>8.0</v>
      </c>
      <c r="AW1843" s="1">
        <v>0.6</v>
      </c>
      <c r="AX1843" s="1">
        <v>0.4062</v>
      </c>
      <c r="AY1843" s="1">
        <v>12.4</v>
      </c>
      <c r="AZ1843" s="1">
        <v>10.3</v>
      </c>
      <c r="BA1843" s="1">
        <v>18.6</v>
      </c>
      <c r="BB1843" s="1">
        <v>3.16</v>
      </c>
      <c r="BC1843" s="1" t="s">
        <v>3075</v>
      </c>
      <c r="BD1843" s="1">
        <v>8.5</v>
      </c>
      <c r="BE1843" s="1">
        <v>34.4</v>
      </c>
      <c r="BF1843" s="1">
        <v>30.2</v>
      </c>
      <c r="BG1843" s="1">
        <v>26.8</v>
      </c>
      <c r="BH1843" s="1" t="s">
        <v>3100</v>
      </c>
    </row>
    <row r="1844">
      <c r="A1844" s="1">
        <v>36033.0</v>
      </c>
      <c r="B1844" s="2" t="str">
        <f>IFERROR(__xludf.DUMMYFUNCTION("TO_TEXT(A1844)"),"36033")</f>
        <v>36033</v>
      </c>
      <c r="C1844" s="1">
        <v>51007.0</v>
      </c>
      <c r="D1844" s="1">
        <v>1629.20854056515</v>
      </c>
      <c r="E1844" s="1" t="s">
        <v>118</v>
      </c>
      <c r="F1844" s="1" t="s">
        <v>3101</v>
      </c>
      <c r="G1844" s="1">
        <v>31.3078398068709</v>
      </c>
      <c r="H1844" s="1">
        <v>15.6420681309999</v>
      </c>
      <c r="I1844" s="1">
        <v>4.2385169924</v>
      </c>
      <c r="J1844" s="1">
        <v>7.4692442882</v>
      </c>
      <c r="K1844" s="1">
        <v>18.698972223</v>
      </c>
      <c r="L1844" s="1">
        <v>33.9</v>
      </c>
      <c r="M1844" s="1">
        <v>7.5</v>
      </c>
      <c r="N1844" s="1">
        <v>29.2</v>
      </c>
      <c r="O1844" s="1">
        <v>65.3617318169999</v>
      </c>
      <c r="P1844" s="1">
        <v>7.38238512039999</v>
      </c>
      <c r="Q1844" s="1">
        <v>58.69004</v>
      </c>
      <c r="R1844" s="1">
        <v>86.06271777</v>
      </c>
      <c r="S1844" s="1">
        <v>22.1</v>
      </c>
      <c r="T1844" s="1">
        <v>9671.0</v>
      </c>
      <c r="U1844" s="1">
        <v>42.632612967</v>
      </c>
      <c r="V1844" s="1">
        <v>183.45743689</v>
      </c>
      <c r="W1844" s="1">
        <v>13.419689119</v>
      </c>
      <c r="X1844" s="1">
        <v>11.733193277</v>
      </c>
      <c r="Y1844" s="1">
        <v>79.252096829</v>
      </c>
      <c r="Z1844" s="1">
        <v>12.5</v>
      </c>
      <c r="AA1844" s="1">
        <v>9.0543657933</v>
      </c>
      <c r="AB1844" s="1">
        <v>48722.0</v>
      </c>
      <c r="AC1844" s="1">
        <v>56.693348054</v>
      </c>
      <c r="AD1844" s="1">
        <v>72.448658843</v>
      </c>
      <c r="AE1844" s="1">
        <v>12.350225349</v>
      </c>
      <c r="AF1844" s="1">
        <v>5.6150955401</v>
      </c>
      <c r="AG1844" s="1">
        <v>7.5835603364</v>
      </c>
      <c r="AH1844" s="1">
        <v>0.4732268904</v>
      </c>
      <c r="AI1844" s="1">
        <v>0.0258485276</v>
      </c>
      <c r="AJ1844" s="1">
        <v>3.5889686437</v>
      </c>
      <c r="AK1844" s="1">
        <v>81.731056012</v>
      </c>
      <c r="AL1844" s="1">
        <v>0.5245806465</v>
      </c>
      <c r="AM1844" s="1">
        <v>44.95655459</v>
      </c>
      <c r="AN1844" s="1">
        <v>62.6756332489999</v>
      </c>
      <c r="AO1844" s="1">
        <v>23660.0</v>
      </c>
      <c r="AP1844" s="1">
        <v>19.2</v>
      </c>
      <c r="AQ1844" s="1">
        <v>8.5</v>
      </c>
      <c r="AR1844" s="1">
        <v>14.6</v>
      </c>
      <c r="AS1844" s="1">
        <v>14.9</v>
      </c>
      <c r="AT1844" s="1">
        <v>19.8</v>
      </c>
      <c r="AU1844" s="1">
        <v>15.0</v>
      </c>
      <c r="AV1844" s="1">
        <v>18.0</v>
      </c>
      <c r="AW1844" s="1">
        <v>0.7</v>
      </c>
      <c r="AX1844" s="1">
        <v>0.7026</v>
      </c>
      <c r="AY1844" s="1">
        <v>18.1</v>
      </c>
      <c r="AZ1844" s="1">
        <v>12.9</v>
      </c>
      <c r="BA1844" s="1">
        <v>22.6</v>
      </c>
      <c r="BB1844" s="1">
        <v>2.78</v>
      </c>
      <c r="BC1844" s="1" t="s">
        <v>3075</v>
      </c>
      <c r="BD1844" s="1">
        <v>12.6</v>
      </c>
      <c r="BE1844" s="1">
        <v>37.7</v>
      </c>
      <c r="BF1844" s="1">
        <v>30.6</v>
      </c>
      <c r="BG1844" s="1">
        <v>19.1</v>
      </c>
      <c r="BH1844" s="1" t="s">
        <v>3101</v>
      </c>
    </row>
    <row r="1845">
      <c r="A1845" s="1">
        <v>36035.0</v>
      </c>
      <c r="B1845" s="2" t="str">
        <f>IFERROR(__xludf.DUMMYFUNCTION("TO_TEXT(A1845)"),"36035")</f>
        <v>36035</v>
      </c>
      <c r="C1845" s="1">
        <v>54297.0</v>
      </c>
      <c r="D1845" s="1">
        <v>495.459476031258</v>
      </c>
      <c r="E1845" s="1" t="s">
        <v>328</v>
      </c>
      <c r="F1845" s="1" t="s">
        <v>3102</v>
      </c>
      <c r="G1845" s="1">
        <v>109.589184639138</v>
      </c>
      <c r="H1845" s="1">
        <v>15.749096829</v>
      </c>
      <c r="I1845" s="1">
        <v>4.4070155751</v>
      </c>
      <c r="J1845" s="1">
        <v>7.12125378059999</v>
      </c>
      <c r="K1845" s="1">
        <v>18.383444989</v>
      </c>
      <c r="L1845" s="1">
        <v>34.0</v>
      </c>
      <c r="M1845" s="1">
        <v>8.2</v>
      </c>
      <c r="N1845" s="1">
        <v>28.0</v>
      </c>
      <c r="O1845" s="1">
        <v>80.790909582</v>
      </c>
      <c r="P1845" s="1">
        <v>5.6794611853</v>
      </c>
      <c r="Q1845" s="1">
        <v>38.97767</v>
      </c>
      <c r="R1845" s="1">
        <v>78.060413355</v>
      </c>
      <c r="S1845" s="1">
        <v>19.8</v>
      </c>
      <c r="T1845" s="1">
        <v>10633.0</v>
      </c>
      <c r="U1845" s="1">
        <v>44.399510956</v>
      </c>
      <c r="V1845" s="1">
        <v>204.07216734</v>
      </c>
      <c r="W1845" s="1">
        <v>14.0311804009999</v>
      </c>
      <c r="X1845" s="1">
        <v>13.165580768</v>
      </c>
      <c r="Y1845" s="1">
        <v>78.4404385839999</v>
      </c>
      <c r="Z1845" s="1">
        <v>12.5</v>
      </c>
      <c r="AA1845" s="1">
        <v>3.495187159</v>
      </c>
      <c r="AB1845" s="1">
        <v>51388.0</v>
      </c>
      <c r="AC1845" s="1">
        <v>43.570272625</v>
      </c>
      <c r="AD1845" s="1">
        <v>71.464860288</v>
      </c>
      <c r="AE1845" s="1">
        <v>12.989241328</v>
      </c>
      <c r="AF1845" s="1">
        <v>1.9835420127</v>
      </c>
      <c r="AG1845" s="1">
        <v>0.3004235786</v>
      </c>
      <c r="AH1845" s="1">
        <v>0.6960123901</v>
      </c>
      <c r="AI1845" s="1">
        <v>0.0391856842</v>
      </c>
      <c r="AJ1845" s="1">
        <v>3.230019966</v>
      </c>
      <c r="AK1845" s="1">
        <v>92.485678565</v>
      </c>
      <c r="AL1845" s="1">
        <v>0.4895625269</v>
      </c>
      <c r="AM1845" s="1">
        <v>50.234181113</v>
      </c>
      <c r="AN1845" s="1">
        <v>50.37366516</v>
      </c>
      <c r="AO1845" s="1">
        <v>25092.0</v>
      </c>
      <c r="AP1845" s="1">
        <v>16.7</v>
      </c>
      <c r="AQ1845" s="1">
        <v>8.0</v>
      </c>
      <c r="AR1845" s="1">
        <v>13.3</v>
      </c>
      <c r="AS1845" s="1">
        <v>17.9</v>
      </c>
      <c r="AT1845" s="1">
        <v>20.7</v>
      </c>
      <c r="AU1845" s="1">
        <v>16.8</v>
      </c>
      <c r="AV1845" s="1">
        <v>6.7</v>
      </c>
      <c r="AW1845" s="1">
        <v>0.4</v>
      </c>
      <c r="AX1845" s="1">
        <v>0.5167</v>
      </c>
      <c r="AY1845" s="1">
        <v>16.4</v>
      </c>
      <c r="AZ1845" s="1">
        <v>12.4</v>
      </c>
      <c r="BA1845" s="1">
        <v>21.8</v>
      </c>
      <c r="BB1845" s="1">
        <v>2.86</v>
      </c>
      <c r="BC1845" s="1" t="s">
        <v>3075</v>
      </c>
      <c r="BD1845" s="1">
        <v>12.7</v>
      </c>
      <c r="BE1845" s="1">
        <v>35.7</v>
      </c>
      <c r="BF1845" s="1">
        <v>33.4</v>
      </c>
      <c r="BG1845" s="1">
        <v>18.2</v>
      </c>
      <c r="BH1845" s="1" t="s">
        <v>3102</v>
      </c>
    </row>
    <row r="1846">
      <c r="A1846" s="1">
        <v>36037.0</v>
      </c>
      <c r="B1846" s="2" t="str">
        <f>IFERROR(__xludf.DUMMYFUNCTION("TO_TEXT(A1846)"),"36037")</f>
        <v>36037</v>
      </c>
      <c r="C1846" s="1">
        <v>59053.0</v>
      </c>
      <c r="D1846" s="1">
        <v>492.935648879388</v>
      </c>
      <c r="E1846" s="1" t="s">
        <v>2181</v>
      </c>
      <c r="F1846" s="1" t="s">
        <v>3103</v>
      </c>
      <c r="G1846" s="1">
        <v>119.798598730377</v>
      </c>
      <c r="H1846" s="1">
        <v>13.699867323</v>
      </c>
      <c r="I1846" s="1">
        <v>4.171989653</v>
      </c>
      <c r="J1846" s="1">
        <v>6.2332602873</v>
      </c>
      <c r="K1846" s="1">
        <v>15.922101555</v>
      </c>
      <c r="L1846" s="1">
        <v>36.6</v>
      </c>
      <c r="M1846" s="1">
        <v>8.6</v>
      </c>
      <c r="N1846" s="1">
        <v>29.9</v>
      </c>
      <c r="O1846" s="1">
        <v>63.8176401069999</v>
      </c>
      <c r="P1846" s="1">
        <v>4.8253885673</v>
      </c>
      <c r="Q1846" s="1">
        <v>31.05804</v>
      </c>
      <c r="R1846" s="1">
        <v>91.3561847989999</v>
      </c>
      <c r="S1846" s="1">
        <v>14.1</v>
      </c>
      <c r="T1846" s="1">
        <v>11725.0</v>
      </c>
      <c r="U1846" s="1">
        <v>32.059701493</v>
      </c>
      <c r="V1846" s="1">
        <v>219.98742929</v>
      </c>
      <c r="W1846" s="1">
        <v>11.66841553</v>
      </c>
      <c r="X1846" s="1">
        <v>10.00634652</v>
      </c>
      <c r="Y1846" s="1">
        <v>78.125573566</v>
      </c>
      <c r="Z1846" s="1">
        <v>13.5</v>
      </c>
      <c r="AA1846" s="1">
        <v>1.2225360638</v>
      </c>
      <c r="AB1846" s="1">
        <v>58925.0</v>
      </c>
      <c r="AC1846" s="1">
        <v>44.505560206</v>
      </c>
      <c r="AD1846" s="1">
        <v>72.6362906969999</v>
      </c>
      <c r="AE1846" s="1">
        <v>10.701026425</v>
      </c>
      <c r="AF1846" s="1">
        <v>2.7612108988</v>
      </c>
      <c r="AG1846" s="1">
        <v>1.1563005338</v>
      </c>
      <c r="AH1846" s="1">
        <v>0.6607431622</v>
      </c>
      <c r="AI1846" s="1">
        <v>0.0121715846</v>
      </c>
      <c r="AJ1846" s="1">
        <v>3.3941332962</v>
      </c>
      <c r="AK1846" s="1">
        <v>90.358366226</v>
      </c>
      <c r="AL1846" s="1">
        <v>0.5441485888</v>
      </c>
      <c r="AM1846" s="1">
        <v>50.251256281</v>
      </c>
      <c r="AN1846" s="1">
        <v>59.886149903</v>
      </c>
      <c r="AO1846" s="1">
        <v>26381.0</v>
      </c>
      <c r="AP1846" s="1">
        <v>12.5</v>
      </c>
      <c r="AQ1846" s="1">
        <v>5.4</v>
      </c>
      <c r="AR1846" s="1">
        <v>9.1</v>
      </c>
      <c r="AS1846" s="1">
        <v>17.4</v>
      </c>
      <c r="AT1846" s="1">
        <v>20.9</v>
      </c>
      <c r="AU1846" s="1">
        <v>13.6</v>
      </c>
      <c r="AV1846" s="1">
        <v>9.1</v>
      </c>
      <c r="AW1846" s="1">
        <v>0.5</v>
      </c>
      <c r="AX1846" s="1">
        <v>0.1805</v>
      </c>
      <c r="AY1846" s="1">
        <v>10.5</v>
      </c>
      <c r="AZ1846" s="1">
        <v>10.2</v>
      </c>
      <c r="BA1846" s="1">
        <v>18.7</v>
      </c>
      <c r="BB1846" s="1">
        <v>2.92</v>
      </c>
      <c r="BC1846" s="1" t="s">
        <v>3075</v>
      </c>
      <c r="BD1846" s="1">
        <v>7.8</v>
      </c>
      <c r="BE1846" s="1">
        <v>36.0</v>
      </c>
      <c r="BF1846" s="1">
        <v>34.0</v>
      </c>
      <c r="BG1846" s="1">
        <v>22.3</v>
      </c>
      <c r="BH1846" s="1" t="s">
        <v>3103</v>
      </c>
    </row>
    <row r="1847">
      <c r="A1847" s="1">
        <v>36039.0</v>
      </c>
      <c r="B1847" s="2" t="str">
        <f>IFERROR(__xludf.DUMMYFUNCTION("TO_TEXT(A1847)"),"36039")</f>
        <v>36039</v>
      </c>
      <c r="C1847" s="1">
        <v>48069.0</v>
      </c>
      <c r="D1847" s="1">
        <v>647.161199331</v>
      </c>
      <c r="E1847" s="1" t="s">
        <v>122</v>
      </c>
      <c r="F1847" s="1" t="s">
        <v>3104</v>
      </c>
      <c r="G1847" s="1">
        <v>74.2767026973977</v>
      </c>
      <c r="H1847" s="1">
        <v>14.278534179</v>
      </c>
      <c r="I1847" s="1">
        <v>4.0733406417</v>
      </c>
      <c r="J1847" s="1">
        <v>7.3839662447</v>
      </c>
      <c r="K1847" s="1">
        <v>15.446060347</v>
      </c>
      <c r="L1847" s="1">
        <v>27.9</v>
      </c>
      <c r="M1847" s="1">
        <v>8.2</v>
      </c>
      <c r="N1847" s="1">
        <v>25.1</v>
      </c>
      <c r="O1847" s="1">
        <v>77.903740273</v>
      </c>
      <c r="P1847" s="1">
        <v>5.645137944</v>
      </c>
      <c r="Q1847" s="1">
        <v>35.81209</v>
      </c>
      <c r="R1847" s="1">
        <v>87.0329670329999</v>
      </c>
      <c r="S1847" s="1">
        <v>17.9</v>
      </c>
      <c r="T1847" s="1">
        <v>7743.0</v>
      </c>
      <c r="U1847" s="1">
        <v>29.110164019</v>
      </c>
      <c r="V1847" s="1">
        <v>225.00426548</v>
      </c>
      <c r="W1847" s="1">
        <v>18.306569343</v>
      </c>
      <c r="X1847" s="1">
        <v>16.297608503</v>
      </c>
      <c r="Y1847" s="1">
        <v>78.64034005</v>
      </c>
      <c r="Z1847" s="1">
        <v>10.1</v>
      </c>
      <c r="AA1847" s="1">
        <v>6.0254200789</v>
      </c>
      <c r="AB1847" s="1">
        <v>54514.0</v>
      </c>
      <c r="AC1847" s="1">
        <v>43.622888659</v>
      </c>
      <c r="AD1847" s="1">
        <v>74.084243734</v>
      </c>
      <c r="AE1847" s="1">
        <v>16.442406324</v>
      </c>
      <c r="AF1847" s="1">
        <v>5.5842159567</v>
      </c>
      <c r="AG1847" s="1">
        <v>0.4548230191</v>
      </c>
      <c r="AH1847" s="1">
        <v>1.2949822072</v>
      </c>
      <c r="AI1847" s="1">
        <v>0.0463245668</v>
      </c>
      <c r="AJ1847" s="1">
        <v>6.0453559622</v>
      </c>
      <c r="AK1847" s="1">
        <v>84.978206397</v>
      </c>
      <c r="AL1847" s="1">
        <v>0.8576818461</v>
      </c>
      <c r="AM1847" s="1">
        <v>47.665873534</v>
      </c>
      <c r="AN1847" s="1">
        <v>73.141545275</v>
      </c>
      <c r="AO1847" s="1">
        <v>26307.0</v>
      </c>
      <c r="AP1847" s="1">
        <v>13.0</v>
      </c>
      <c r="AQ1847" s="1">
        <v>7.8</v>
      </c>
      <c r="AR1847" s="1">
        <v>14.1</v>
      </c>
      <c r="AS1847" s="1">
        <v>19.7</v>
      </c>
      <c r="AT1847" s="1">
        <v>17.4</v>
      </c>
      <c r="AU1847" s="1">
        <v>15.0</v>
      </c>
      <c r="AV1847" s="1">
        <v>14.1</v>
      </c>
      <c r="AW1847" s="1">
        <v>0.8</v>
      </c>
      <c r="AX1847" s="1">
        <v>0.4107</v>
      </c>
      <c r="AY1847" s="1">
        <v>12.6</v>
      </c>
      <c r="AZ1847" s="1">
        <v>10.9</v>
      </c>
      <c r="BA1847" s="1">
        <v>17.6</v>
      </c>
      <c r="BB1847" s="1">
        <v>3.53</v>
      </c>
      <c r="BC1847" s="1" t="s">
        <v>3075</v>
      </c>
      <c r="BD1847" s="1">
        <v>13.3</v>
      </c>
      <c r="BE1847" s="1">
        <v>38.7</v>
      </c>
      <c r="BF1847" s="1">
        <v>25.9</v>
      </c>
      <c r="BG1847" s="1">
        <v>22.1</v>
      </c>
      <c r="BH1847" s="1" t="s">
        <v>3104</v>
      </c>
    </row>
    <row r="1848">
      <c r="A1848" s="1">
        <v>36041.0</v>
      </c>
      <c r="B1848" s="2" t="str">
        <f>IFERROR(__xludf.DUMMYFUNCTION("TO_TEXT(A1848)"),"36041")</f>
        <v>36041</v>
      </c>
      <c r="C1848" s="1">
        <v>4697.0</v>
      </c>
      <c r="D1848" s="1">
        <v>1717.37701798816</v>
      </c>
      <c r="E1848" s="1" t="s">
        <v>719</v>
      </c>
      <c r="F1848" s="1" t="s">
        <v>3105</v>
      </c>
      <c r="G1848" s="1">
        <v>2.73498477666966</v>
      </c>
      <c r="H1848" s="1">
        <v>13.874728545</v>
      </c>
      <c r="I1848" s="1">
        <v>4.1478502482</v>
      </c>
      <c r="J1848" s="1">
        <v>5.1020408163</v>
      </c>
      <c r="K1848" s="1">
        <v>13.93683141</v>
      </c>
      <c r="L1848" s="1">
        <v>29.7</v>
      </c>
      <c r="M1848" s="1">
        <v>7.7</v>
      </c>
      <c r="N1848" s="1">
        <v>20.3</v>
      </c>
      <c r="O1848" s="1">
        <v>100.0</v>
      </c>
      <c r="P1848" s="1">
        <v>6.7243035543</v>
      </c>
      <c r="Q1848" s="1">
        <v>22.29654</v>
      </c>
      <c r="R1848" s="1">
        <v>96.153846154</v>
      </c>
      <c r="S1848" s="1">
        <v>15.5</v>
      </c>
      <c r="T1848" s="1">
        <v>632.0</v>
      </c>
      <c r="U1848" s="1">
        <v>31.012658228</v>
      </c>
      <c r="V1848" s="1">
        <v>74.286320705</v>
      </c>
      <c r="W1848" s="1">
        <v>15.725806452</v>
      </c>
      <c r="X1848" s="1">
        <v>13.59223301</v>
      </c>
      <c r="Y1848" s="1">
        <v>79.943748506</v>
      </c>
      <c r="Z1848" s="1">
        <v>11.3</v>
      </c>
      <c r="AA1848" s="1">
        <v>12.089693845</v>
      </c>
      <c r="AB1848" s="1">
        <v>59020.0</v>
      </c>
      <c r="AC1848" s="1">
        <v>43.537414966</v>
      </c>
      <c r="AD1848" s="1">
        <v>85.676156584</v>
      </c>
      <c r="AE1848" s="1">
        <v>12.523191095</v>
      </c>
      <c r="AF1848" s="1">
        <v>0.9472259811</v>
      </c>
      <c r="AG1848" s="1">
        <v>0.3157419937</v>
      </c>
      <c r="AH1848" s="1">
        <v>0.7893549842</v>
      </c>
      <c r="AI1848" s="1">
        <v>0.0902119982</v>
      </c>
      <c r="AJ1848" s="1">
        <v>1.7140279657</v>
      </c>
      <c r="AK1848" s="1">
        <v>94.812810104</v>
      </c>
      <c r="AL1848" s="1">
        <v>1.6937669377</v>
      </c>
      <c r="AM1848" s="1">
        <v>49.887235002</v>
      </c>
      <c r="AN1848" s="1">
        <v>100.0</v>
      </c>
      <c r="AO1848" s="1">
        <v>27371.0</v>
      </c>
      <c r="AP1848" s="1">
        <v>11.3</v>
      </c>
      <c r="AQ1848" s="1">
        <v>9.2</v>
      </c>
      <c r="AR1848" s="1">
        <v>13.7</v>
      </c>
      <c r="AS1848" s="1">
        <v>26.7</v>
      </c>
      <c r="AT1848" s="1">
        <v>15.8</v>
      </c>
      <c r="AU1848" s="1">
        <v>20.2</v>
      </c>
      <c r="AV1848" s="1">
        <v>4.6</v>
      </c>
      <c r="AW1848" s="1">
        <v>0.9</v>
      </c>
      <c r="AX1848" s="1">
        <v>0.2951</v>
      </c>
      <c r="AY1848" s="1">
        <v>9.8</v>
      </c>
      <c r="AZ1848" s="1">
        <v>11.8</v>
      </c>
      <c r="BA1848" s="1">
        <v>22.3</v>
      </c>
      <c r="BB1848" s="1">
        <v>3.25</v>
      </c>
      <c r="BC1848" s="1" t="s">
        <v>3075</v>
      </c>
      <c r="BD1848" s="1">
        <v>22.5</v>
      </c>
      <c r="BE1848" s="1">
        <v>27.2</v>
      </c>
      <c r="BF1848" s="1">
        <v>33.4</v>
      </c>
      <c r="BG1848" s="1">
        <v>16.8</v>
      </c>
      <c r="BH1848" s="1" t="s">
        <v>3105</v>
      </c>
    </row>
    <row r="1849">
      <c r="A1849" s="1">
        <v>36043.0</v>
      </c>
      <c r="B1849" s="2" t="str">
        <f>IFERROR(__xludf.DUMMYFUNCTION("TO_TEXT(A1849)"),"36043")</f>
        <v>36043</v>
      </c>
      <c r="C1849" s="1">
        <v>63558.0</v>
      </c>
      <c r="D1849" s="1">
        <v>1411.5138336939</v>
      </c>
      <c r="E1849" s="1" t="s">
        <v>3106</v>
      </c>
      <c r="F1849" s="1" t="s">
        <v>3107</v>
      </c>
      <c r="G1849" s="1">
        <v>45.0282515713432</v>
      </c>
      <c r="H1849" s="1">
        <v>16.031260718</v>
      </c>
      <c r="I1849" s="1">
        <v>4.307880145</v>
      </c>
      <c r="J1849" s="1">
        <v>7.1886446886</v>
      </c>
      <c r="K1849" s="1">
        <v>17.827296884</v>
      </c>
      <c r="L1849" s="1">
        <v>32.0</v>
      </c>
      <c r="M1849" s="1">
        <v>7.9</v>
      </c>
      <c r="N1849" s="1">
        <v>28.8</v>
      </c>
      <c r="O1849" s="1">
        <v>73.896061625</v>
      </c>
      <c r="P1849" s="1">
        <v>4.9290591651</v>
      </c>
      <c r="Q1849" s="1">
        <v>32.13368</v>
      </c>
      <c r="R1849" s="1">
        <v>85.034013605</v>
      </c>
      <c r="S1849" s="1">
        <v>20.1</v>
      </c>
      <c r="T1849" s="1">
        <v>12887.0</v>
      </c>
      <c r="U1849" s="1">
        <v>32.8082563819999</v>
      </c>
      <c r="V1849" s="1">
        <v>210.88572002</v>
      </c>
      <c r="W1849" s="1">
        <v>11.355668095</v>
      </c>
      <c r="X1849" s="1">
        <v>9.3978748524</v>
      </c>
      <c r="Y1849" s="1">
        <v>79.247035316</v>
      </c>
      <c r="Z1849" s="1">
        <v>12.4</v>
      </c>
      <c r="AA1849" s="1">
        <v>6.5700996273</v>
      </c>
      <c r="AB1849" s="1">
        <v>53168.0</v>
      </c>
      <c r="AC1849" s="1">
        <v>49.556747291</v>
      </c>
      <c r="AD1849" s="1">
        <v>72.493186348</v>
      </c>
      <c r="AE1849" s="1">
        <v>9.2514932012</v>
      </c>
      <c r="AF1849" s="1">
        <v>1.2097100254</v>
      </c>
      <c r="AG1849" s="1">
        <v>0.3331554348</v>
      </c>
      <c r="AH1849" s="1">
        <v>0.577361603</v>
      </c>
      <c r="AI1849" s="1">
        <v>0.0307279285</v>
      </c>
      <c r="AJ1849" s="1">
        <v>2.2269661831</v>
      </c>
      <c r="AK1849" s="1">
        <v>94.447948506</v>
      </c>
      <c r="AL1849" s="1">
        <v>0.6139211685</v>
      </c>
      <c r="AM1849" s="1">
        <v>50.526417932</v>
      </c>
      <c r="AN1849" s="1">
        <v>51.809544475</v>
      </c>
      <c r="AO1849" s="1">
        <v>24678.0</v>
      </c>
      <c r="AP1849" s="1">
        <v>14.0</v>
      </c>
      <c r="AQ1849" s="1">
        <v>8.8</v>
      </c>
      <c r="AR1849" s="1">
        <v>9.8</v>
      </c>
      <c r="AS1849" s="1">
        <v>18.8</v>
      </c>
      <c r="AT1849" s="1">
        <v>21.2</v>
      </c>
      <c r="AU1849" s="1">
        <v>14.5</v>
      </c>
      <c r="AV1849" s="1">
        <v>5.0</v>
      </c>
      <c r="AW1849" s="1">
        <v>0.6</v>
      </c>
      <c r="AX1849" s="1">
        <v>0.4505</v>
      </c>
      <c r="AY1849" s="1">
        <v>13.7</v>
      </c>
      <c r="AZ1849" s="1">
        <v>11.9</v>
      </c>
      <c r="BA1849" s="1">
        <v>21.3</v>
      </c>
      <c r="BB1849" s="1">
        <v>2.85</v>
      </c>
      <c r="BC1849" s="1" t="s">
        <v>3075</v>
      </c>
      <c r="BD1849" s="1">
        <v>10.2</v>
      </c>
      <c r="BE1849" s="1">
        <v>36.9</v>
      </c>
      <c r="BF1849" s="1">
        <v>31.4</v>
      </c>
      <c r="BG1849" s="1">
        <v>21.5</v>
      </c>
      <c r="BH1849" s="1" t="s">
        <v>3107</v>
      </c>
    </row>
    <row r="1850">
      <c r="A1850" s="1">
        <v>36045.0</v>
      </c>
      <c r="B1850" s="2" t="str">
        <f>IFERROR(__xludf.DUMMYFUNCTION("TO_TEXT(A1850)"),"36045")</f>
        <v>36045</v>
      </c>
      <c r="C1850" s="1">
        <v>117966.0</v>
      </c>
      <c r="D1850" s="1">
        <v>1268.69752089409</v>
      </c>
      <c r="E1850" s="1" t="s">
        <v>132</v>
      </c>
      <c r="F1850" s="1" t="s">
        <v>3108</v>
      </c>
      <c r="G1850" s="1">
        <v>92.9819740775293</v>
      </c>
      <c r="H1850" s="1">
        <v>16.411002872</v>
      </c>
      <c r="I1850" s="1">
        <v>4.0896448604</v>
      </c>
      <c r="J1850" s="1">
        <v>6.6407335371</v>
      </c>
      <c r="K1850" s="1">
        <v>16.019146826</v>
      </c>
      <c r="L1850" s="1">
        <v>34.3</v>
      </c>
      <c r="M1850" s="1">
        <v>7.7</v>
      </c>
      <c r="N1850" s="1">
        <v>27.0</v>
      </c>
      <c r="O1850" s="1">
        <v>59.829302498</v>
      </c>
      <c r="P1850" s="1">
        <v>4.6722394266</v>
      </c>
      <c r="Q1850" s="1">
        <v>50.79387</v>
      </c>
      <c r="R1850" s="1">
        <v>85.7489878539999</v>
      </c>
      <c r="S1850" s="1">
        <v>16.0</v>
      </c>
      <c r="T1850" s="1">
        <v>27475.0</v>
      </c>
      <c r="U1850" s="1">
        <v>31.963603276</v>
      </c>
      <c r="V1850" s="1">
        <v>212.6354006</v>
      </c>
      <c r="W1850" s="1">
        <v>14.137692839</v>
      </c>
      <c r="X1850" s="1">
        <v>12.322995904</v>
      </c>
      <c r="Y1850" s="1">
        <v>78.575161926</v>
      </c>
      <c r="Z1850" s="1">
        <v>11.7</v>
      </c>
      <c r="AA1850" s="1">
        <v>6.3536784148</v>
      </c>
      <c r="AB1850" s="1">
        <v>52798.0</v>
      </c>
      <c r="AC1850" s="1">
        <v>52.135933273</v>
      </c>
      <c r="AD1850" s="1">
        <v>55.719139298</v>
      </c>
      <c r="AE1850" s="1">
        <v>12.314684295</v>
      </c>
      <c r="AF1850" s="1">
        <v>6.2153818621</v>
      </c>
      <c r="AG1850" s="1">
        <v>0.6550042504</v>
      </c>
      <c r="AH1850" s="1">
        <v>1.6795669098</v>
      </c>
      <c r="AI1850" s="1">
        <v>0.3176591651</v>
      </c>
      <c r="AJ1850" s="1">
        <v>7.78578139679999</v>
      </c>
      <c r="AK1850" s="1">
        <v>81.227685562</v>
      </c>
      <c r="AL1850" s="1">
        <v>0.606434469</v>
      </c>
      <c r="AM1850" s="1">
        <v>47.417117802</v>
      </c>
      <c r="AN1850" s="1">
        <v>48.049109947</v>
      </c>
      <c r="AO1850" s="1">
        <v>24172.0</v>
      </c>
      <c r="AP1850" s="1">
        <v>14.6</v>
      </c>
      <c r="AQ1850" s="1">
        <v>9.4</v>
      </c>
      <c r="AR1850" s="1">
        <v>9.8</v>
      </c>
      <c r="AS1850" s="1">
        <v>12.2</v>
      </c>
      <c r="AT1850" s="1">
        <v>24.8</v>
      </c>
      <c r="AU1850" s="1">
        <v>13.5</v>
      </c>
      <c r="AV1850" s="1">
        <v>17.5</v>
      </c>
      <c r="AW1850" s="1">
        <v>0.6</v>
      </c>
      <c r="AX1850" s="1">
        <v>0.6759</v>
      </c>
      <c r="AY1850" s="1">
        <v>14.6</v>
      </c>
      <c r="AZ1850" s="1">
        <v>12.7</v>
      </c>
      <c r="BA1850" s="1">
        <v>20.9</v>
      </c>
      <c r="BB1850" s="1">
        <v>2.84</v>
      </c>
      <c r="BC1850" s="1" t="s">
        <v>3075</v>
      </c>
      <c r="BD1850" s="1">
        <v>9.0</v>
      </c>
      <c r="BE1850" s="1">
        <v>34.7</v>
      </c>
      <c r="BF1850" s="1">
        <v>34.1</v>
      </c>
      <c r="BG1850" s="1">
        <v>22.2</v>
      </c>
      <c r="BH1850" s="1" t="s">
        <v>3108</v>
      </c>
    </row>
    <row r="1851">
      <c r="A1851" s="1">
        <v>36047.0</v>
      </c>
      <c r="B1851" s="2" t="str">
        <f>IFERROR(__xludf.DUMMYFUNCTION("TO_TEXT(A1851)"),"36047")</f>
        <v>36047</v>
      </c>
      <c r="C1851" s="1">
        <v>2606852.0</v>
      </c>
      <c r="D1851" s="1">
        <v>69.812633128328</v>
      </c>
      <c r="E1851" s="1" t="s">
        <v>448</v>
      </c>
      <c r="F1851" s="1" t="s">
        <v>3109</v>
      </c>
      <c r="G1851" s="1">
        <v>37340.691550885</v>
      </c>
      <c r="H1851" s="1">
        <v>18.130732021</v>
      </c>
      <c r="I1851" s="1">
        <v>3.828861984</v>
      </c>
      <c r="J1851" s="1">
        <v>7.7775562249</v>
      </c>
      <c r="K1851" s="1">
        <v>13.840801998</v>
      </c>
      <c r="L1851" s="1">
        <v>22.6</v>
      </c>
      <c r="M1851" s="1">
        <v>7.5</v>
      </c>
      <c r="N1851" s="1">
        <v>25.7</v>
      </c>
      <c r="O1851" s="1">
        <v>100.0</v>
      </c>
      <c r="P1851" s="1">
        <v>7.9661615942</v>
      </c>
      <c r="Q1851" s="1">
        <v>64.36948</v>
      </c>
      <c r="R1851" s="1">
        <v>74.465142014</v>
      </c>
      <c r="S1851" s="1">
        <v>26.0</v>
      </c>
      <c r="T1851" s="1">
        <v>594609.0</v>
      </c>
      <c r="U1851" s="1">
        <v>36.293093445</v>
      </c>
      <c r="V1851" s="1">
        <v>586.18548775</v>
      </c>
      <c r="W1851" s="1">
        <v>34.424081678</v>
      </c>
      <c r="X1851" s="1">
        <v>27.074190576</v>
      </c>
      <c r="Y1851" s="1">
        <v>82.635072827</v>
      </c>
      <c r="Z1851" s="1">
        <v>9.7</v>
      </c>
      <c r="AA1851" s="1">
        <v>0.005267366</v>
      </c>
      <c r="AB1851" s="1">
        <v>60862.0</v>
      </c>
      <c r="AC1851" s="1">
        <v>76.374966468</v>
      </c>
      <c r="AD1851" s="1">
        <v>30.0076983269999</v>
      </c>
      <c r="AE1851" s="1">
        <v>27.760053916</v>
      </c>
      <c r="AF1851" s="1">
        <v>29.949357875</v>
      </c>
      <c r="AG1851" s="1">
        <v>0.9230572666</v>
      </c>
      <c r="AH1851" s="1">
        <v>12.66091845</v>
      </c>
      <c r="AI1851" s="1">
        <v>0.1146416915</v>
      </c>
      <c r="AJ1851" s="1">
        <v>19.075974803</v>
      </c>
      <c r="AK1851" s="1">
        <v>36.425858458</v>
      </c>
      <c r="AL1851" s="1">
        <v>12.0306405809999</v>
      </c>
      <c r="AM1851" s="1">
        <v>52.61925872</v>
      </c>
      <c r="AN1851" s="1">
        <v>0.0014772228</v>
      </c>
      <c r="AO1851" s="1">
        <v>28134.0</v>
      </c>
      <c r="AP1851" s="1">
        <v>22.7</v>
      </c>
      <c r="AQ1851" s="1">
        <v>9.0</v>
      </c>
      <c r="AR1851" s="1">
        <v>20.0</v>
      </c>
      <c r="AS1851" s="1">
        <v>12.2</v>
      </c>
      <c r="AT1851" s="1">
        <v>23.3</v>
      </c>
      <c r="AU1851" s="1">
        <v>10.1</v>
      </c>
      <c r="AV1851" s="1">
        <v>64.2</v>
      </c>
      <c r="AW1851" s="1">
        <v>12.5</v>
      </c>
      <c r="AX1851" s="1">
        <v>0.8322</v>
      </c>
      <c r="AY1851" s="1">
        <v>17.7</v>
      </c>
      <c r="AZ1851" s="1">
        <v>14.3</v>
      </c>
      <c r="BA1851" s="1">
        <v>19.6</v>
      </c>
      <c r="BB1851" s="1">
        <v>3.88</v>
      </c>
      <c r="BC1851" s="1" t="s">
        <v>3075</v>
      </c>
      <c r="BD1851" s="1">
        <v>17.6</v>
      </c>
      <c r="BE1851" s="1">
        <v>25.7</v>
      </c>
      <c r="BF1851" s="1">
        <v>19.2</v>
      </c>
      <c r="BG1851" s="1">
        <v>37.5</v>
      </c>
      <c r="BH1851" s="1" t="s">
        <v>3109</v>
      </c>
    </row>
    <row r="1852">
      <c r="A1852" s="1">
        <v>36049.0</v>
      </c>
      <c r="B1852" s="2" t="str">
        <f>IFERROR(__xludf.DUMMYFUNCTION("TO_TEXT(A1852)"),"36049")</f>
        <v>36049</v>
      </c>
      <c r="C1852" s="1">
        <v>27107.0</v>
      </c>
      <c r="D1852" s="1">
        <v>1274.64128820996</v>
      </c>
      <c r="E1852" s="1" t="s">
        <v>1126</v>
      </c>
      <c r="F1852" s="1" t="s">
        <v>3110</v>
      </c>
      <c r="G1852" s="1">
        <v>21.266375293764</v>
      </c>
      <c r="H1852" s="1">
        <v>14.0433447679999</v>
      </c>
      <c r="I1852" s="1">
        <v>4.1991774302</v>
      </c>
      <c r="J1852" s="1">
        <v>7.22053066549999</v>
      </c>
      <c r="K1852" s="1">
        <v>15.685666859</v>
      </c>
      <c r="L1852" s="1">
        <v>38.5</v>
      </c>
      <c r="M1852" s="1">
        <v>8.0</v>
      </c>
      <c r="N1852" s="1">
        <v>29.1</v>
      </c>
      <c r="O1852" s="1">
        <v>57.82109499</v>
      </c>
      <c r="P1852" s="1">
        <v>5.81709832679999</v>
      </c>
      <c r="Q1852" s="1">
        <v>64.02772</v>
      </c>
      <c r="R1852" s="1">
        <v>91.666666667</v>
      </c>
      <c r="S1852" s="1">
        <v>18.0</v>
      </c>
      <c r="T1852" s="1">
        <v>6098.0</v>
      </c>
      <c r="U1852" s="1">
        <v>27.53361758</v>
      </c>
      <c r="V1852" s="1">
        <v>131.55700495</v>
      </c>
      <c r="W1852" s="1">
        <v>12.1785541</v>
      </c>
      <c r="X1852" s="1">
        <v>11.0029498529999</v>
      </c>
      <c r="Y1852" s="1">
        <v>79.5497524519999</v>
      </c>
      <c r="Z1852" s="1">
        <v>11.6</v>
      </c>
      <c r="AA1852" s="1">
        <v>6.3010446725</v>
      </c>
      <c r="AB1852" s="1">
        <v>52660.0</v>
      </c>
      <c r="AC1852" s="1">
        <v>45.650575839</v>
      </c>
      <c r="AD1852" s="1">
        <v>79.193516891</v>
      </c>
      <c r="AE1852" s="1">
        <v>12.109296229</v>
      </c>
      <c r="AF1852" s="1">
        <v>0.6503573184</v>
      </c>
      <c r="AG1852" s="1">
        <v>0.340303247999999</v>
      </c>
      <c r="AH1852" s="1">
        <v>0.434831928</v>
      </c>
      <c r="AI1852" s="1">
        <v>0.120996710399999</v>
      </c>
      <c r="AJ1852" s="1">
        <v>1.7884826256</v>
      </c>
      <c r="AK1852" s="1">
        <v>95.787802019</v>
      </c>
      <c r="AL1852" s="1">
        <v>0.5267778753</v>
      </c>
      <c r="AM1852" s="1">
        <v>49.340189814</v>
      </c>
      <c r="AN1852" s="1">
        <v>86.849780337</v>
      </c>
      <c r="AO1852" s="1">
        <v>25230.0</v>
      </c>
      <c r="AP1852" s="1">
        <v>14.0</v>
      </c>
      <c r="AQ1852" s="1">
        <v>7.9</v>
      </c>
      <c r="AR1852" s="1">
        <v>10.9</v>
      </c>
      <c r="AS1852" s="1">
        <v>16.6</v>
      </c>
      <c r="AT1852" s="1">
        <v>23.4</v>
      </c>
      <c r="AU1852" s="1">
        <v>14.1</v>
      </c>
      <c r="AV1852" s="1">
        <v>4.1</v>
      </c>
      <c r="AW1852" s="1">
        <v>0.5</v>
      </c>
      <c r="AX1852" s="1">
        <v>0.2786</v>
      </c>
      <c r="AY1852" s="1">
        <v>12.4</v>
      </c>
      <c r="AZ1852" s="1">
        <v>11.4</v>
      </c>
      <c r="BA1852" s="1">
        <v>22.3</v>
      </c>
      <c r="BB1852" s="1">
        <v>3.03</v>
      </c>
      <c r="BC1852" s="1" t="s">
        <v>3075</v>
      </c>
      <c r="BD1852" s="1">
        <v>9.9</v>
      </c>
      <c r="BE1852" s="1">
        <v>44.7</v>
      </c>
      <c r="BF1852" s="1">
        <v>27.1</v>
      </c>
      <c r="BG1852" s="1">
        <v>18.4</v>
      </c>
      <c r="BH1852" s="1" t="s">
        <v>3110</v>
      </c>
    </row>
    <row r="1853">
      <c r="A1853" s="1">
        <v>36051.0</v>
      </c>
      <c r="B1853" s="2" t="str">
        <f>IFERROR(__xludf.DUMMYFUNCTION("TO_TEXT(A1853)"),"36051")</f>
        <v>36051</v>
      </c>
      <c r="C1853" s="1">
        <v>64622.0</v>
      </c>
      <c r="D1853" s="1">
        <v>631.761954653546</v>
      </c>
      <c r="E1853" s="1" t="s">
        <v>1231</v>
      </c>
      <c r="F1853" s="1" t="s">
        <v>3111</v>
      </c>
      <c r="G1853" s="1">
        <v>102.288527385981</v>
      </c>
      <c r="H1853" s="1">
        <v>15.448696277</v>
      </c>
      <c r="I1853" s="1">
        <v>4.3188486656</v>
      </c>
      <c r="J1853" s="1">
        <v>6.2045835662</v>
      </c>
      <c r="K1853" s="1">
        <v>15.326099779</v>
      </c>
      <c r="L1853" s="1">
        <v>35.5</v>
      </c>
      <c r="M1853" s="1">
        <v>8.2</v>
      </c>
      <c r="N1853" s="1">
        <v>22.8</v>
      </c>
      <c r="O1853" s="1">
        <v>74.449864664</v>
      </c>
      <c r="P1853" s="1">
        <v>4.4152669182</v>
      </c>
      <c r="Q1853" s="1">
        <v>42.32041</v>
      </c>
      <c r="R1853" s="1">
        <v>89.2802450229999</v>
      </c>
      <c r="S1853" s="1">
        <v>14.1</v>
      </c>
      <c r="T1853" s="1">
        <v>11368.0</v>
      </c>
      <c r="U1853" s="1">
        <v>32.21323012</v>
      </c>
      <c r="V1853" s="1">
        <v>122.64985794</v>
      </c>
      <c r="W1853" s="1">
        <v>14.474499277</v>
      </c>
      <c r="X1853" s="1">
        <v>12.617114304</v>
      </c>
      <c r="Y1853" s="1">
        <v>79.988364043</v>
      </c>
      <c r="Z1853" s="1">
        <v>11.9</v>
      </c>
      <c r="AA1853" s="1">
        <v>5.2429372297</v>
      </c>
      <c r="AB1853" s="1">
        <v>61027.0</v>
      </c>
      <c r="AC1853" s="1">
        <v>40.632082599</v>
      </c>
      <c r="AD1853" s="1">
        <v>73.42410696</v>
      </c>
      <c r="AE1853" s="1">
        <v>14.166353344</v>
      </c>
      <c r="AF1853" s="1">
        <v>2.5337276796</v>
      </c>
      <c r="AG1853" s="1">
        <v>0.3700950543</v>
      </c>
      <c r="AH1853" s="1">
        <v>1.358596802</v>
      </c>
      <c r="AI1853" s="1">
        <v>0.0506112895</v>
      </c>
      <c r="AJ1853" s="1">
        <v>3.6535024594</v>
      </c>
      <c r="AK1853" s="1">
        <v>90.7428788329999</v>
      </c>
      <c r="AL1853" s="1">
        <v>0.531888778</v>
      </c>
      <c r="AM1853" s="1">
        <v>49.76829519</v>
      </c>
      <c r="AN1853" s="1">
        <v>54.652638662</v>
      </c>
      <c r="AO1853" s="1">
        <v>24596.0</v>
      </c>
      <c r="AP1853" s="1">
        <v>14.9</v>
      </c>
      <c r="AQ1853" s="1">
        <v>5.1</v>
      </c>
      <c r="AR1853" s="1">
        <v>11.0</v>
      </c>
      <c r="AS1853" s="1">
        <v>15.8</v>
      </c>
      <c r="AT1853" s="1">
        <v>18.7</v>
      </c>
      <c r="AU1853" s="1">
        <v>12.7</v>
      </c>
      <c r="AV1853" s="1">
        <v>8.9</v>
      </c>
      <c r="AW1853" s="1">
        <v>0.5</v>
      </c>
      <c r="AX1853" s="1">
        <v>0.3543</v>
      </c>
      <c r="AY1853" s="1">
        <v>13.8</v>
      </c>
      <c r="AZ1853" s="1">
        <v>9.9</v>
      </c>
      <c r="BA1853" s="1">
        <v>17.9</v>
      </c>
      <c r="BB1853" s="1">
        <v>3.0</v>
      </c>
      <c r="BC1853" s="1" t="s">
        <v>3075</v>
      </c>
      <c r="BD1853" s="1">
        <v>9.4</v>
      </c>
      <c r="BE1853" s="1">
        <v>31.9</v>
      </c>
      <c r="BF1853" s="1">
        <v>32.2</v>
      </c>
      <c r="BG1853" s="1">
        <v>26.5</v>
      </c>
      <c r="BH1853" s="1" t="s">
        <v>3111</v>
      </c>
    </row>
    <row r="1854">
      <c r="A1854" s="1">
        <v>36053.0</v>
      </c>
      <c r="B1854" s="2" t="str">
        <f>IFERROR(__xludf.DUMMYFUNCTION("TO_TEXT(A1854)"),"36053")</f>
        <v>36053</v>
      </c>
      <c r="C1854" s="1">
        <v>72089.0</v>
      </c>
      <c r="D1854" s="1">
        <v>654.864343113018</v>
      </c>
      <c r="E1854" s="1" t="s">
        <v>148</v>
      </c>
      <c r="F1854" s="1" t="s">
        <v>3112</v>
      </c>
      <c r="G1854" s="1">
        <v>110.082341111003</v>
      </c>
      <c r="H1854" s="1">
        <v>13.1267960409999</v>
      </c>
      <c r="I1854" s="1">
        <v>3.9456235054</v>
      </c>
      <c r="J1854" s="1">
        <v>6.7567567568</v>
      </c>
      <c r="K1854" s="1">
        <v>15.15958424</v>
      </c>
      <c r="L1854" s="1">
        <v>30.3</v>
      </c>
      <c r="M1854" s="1">
        <v>8.7</v>
      </c>
      <c r="N1854" s="1">
        <v>23.7</v>
      </c>
      <c r="O1854" s="1">
        <v>73.873260532</v>
      </c>
      <c r="P1854" s="1">
        <v>4.9842631279</v>
      </c>
      <c r="Q1854" s="1">
        <v>56.36581</v>
      </c>
      <c r="R1854" s="1">
        <v>85.696202532</v>
      </c>
      <c r="S1854" s="1">
        <v>14.3</v>
      </c>
      <c r="T1854" s="1">
        <v>13854.0</v>
      </c>
      <c r="U1854" s="1">
        <v>29.702612964</v>
      </c>
      <c r="V1854" s="1">
        <v>151.42316844</v>
      </c>
      <c r="W1854" s="1">
        <v>11.696018377</v>
      </c>
      <c r="X1854" s="1">
        <v>10.221101629</v>
      </c>
      <c r="Y1854" s="1">
        <v>80.934118024</v>
      </c>
      <c r="Z1854" s="1">
        <v>10.1</v>
      </c>
      <c r="AA1854" s="1">
        <v>1.3112847181</v>
      </c>
      <c r="AB1854" s="1">
        <v>59114.0</v>
      </c>
      <c r="AC1854" s="1">
        <v>43.4367803489999</v>
      </c>
      <c r="AD1854" s="1">
        <v>76.711749789</v>
      </c>
      <c r="AE1854" s="1">
        <v>10.772518601</v>
      </c>
      <c r="AF1854" s="1">
        <v>1.6583092026</v>
      </c>
      <c r="AG1854" s="1">
        <v>0.7528780281</v>
      </c>
      <c r="AH1854" s="1">
        <v>0.9011935871</v>
      </c>
      <c r="AI1854" s="1">
        <v>0.0367257575</v>
      </c>
      <c r="AJ1854" s="1">
        <v>2.3363231867</v>
      </c>
      <c r="AK1854" s="1">
        <v>93.043294018</v>
      </c>
      <c r="AL1854" s="1">
        <v>0.2836566725</v>
      </c>
      <c r="AM1854" s="1">
        <v>50.656119782</v>
      </c>
      <c r="AN1854" s="1">
        <v>58.945834808</v>
      </c>
      <c r="AO1854" s="1">
        <v>26824.0</v>
      </c>
      <c r="AP1854" s="1">
        <v>11.9</v>
      </c>
      <c r="AQ1854" s="1">
        <v>4.9</v>
      </c>
      <c r="AR1854" s="1">
        <v>9.6</v>
      </c>
      <c r="AS1854" s="1">
        <v>15.9</v>
      </c>
      <c r="AT1854" s="1">
        <v>20.3</v>
      </c>
      <c r="AU1854" s="1">
        <v>11.5</v>
      </c>
      <c r="AV1854" s="1">
        <v>6.5</v>
      </c>
      <c r="AW1854" s="1">
        <v>0.2</v>
      </c>
      <c r="AX1854" s="1">
        <v>0.1617</v>
      </c>
      <c r="AY1854" s="1">
        <v>9.8</v>
      </c>
      <c r="AZ1854" s="1">
        <v>9.5</v>
      </c>
      <c r="BA1854" s="1">
        <v>17.1</v>
      </c>
      <c r="BB1854" s="1">
        <v>2.87</v>
      </c>
      <c r="BC1854" s="1" t="s">
        <v>3075</v>
      </c>
      <c r="BD1854" s="1">
        <v>8.0</v>
      </c>
      <c r="BE1854" s="1">
        <v>34.8</v>
      </c>
      <c r="BF1854" s="1">
        <v>31.0</v>
      </c>
      <c r="BG1854" s="1">
        <v>26.2</v>
      </c>
      <c r="BH1854" s="1" t="s">
        <v>3112</v>
      </c>
    </row>
    <row r="1855">
      <c r="A1855" s="1">
        <v>36055.0</v>
      </c>
      <c r="B1855" s="2" t="str">
        <f>IFERROR(__xludf.DUMMYFUNCTION("TO_TEXT(A1855)"),"36055")</f>
        <v>36055</v>
      </c>
      <c r="C1855" s="1">
        <v>749236.0</v>
      </c>
      <c r="D1855" s="1">
        <v>657.209815079212</v>
      </c>
      <c r="E1855" s="1" t="s">
        <v>158</v>
      </c>
      <c r="F1855" s="1" t="s">
        <v>3113</v>
      </c>
      <c r="G1855" s="1">
        <v>1140.02557906062</v>
      </c>
      <c r="H1855" s="1">
        <v>13.777389444</v>
      </c>
      <c r="I1855" s="1">
        <v>4.1152186039</v>
      </c>
      <c r="J1855" s="1">
        <v>8.4897198234</v>
      </c>
      <c r="K1855" s="1">
        <v>15.151442269</v>
      </c>
      <c r="L1855" s="1">
        <v>29.4</v>
      </c>
      <c r="M1855" s="1">
        <v>7.9</v>
      </c>
      <c r="N1855" s="1">
        <v>23.2</v>
      </c>
      <c r="O1855" s="1">
        <v>94.824973399</v>
      </c>
      <c r="P1855" s="1">
        <v>4.6771624043</v>
      </c>
      <c r="Q1855" s="1">
        <v>103.12422</v>
      </c>
      <c r="R1855" s="1">
        <v>82.992070067</v>
      </c>
      <c r="S1855" s="1">
        <v>18.9</v>
      </c>
      <c r="T1855" s="1">
        <v>155642.0</v>
      </c>
      <c r="U1855" s="1">
        <v>41.094306164</v>
      </c>
      <c r="V1855" s="1">
        <v>326.25708471</v>
      </c>
      <c r="W1855" s="1">
        <v>16.492390689</v>
      </c>
      <c r="X1855" s="1">
        <v>15.436366089</v>
      </c>
      <c r="Y1855" s="1">
        <v>79.8842562339999</v>
      </c>
      <c r="Z1855" s="1">
        <v>9.4</v>
      </c>
      <c r="AA1855" s="1">
        <v>5.7833766299</v>
      </c>
      <c r="AB1855" s="1">
        <v>60240.0</v>
      </c>
      <c r="AC1855" s="1">
        <v>49.978745818</v>
      </c>
      <c r="AD1855" s="1">
        <v>63.7505152989999</v>
      </c>
      <c r="AE1855" s="1">
        <v>15.854748034</v>
      </c>
      <c r="AF1855" s="1">
        <v>14.626640125</v>
      </c>
      <c r="AG1855" s="1">
        <v>0.414694656</v>
      </c>
      <c r="AH1855" s="1">
        <v>3.7135307095</v>
      </c>
      <c r="AI1855" s="1">
        <v>0.0713829709999999</v>
      </c>
      <c r="AJ1855" s="1">
        <v>9.0325048419</v>
      </c>
      <c r="AK1855" s="1">
        <v>70.276130881</v>
      </c>
      <c r="AL1855" s="1">
        <v>2.5399450369</v>
      </c>
      <c r="AM1855" s="1">
        <v>51.733663401</v>
      </c>
      <c r="AN1855" s="1">
        <v>6.44997474289999</v>
      </c>
      <c r="AO1855" s="1">
        <v>30194.0</v>
      </c>
      <c r="AP1855" s="1">
        <v>14.9</v>
      </c>
      <c r="AQ1855" s="1">
        <v>7.3</v>
      </c>
      <c r="AR1855" s="1">
        <v>9.6</v>
      </c>
      <c r="AS1855" s="1">
        <v>15.5</v>
      </c>
      <c r="AT1855" s="1">
        <v>21.5</v>
      </c>
      <c r="AU1855" s="1">
        <v>13.0</v>
      </c>
      <c r="AV1855" s="1">
        <v>28.7</v>
      </c>
      <c r="AW1855" s="1">
        <v>2.3</v>
      </c>
      <c r="AX1855" s="1">
        <v>0.4801</v>
      </c>
      <c r="AY1855" s="1">
        <v>12.7</v>
      </c>
      <c r="AZ1855" s="1">
        <v>11.3</v>
      </c>
      <c r="BA1855" s="1">
        <v>18.9</v>
      </c>
      <c r="BB1855" s="1">
        <v>3.15</v>
      </c>
      <c r="BC1855" s="1" t="s">
        <v>3075</v>
      </c>
      <c r="BD1855" s="1">
        <v>9.6</v>
      </c>
      <c r="BE1855" s="1">
        <v>23.4</v>
      </c>
      <c r="BF1855" s="1">
        <v>28.4</v>
      </c>
      <c r="BG1855" s="1">
        <v>38.6</v>
      </c>
      <c r="BH1855" s="1" t="s">
        <v>3113</v>
      </c>
    </row>
    <row r="1856">
      <c r="A1856" s="1">
        <v>36057.0</v>
      </c>
      <c r="B1856" s="2" t="str">
        <f>IFERROR(__xludf.DUMMYFUNCTION("TO_TEXT(A1856)"),"36057")</f>
        <v>36057</v>
      </c>
      <c r="C1856" s="1">
        <v>49667.0</v>
      </c>
      <c r="D1856" s="1">
        <v>403.116639460664</v>
      </c>
      <c r="E1856" s="1" t="s">
        <v>160</v>
      </c>
      <c r="F1856" s="1" t="s">
        <v>3114</v>
      </c>
      <c r="G1856" s="1">
        <v>123.207516480713</v>
      </c>
      <c r="H1856" s="1">
        <v>17.282144099</v>
      </c>
      <c r="I1856" s="1">
        <v>4.4826021488</v>
      </c>
      <c r="J1856" s="1">
        <v>7.2919165267</v>
      </c>
      <c r="K1856" s="1">
        <v>16.537127488</v>
      </c>
      <c r="L1856" s="1">
        <v>35.1</v>
      </c>
      <c r="M1856" s="1">
        <v>7.8</v>
      </c>
      <c r="N1856" s="1">
        <v>30.8</v>
      </c>
      <c r="O1856" s="1">
        <v>60.626456122</v>
      </c>
      <c r="P1856" s="1">
        <v>6.19339907429999</v>
      </c>
      <c r="Q1856" s="1">
        <v>52.7833</v>
      </c>
      <c r="R1856" s="1">
        <v>76.026272578</v>
      </c>
      <c r="S1856" s="1">
        <v>24.7</v>
      </c>
      <c r="T1856" s="1">
        <v>11102.0</v>
      </c>
      <c r="U1856" s="1">
        <v>40.893532697</v>
      </c>
      <c r="V1856" s="1">
        <v>142.33654011</v>
      </c>
      <c r="W1856" s="1">
        <v>16.786079836</v>
      </c>
      <c r="X1856" s="1">
        <v>14.67800103</v>
      </c>
      <c r="Y1856" s="1">
        <v>77.675119611</v>
      </c>
      <c r="Z1856" s="1">
        <v>11.3</v>
      </c>
      <c r="AA1856" s="1">
        <v>7.8890155135</v>
      </c>
      <c r="AB1856" s="1">
        <v>43799.0</v>
      </c>
      <c r="AC1856" s="1">
        <v>56.789466684</v>
      </c>
      <c r="AD1856" s="1">
        <v>68.014238495</v>
      </c>
      <c r="AE1856" s="1">
        <v>15.4675502259999</v>
      </c>
      <c r="AF1856" s="1">
        <v>2.0382165605</v>
      </c>
      <c r="AG1856" s="1">
        <v>0.6086341118</v>
      </c>
      <c r="AH1856" s="1">
        <v>0.9038519867</v>
      </c>
      <c r="AI1856" s="1">
        <v>0.1314326155</v>
      </c>
      <c r="AJ1856" s="1">
        <v>14.900414518</v>
      </c>
      <c r="AK1856" s="1">
        <v>80.50955414</v>
      </c>
      <c r="AL1856" s="1">
        <v>1.8322124504</v>
      </c>
      <c r="AM1856" s="1">
        <v>50.76332019</v>
      </c>
      <c r="AN1856" s="1">
        <v>40.938688544</v>
      </c>
      <c r="AO1856" s="1">
        <v>23885.0</v>
      </c>
      <c r="AP1856" s="1">
        <v>20.6</v>
      </c>
      <c r="AQ1856" s="1">
        <v>8.4</v>
      </c>
      <c r="AR1856" s="1">
        <v>15.5</v>
      </c>
      <c r="AS1856" s="1">
        <v>17.7</v>
      </c>
      <c r="AT1856" s="1">
        <v>22.8</v>
      </c>
      <c r="AU1856" s="1">
        <v>15.2</v>
      </c>
      <c r="AV1856" s="1">
        <v>16.7</v>
      </c>
      <c r="AW1856" s="1">
        <v>1.8</v>
      </c>
      <c r="AX1856" s="1">
        <v>0.7934</v>
      </c>
      <c r="AY1856" s="1">
        <v>15.9</v>
      </c>
      <c r="AZ1856" s="1">
        <v>13.6</v>
      </c>
      <c r="BA1856" s="1">
        <v>23.4</v>
      </c>
      <c r="BB1856" s="1">
        <v>2.98</v>
      </c>
      <c r="BC1856" s="1" t="s">
        <v>3075</v>
      </c>
      <c r="BD1856" s="1">
        <v>13.2</v>
      </c>
      <c r="BE1856" s="1">
        <v>35.4</v>
      </c>
      <c r="BF1856" s="1">
        <v>33.6</v>
      </c>
      <c r="BG1856" s="1">
        <v>17.8</v>
      </c>
      <c r="BH1856" s="1" t="s">
        <v>3114</v>
      </c>
    </row>
    <row r="1857">
      <c r="A1857" s="1">
        <v>36059.0</v>
      </c>
      <c r="B1857" s="2" t="str">
        <f>IFERROR(__xludf.DUMMYFUNCTION("TO_TEXT(A1857)"),"36059")</f>
        <v>36059</v>
      </c>
      <c r="C1857" s="1">
        <v>1356801.0</v>
      </c>
      <c r="D1857" s="1">
        <v>284.807778908528</v>
      </c>
      <c r="E1857" s="1" t="s">
        <v>755</v>
      </c>
      <c r="F1857" s="1" t="s">
        <v>3115</v>
      </c>
      <c r="G1857" s="1">
        <v>4763.91833537582</v>
      </c>
      <c r="H1857" s="1">
        <v>12.054411759</v>
      </c>
      <c r="I1857" s="1">
        <v>3.4601849726</v>
      </c>
      <c r="J1857" s="1">
        <v>7.8873580376</v>
      </c>
      <c r="K1857" s="1">
        <v>11.225364644</v>
      </c>
      <c r="L1857" s="1">
        <v>23.6</v>
      </c>
      <c r="M1857" s="1">
        <v>9.7</v>
      </c>
      <c r="N1857" s="1">
        <v>22.8</v>
      </c>
      <c r="O1857" s="1">
        <v>98.858183306</v>
      </c>
      <c r="P1857" s="1">
        <v>5.3276810164</v>
      </c>
      <c r="Q1857" s="1">
        <v>139.68459</v>
      </c>
      <c r="R1857" s="1">
        <v>90.769602513</v>
      </c>
      <c r="S1857" s="1">
        <v>7.6</v>
      </c>
      <c r="T1857" s="1">
        <v>293755.0</v>
      </c>
      <c r="U1857" s="1">
        <v>19.238140627</v>
      </c>
      <c r="V1857" s="1">
        <v>143.66338688</v>
      </c>
      <c r="W1857" s="1">
        <v>21.324080594</v>
      </c>
      <c r="X1857" s="1">
        <v>19.167410255</v>
      </c>
      <c r="Y1857" s="1">
        <v>82.882055332</v>
      </c>
      <c r="Z1857" s="1">
        <v>8.6</v>
      </c>
      <c r="AA1857" s="1">
        <v>0.4682879003</v>
      </c>
      <c r="AB1857" s="1">
        <v>115301.0</v>
      </c>
      <c r="AC1857" s="1">
        <v>29.672538931</v>
      </c>
      <c r="AD1857" s="1">
        <v>80.64810097</v>
      </c>
      <c r="AE1857" s="1">
        <v>18.967395783</v>
      </c>
      <c r="AF1857" s="1">
        <v>11.6331442059999</v>
      </c>
      <c r="AG1857" s="1">
        <v>0.5429409214</v>
      </c>
      <c r="AH1857" s="1">
        <v>10.450453236</v>
      </c>
      <c r="AI1857" s="1">
        <v>0.0999747486</v>
      </c>
      <c r="AJ1857" s="1">
        <v>17.231362034</v>
      </c>
      <c r="AK1857" s="1">
        <v>59.333835416</v>
      </c>
      <c r="AL1857" s="1">
        <v>5.3660427209</v>
      </c>
      <c r="AM1857" s="1">
        <v>51.306334262</v>
      </c>
      <c r="AN1857" s="1">
        <v>0.1922313166</v>
      </c>
      <c r="AO1857" s="1">
        <v>44548.0</v>
      </c>
      <c r="AP1857" s="1">
        <v>6.0</v>
      </c>
      <c r="AQ1857" s="1">
        <v>5.8</v>
      </c>
      <c r="AR1857" s="1">
        <v>9.1</v>
      </c>
      <c r="AS1857" s="1">
        <v>16.4</v>
      </c>
      <c r="AT1857" s="1">
        <v>22.1</v>
      </c>
      <c r="AU1857" s="1">
        <v>8.4</v>
      </c>
      <c r="AV1857" s="1">
        <v>37.8</v>
      </c>
      <c r="AW1857" s="1">
        <v>5.6</v>
      </c>
      <c r="AX1857" s="1">
        <v>0.2592</v>
      </c>
      <c r="AY1857" s="1">
        <v>5.6</v>
      </c>
      <c r="AZ1857" s="1">
        <v>5.3</v>
      </c>
      <c r="BA1857" s="1">
        <v>9.5</v>
      </c>
      <c r="BB1857" s="1">
        <v>3.83</v>
      </c>
      <c r="BC1857" s="1" t="s">
        <v>3075</v>
      </c>
      <c r="BD1857" s="1">
        <v>8.6</v>
      </c>
      <c r="BE1857" s="1">
        <v>22.7</v>
      </c>
      <c r="BF1857" s="1">
        <v>22.8</v>
      </c>
      <c r="BG1857" s="1">
        <v>46.0</v>
      </c>
      <c r="BH1857" s="1" t="s">
        <v>3115</v>
      </c>
    </row>
    <row r="1858">
      <c r="A1858" s="1">
        <v>36061.0</v>
      </c>
      <c r="B1858" s="2" t="str">
        <f>IFERROR(__xludf.DUMMYFUNCTION("TO_TEXT(A1858)"),"36061")</f>
        <v>36061</v>
      </c>
      <c r="C1858" s="1">
        <v>1634989.0</v>
      </c>
      <c r="D1858" s="1">
        <v>22.65543253715</v>
      </c>
      <c r="E1858" s="1" t="s">
        <v>3116</v>
      </c>
      <c r="F1858" s="1" t="s">
        <v>3117</v>
      </c>
      <c r="G1858" s="1">
        <v>72167.635613179</v>
      </c>
      <c r="H1858" s="1">
        <v>15.610279804</v>
      </c>
      <c r="I1858" s="1">
        <v>3.9712614605</v>
      </c>
      <c r="J1858" s="1">
        <v>8.287009659</v>
      </c>
      <c r="K1858" s="1">
        <v>12.41823421</v>
      </c>
      <c r="L1858" s="1">
        <v>14.6</v>
      </c>
      <c r="M1858" s="1">
        <v>8.3</v>
      </c>
      <c r="N1858" s="1">
        <v>17.5</v>
      </c>
      <c r="O1858" s="1">
        <v>100.0</v>
      </c>
      <c r="P1858" s="1">
        <v>6.1557281321</v>
      </c>
      <c r="Q1858" s="1">
        <v>132.69443</v>
      </c>
      <c r="R1858" s="1">
        <v>74.536495226</v>
      </c>
      <c r="S1858" s="1">
        <v>19.7</v>
      </c>
      <c r="T1858" s="1">
        <v>233194.0</v>
      </c>
      <c r="U1858" s="1">
        <v>39.575203479</v>
      </c>
      <c r="V1858" s="1">
        <v>586.40744787</v>
      </c>
      <c r="W1858" s="1">
        <v>24.378637748</v>
      </c>
      <c r="X1858" s="1">
        <v>19.6107672809999</v>
      </c>
      <c r="Y1858" s="1">
        <v>84.857972046</v>
      </c>
      <c r="Z1858" s="1">
        <v>6.5</v>
      </c>
      <c r="AA1858" s="1">
        <v>0.0</v>
      </c>
      <c r="AB1858" s="1">
        <v>84610.0</v>
      </c>
      <c r="AC1858" s="1">
        <v>67.548734586</v>
      </c>
      <c r="AD1858" s="1">
        <v>24.131517821</v>
      </c>
      <c r="AE1858" s="1">
        <v>19.596620333</v>
      </c>
      <c r="AF1858" s="1">
        <v>12.456736995</v>
      </c>
      <c r="AG1858" s="1">
        <v>1.1788535772</v>
      </c>
      <c r="AH1858" s="1">
        <v>12.817576707</v>
      </c>
      <c r="AI1858" s="1">
        <v>0.1793453802</v>
      </c>
      <c r="AJ1858" s="1">
        <v>25.850171394</v>
      </c>
      <c r="AK1858" s="1">
        <v>46.9829637239999</v>
      </c>
      <c r="AL1858" s="1">
        <v>9.2786021746</v>
      </c>
      <c r="AM1858" s="1">
        <v>52.6523898489999</v>
      </c>
      <c r="AN1858" s="1">
        <v>0.0</v>
      </c>
      <c r="AO1858" s="1">
        <v>66522.0</v>
      </c>
      <c r="AP1858" s="1">
        <v>17.6</v>
      </c>
      <c r="AQ1858" s="1">
        <v>6.9</v>
      </c>
      <c r="AR1858" s="1">
        <v>13.0</v>
      </c>
      <c r="AS1858" s="1">
        <v>14.4</v>
      </c>
      <c r="AT1858" s="1">
        <v>14.6</v>
      </c>
      <c r="AU1858" s="1">
        <v>9.9</v>
      </c>
      <c r="AV1858" s="1">
        <v>52.9</v>
      </c>
      <c r="AW1858" s="1">
        <v>9.3</v>
      </c>
      <c r="AX1858" s="1">
        <v>0.5244</v>
      </c>
      <c r="AY1858" s="1">
        <v>14.1</v>
      </c>
      <c r="AZ1858" s="1">
        <v>12.2</v>
      </c>
      <c r="BA1858" s="1">
        <v>14.6</v>
      </c>
      <c r="BB1858" s="1">
        <v>6.19</v>
      </c>
      <c r="BC1858" s="1" t="s">
        <v>3075</v>
      </c>
      <c r="BD1858" s="1">
        <v>12.7</v>
      </c>
      <c r="BE1858" s="1">
        <v>12.4</v>
      </c>
      <c r="BF1858" s="1">
        <v>13.5</v>
      </c>
      <c r="BG1858" s="1">
        <v>61.3</v>
      </c>
      <c r="BH1858" s="1" t="s">
        <v>3117</v>
      </c>
    </row>
    <row r="1859">
      <c r="A1859" s="1">
        <v>36063.0</v>
      </c>
      <c r="B1859" s="2" t="str">
        <f>IFERROR(__xludf.DUMMYFUNCTION("TO_TEXT(A1859)"),"36063")</f>
        <v>36063</v>
      </c>
      <c r="C1859" s="1">
        <v>213374.0</v>
      </c>
      <c r="D1859" s="1">
        <v>522.352421261832</v>
      </c>
      <c r="E1859" s="1" t="s">
        <v>3118</v>
      </c>
      <c r="F1859" s="1" t="s">
        <v>3119</v>
      </c>
      <c r="G1859" s="1">
        <v>408.486667841145</v>
      </c>
      <c r="H1859" s="1">
        <v>14.243434638</v>
      </c>
      <c r="I1859" s="1">
        <v>4.2209742019</v>
      </c>
      <c r="J1859" s="1">
        <v>8.4630285218</v>
      </c>
      <c r="K1859" s="1">
        <v>16.802143713</v>
      </c>
      <c r="L1859" s="1">
        <v>33.5</v>
      </c>
      <c r="M1859" s="1">
        <v>8.1</v>
      </c>
      <c r="N1859" s="1">
        <v>29.2</v>
      </c>
      <c r="O1859" s="1">
        <v>84.471217588</v>
      </c>
      <c r="P1859" s="1">
        <v>5.0918177318</v>
      </c>
      <c r="Q1859" s="1">
        <v>44.00742</v>
      </c>
      <c r="R1859" s="1">
        <v>84.821061292</v>
      </c>
      <c r="S1859" s="1">
        <v>18.5</v>
      </c>
      <c r="T1859" s="1">
        <v>42548.0</v>
      </c>
      <c r="U1859" s="1">
        <v>38.210961737</v>
      </c>
      <c r="V1859" s="1">
        <v>394.56884814</v>
      </c>
      <c r="W1859" s="1">
        <v>12.893655865</v>
      </c>
      <c r="X1859" s="1">
        <v>11.694417238</v>
      </c>
      <c r="Y1859" s="1">
        <v>77.670410588</v>
      </c>
      <c r="Z1859" s="1">
        <v>12.8</v>
      </c>
      <c r="AA1859" s="1">
        <v>4.237824535</v>
      </c>
      <c r="AB1859" s="1">
        <v>55013.0</v>
      </c>
      <c r="AC1859" s="1">
        <v>46.682076814</v>
      </c>
      <c r="AD1859" s="1">
        <v>71.274557595</v>
      </c>
      <c r="AE1859" s="1">
        <v>11.9808974929999</v>
      </c>
      <c r="AF1859" s="1">
        <v>7.03121658679999</v>
      </c>
      <c r="AG1859" s="1">
        <v>1.1329021589</v>
      </c>
      <c r="AH1859" s="1">
        <v>1.10391431</v>
      </c>
      <c r="AI1859" s="1">
        <v>0.053698802</v>
      </c>
      <c r="AJ1859" s="1">
        <v>3.1183322007</v>
      </c>
      <c r="AK1859" s="1">
        <v>85.326445947</v>
      </c>
      <c r="AL1859" s="1">
        <v>0.6629250446</v>
      </c>
      <c r="AM1859" s="1">
        <v>51.29423617</v>
      </c>
      <c r="AN1859" s="1">
        <v>22.440626602</v>
      </c>
      <c r="AO1859" s="1">
        <v>27487.0</v>
      </c>
      <c r="AP1859" s="1">
        <v>13.6</v>
      </c>
      <c r="AQ1859" s="1">
        <v>7.1</v>
      </c>
      <c r="AR1859" s="1">
        <v>9.1</v>
      </c>
      <c r="AS1859" s="1">
        <v>17.3</v>
      </c>
      <c r="AT1859" s="1">
        <v>20.5</v>
      </c>
      <c r="AU1859" s="1">
        <v>13.2</v>
      </c>
      <c r="AV1859" s="1">
        <v>13.7</v>
      </c>
      <c r="AW1859" s="1">
        <v>0.5</v>
      </c>
      <c r="AX1859" s="1">
        <v>0.3247</v>
      </c>
      <c r="AY1859" s="1">
        <v>12.4</v>
      </c>
      <c r="AZ1859" s="1">
        <v>11.4</v>
      </c>
      <c r="BA1859" s="1">
        <v>19.9</v>
      </c>
      <c r="BB1859" s="1">
        <v>3.0</v>
      </c>
      <c r="BC1859" s="1" t="s">
        <v>3075</v>
      </c>
      <c r="BD1859" s="1">
        <v>8.8</v>
      </c>
      <c r="BE1859" s="1">
        <v>33.2</v>
      </c>
      <c r="BF1859" s="1">
        <v>33.4</v>
      </c>
      <c r="BG1859" s="1">
        <v>24.6</v>
      </c>
      <c r="BH1859" s="1" t="s">
        <v>3119</v>
      </c>
    </row>
    <row r="1860">
      <c r="A1860" s="1">
        <v>36065.0</v>
      </c>
      <c r="B1860" s="2" t="str">
        <f>IFERROR(__xludf.DUMMYFUNCTION("TO_TEXT(A1860)"),"36065")</f>
        <v>36065</v>
      </c>
      <c r="C1860" s="1">
        <v>232858.0</v>
      </c>
      <c r="D1860" s="1">
        <v>1212.33015825247</v>
      </c>
      <c r="E1860" s="1" t="s">
        <v>1134</v>
      </c>
      <c r="F1860" s="1" t="s">
        <v>3120</v>
      </c>
      <c r="G1860" s="1">
        <v>192.074740049077</v>
      </c>
      <c r="H1860" s="1">
        <v>15.578208101</v>
      </c>
      <c r="I1860" s="1">
        <v>4.4252790287</v>
      </c>
      <c r="J1860" s="1">
        <v>7.762454264</v>
      </c>
      <c r="K1860" s="1">
        <v>16.835257266</v>
      </c>
      <c r="L1860" s="1">
        <v>33.1</v>
      </c>
      <c r="M1860" s="1">
        <v>8.0</v>
      </c>
      <c r="N1860" s="1">
        <v>25.7</v>
      </c>
      <c r="O1860" s="1">
        <v>88.195999625</v>
      </c>
      <c r="P1860" s="1">
        <v>5.6695554934</v>
      </c>
      <c r="Q1860" s="1">
        <v>71.75834</v>
      </c>
      <c r="R1860" s="1">
        <v>83.724394786</v>
      </c>
      <c r="S1860" s="1">
        <v>20.1</v>
      </c>
      <c r="T1860" s="1">
        <v>48127.0</v>
      </c>
      <c r="U1860" s="1">
        <v>39.67835103</v>
      </c>
      <c r="V1860" s="1">
        <v>283.32335058</v>
      </c>
      <c r="W1860" s="1">
        <v>14.868158653</v>
      </c>
      <c r="X1860" s="1">
        <v>13.278844539</v>
      </c>
      <c r="Y1860" s="1">
        <v>78.3600151839999</v>
      </c>
      <c r="Z1860" s="1">
        <v>13.8</v>
      </c>
      <c r="AA1860" s="1">
        <v>4.1940937456</v>
      </c>
      <c r="AB1860" s="1">
        <v>54096.0</v>
      </c>
      <c r="AC1860" s="1">
        <v>53.5304058889999</v>
      </c>
      <c r="AD1860" s="1">
        <v>66.985135646</v>
      </c>
      <c r="AE1860" s="1">
        <v>12.92110336</v>
      </c>
      <c r="AF1860" s="1">
        <v>6.1208222078</v>
      </c>
      <c r="AG1860" s="1">
        <v>0.3480313795</v>
      </c>
      <c r="AH1860" s="1">
        <v>4.1611311238</v>
      </c>
      <c r="AI1860" s="1">
        <v>0.0710001437</v>
      </c>
      <c r="AJ1860" s="1">
        <v>6.06158282409999</v>
      </c>
      <c r="AK1860" s="1">
        <v>81.563919731</v>
      </c>
      <c r="AL1860" s="1">
        <v>2.638532127</v>
      </c>
      <c r="AM1860" s="1">
        <v>50.197972793</v>
      </c>
      <c r="AN1860" s="1">
        <v>32.983932084</v>
      </c>
      <c r="AO1860" s="1">
        <v>26577.0</v>
      </c>
      <c r="AP1860" s="1">
        <v>16.7</v>
      </c>
      <c r="AQ1860" s="1">
        <v>6.9</v>
      </c>
      <c r="AR1860" s="1">
        <v>11.9</v>
      </c>
      <c r="AS1860" s="1">
        <v>17.4</v>
      </c>
      <c r="AT1860" s="1">
        <v>21.3</v>
      </c>
      <c r="AU1860" s="1">
        <v>15.1</v>
      </c>
      <c r="AV1860" s="1">
        <v>17.0</v>
      </c>
      <c r="AW1860" s="1">
        <v>2.7</v>
      </c>
      <c r="AX1860" s="1">
        <v>0.674</v>
      </c>
      <c r="AY1860" s="1">
        <v>14.6</v>
      </c>
      <c r="AZ1860" s="1">
        <v>12.0</v>
      </c>
      <c r="BA1860" s="1">
        <v>21.1</v>
      </c>
      <c r="BB1860" s="1">
        <v>3.01</v>
      </c>
      <c r="BC1860" s="1" t="s">
        <v>3075</v>
      </c>
      <c r="BD1860" s="1">
        <v>11.5</v>
      </c>
      <c r="BE1860" s="1">
        <v>31.9</v>
      </c>
      <c r="BF1860" s="1">
        <v>30.9</v>
      </c>
      <c r="BG1860" s="1">
        <v>25.7</v>
      </c>
      <c r="BH1860" s="1" t="s">
        <v>3120</v>
      </c>
    </row>
    <row r="1861">
      <c r="A1861" s="1">
        <v>36067.0</v>
      </c>
      <c r="B1861" s="2" t="str">
        <f>IFERROR(__xludf.DUMMYFUNCTION("TO_TEXT(A1861)"),"36067")</f>
        <v>36067</v>
      </c>
      <c r="C1861" s="1">
        <v>468050.0</v>
      </c>
      <c r="D1861" s="1">
        <v>778.409056052855</v>
      </c>
      <c r="E1861" s="1" t="s">
        <v>3121</v>
      </c>
      <c r="F1861" s="1" t="s">
        <v>3122</v>
      </c>
      <c r="G1861" s="1">
        <v>601.290537873982</v>
      </c>
      <c r="H1861" s="1">
        <v>14.314364855</v>
      </c>
      <c r="I1861" s="1">
        <v>4.5786710035</v>
      </c>
      <c r="J1861" s="1">
        <v>7.82456810679999</v>
      </c>
      <c r="K1861" s="1">
        <v>15.75882059</v>
      </c>
      <c r="L1861" s="1">
        <v>29.5</v>
      </c>
      <c r="M1861" s="1">
        <v>8.1</v>
      </c>
      <c r="N1861" s="1">
        <v>21.8</v>
      </c>
      <c r="O1861" s="1">
        <v>95.167078492</v>
      </c>
      <c r="P1861" s="1">
        <v>5.0338119697</v>
      </c>
      <c r="Q1861" s="1">
        <v>94.32787</v>
      </c>
      <c r="R1861" s="1">
        <v>84.084030621</v>
      </c>
      <c r="S1861" s="1">
        <v>20.2</v>
      </c>
      <c r="T1861" s="1">
        <v>98582.0</v>
      </c>
      <c r="U1861" s="1">
        <v>39.659369865</v>
      </c>
      <c r="V1861" s="1">
        <v>317.56761816</v>
      </c>
      <c r="W1861" s="1">
        <v>14.9276733809999</v>
      </c>
      <c r="X1861" s="1">
        <v>13.379450438</v>
      </c>
      <c r="Y1861" s="1">
        <v>79.457381277</v>
      </c>
      <c r="Z1861" s="1">
        <v>10.8</v>
      </c>
      <c r="AA1861" s="1">
        <v>3.7526292134</v>
      </c>
      <c r="AB1861" s="1">
        <v>59786.0</v>
      </c>
      <c r="AC1861" s="1">
        <v>47.794128001</v>
      </c>
      <c r="AD1861" s="1">
        <v>64.83428867</v>
      </c>
      <c r="AE1861" s="1">
        <v>13.558807121</v>
      </c>
      <c r="AF1861" s="1">
        <v>10.910354714</v>
      </c>
      <c r="AG1861" s="1">
        <v>0.930038176</v>
      </c>
      <c r="AH1861" s="1">
        <v>3.8825575075</v>
      </c>
      <c r="AI1861" s="1">
        <v>0.0537018551</v>
      </c>
      <c r="AJ1861" s="1">
        <v>5.0730929887</v>
      </c>
      <c r="AK1861" s="1">
        <v>76.628866046</v>
      </c>
      <c r="AL1861" s="1">
        <v>1.8249367658</v>
      </c>
      <c r="AM1861" s="1">
        <v>51.782230316</v>
      </c>
      <c r="AN1861" s="1">
        <v>12.587521894</v>
      </c>
      <c r="AO1861" s="1">
        <v>30225.0</v>
      </c>
      <c r="AP1861" s="1">
        <v>15.2</v>
      </c>
      <c r="AQ1861" s="1">
        <v>6.8</v>
      </c>
      <c r="AR1861" s="1">
        <v>9.5</v>
      </c>
      <c r="AS1861" s="1">
        <v>15.3</v>
      </c>
      <c r="AT1861" s="1">
        <v>21.9</v>
      </c>
      <c r="AU1861" s="1">
        <v>12.4</v>
      </c>
      <c r="AV1861" s="1">
        <v>22.4</v>
      </c>
      <c r="AW1861" s="1">
        <v>1.6</v>
      </c>
      <c r="AX1861" s="1">
        <v>0.4734</v>
      </c>
      <c r="AY1861" s="1">
        <v>13.8</v>
      </c>
      <c r="AZ1861" s="1">
        <v>11.0</v>
      </c>
      <c r="BA1861" s="1">
        <v>18.6</v>
      </c>
      <c r="BB1861" s="1">
        <v>3.06</v>
      </c>
      <c r="BC1861" s="1" t="s">
        <v>3075</v>
      </c>
      <c r="BD1861" s="1">
        <v>9.0</v>
      </c>
      <c r="BE1861" s="1">
        <v>25.4</v>
      </c>
      <c r="BF1861" s="1">
        <v>29.7</v>
      </c>
      <c r="BG1861" s="1">
        <v>35.9</v>
      </c>
      <c r="BH1861" s="1" t="s">
        <v>3122</v>
      </c>
    </row>
    <row r="1862">
      <c r="A1862" s="1">
        <v>36069.0</v>
      </c>
      <c r="B1862" s="2" t="str">
        <f>IFERROR(__xludf.DUMMYFUNCTION("TO_TEXT(A1862)"),"36069")</f>
        <v>36069</v>
      </c>
      <c r="C1862" s="1">
        <v>109450.0</v>
      </c>
      <c r="D1862" s="1">
        <v>644.062328462716</v>
      </c>
      <c r="E1862" s="1" t="s">
        <v>3123</v>
      </c>
      <c r="F1862" s="1" t="s">
        <v>3124</v>
      </c>
      <c r="G1862" s="1">
        <v>169.936969083785</v>
      </c>
      <c r="H1862" s="1">
        <v>13.29013551</v>
      </c>
      <c r="I1862" s="1">
        <v>3.872843929</v>
      </c>
      <c r="J1862" s="1">
        <v>6.5654435541</v>
      </c>
      <c r="K1862" s="1">
        <v>14.040081022</v>
      </c>
      <c r="L1862" s="1">
        <v>33.0</v>
      </c>
      <c r="M1862" s="1">
        <v>8.5</v>
      </c>
      <c r="N1862" s="1">
        <v>23.3</v>
      </c>
      <c r="O1862" s="1">
        <v>80.860920403</v>
      </c>
      <c r="P1862" s="1">
        <v>4.4178980325</v>
      </c>
      <c r="Q1862" s="1">
        <v>80.07352</v>
      </c>
      <c r="R1862" s="1">
        <v>89.873417722</v>
      </c>
      <c r="S1862" s="1">
        <v>11.1</v>
      </c>
      <c r="T1862" s="1">
        <v>22362.0</v>
      </c>
      <c r="U1862" s="1">
        <v>29.6708702259999</v>
      </c>
      <c r="V1862" s="1">
        <v>153.29848006</v>
      </c>
      <c r="W1862" s="1">
        <v>13.082842915</v>
      </c>
      <c r="X1862" s="1">
        <v>11.534512265</v>
      </c>
      <c r="Y1862" s="1">
        <v>79.79302221</v>
      </c>
      <c r="Z1862" s="1">
        <v>11.1</v>
      </c>
      <c r="AA1862" s="1">
        <v>5.2930531233</v>
      </c>
      <c r="AB1862" s="1">
        <v>62930.0</v>
      </c>
      <c r="AC1862" s="1">
        <v>36.2356284719999</v>
      </c>
      <c r="AD1862" s="1">
        <v>73.700492255</v>
      </c>
      <c r="AE1862" s="1">
        <v>10.9515343229999</v>
      </c>
      <c r="AF1862" s="1">
        <v>2.2564261268</v>
      </c>
      <c r="AG1862" s="1">
        <v>0.364086507</v>
      </c>
      <c r="AH1862" s="1">
        <v>1.3143522901</v>
      </c>
      <c r="AI1862" s="1">
        <v>0.040959732</v>
      </c>
      <c r="AJ1862" s="1">
        <v>5.0216631472</v>
      </c>
      <c r="AK1862" s="1">
        <v>89.669955581</v>
      </c>
      <c r="AL1862" s="1">
        <v>1.0061078247</v>
      </c>
      <c r="AM1862" s="1">
        <v>51.006699192</v>
      </c>
      <c r="AN1862" s="1">
        <v>47.468289926</v>
      </c>
      <c r="AO1862" s="1">
        <v>31524.0</v>
      </c>
      <c r="AP1862" s="1">
        <v>10.3</v>
      </c>
      <c r="AQ1862" s="1">
        <v>5.5</v>
      </c>
      <c r="AR1862" s="1">
        <v>7.4</v>
      </c>
      <c r="AS1862" s="1">
        <v>17.8</v>
      </c>
      <c r="AT1862" s="1">
        <v>21.0</v>
      </c>
      <c r="AU1862" s="1">
        <v>11.9</v>
      </c>
      <c r="AV1862" s="1">
        <v>9.4</v>
      </c>
      <c r="AW1862" s="1">
        <v>0.9</v>
      </c>
      <c r="AX1862" s="1">
        <v>0.2563</v>
      </c>
      <c r="AY1862" s="1">
        <v>8.1</v>
      </c>
      <c r="AZ1862" s="1">
        <v>8.9</v>
      </c>
      <c r="BA1862" s="1">
        <v>15.8</v>
      </c>
      <c r="BB1862" s="1">
        <v>3.09</v>
      </c>
      <c r="BC1862" s="1" t="s">
        <v>3075</v>
      </c>
      <c r="BD1862" s="1">
        <v>6.1</v>
      </c>
      <c r="BE1862" s="1">
        <v>26.4</v>
      </c>
      <c r="BF1862" s="1">
        <v>31.2</v>
      </c>
      <c r="BG1862" s="1">
        <v>36.3</v>
      </c>
      <c r="BH1862" s="1" t="s">
        <v>3124</v>
      </c>
    </row>
    <row r="1863">
      <c r="A1863" s="1">
        <v>36071.0</v>
      </c>
      <c r="B1863" s="2" t="str">
        <f>IFERROR(__xludf.DUMMYFUNCTION("TO_TEXT(A1863)"),"36071")</f>
        <v>36071</v>
      </c>
      <c r="C1863" s="1">
        <v>376242.0</v>
      </c>
      <c r="D1863" s="1">
        <v>812.315541410715</v>
      </c>
      <c r="E1863" s="1" t="s">
        <v>475</v>
      </c>
      <c r="F1863" s="1" t="s">
        <v>3125</v>
      </c>
      <c r="G1863" s="1">
        <v>463.172229041187</v>
      </c>
      <c r="H1863" s="1">
        <v>14.8795604609999</v>
      </c>
      <c r="I1863" s="1">
        <v>3.7722314852</v>
      </c>
      <c r="J1863" s="1">
        <v>6.8994228947</v>
      </c>
      <c r="K1863" s="1">
        <v>15.142023205</v>
      </c>
      <c r="L1863" s="1">
        <v>30.4</v>
      </c>
      <c r="M1863" s="1">
        <v>8.7</v>
      </c>
      <c r="N1863" s="1">
        <v>25.7</v>
      </c>
      <c r="O1863" s="1">
        <v>87.887761425</v>
      </c>
      <c r="P1863" s="1">
        <v>5.6627220957</v>
      </c>
      <c r="Q1863" s="1">
        <v>71.16209</v>
      </c>
      <c r="R1863" s="1">
        <v>86.970487854</v>
      </c>
      <c r="S1863" s="1">
        <v>17.5</v>
      </c>
      <c r="T1863" s="1">
        <v>95875.0</v>
      </c>
      <c r="U1863" s="1">
        <v>22.527249022</v>
      </c>
      <c r="V1863" s="1">
        <v>244.91293757</v>
      </c>
      <c r="W1863" s="1">
        <v>22.94138799</v>
      </c>
      <c r="X1863" s="1">
        <v>19.999189332</v>
      </c>
      <c r="Y1863" s="1">
        <v>80.156092955</v>
      </c>
      <c r="Z1863" s="1">
        <v>9.7</v>
      </c>
      <c r="AA1863" s="1">
        <v>4.9523353575</v>
      </c>
      <c r="AB1863" s="1">
        <v>75048.0</v>
      </c>
      <c r="AC1863" s="1">
        <v>42.550837371</v>
      </c>
      <c r="AD1863" s="1">
        <v>68.046002398</v>
      </c>
      <c r="AE1863" s="1">
        <v>19.194125461</v>
      </c>
      <c r="AF1863" s="1">
        <v>10.397668811</v>
      </c>
      <c r="AG1863" s="1">
        <v>0.8461818401</v>
      </c>
      <c r="AH1863" s="1">
        <v>2.9480221285</v>
      </c>
      <c r="AI1863" s="1">
        <v>0.1144125817</v>
      </c>
      <c r="AJ1863" s="1">
        <v>20.9532112759999</v>
      </c>
      <c r="AK1863" s="1">
        <v>63.549251082</v>
      </c>
      <c r="AL1863" s="1">
        <v>4.2909090909</v>
      </c>
      <c r="AM1863" s="1">
        <v>49.854562496</v>
      </c>
      <c r="AN1863" s="1">
        <v>22.340690909</v>
      </c>
      <c r="AO1863" s="1">
        <v>31272.0</v>
      </c>
      <c r="AP1863" s="1">
        <v>12.6</v>
      </c>
      <c r="AQ1863" s="1">
        <v>6.7</v>
      </c>
      <c r="AR1863" s="1">
        <v>10.6</v>
      </c>
      <c r="AS1863" s="1">
        <v>12.5</v>
      </c>
      <c r="AT1863" s="1">
        <v>26.0</v>
      </c>
      <c r="AU1863" s="1">
        <v>12.1</v>
      </c>
      <c r="AV1863" s="1">
        <v>34.0</v>
      </c>
      <c r="AW1863" s="1">
        <v>4.4</v>
      </c>
      <c r="AX1863" s="1">
        <v>0.5642</v>
      </c>
      <c r="AY1863" s="1">
        <v>12.3</v>
      </c>
      <c r="AZ1863" s="1">
        <v>9.0</v>
      </c>
      <c r="BA1863" s="1">
        <v>15.6</v>
      </c>
      <c r="BB1863" s="1">
        <v>3.45</v>
      </c>
      <c r="BC1863" s="1" t="s">
        <v>3075</v>
      </c>
      <c r="BD1863" s="1">
        <v>10.3</v>
      </c>
      <c r="BE1863" s="1">
        <v>29.3</v>
      </c>
      <c r="BF1863" s="1">
        <v>30.2</v>
      </c>
      <c r="BG1863" s="1">
        <v>30.3</v>
      </c>
      <c r="BH1863" s="1" t="s">
        <v>3125</v>
      </c>
    </row>
    <row r="1864">
      <c r="A1864" s="1">
        <v>36073.0</v>
      </c>
      <c r="B1864" s="2" t="str">
        <f>IFERROR(__xludf.DUMMYFUNCTION("TO_TEXT(A1864)"),"36073")</f>
        <v>36073</v>
      </c>
      <c r="C1864" s="1">
        <v>41938.0</v>
      </c>
      <c r="D1864" s="1">
        <v>391.262967132598</v>
      </c>
      <c r="E1864" s="1" t="s">
        <v>1997</v>
      </c>
      <c r="F1864" s="1" t="s">
        <v>3126</v>
      </c>
      <c r="G1864" s="1">
        <v>107.186223902932</v>
      </c>
      <c r="H1864" s="1">
        <v>15.715649847</v>
      </c>
      <c r="I1864" s="1">
        <v>4.3743594854</v>
      </c>
      <c r="J1864" s="1">
        <v>7.1707490238</v>
      </c>
      <c r="K1864" s="1">
        <v>17.041979004</v>
      </c>
      <c r="L1864" s="1">
        <v>38.1</v>
      </c>
      <c r="M1864" s="1">
        <v>8.0</v>
      </c>
      <c r="N1864" s="1">
        <v>32.8</v>
      </c>
      <c r="O1864" s="1">
        <v>76.251661498</v>
      </c>
      <c r="P1864" s="1">
        <v>5.55326895679999</v>
      </c>
      <c r="Q1864" s="1">
        <v>7.32011</v>
      </c>
      <c r="R1864" s="1">
        <v>89.316239316</v>
      </c>
      <c r="S1864" s="1">
        <v>17.6</v>
      </c>
      <c r="T1864" s="1">
        <v>7996.0</v>
      </c>
      <c r="U1864" s="1">
        <v>36.768384192</v>
      </c>
      <c r="V1864" s="1">
        <v>171.85434443</v>
      </c>
      <c r="W1864" s="1">
        <v>14.631122133</v>
      </c>
      <c r="X1864" s="1">
        <v>12.0625</v>
      </c>
      <c r="Y1864" s="1">
        <v>77.654237575</v>
      </c>
      <c r="Z1864" s="1">
        <v>15.5</v>
      </c>
      <c r="AA1864" s="1">
        <v>5.556703653</v>
      </c>
      <c r="AB1864" s="1">
        <v>52658.0</v>
      </c>
      <c r="AC1864" s="1">
        <v>50.904977376</v>
      </c>
      <c r="AD1864" s="1">
        <v>75.589297741</v>
      </c>
      <c r="AE1864" s="1">
        <v>12.21306836</v>
      </c>
      <c r="AF1864" s="1">
        <v>5.9391312912</v>
      </c>
      <c r="AG1864" s="1">
        <v>0.7953314291</v>
      </c>
      <c r="AH1864" s="1">
        <v>0.5934206638</v>
      </c>
      <c r="AI1864" s="1">
        <v>0.0541711809</v>
      </c>
      <c r="AJ1864" s="1">
        <v>4.9443514232</v>
      </c>
      <c r="AK1864" s="1">
        <v>86.245444696</v>
      </c>
      <c r="AL1864" s="1">
        <v>1.0419333367</v>
      </c>
      <c r="AM1864" s="1">
        <v>50.0689451389999</v>
      </c>
      <c r="AN1864" s="1">
        <v>60.87960264</v>
      </c>
      <c r="AO1864" s="1">
        <v>23332.0</v>
      </c>
      <c r="AP1864" s="1">
        <v>15.6</v>
      </c>
      <c r="AQ1864" s="1">
        <v>7.4</v>
      </c>
      <c r="AR1864" s="1">
        <v>13.7</v>
      </c>
      <c r="AS1864" s="1">
        <v>16.2</v>
      </c>
      <c r="AT1864" s="1">
        <v>20.2</v>
      </c>
      <c r="AU1864" s="1">
        <v>17.1</v>
      </c>
      <c r="AV1864" s="1">
        <v>13.3</v>
      </c>
      <c r="AW1864" s="1">
        <v>0.4</v>
      </c>
      <c r="AX1864" s="1">
        <v>0.5839</v>
      </c>
      <c r="AY1864" s="1">
        <v>13.2</v>
      </c>
      <c r="AZ1864" s="1">
        <v>11.8</v>
      </c>
      <c r="BA1864" s="1">
        <v>21.1</v>
      </c>
      <c r="BB1864" s="1">
        <v>2.69</v>
      </c>
      <c r="BC1864" s="1" t="s">
        <v>3075</v>
      </c>
      <c r="BD1864" s="1">
        <v>12.3</v>
      </c>
      <c r="BE1864" s="1">
        <v>38.3</v>
      </c>
      <c r="BF1864" s="1">
        <v>33.2</v>
      </c>
      <c r="BG1864" s="1">
        <v>16.2</v>
      </c>
      <c r="BH1864" s="1" t="s">
        <v>3126</v>
      </c>
    </row>
    <row r="1865">
      <c r="A1865" s="1">
        <v>36075.0</v>
      </c>
      <c r="B1865" s="2" t="str">
        <f>IFERROR(__xludf.DUMMYFUNCTION("TO_TEXT(A1865)"),"36075")</f>
        <v>36075</v>
      </c>
      <c r="C1865" s="1">
        <v>120513.0</v>
      </c>
      <c r="D1865" s="1">
        <v>951.64339098016</v>
      </c>
      <c r="E1865" s="1" t="s">
        <v>3127</v>
      </c>
      <c r="F1865" s="1" t="s">
        <v>3128</v>
      </c>
      <c r="G1865" s="1">
        <v>126.636722476341</v>
      </c>
      <c r="H1865" s="1">
        <v>15.364286313</v>
      </c>
      <c r="I1865" s="1">
        <v>4.3782381409</v>
      </c>
      <c r="J1865" s="1">
        <v>7.1018570625</v>
      </c>
      <c r="K1865" s="1">
        <v>18.606831579</v>
      </c>
      <c r="L1865" s="1">
        <v>34.1</v>
      </c>
      <c r="M1865" s="1">
        <v>8.0</v>
      </c>
      <c r="N1865" s="1">
        <v>26.9</v>
      </c>
      <c r="O1865" s="1">
        <v>66.131079609</v>
      </c>
      <c r="P1865" s="1">
        <v>5.2695164357</v>
      </c>
      <c r="Q1865" s="1">
        <v>40.51385</v>
      </c>
      <c r="R1865" s="1">
        <v>84.047919294</v>
      </c>
      <c r="S1865" s="1">
        <v>23.0</v>
      </c>
      <c r="T1865" s="1">
        <v>24931.0</v>
      </c>
      <c r="U1865" s="1">
        <v>41.334082067</v>
      </c>
      <c r="V1865" s="1">
        <v>211.60494856</v>
      </c>
      <c r="W1865" s="1">
        <v>15.757575758</v>
      </c>
      <c r="X1865" s="1">
        <v>13.44996657</v>
      </c>
      <c r="Y1865" s="1">
        <v>78.06781619</v>
      </c>
      <c r="Z1865" s="1">
        <v>12.1</v>
      </c>
      <c r="AA1865" s="1">
        <v>3.5251625617</v>
      </c>
      <c r="AB1865" s="1">
        <v>53745.0</v>
      </c>
      <c r="AC1865" s="1">
        <v>51.969204986</v>
      </c>
      <c r="AD1865" s="1">
        <v>72.784150156</v>
      </c>
      <c r="AE1865" s="1">
        <v>13.344556678</v>
      </c>
      <c r="AF1865" s="1">
        <v>0.9610001866</v>
      </c>
      <c r="AG1865" s="1">
        <v>0.4800759979</v>
      </c>
      <c r="AH1865" s="1">
        <v>0.669222548299999</v>
      </c>
      <c r="AI1865" s="1">
        <v>0.0330794416</v>
      </c>
      <c r="AJ1865" s="1">
        <v>2.6785865748</v>
      </c>
      <c r="AK1865" s="1">
        <v>93.868428642</v>
      </c>
      <c r="AL1865" s="1">
        <v>0.2789053409</v>
      </c>
      <c r="AM1865" s="1">
        <v>49.8600485169999</v>
      </c>
      <c r="AN1865" s="1">
        <v>61.754661819</v>
      </c>
      <c r="AO1865" s="1">
        <v>24284.0</v>
      </c>
      <c r="AP1865" s="1">
        <v>18.3</v>
      </c>
      <c r="AQ1865" s="1">
        <v>9.1</v>
      </c>
      <c r="AR1865" s="1">
        <v>13.5</v>
      </c>
      <c r="AS1865" s="1">
        <v>14.3</v>
      </c>
      <c r="AT1865" s="1">
        <v>21.7</v>
      </c>
      <c r="AU1865" s="1">
        <v>14.7</v>
      </c>
      <c r="AV1865" s="1">
        <v>5.5</v>
      </c>
      <c r="AW1865" s="1">
        <v>0.3</v>
      </c>
      <c r="AX1865" s="1">
        <v>0.6297</v>
      </c>
      <c r="AY1865" s="1">
        <v>15.6</v>
      </c>
      <c r="AZ1865" s="1">
        <v>12.8</v>
      </c>
      <c r="BA1865" s="1">
        <v>23.8</v>
      </c>
      <c r="BB1865" s="1">
        <v>2.74</v>
      </c>
      <c r="BC1865" s="1" t="s">
        <v>3075</v>
      </c>
      <c r="BD1865" s="1">
        <v>11.8</v>
      </c>
      <c r="BE1865" s="1">
        <v>37.5</v>
      </c>
      <c r="BF1865" s="1">
        <v>31.7</v>
      </c>
      <c r="BG1865" s="1">
        <v>19.0</v>
      </c>
      <c r="BH1865" s="1" t="s">
        <v>3128</v>
      </c>
    </row>
    <row r="1866">
      <c r="A1866" s="1">
        <v>36077.0</v>
      </c>
      <c r="B1866" s="2" t="str">
        <f>IFERROR(__xludf.DUMMYFUNCTION("TO_TEXT(A1866)"),"36077")</f>
        <v>36077</v>
      </c>
      <c r="C1866" s="1">
        <v>60979.0</v>
      </c>
      <c r="D1866" s="1">
        <v>1001.72701731726</v>
      </c>
      <c r="E1866" s="1" t="s">
        <v>2262</v>
      </c>
      <c r="F1866" s="1" t="s">
        <v>3129</v>
      </c>
      <c r="G1866" s="1">
        <v>60.8738697727339</v>
      </c>
      <c r="H1866" s="1">
        <v>14.801657965</v>
      </c>
      <c r="I1866" s="1">
        <v>4.0554567731</v>
      </c>
      <c r="J1866" s="1">
        <v>6.7174710697</v>
      </c>
      <c r="K1866" s="1">
        <v>15.505931362</v>
      </c>
      <c r="L1866" s="1">
        <v>29.6</v>
      </c>
      <c r="M1866" s="1">
        <v>7.8</v>
      </c>
      <c r="N1866" s="1">
        <v>22.6</v>
      </c>
      <c r="O1866" s="1">
        <v>66.814436467</v>
      </c>
      <c r="P1866" s="1">
        <v>5.1909914909</v>
      </c>
      <c r="Q1866" s="1">
        <v>114.82012</v>
      </c>
      <c r="R1866" s="1">
        <v>86.3713798979999</v>
      </c>
      <c r="S1866" s="1">
        <v>15.9</v>
      </c>
      <c r="T1866" s="1">
        <v>9598.0</v>
      </c>
      <c r="U1866" s="1">
        <v>30.475098979</v>
      </c>
      <c r="V1866" s="1">
        <v>148.05919077</v>
      </c>
      <c r="W1866" s="1">
        <v>16.355140187</v>
      </c>
      <c r="X1866" s="1">
        <v>13.985413985</v>
      </c>
      <c r="Y1866" s="1">
        <v>79.846838472</v>
      </c>
      <c r="Z1866" s="1">
        <v>9.7</v>
      </c>
      <c r="AA1866" s="1">
        <v>9.1166193029</v>
      </c>
      <c r="AB1866" s="1">
        <v>54321.0</v>
      </c>
      <c r="AC1866" s="1">
        <v>45.091709464</v>
      </c>
      <c r="AD1866" s="1">
        <v>72.90711496</v>
      </c>
      <c r="AE1866" s="1">
        <v>14.291971442</v>
      </c>
      <c r="AF1866" s="1">
        <v>2.0385278415</v>
      </c>
      <c r="AG1866" s="1">
        <v>0.2560712313</v>
      </c>
      <c r="AH1866" s="1">
        <v>1.4795226698</v>
      </c>
      <c r="AI1866" s="1">
        <v>0.0669467271</v>
      </c>
      <c r="AJ1866" s="1">
        <v>3.7958794289</v>
      </c>
      <c r="AK1866" s="1">
        <v>91.104453631</v>
      </c>
      <c r="AL1866" s="1">
        <v>0.624003328</v>
      </c>
      <c r="AM1866" s="1">
        <v>51.490401513</v>
      </c>
      <c r="AN1866" s="1">
        <v>70.566504441</v>
      </c>
      <c r="AO1866" s="1">
        <v>24989.0</v>
      </c>
      <c r="AP1866" s="1">
        <v>16.3</v>
      </c>
      <c r="AQ1866" s="1">
        <v>6.9</v>
      </c>
      <c r="AR1866" s="1">
        <v>9.5</v>
      </c>
      <c r="AS1866" s="1">
        <v>18.5</v>
      </c>
      <c r="AT1866" s="1">
        <v>16.8</v>
      </c>
      <c r="AU1866" s="1">
        <v>13.1</v>
      </c>
      <c r="AV1866" s="1">
        <v>8.2</v>
      </c>
      <c r="AW1866" s="1">
        <v>0.5</v>
      </c>
      <c r="AX1866" s="1">
        <v>0.4397</v>
      </c>
      <c r="AY1866" s="1">
        <v>16.2</v>
      </c>
      <c r="AZ1866" s="1">
        <v>10.9</v>
      </c>
      <c r="BA1866" s="1">
        <v>18.9</v>
      </c>
      <c r="BB1866" s="1">
        <v>3.16</v>
      </c>
      <c r="BC1866" s="1" t="s">
        <v>3075</v>
      </c>
      <c r="BD1866" s="1">
        <v>8.3</v>
      </c>
      <c r="BE1866" s="1">
        <v>31.3</v>
      </c>
      <c r="BF1866" s="1">
        <v>29.4</v>
      </c>
      <c r="BG1866" s="1">
        <v>31.1</v>
      </c>
      <c r="BH1866" s="1" t="s">
        <v>3129</v>
      </c>
    </row>
    <row r="1867">
      <c r="A1867" s="1">
        <v>36079.0</v>
      </c>
      <c r="B1867" s="2" t="str">
        <f>IFERROR(__xludf.DUMMYFUNCTION("TO_TEXT(A1867)"),"36079")</f>
        <v>36079</v>
      </c>
      <c r="C1867" s="1">
        <v>99408.0</v>
      </c>
      <c r="D1867" s="1">
        <v>230.311453431442</v>
      </c>
      <c r="E1867" s="1" t="s">
        <v>771</v>
      </c>
      <c r="F1867" s="1" t="s">
        <v>3130</v>
      </c>
      <c r="G1867" s="1">
        <v>431.624213728438</v>
      </c>
      <c r="H1867" s="1">
        <v>11.9806045209999</v>
      </c>
      <c r="I1867" s="1">
        <v>3.6141248215</v>
      </c>
      <c r="J1867" s="1">
        <v>7.5104311544</v>
      </c>
      <c r="K1867" s="1">
        <v>12.631481982</v>
      </c>
      <c r="L1867" s="1">
        <v>23.2</v>
      </c>
      <c r="M1867" s="1">
        <v>9.3</v>
      </c>
      <c r="N1867" s="1">
        <v>21.0</v>
      </c>
      <c r="O1867" s="1">
        <v>88.217831712</v>
      </c>
      <c r="P1867" s="1">
        <v>4.9106435855</v>
      </c>
      <c r="Q1867" s="1">
        <v>49.33399</v>
      </c>
      <c r="R1867" s="1">
        <v>92.976855547</v>
      </c>
      <c r="S1867" s="1">
        <v>6.6</v>
      </c>
      <c r="T1867" s="1">
        <v>20085.0</v>
      </c>
      <c r="U1867" s="1">
        <v>16.39531989</v>
      </c>
      <c r="V1867" s="1">
        <v>48.435132991</v>
      </c>
      <c r="W1867" s="1">
        <v>18.460410557</v>
      </c>
      <c r="X1867" s="1">
        <v>16.425092251</v>
      </c>
      <c r="Y1867" s="1">
        <v>82.489352829</v>
      </c>
      <c r="Z1867" s="1">
        <v>6.3</v>
      </c>
      <c r="AA1867" s="1">
        <v>5.56412908419999</v>
      </c>
      <c r="AB1867" s="1">
        <v>100887.0</v>
      </c>
      <c r="AC1867" s="1">
        <v>21.6449290859999</v>
      </c>
      <c r="AD1867" s="1">
        <v>82.411685367</v>
      </c>
      <c r="AE1867" s="1">
        <v>16.132696452</v>
      </c>
      <c r="AF1867" s="1">
        <v>2.7767665736</v>
      </c>
      <c r="AG1867" s="1">
        <v>0.4499858431</v>
      </c>
      <c r="AH1867" s="1">
        <v>2.2610524613</v>
      </c>
      <c r="AI1867" s="1">
        <v>0.0687618816</v>
      </c>
      <c r="AJ1867" s="1">
        <v>15.8202888</v>
      </c>
      <c r="AK1867" s="1">
        <v>77.856651701</v>
      </c>
      <c r="AL1867" s="1">
        <v>2.6803448422</v>
      </c>
      <c r="AM1867" s="1">
        <v>50.040448166</v>
      </c>
      <c r="AN1867" s="1">
        <v>20.549593822</v>
      </c>
      <c r="AO1867" s="1">
        <v>41993.0</v>
      </c>
      <c r="AP1867" s="1">
        <v>5.2</v>
      </c>
      <c r="AQ1867" s="1">
        <v>6.2</v>
      </c>
      <c r="AR1867" s="1">
        <v>7.3</v>
      </c>
      <c r="AS1867" s="1">
        <v>14.9</v>
      </c>
      <c r="AT1867" s="1">
        <v>21.4</v>
      </c>
      <c r="AU1867" s="1">
        <v>10.5</v>
      </c>
      <c r="AV1867" s="1">
        <v>19.2</v>
      </c>
      <c r="AW1867" s="1">
        <v>2.9</v>
      </c>
      <c r="AX1867" s="1">
        <v>0.1117</v>
      </c>
      <c r="AY1867" s="1">
        <v>5.2</v>
      </c>
      <c r="AZ1867" s="1">
        <v>5.8</v>
      </c>
      <c r="BA1867" s="1">
        <v>10.1</v>
      </c>
      <c r="BB1867" s="1">
        <v>4.29</v>
      </c>
      <c r="BC1867" s="1" t="s">
        <v>3075</v>
      </c>
      <c r="BD1867" s="1">
        <v>7.0</v>
      </c>
      <c r="BE1867" s="1">
        <v>27.1</v>
      </c>
      <c r="BF1867" s="1">
        <v>26.3</v>
      </c>
      <c r="BG1867" s="1">
        <v>39.6</v>
      </c>
      <c r="BH1867" s="1" t="s">
        <v>3130</v>
      </c>
    </row>
    <row r="1868">
      <c r="A1868" s="1">
        <v>36081.0</v>
      </c>
      <c r="B1868" s="2" t="str">
        <f>IFERROR(__xludf.DUMMYFUNCTION("TO_TEXT(A1868)"),"36081")</f>
        <v>36081</v>
      </c>
      <c r="C1868" s="1">
        <v>2310011.0</v>
      </c>
      <c r="D1868" s="1">
        <v>108.768046154324</v>
      </c>
      <c r="E1868" s="1" t="s">
        <v>3131</v>
      </c>
      <c r="F1868" s="1" t="s">
        <v>3132</v>
      </c>
      <c r="G1868" s="1">
        <v>21237.9561982981</v>
      </c>
      <c r="H1868" s="1">
        <v>18.510358646</v>
      </c>
      <c r="I1868" s="1">
        <v>3.5270408467</v>
      </c>
      <c r="J1868" s="1">
        <v>8.2145967101</v>
      </c>
      <c r="K1868" s="1">
        <v>12.42777748</v>
      </c>
      <c r="L1868" s="1">
        <v>23.3</v>
      </c>
      <c r="M1868" s="1">
        <v>8.7</v>
      </c>
      <c r="N1868" s="1">
        <v>28.4</v>
      </c>
      <c r="O1868" s="1">
        <v>97.965815552</v>
      </c>
      <c r="P1868" s="1">
        <v>10.191144364</v>
      </c>
      <c r="Q1868" s="1">
        <v>62.19839</v>
      </c>
      <c r="R1868" s="1">
        <v>77.854831253</v>
      </c>
      <c r="S1868" s="1">
        <v>15.2</v>
      </c>
      <c r="T1868" s="1">
        <v>460812.0</v>
      </c>
      <c r="U1868" s="1">
        <v>32.144345199</v>
      </c>
      <c r="V1868" s="1">
        <v>597.78332448</v>
      </c>
      <c r="W1868" s="1">
        <v>32.110662706</v>
      </c>
      <c r="X1868" s="1">
        <v>25.331436923</v>
      </c>
      <c r="Y1868" s="1">
        <v>83.848645714</v>
      </c>
      <c r="Z1868" s="1">
        <v>10.9</v>
      </c>
      <c r="AA1868" s="1">
        <v>0.0320444138</v>
      </c>
      <c r="AB1868" s="1">
        <v>68432.0</v>
      </c>
      <c r="AC1868" s="1">
        <v>73.3714321189999</v>
      </c>
      <c r="AD1868" s="1">
        <v>44.62574785</v>
      </c>
      <c r="AE1868" s="1">
        <v>25.106195655</v>
      </c>
      <c r="AF1868" s="1">
        <v>17.957432207</v>
      </c>
      <c r="AG1868" s="1">
        <v>1.3245829358</v>
      </c>
      <c r="AH1868" s="1">
        <v>26.823133556</v>
      </c>
      <c r="AI1868" s="1">
        <v>0.2319095215</v>
      </c>
      <c r="AJ1868" s="1">
        <v>28.0666249509999</v>
      </c>
      <c r="AK1868" s="1">
        <v>25.0274035</v>
      </c>
      <c r="AL1868" s="1">
        <v>15.037588399</v>
      </c>
      <c r="AM1868" s="1">
        <v>51.494752307</v>
      </c>
      <c r="AN1868" s="1">
        <v>0.0</v>
      </c>
      <c r="AO1868" s="1">
        <v>27631.0</v>
      </c>
      <c r="AP1868" s="1">
        <v>14.6</v>
      </c>
      <c r="AQ1868" s="1">
        <v>7.8</v>
      </c>
      <c r="AR1868" s="1">
        <v>19.3</v>
      </c>
      <c r="AS1868" s="1">
        <v>13.7</v>
      </c>
      <c r="AT1868" s="1">
        <v>20.5</v>
      </c>
      <c r="AU1868" s="1">
        <v>9.6</v>
      </c>
      <c r="AV1868" s="1">
        <v>74.4</v>
      </c>
      <c r="AW1868" s="1">
        <v>15.1</v>
      </c>
      <c r="AX1868" s="1">
        <v>0.631</v>
      </c>
      <c r="AY1868" s="1">
        <v>11.0</v>
      </c>
      <c r="AZ1868" s="1">
        <v>9.9</v>
      </c>
      <c r="BA1868" s="1">
        <v>14.1</v>
      </c>
      <c r="BB1868" s="1">
        <v>3.64</v>
      </c>
      <c r="BC1868" s="1" t="s">
        <v>3075</v>
      </c>
      <c r="BD1868" s="1">
        <v>18.0</v>
      </c>
      <c r="BE1868" s="1">
        <v>27.5</v>
      </c>
      <c r="BF1868" s="1">
        <v>22.3</v>
      </c>
      <c r="BG1868" s="1">
        <v>32.2</v>
      </c>
      <c r="BH1868" s="1" t="s">
        <v>3132</v>
      </c>
    </row>
    <row r="1869">
      <c r="A1869" s="1">
        <v>36083.0</v>
      </c>
      <c r="B1869" s="2" t="str">
        <f>IFERROR(__xludf.DUMMYFUNCTION("TO_TEXT(A1869)"),"36083")</f>
        <v>36083</v>
      </c>
      <c r="C1869" s="1">
        <v>159959.0</v>
      </c>
      <c r="D1869" s="1">
        <v>652.441310977064</v>
      </c>
      <c r="E1869" s="1" t="s">
        <v>3133</v>
      </c>
      <c r="F1869" s="1" t="s">
        <v>3134</v>
      </c>
      <c r="G1869" s="1">
        <v>245.169944497312</v>
      </c>
      <c r="H1869" s="1">
        <v>15.017202048</v>
      </c>
      <c r="I1869" s="1">
        <v>4.2204515896</v>
      </c>
      <c r="J1869" s="1">
        <v>7.7601868674</v>
      </c>
      <c r="K1869" s="1">
        <v>14.5643816209999</v>
      </c>
      <c r="L1869" s="1">
        <v>30.3</v>
      </c>
      <c r="M1869" s="1">
        <v>8.2</v>
      </c>
      <c r="N1869" s="1">
        <v>21.1</v>
      </c>
      <c r="O1869" s="1">
        <v>66.269624723</v>
      </c>
      <c r="P1869" s="1">
        <v>4.5349998838</v>
      </c>
      <c r="Q1869" s="1">
        <v>48.83485</v>
      </c>
      <c r="R1869" s="1">
        <v>86.4914425429999</v>
      </c>
      <c r="S1869" s="1">
        <v>15.5</v>
      </c>
      <c r="T1869" s="1">
        <v>31278.0</v>
      </c>
      <c r="U1869" s="1">
        <v>35.907027304</v>
      </c>
      <c r="V1869" s="1">
        <v>304.98581425</v>
      </c>
      <c r="W1869" s="1">
        <v>14.365510188</v>
      </c>
      <c r="X1869" s="1">
        <v>12.825654492</v>
      </c>
      <c r="Y1869" s="1">
        <v>78.976954917</v>
      </c>
      <c r="Z1869" s="1">
        <v>8.8</v>
      </c>
      <c r="AA1869" s="1">
        <v>4.2813715275</v>
      </c>
      <c r="AB1869" s="1">
        <v>71084.0</v>
      </c>
      <c r="AC1869" s="1">
        <v>45.255079451</v>
      </c>
      <c r="AD1869" s="1">
        <v>63.051593018</v>
      </c>
      <c r="AE1869" s="1">
        <v>12.5662845709999</v>
      </c>
      <c r="AF1869" s="1">
        <v>6.9392004616</v>
      </c>
      <c r="AG1869" s="1">
        <v>0.3424442744</v>
      </c>
      <c r="AH1869" s="1">
        <v>2.7928651171</v>
      </c>
      <c r="AI1869" s="1">
        <v>0.0533109218</v>
      </c>
      <c r="AJ1869" s="1">
        <v>5.2319965881</v>
      </c>
      <c r="AK1869" s="1">
        <v>82.764265375</v>
      </c>
      <c r="AL1869" s="1">
        <v>0.765806349</v>
      </c>
      <c r="AM1869" s="1">
        <v>50.600845449</v>
      </c>
      <c r="AN1869" s="1">
        <v>30.512014753</v>
      </c>
      <c r="AO1869" s="1">
        <v>31529.0</v>
      </c>
      <c r="AP1869" s="1">
        <v>12.4</v>
      </c>
      <c r="AQ1869" s="1">
        <v>6.8</v>
      </c>
      <c r="AR1869" s="1">
        <v>8.7</v>
      </c>
      <c r="AS1869" s="1">
        <v>15.1</v>
      </c>
      <c r="AT1869" s="1">
        <v>20.3</v>
      </c>
      <c r="AU1869" s="1">
        <v>13.0</v>
      </c>
      <c r="AV1869" s="1">
        <v>15.7</v>
      </c>
      <c r="AW1869" s="1">
        <v>0.8</v>
      </c>
      <c r="AX1869" s="1">
        <v>0.3091</v>
      </c>
      <c r="AY1869" s="1">
        <v>11.5</v>
      </c>
      <c r="AZ1869" s="1">
        <v>10.3</v>
      </c>
      <c r="BA1869" s="1">
        <v>17.9</v>
      </c>
      <c r="BB1869" s="1">
        <v>3.48</v>
      </c>
      <c r="BC1869" s="1" t="s">
        <v>3075</v>
      </c>
      <c r="BD1869" s="1">
        <v>8.1</v>
      </c>
      <c r="BE1869" s="1">
        <v>29.0</v>
      </c>
      <c r="BF1869" s="1">
        <v>30.9</v>
      </c>
      <c r="BG1869" s="1">
        <v>32.0</v>
      </c>
      <c r="BH1869" s="1" t="s">
        <v>3134</v>
      </c>
    </row>
    <row r="1870">
      <c r="A1870" s="1">
        <v>36085.0</v>
      </c>
      <c r="B1870" s="2" t="str">
        <f>IFERROR(__xludf.DUMMYFUNCTION("TO_TEXT(A1870)"),"36085")</f>
        <v>36085</v>
      </c>
      <c r="C1870" s="1">
        <v>473324.0</v>
      </c>
      <c r="D1870" s="1">
        <v>58.175988734462</v>
      </c>
      <c r="E1870" s="1" t="s">
        <v>995</v>
      </c>
      <c r="F1870" s="1" t="s">
        <v>3135</v>
      </c>
      <c r="G1870" s="1">
        <v>8136.07143250175</v>
      </c>
      <c r="H1870" s="1">
        <v>15.421365895</v>
      </c>
      <c r="I1870" s="1">
        <v>3.9235807446</v>
      </c>
      <c r="J1870" s="1">
        <v>7.9564221405</v>
      </c>
      <c r="K1870" s="1">
        <v>15.373417772</v>
      </c>
      <c r="L1870" s="1">
        <v>27.5</v>
      </c>
      <c r="M1870" s="1">
        <v>9.1</v>
      </c>
      <c r="N1870" s="1">
        <v>27.3</v>
      </c>
      <c r="O1870" s="1">
        <v>99.7904977279999</v>
      </c>
      <c r="P1870" s="1">
        <v>4.935283752</v>
      </c>
      <c r="Q1870" s="1">
        <v>97.19308</v>
      </c>
      <c r="R1870" s="1">
        <v>79.689823667</v>
      </c>
      <c r="S1870" s="1">
        <v>15.2</v>
      </c>
      <c r="T1870" s="1">
        <v>103863.0</v>
      </c>
      <c r="U1870" s="1">
        <v>26.410752626</v>
      </c>
      <c r="V1870" s="1">
        <v>597.89466553</v>
      </c>
      <c r="W1870" s="1">
        <v>24.175526308</v>
      </c>
      <c r="X1870" s="1">
        <v>21.5999752609999</v>
      </c>
      <c r="Y1870" s="1">
        <v>80.854809112</v>
      </c>
      <c r="Z1870" s="1">
        <v>11.0</v>
      </c>
      <c r="AA1870" s="1">
        <v>0.1720707818</v>
      </c>
      <c r="AB1870" s="1">
        <v>79719.0</v>
      </c>
      <c r="AC1870" s="1">
        <v>58.963632042</v>
      </c>
      <c r="AD1870" s="1">
        <v>69.718691319</v>
      </c>
      <c r="AE1870" s="1">
        <v>21.91176933</v>
      </c>
      <c r="AF1870" s="1">
        <v>9.4321673152</v>
      </c>
      <c r="AG1870" s="1">
        <v>0.6432455022</v>
      </c>
      <c r="AH1870" s="1">
        <v>10.1820953879999</v>
      </c>
      <c r="AI1870" s="1">
        <v>0.1121427026</v>
      </c>
      <c r="AJ1870" s="1">
        <v>18.666929873</v>
      </c>
      <c r="AK1870" s="1">
        <v>60.295183114</v>
      </c>
      <c r="AL1870" s="1">
        <v>4.8179610292</v>
      </c>
      <c r="AM1870" s="1">
        <v>51.53818207</v>
      </c>
      <c r="AN1870" s="1">
        <v>0.0</v>
      </c>
      <c r="AO1870" s="1">
        <v>32678.0</v>
      </c>
      <c r="AP1870" s="1">
        <v>12.9</v>
      </c>
      <c r="AQ1870" s="1">
        <v>6.2</v>
      </c>
      <c r="AR1870" s="1">
        <v>11.1</v>
      </c>
      <c r="AS1870" s="1">
        <v>14.5</v>
      </c>
      <c r="AT1870" s="1">
        <v>22.4</v>
      </c>
      <c r="AU1870" s="1">
        <v>10.0</v>
      </c>
      <c r="AV1870" s="1">
        <v>37.4</v>
      </c>
      <c r="AW1870" s="1">
        <v>4.6</v>
      </c>
      <c r="AX1870" s="1">
        <v>0.4648</v>
      </c>
      <c r="AY1870" s="1">
        <v>9.1</v>
      </c>
      <c r="AZ1870" s="1">
        <v>9.0</v>
      </c>
      <c r="BA1870" s="1">
        <v>14.7</v>
      </c>
      <c r="BB1870" s="1">
        <v>3.74</v>
      </c>
      <c r="BC1870" s="1" t="s">
        <v>3075</v>
      </c>
      <c r="BD1870" s="1">
        <v>11.3</v>
      </c>
      <c r="BE1870" s="1">
        <v>30.4</v>
      </c>
      <c r="BF1870" s="1">
        <v>24.5</v>
      </c>
      <c r="BG1870" s="1">
        <v>33.9</v>
      </c>
      <c r="BH1870" s="1" t="s">
        <v>3135</v>
      </c>
    </row>
    <row r="1871">
      <c r="A1871" s="1">
        <v>36087.0</v>
      </c>
      <c r="B1871" s="2" t="str">
        <f>IFERROR(__xludf.DUMMYFUNCTION("TO_TEXT(A1871)"),"36087")</f>
        <v>36087</v>
      </c>
      <c r="C1871" s="1">
        <v>322642.0</v>
      </c>
      <c r="D1871" s="1">
        <v>173.448377520839</v>
      </c>
      <c r="E1871" s="1" t="s">
        <v>3136</v>
      </c>
      <c r="F1871" s="1" t="s">
        <v>3137</v>
      </c>
      <c r="G1871" s="1">
        <v>1860.1615340059</v>
      </c>
      <c r="H1871" s="1">
        <v>17.251215541</v>
      </c>
      <c r="I1871" s="1">
        <v>3.8364447119</v>
      </c>
      <c r="J1871" s="1">
        <v>6.013750301</v>
      </c>
      <c r="K1871" s="1">
        <v>12.165288495</v>
      </c>
      <c r="L1871" s="1">
        <v>23.2</v>
      </c>
      <c r="M1871" s="1">
        <v>8.7</v>
      </c>
      <c r="N1871" s="1">
        <v>24.9</v>
      </c>
      <c r="O1871" s="1">
        <v>96.719465361</v>
      </c>
      <c r="P1871" s="1">
        <v>5.96700098</v>
      </c>
      <c r="Q1871" s="1">
        <v>88.7894199999999</v>
      </c>
      <c r="R1871" s="1">
        <v>84.544334975</v>
      </c>
      <c r="S1871" s="1">
        <v>23.2</v>
      </c>
      <c r="T1871" s="1">
        <v>89670.0</v>
      </c>
      <c r="U1871" s="1">
        <v>15.684175309</v>
      </c>
      <c r="V1871" s="1">
        <v>121.34989065</v>
      </c>
      <c r="W1871" s="1">
        <v>26.903271405</v>
      </c>
      <c r="X1871" s="1">
        <v>22.612630937</v>
      </c>
      <c r="Y1871" s="1">
        <v>83.165515893</v>
      </c>
      <c r="Z1871" s="1">
        <v>8.1</v>
      </c>
      <c r="AA1871" s="1">
        <v>3.3375869996</v>
      </c>
      <c r="AB1871" s="1">
        <v>88960.0</v>
      </c>
      <c r="AC1871" s="1">
        <v>42.021972596</v>
      </c>
      <c r="AD1871" s="1">
        <v>68.677566122</v>
      </c>
      <c r="AE1871" s="1">
        <v>23.012313463</v>
      </c>
      <c r="AF1871" s="1">
        <v>11.402999739</v>
      </c>
      <c r="AG1871" s="1">
        <v>0.5385406592</v>
      </c>
      <c r="AH1871" s="1">
        <v>6.2905479052</v>
      </c>
      <c r="AI1871" s="1">
        <v>0.1314112897</v>
      </c>
      <c r="AJ1871" s="1">
        <v>18.0656749409999</v>
      </c>
      <c r="AK1871" s="1">
        <v>62.834860836</v>
      </c>
      <c r="AL1871" s="1">
        <v>8.3407564179</v>
      </c>
      <c r="AM1871" s="1">
        <v>50.9427531889999</v>
      </c>
      <c r="AN1871" s="1">
        <v>0.7173863523</v>
      </c>
      <c r="AO1871" s="1">
        <v>35557.0</v>
      </c>
      <c r="AP1871" s="1">
        <v>14.5</v>
      </c>
      <c r="AQ1871" s="1">
        <v>7.0</v>
      </c>
      <c r="AR1871" s="1">
        <v>12.7</v>
      </c>
      <c r="AS1871" s="1">
        <v>14.9</v>
      </c>
      <c r="AT1871" s="1">
        <v>27.7</v>
      </c>
      <c r="AU1871" s="1">
        <v>9.4</v>
      </c>
      <c r="AV1871" s="1">
        <v>36.4</v>
      </c>
      <c r="AW1871" s="1">
        <v>8.2</v>
      </c>
      <c r="AX1871" s="1">
        <v>0.6071</v>
      </c>
      <c r="AY1871" s="1">
        <v>12.5</v>
      </c>
      <c r="AZ1871" s="1">
        <v>9.0</v>
      </c>
      <c r="BA1871" s="1">
        <v>16.6</v>
      </c>
      <c r="BB1871" s="1">
        <v>3.5</v>
      </c>
      <c r="BC1871" s="1" t="s">
        <v>3075</v>
      </c>
      <c r="BD1871" s="1">
        <v>11.8</v>
      </c>
      <c r="BE1871" s="1">
        <v>22.5</v>
      </c>
      <c r="BF1871" s="1">
        <v>24.6</v>
      </c>
      <c r="BG1871" s="1">
        <v>41.1</v>
      </c>
      <c r="BH1871" s="1" t="s">
        <v>3137</v>
      </c>
    </row>
    <row r="1872">
      <c r="A1872" s="1">
        <v>36089.0</v>
      </c>
      <c r="B1872" s="2" t="str">
        <f>IFERROR(__xludf.DUMMYFUNCTION("TO_TEXT(A1872)"),"36089")</f>
        <v>36089</v>
      </c>
      <c r="C1872" s="1">
        <v>111529.0</v>
      </c>
      <c r="D1872" s="1">
        <v>2679.26184328314</v>
      </c>
      <c r="E1872" s="1" t="s">
        <v>3138</v>
      </c>
      <c r="F1872" s="1" t="s">
        <v>3139</v>
      </c>
      <c r="G1872" s="1">
        <v>41.6267638340766</v>
      </c>
      <c r="H1872" s="1">
        <v>17.5977490109999</v>
      </c>
      <c r="I1872" s="1">
        <v>4.3121158842</v>
      </c>
      <c r="J1872" s="1">
        <v>6.77855841789999</v>
      </c>
      <c r="K1872" s="1">
        <v>17.38965495</v>
      </c>
      <c r="L1872" s="1">
        <v>32.9</v>
      </c>
      <c r="M1872" s="1">
        <v>7.6</v>
      </c>
      <c r="N1872" s="1">
        <v>29.4</v>
      </c>
      <c r="O1872" s="1">
        <v>58.327377975</v>
      </c>
      <c r="P1872" s="1">
        <v>6.3237229631</v>
      </c>
      <c r="Q1872" s="1">
        <v>53.82082</v>
      </c>
      <c r="R1872" s="1">
        <v>84.7637415619999</v>
      </c>
      <c r="S1872" s="1">
        <v>20.0</v>
      </c>
      <c r="T1872" s="1">
        <v>21918.0</v>
      </c>
      <c r="U1872" s="1">
        <v>36.339994525</v>
      </c>
      <c r="V1872" s="1">
        <v>145.99568116</v>
      </c>
      <c r="W1872" s="1">
        <v>15.15736163</v>
      </c>
      <c r="X1872" s="1">
        <v>12.8211402009999</v>
      </c>
      <c r="Y1872" s="1">
        <v>79.103150129</v>
      </c>
      <c r="Z1872" s="1">
        <v>10.8</v>
      </c>
      <c r="AA1872" s="1">
        <v>6.7875167022</v>
      </c>
      <c r="AB1872" s="1">
        <v>49356.0</v>
      </c>
      <c r="AC1872" s="1">
        <v>52.080344333</v>
      </c>
      <c r="AD1872" s="1">
        <v>72.4351436319999</v>
      </c>
      <c r="AE1872" s="1">
        <v>13.523431689</v>
      </c>
      <c r="AF1872" s="1">
        <v>2.2869677085</v>
      </c>
      <c r="AG1872" s="1">
        <v>0.9958629115</v>
      </c>
      <c r="AH1872" s="1">
        <v>1.1393190001</v>
      </c>
      <c r="AI1872" s="1">
        <v>0.0694142364</v>
      </c>
      <c r="AJ1872" s="1">
        <v>2.3924773478</v>
      </c>
      <c r="AK1872" s="1">
        <v>91.925736022</v>
      </c>
      <c r="AL1872" s="1">
        <v>1.0140345466</v>
      </c>
      <c r="AM1872" s="1">
        <v>48.916675151</v>
      </c>
      <c r="AN1872" s="1">
        <v>61.991710141</v>
      </c>
      <c r="AO1872" s="1">
        <v>23313.0</v>
      </c>
      <c r="AP1872" s="1">
        <v>19.2</v>
      </c>
      <c r="AQ1872" s="1">
        <v>10.0</v>
      </c>
      <c r="AR1872" s="1">
        <v>11.9</v>
      </c>
      <c r="AS1872" s="1">
        <v>15.4</v>
      </c>
      <c r="AT1872" s="1">
        <v>20.6</v>
      </c>
      <c r="AU1872" s="1">
        <v>15.9</v>
      </c>
      <c r="AV1872" s="1">
        <v>7.9</v>
      </c>
      <c r="AW1872" s="1">
        <v>1.0</v>
      </c>
      <c r="AX1872" s="1">
        <v>0.7319</v>
      </c>
      <c r="AY1872" s="1">
        <v>18.9</v>
      </c>
      <c r="AZ1872" s="1">
        <v>13.1</v>
      </c>
      <c r="BA1872" s="1">
        <v>23.3</v>
      </c>
      <c r="BB1872" s="1">
        <v>2.84</v>
      </c>
      <c r="BC1872" s="1" t="s">
        <v>3075</v>
      </c>
      <c r="BD1872" s="1">
        <v>11.3</v>
      </c>
      <c r="BE1872" s="1">
        <v>36.8</v>
      </c>
      <c r="BF1872" s="1">
        <v>28.0</v>
      </c>
      <c r="BG1872" s="1">
        <v>23.8</v>
      </c>
      <c r="BH1872" s="1" t="s">
        <v>3139</v>
      </c>
    </row>
    <row r="1873">
      <c r="A1873" s="1">
        <v>36091.0</v>
      </c>
      <c r="B1873" s="2" t="str">
        <f>IFERROR(__xludf.DUMMYFUNCTION("TO_TEXT(A1873)"),"36091")</f>
        <v>36091</v>
      </c>
      <c r="C1873" s="1">
        <v>224929.0</v>
      </c>
      <c r="D1873" s="1">
        <v>809.995807003842</v>
      </c>
      <c r="E1873" s="1" t="s">
        <v>3140</v>
      </c>
      <c r="F1873" s="1" t="s">
        <v>3141</v>
      </c>
      <c r="G1873" s="1">
        <v>277.691560937837</v>
      </c>
      <c r="H1873" s="1">
        <v>11.119186607</v>
      </c>
      <c r="I1873" s="1">
        <v>3.8752920437</v>
      </c>
      <c r="J1873" s="1">
        <v>6.4025190239</v>
      </c>
      <c r="K1873" s="1">
        <v>14.795153675</v>
      </c>
      <c r="L1873" s="1">
        <v>25.9</v>
      </c>
      <c r="M1873" s="1">
        <v>8.9</v>
      </c>
      <c r="N1873" s="1">
        <v>20.2</v>
      </c>
      <c r="O1873" s="1">
        <v>91.816290009</v>
      </c>
      <c r="P1873" s="1">
        <v>3.7728248483</v>
      </c>
      <c r="Q1873" s="1">
        <v>66.55965</v>
      </c>
      <c r="R1873" s="1">
        <v>90.919037199</v>
      </c>
      <c r="S1873" s="1">
        <v>7.4</v>
      </c>
      <c r="T1873" s="1">
        <v>46684.0</v>
      </c>
      <c r="U1873" s="1">
        <v>23.813297918</v>
      </c>
      <c r="V1873" s="1">
        <v>102.61570308</v>
      </c>
      <c r="W1873" s="1">
        <v>11.320754717</v>
      </c>
      <c r="X1873" s="1">
        <v>10.550484094</v>
      </c>
      <c r="Y1873" s="1">
        <v>80.997024954</v>
      </c>
      <c r="Z1873" s="1">
        <v>9.0</v>
      </c>
      <c r="AA1873" s="1">
        <v>3.9844301672</v>
      </c>
      <c r="AB1873" s="1">
        <v>83210.0</v>
      </c>
      <c r="AC1873" s="1">
        <v>23.512395409</v>
      </c>
      <c r="AD1873" s="1">
        <v>71.778729388</v>
      </c>
      <c r="AE1873" s="1">
        <v>10.209976309</v>
      </c>
      <c r="AF1873" s="1">
        <v>1.7361608947</v>
      </c>
      <c r="AG1873" s="1">
        <v>0.2372231853</v>
      </c>
      <c r="AH1873" s="1">
        <v>2.9522555754</v>
      </c>
      <c r="AI1873" s="1">
        <v>0.0434474698</v>
      </c>
      <c r="AJ1873" s="1">
        <v>3.3537101967</v>
      </c>
      <c r="AK1873" s="1">
        <v>90.124390106</v>
      </c>
      <c r="AL1873" s="1">
        <v>0.5389635388</v>
      </c>
      <c r="AM1873" s="1">
        <v>50.47857388</v>
      </c>
      <c r="AN1873" s="1">
        <v>29.961704317</v>
      </c>
      <c r="AO1873" s="1">
        <v>37583.0</v>
      </c>
      <c r="AP1873" s="1">
        <v>6.4</v>
      </c>
      <c r="AQ1873" s="1">
        <v>5.4</v>
      </c>
      <c r="AR1873" s="1">
        <v>6.0</v>
      </c>
      <c r="AS1873" s="1">
        <v>15.8</v>
      </c>
      <c r="AT1873" s="1">
        <v>21.2</v>
      </c>
      <c r="AU1873" s="1">
        <v>11.3</v>
      </c>
      <c r="AV1873" s="1">
        <v>8.7</v>
      </c>
      <c r="AW1873" s="1">
        <v>0.7</v>
      </c>
      <c r="AX1873" s="1">
        <v>0.0656</v>
      </c>
      <c r="AY1873" s="1">
        <v>6.0</v>
      </c>
      <c r="AZ1873" s="1">
        <v>7.5</v>
      </c>
      <c r="BA1873" s="1">
        <v>12.9</v>
      </c>
      <c r="BB1873" s="1">
        <v>3.66</v>
      </c>
      <c r="BC1873" s="1" t="s">
        <v>3075</v>
      </c>
      <c r="BD1873" s="1">
        <v>6.0</v>
      </c>
      <c r="BE1873" s="1">
        <v>24.9</v>
      </c>
      <c r="BF1873" s="1">
        <v>27.8</v>
      </c>
      <c r="BG1873" s="1">
        <v>41.4</v>
      </c>
      <c r="BH1873" s="1" t="s">
        <v>3141</v>
      </c>
    </row>
    <row r="1874">
      <c r="A1874" s="1">
        <v>36093.0</v>
      </c>
      <c r="B1874" s="2" t="str">
        <f>IFERROR(__xludf.DUMMYFUNCTION("TO_TEXT(A1874)"),"36093")</f>
        <v>36093</v>
      </c>
      <c r="C1874" s="1">
        <v>154845.0</v>
      </c>
      <c r="D1874" s="1">
        <v>204.578562084622</v>
      </c>
      <c r="E1874" s="1" t="s">
        <v>3142</v>
      </c>
      <c r="F1874" s="1" t="s">
        <v>3143</v>
      </c>
      <c r="G1874" s="1">
        <v>756.897489268448</v>
      </c>
      <c r="H1874" s="1">
        <v>14.694712837</v>
      </c>
      <c r="I1874" s="1">
        <v>3.8352904316</v>
      </c>
      <c r="J1874" s="1">
        <v>8.465567107</v>
      </c>
      <c r="K1874" s="1">
        <v>14.143836257</v>
      </c>
      <c r="L1874" s="1">
        <v>29.6</v>
      </c>
      <c r="M1874" s="1">
        <v>8.2</v>
      </c>
      <c r="N1874" s="1">
        <v>22.8</v>
      </c>
      <c r="O1874" s="1">
        <v>95.654927711</v>
      </c>
      <c r="P1874" s="1">
        <v>4.8415312603</v>
      </c>
      <c r="Q1874" s="1">
        <v>82.28072</v>
      </c>
      <c r="R1874" s="1">
        <v>77.83446712</v>
      </c>
      <c r="S1874" s="1">
        <v>17.3</v>
      </c>
      <c r="T1874" s="1">
        <v>33106.0</v>
      </c>
      <c r="U1874" s="1">
        <v>35.464870416</v>
      </c>
      <c r="V1874" s="1">
        <v>429.4926941</v>
      </c>
      <c r="W1874" s="1">
        <v>15.238527942</v>
      </c>
      <c r="X1874" s="1">
        <v>13.982739625</v>
      </c>
      <c r="Y1874" s="1">
        <v>78.9624332269999</v>
      </c>
      <c r="Z1874" s="1">
        <v>9.9</v>
      </c>
      <c r="AA1874" s="1">
        <v>5.7252231037</v>
      </c>
      <c r="AB1874" s="1">
        <v>63297.0</v>
      </c>
      <c r="AC1874" s="1">
        <v>48.7391930839999</v>
      </c>
      <c r="AD1874" s="1">
        <v>66.52594052</v>
      </c>
      <c r="AE1874" s="1">
        <v>13.962002389</v>
      </c>
      <c r="AF1874" s="1">
        <v>10.8245896359999</v>
      </c>
      <c r="AG1874" s="1">
        <v>0.7087222401</v>
      </c>
      <c r="AH1874" s="1">
        <v>4.91535243</v>
      </c>
      <c r="AI1874" s="1">
        <v>0.2162858062</v>
      </c>
      <c r="AJ1874" s="1">
        <v>7.3691663985</v>
      </c>
      <c r="AK1874" s="1">
        <v>73.163179916</v>
      </c>
      <c r="AL1874" s="1">
        <v>1.3622091509</v>
      </c>
      <c r="AM1874" s="1">
        <v>51.267460573</v>
      </c>
      <c r="AN1874" s="1">
        <v>8.1563010981</v>
      </c>
      <c r="AO1874" s="1">
        <v>29212.0</v>
      </c>
      <c r="AP1874" s="1">
        <v>12.0</v>
      </c>
      <c r="AQ1874" s="1">
        <v>7.4</v>
      </c>
      <c r="AR1874" s="1">
        <v>9.8</v>
      </c>
      <c r="AS1874" s="1">
        <v>15.7</v>
      </c>
      <c r="AT1874" s="1">
        <v>21.9</v>
      </c>
      <c r="AU1874" s="1">
        <v>13.5</v>
      </c>
      <c r="AV1874" s="1">
        <v>25.7</v>
      </c>
      <c r="AW1874" s="1">
        <v>1.5</v>
      </c>
      <c r="AX1874" s="1">
        <v>0.3747</v>
      </c>
      <c r="AY1874" s="1">
        <v>12.1</v>
      </c>
      <c r="AZ1874" s="1">
        <v>10.0</v>
      </c>
      <c r="BA1874" s="1">
        <v>16.6</v>
      </c>
      <c r="BB1874" s="1">
        <v>3.37</v>
      </c>
      <c r="BC1874" s="1" t="s">
        <v>3075</v>
      </c>
      <c r="BD1874" s="1">
        <v>9.3</v>
      </c>
      <c r="BE1874" s="1">
        <v>29.5</v>
      </c>
      <c r="BF1874" s="1">
        <v>29.1</v>
      </c>
      <c r="BG1874" s="1">
        <v>32.1</v>
      </c>
      <c r="BH1874" s="1" t="s">
        <v>3143</v>
      </c>
    </row>
    <row r="1875">
      <c r="A1875" s="1">
        <v>36095.0</v>
      </c>
      <c r="B1875" s="2" t="str">
        <f>IFERROR(__xludf.DUMMYFUNCTION("TO_TEXT(A1875)"),"36095")</f>
        <v>36095</v>
      </c>
      <c r="C1875" s="1">
        <v>31667.0</v>
      </c>
      <c r="D1875" s="1">
        <v>621.818650542446</v>
      </c>
      <c r="E1875" s="1" t="s">
        <v>3144</v>
      </c>
      <c r="F1875" s="1" t="s">
        <v>3145</v>
      </c>
      <c r="G1875" s="1">
        <v>50.9264236001527</v>
      </c>
      <c r="H1875" s="1">
        <v>14.795112086</v>
      </c>
      <c r="I1875" s="1">
        <v>4.3402339621</v>
      </c>
      <c r="J1875" s="1">
        <v>6.61390616169999</v>
      </c>
      <c r="K1875" s="1">
        <v>14.987575215</v>
      </c>
      <c r="L1875" s="1">
        <v>36.0</v>
      </c>
      <c r="M1875" s="1">
        <v>8.1</v>
      </c>
      <c r="N1875" s="1">
        <v>25.8</v>
      </c>
      <c r="O1875" s="1">
        <v>49.3908210939999</v>
      </c>
      <c r="P1875" s="1">
        <v>5.2225772098</v>
      </c>
      <c r="Q1875" s="1">
        <v>25.46149</v>
      </c>
      <c r="R1875" s="1">
        <v>82.890855457</v>
      </c>
      <c r="S1875" s="1">
        <v>16.1</v>
      </c>
      <c r="T1875" s="1">
        <v>5482.0</v>
      </c>
      <c r="U1875" s="1">
        <v>41.426486684</v>
      </c>
      <c r="V1875" s="1">
        <v>89.526946012</v>
      </c>
      <c r="W1875" s="1">
        <v>14.7878787879999</v>
      </c>
      <c r="X1875" s="1">
        <v>13.3687653309999</v>
      </c>
      <c r="Y1875" s="1">
        <v>80.671468602</v>
      </c>
      <c r="Z1875" s="1">
        <v>12.0</v>
      </c>
      <c r="AA1875" s="1">
        <v>6.9357969837</v>
      </c>
      <c r="AB1875" s="1">
        <v>57757.0</v>
      </c>
      <c r="AC1875" s="1">
        <v>50.845410628</v>
      </c>
      <c r="AD1875" s="1">
        <v>74.966159726</v>
      </c>
      <c r="AE1875" s="1">
        <v>11.621711622</v>
      </c>
      <c r="AF1875" s="1">
        <v>1.2766504808</v>
      </c>
      <c r="AG1875" s="1">
        <v>0.282985497</v>
      </c>
      <c r="AH1875" s="1">
        <v>0.7846416053</v>
      </c>
      <c r="AI1875" s="1">
        <v>0.0321574428</v>
      </c>
      <c r="AJ1875" s="1">
        <v>3.3443740554</v>
      </c>
      <c r="AK1875" s="1">
        <v>93.050776602</v>
      </c>
      <c r="AL1875" s="1">
        <v>0.4198040914</v>
      </c>
      <c r="AM1875" s="1">
        <v>49.847252147</v>
      </c>
      <c r="AN1875" s="1">
        <v>82.845277718</v>
      </c>
      <c r="AO1875" s="1">
        <v>25638.0</v>
      </c>
      <c r="AP1875" s="1">
        <v>14.1</v>
      </c>
      <c r="AQ1875" s="1">
        <v>10.1</v>
      </c>
      <c r="AR1875" s="1">
        <v>11.5</v>
      </c>
      <c r="AS1875" s="1">
        <v>18.4</v>
      </c>
      <c r="AT1875" s="1">
        <v>18.8</v>
      </c>
      <c r="AU1875" s="1">
        <v>15.6</v>
      </c>
      <c r="AV1875" s="1">
        <v>6.5</v>
      </c>
      <c r="AW1875" s="1">
        <v>0.3</v>
      </c>
      <c r="AX1875" s="1">
        <v>0.4941</v>
      </c>
      <c r="AY1875" s="1">
        <v>12.1</v>
      </c>
      <c r="AZ1875" s="1">
        <v>11.2</v>
      </c>
      <c r="BA1875" s="1">
        <v>20.3</v>
      </c>
      <c r="BB1875" s="1">
        <v>3.21</v>
      </c>
      <c r="BC1875" s="1" t="s">
        <v>3075</v>
      </c>
      <c r="BD1875" s="1">
        <v>10.3</v>
      </c>
      <c r="BE1875" s="1">
        <v>35.7</v>
      </c>
      <c r="BF1875" s="1">
        <v>31.5</v>
      </c>
      <c r="BG1875" s="1">
        <v>22.4</v>
      </c>
      <c r="BH1875" s="1" t="s">
        <v>3145</v>
      </c>
    </row>
    <row r="1876">
      <c r="A1876" s="1">
        <v>36097.0</v>
      </c>
      <c r="B1876" s="2" t="str">
        <f>IFERROR(__xludf.DUMMYFUNCTION("TO_TEXT(A1876)"),"36097")</f>
        <v>36097</v>
      </c>
      <c r="C1876" s="1">
        <v>18336.0</v>
      </c>
      <c r="D1876" s="1">
        <v>328.333075515322</v>
      </c>
      <c r="E1876" s="1" t="s">
        <v>1279</v>
      </c>
      <c r="F1876" s="1" t="s">
        <v>3146</v>
      </c>
      <c r="G1876" s="1">
        <v>55.8457291310705</v>
      </c>
      <c r="H1876" s="1">
        <v>15.251774835</v>
      </c>
      <c r="I1876" s="1">
        <v>4.3140495726</v>
      </c>
      <c r="J1876" s="1">
        <v>6.1916878711</v>
      </c>
      <c r="K1876" s="1">
        <v>16.216943722</v>
      </c>
      <c r="L1876" s="1">
        <v>32.2</v>
      </c>
      <c r="M1876" s="1">
        <v>8.3</v>
      </c>
      <c r="N1876" s="1">
        <v>25.0</v>
      </c>
      <c r="O1876" s="1">
        <v>66.712097258</v>
      </c>
      <c r="P1876" s="1">
        <v>5.2616750018</v>
      </c>
      <c r="Q1876" s="1">
        <v>61.11111</v>
      </c>
      <c r="R1876" s="1">
        <v>89.6825396829999</v>
      </c>
      <c r="S1876" s="1">
        <v>21.1</v>
      </c>
      <c r="T1876" s="1">
        <v>3403.0</v>
      </c>
      <c r="U1876" s="1">
        <v>36.967381722</v>
      </c>
      <c r="V1876" s="1">
        <v>71.09458314</v>
      </c>
      <c r="W1876" s="1">
        <v>15.389830508</v>
      </c>
      <c r="X1876" s="1">
        <v>12.632302405</v>
      </c>
      <c r="Y1876" s="1">
        <v>78.1055237039999</v>
      </c>
      <c r="Z1876" s="1">
        <v>11.1</v>
      </c>
      <c r="AA1876" s="1">
        <v>3.0344098047</v>
      </c>
      <c r="AB1876" s="1">
        <v>50190.0</v>
      </c>
      <c r="AC1876" s="1">
        <v>50.7082152969999</v>
      </c>
      <c r="AD1876" s="1">
        <v>77.820372399</v>
      </c>
      <c r="AE1876" s="1">
        <v>12.777699165</v>
      </c>
      <c r="AF1876" s="1">
        <v>0.9546672622</v>
      </c>
      <c r="AG1876" s="1">
        <v>0.390799464</v>
      </c>
      <c r="AH1876" s="1">
        <v>0.630861992</v>
      </c>
      <c r="AI1876" s="1">
        <v>0.0223313979</v>
      </c>
      <c r="AJ1876" s="1">
        <v>1.8646717285</v>
      </c>
      <c r="AK1876" s="1">
        <v>94.89169272</v>
      </c>
      <c r="AL1876" s="1">
        <v>0.281079815</v>
      </c>
      <c r="AM1876" s="1">
        <v>50.1451540869999</v>
      </c>
      <c r="AN1876" s="1">
        <v>81.15357357</v>
      </c>
      <c r="AO1876" s="1">
        <v>25004.0</v>
      </c>
      <c r="AP1876" s="1">
        <v>14.6</v>
      </c>
      <c r="AQ1876" s="1">
        <v>7.3</v>
      </c>
      <c r="AR1876" s="1">
        <v>10.0</v>
      </c>
      <c r="AS1876" s="1">
        <v>19.4</v>
      </c>
      <c r="AT1876" s="1">
        <v>19.8</v>
      </c>
      <c r="AU1876" s="1">
        <v>15.7</v>
      </c>
      <c r="AV1876" s="1">
        <v>4.7</v>
      </c>
      <c r="AW1876" s="1">
        <v>0.1</v>
      </c>
      <c r="AX1876" s="1">
        <v>0.3174</v>
      </c>
      <c r="AY1876" s="1">
        <v>15.7</v>
      </c>
      <c r="AZ1876" s="1">
        <v>11.9</v>
      </c>
      <c r="BA1876" s="1">
        <v>21.6</v>
      </c>
      <c r="BB1876" s="1">
        <v>3.0</v>
      </c>
      <c r="BC1876" s="1" t="s">
        <v>3075</v>
      </c>
      <c r="BD1876" s="1">
        <v>9.6</v>
      </c>
      <c r="BE1876" s="1">
        <v>33.5</v>
      </c>
      <c r="BF1876" s="1">
        <v>33.5</v>
      </c>
      <c r="BG1876" s="1">
        <v>23.5</v>
      </c>
      <c r="BH1876" s="1" t="s">
        <v>3146</v>
      </c>
    </row>
    <row r="1877">
      <c r="A1877" s="1">
        <v>36099.0</v>
      </c>
      <c r="B1877" s="2" t="str">
        <f>IFERROR(__xludf.DUMMYFUNCTION("TO_TEXT(A1877)"),"36099")</f>
        <v>36099</v>
      </c>
      <c r="C1877" s="1">
        <v>35036.0</v>
      </c>
      <c r="D1877" s="1">
        <v>323.709316805852</v>
      </c>
      <c r="E1877" s="1" t="s">
        <v>3147</v>
      </c>
      <c r="F1877" s="1" t="s">
        <v>3148</v>
      </c>
      <c r="G1877" s="1">
        <v>108.232905823385</v>
      </c>
      <c r="H1877" s="1">
        <v>14.648918122</v>
      </c>
      <c r="I1877" s="1">
        <v>4.0993687512</v>
      </c>
      <c r="J1877" s="1">
        <v>6.1806656101</v>
      </c>
      <c r="K1877" s="1">
        <v>15.834344879</v>
      </c>
      <c r="L1877" s="1">
        <v>38.2</v>
      </c>
      <c r="M1877" s="1">
        <v>8.2</v>
      </c>
      <c r="N1877" s="1">
        <v>30.8</v>
      </c>
      <c r="O1877" s="1">
        <v>68.31579246</v>
      </c>
      <c r="P1877" s="1">
        <v>6.280552188</v>
      </c>
      <c r="Q1877" s="1">
        <v>23.18975</v>
      </c>
      <c r="R1877" s="1">
        <v>82.621082621</v>
      </c>
      <c r="S1877" s="1">
        <v>19.9</v>
      </c>
      <c r="T1877" s="1">
        <v>6823.0</v>
      </c>
      <c r="U1877" s="1">
        <v>26.161512531</v>
      </c>
      <c r="V1877" s="1">
        <v>201.35665834</v>
      </c>
      <c r="W1877" s="1">
        <v>12.765179225</v>
      </c>
      <c r="X1877" s="1">
        <v>10.840707965</v>
      </c>
      <c r="Y1877" s="1">
        <v>77.527103057</v>
      </c>
      <c r="Z1877" s="1">
        <v>12.6</v>
      </c>
      <c r="AA1877" s="1">
        <v>5.9773752186</v>
      </c>
      <c r="AB1877" s="1">
        <v>54184.0</v>
      </c>
      <c r="AC1877" s="1">
        <v>52.734177215</v>
      </c>
      <c r="AD1877" s="1">
        <v>73.975743233</v>
      </c>
      <c r="AE1877" s="1">
        <v>9.7133272339</v>
      </c>
      <c r="AF1877" s="1">
        <v>4.9271137026</v>
      </c>
      <c r="AG1877" s="1">
        <v>0.5072886297</v>
      </c>
      <c r="AH1877" s="1">
        <v>0.8163265306</v>
      </c>
      <c r="AI1877" s="1">
        <v>0.0087463557</v>
      </c>
      <c r="AJ1877" s="1">
        <v>3.5160349854</v>
      </c>
      <c r="AK1877" s="1">
        <v>88.7813411079999</v>
      </c>
      <c r="AL1877" s="1">
        <v>0.6755311019</v>
      </c>
      <c r="AM1877" s="1">
        <v>47.50728863</v>
      </c>
      <c r="AN1877" s="1">
        <v>58.6564920139999</v>
      </c>
      <c r="AO1877" s="1">
        <v>25680.0</v>
      </c>
      <c r="AP1877" s="1">
        <v>12.4</v>
      </c>
      <c r="AQ1877" s="1">
        <v>5.3</v>
      </c>
      <c r="AR1877" s="1">
        <v>14.5</v>
      </c>
      <c r="AS1877" s="1">
        <v>17.2</v>
      </c>
      <c r="AT1877" s="1">
        <v>20.2</v>
      </c>
      <c r="AU1877" s="1">
        <v>15.9</v>
      </c>
      <c r="AV1877" s="1">
        <v>10.6</v>
      </c>
      <c r="AW1877" s="1">
        <v>0.5</v>
      </c>
      <c r="AX1877" s="1">
        <v>0.3932</v>
      </c>
      <c r="AY1877" s="1">
        <v>13.7</v>
      </c>
      <c r="AZ1877" s="1">
        <v>10.8</v>
      </c>
      <c r="BA1877" s="1">
        <v>18.6</v>
      </c>
      <c r="BB1877" s="1">
        <v>2.64</v>
      </c>
      <c r="BC1877" s="1" t="s">
        <v>3075</v>
      </c>
      <c r="BD1877" s="1">
        <v>15.2</v>
      </c>
      <c r="BE1877" s="1">
        <v>35.2</v>
      </c>
      <c r="BF1877" s="1">
        <v>28.5</v>
      </c>
      <c r="BG1877" s="1">
        <v>21.1</v>
      </c>
      <c r="BH1877" s="1" t="s">
        <v>3148</v>
      </c>
    </row>
    <row r="1878">
      <c r="A1878" s="1">
        <v>36101.0</v>
      </c>
      <c r="B1878" s="2" t="str">
        <f>IFERROR(__xludf.DUMMYFUNCTION("TO_TEXT(A1878)"),"36101")</f>
        <v>36101</v>
      </c>
      <c r="C1878" s="1">
        <v>98151.0</v>
      </c>
      <c r="D1878" s="1">
        <v>1390.57247627522</v>
      </c>
      <c r="E1878" s="1" t="s">
        <v>1414</v>
      </c>
      <c r="F1878" s="1" t="s">
        <v>3149</v>
      </c>
      <c r="G1878" s="1">
        <v>70.5831602987762</v>
      </c>
      <c r="H1878" s="1">
        <v>15.951044257</v>
      </c>
      <c r="I1878" s="1">
        <v>4.1888459769</v>
      </c>
      <c r="J1878" s="1">
        <v>6.7805731199</v>
      </c>
      <c r="K1878" s="1">
        <v>15.397564192</v>
      </c>
      <c r="L1878" s="1">
        <v>33.7</v>
      </c>
      <c r="M1878" s="1">
        <v>8.3</v>
      </c>
      <c r="N1878" s="1">
        <v>26.9</v>
      </c>
      <c r="O1878" s="1">
        <v>56.7431053639999</v>
      </c>
      <c r="P1878" s="1">
        <v>6.0887834105</v>
      </c>
      <c r="Q1878" s="1">
        <v>60.24034</v>
      </c>
      <c r="R1878" s="1">
        <v>86.488673139</v>
      </c>
      <c r="S1878" s="1">
        <v>18.7</v>
      </c>
      <c r="T1878" s="1">
        <v>20720.0</v>
      </c>
      <c r="U1878" s="1">
        <v>33.667953668</v>
      </c>
      <c r="V1878" s="1">
        <v>177.54082927</v>
      </c>
      <c r="W1878" s="1">
        <v>12.37636004</v>
      </c>
      <c r="X1878" s="1">
        <v>10.470734745</v>
      </c>
      <c r="Y1878" s="1">
        <v>78.7180653039999</v>
      </c>
      <c r="Z1878" s="1">
        <v>13.3</v>
      </c>
      <c r="AA1878" s="1">
        <v>2.9632965533</v>
      </c>
      <c r="AB1878" s="1">
        <v>54862.0</v>
      </c>
      <c r="AC1878" s="1">
        <v>48.6190476189999</v>
      </c>
      <c r="AD1878" s="1">
        <v>71.77413334</v>
      </c>
      <c r="AE1878" s="1">
        <v>10.169578491</v>
      </c>
      <c r="AF1878" s="1">
        <v>1.488579899</v>
      </c>
      <c r="AG1878" s="1">
        <v>0.3100338219</v>
      </c>
      <c r="AH1878" s="1">
        <v>1.5459935697</v>
      </c>
      <c r="AI1878" s="1">
        <v>0.0292287778</v>
      </c>
      <c r="AJ1878" s="1">
        <v>1.7004885381</v>
      </c>
      <c r="AK1878" s="1">
        <v>93.606204852</v>
      </c>
      <c r="AL1878" s="1">
        <v>0.6479882859</v>
      </c>
      <c r="AM1878" s="1">
        <v>50.155538853</v>
      </c>
      <c r="AN1878" s="1">
        <v>60.37074452</v>
      </c>
      <c r="AO1878" s="1">
        <v>26830.0</v>
      </c>
      <c r="AP1878" s="1">
        <v>15.1</v>
      </c>
      <c r="AQ1878" s="1">
        <v>7.6</v>
      </c>
      <c r="AR1878" s="1">
        <v>10.4</v>
      </c>
      <c r="AS1878" s="1">
        <v>17.5</v>
      </c>
      <c r="AT1878" s="1">
        <v>22.3</v>
      </c>
      <c r="AU1878" s="1">
        <v>15.6</v>
      </c>
      <c r="AV1878" s="1">
        <v>6.1</v>
      </c>
      <c r="AW1878" s="1">
        <v>0.6</v>
      </c>
      <c r="AX1878" s="1">
        <v>0.4951</v>
      </c>
      <c r="AY1878" s="1">
        <v>15.0</v>
      </c>
      <c r="AZ1878" s="1">
        <v>11.7</v>
      </c>
      <c r="BA1878" s="1">
        <v>20.9</v>
      </c>
      <c r="BB1878" s="1">
        <v>2.93</v>
      </c>
      <c r="BC1878" s="1" t="s">
        <v>3075</v>
      </c>
      <c r="BD1878" s="1">
        <v>9.5</v>
      </c>
      <c r="BE1878" s="1">
        <v>36.7</v>
      </c>
      <c r="BF1878" s="1">
        <v>30.1</v>
      </c>
      <c r="BG1878" s="1">
        <v>23.6</v>
      </c>
      <c r="BH1878" s="1" t="s">
        <v>3149</v>
      </c>
    </row>
    <row r="1879">
      <c r="A1879" s="1">
        <v>36103.0</v>
      </c>
      <c r="B1879" s="2" t="str">
        <f>IFERROR(__xludf.DUMMYFUNCTION("TO_TEXT(A1879)"),"36103")</f>
        <v>36103</v>
      </c>
      <c r="C1879" s="1">
        <v>1498130.0</v>
      </c>
      <c r="D1879" s="1">
        <v>911.75473969031</v>
      </c>
      <c r="E1879" s="1" t="s">
        <v>2138</v>
      </c>
      <c r="F1879" s="1" t="s">
        <v>3150</v>
      </c>
      <c r="G1879" s="1">
        <v>1643.12828306093</v>
      </c>
      <c r="H1879" s="1">
        <v>13.071133222</v>
      </c>
      <c r="I1879" s="1">
        <v>3.931666023</v>
      </c>
      <c r="J1879" s="1">
        <v>7.74085097</v>
      </c>
      <c r="K1879" s="1">
        <v>12.625481467</v>
      </c>
      <c r="L1879" s="1">
        <v>24.6</v>
      </c>
      <c r="M1879" s="1">
        <v>9.3</v>
      </c>
      <c r="N1879" s="1">
        <v>24.2</v>
      </c>
      <c r="O1879" s="1">
        <v>93.336659189</v>
      </c>
      <c r="P1879" s="1">
        <v>5.4469207289</v>
      </c>
      <c r="Q1879" s="1">
        <v>73.47854</v>
      </c>
      <c r="R1879" s="1">
        <v>89.560601592</v>
      </c>
      <c r="S1879" s="1">
        <v>9.4</v>
      </c>
      <c r="T1879" s="1">
        <v>318692.0</v>
      </c>
      <c r="U1879" s="1">
        <v>23.610256925</v>
      </c>
      <c r="V1879" s="1">
        <v>124.03918075</v>
      </c>
      <c r="W1879" s="1">
        <v>22.888761843</v>
      </c>
      <c r="X1879" s="1">
        <v>20.427237691</v>
      </c>
      <c r="Y1879" s="1">
        <v>80.675227241</v>
      </c>
      <c r="Z1879" s="1">
        <v>8.1</v>
      </c>
      <c r="AA1879" s="1">
        <v>3.904545105</v>
      </c>
      <c r="AB1879" s="1">
        <v>100075.0</v>
      </c>
      <c r="AC1879" s="1">
        <v>35.891165701</v>
      </c>
      <c r="AD1879" s="1">
        <v>80.104963103</v>
      </c>
      <c r="AE1879" s="1">
        <v>20.056799422</v>
      </c>
      <c r="AF1879" s="1">
        <v>7.3924459841</v>
      </c>
      <c r="AG1879" s="1">
        <v>0.6137359369</v>
      </c>
      <c r="AH1879" s="1">
        <v>4.1896086201</v>
      </c>
      <c r="AI1879" s="1">
        <v>0.0959426586</v>
      </c>
      <c r="AJ1879" s="1">
        <v>19.775260568</v>
      </c>
      <c r="AK1879" s="1">
        <v>67.190378997</v>
      </c>
      <c r="AL1879" s="1">
        <v>4.0063963673</v>
      </c>
      <c r="AM1879" s="1">
        <v>50.7716936069999</v>
      </c>
      <c r="AN1879" s="1">
        <v>2.6011316838</v>
      </c>
      <c r="AO1879" s="1">
        <v>38779.0</v>
      </c>
      <c r="AP1879" s="1">
        <v>7.3</v>
      </c>
      <c r="AQ1879" s="1">
        <v>6.1</v>
      </c>
      <c r="AR1879" s="1">
        <v>10.0</v>
      </c>
      <c r="AS1879" s="1">
        <v>15.2</v>
      </c>
      <c r="AT1879" s="1">
        <v>22.3</v>
      </c>
      <c r="AU1879" s="1">
        <v>9.5</v>
      </c>
      <c r="AV1879" s="1">
        <v>30.8</v>
      </c>
      <c r="AW1879" s="1">
        <v>4.5</v>
      </c>
      <c r="AX1879" s="1">
        <v>0.2318</v>
      </c>
      <c r="AY1879" s="1">
        <v>6.8</v>
      </c>
      <c r="AZ1879" s="1">
        <v>6.3</v>
      </c>
      <c r="BA1879" s="1">
        <v>11.2</v>
      </c>
      <c r="BB1879" s="1">
        <v>3.62</v>
      </c>
      <c r="BC1879" s="1" t="s">
        <v>3075</v>
      </c>
      <c r="BD1879" s="1">
        <v>9.4</v>
      </c>
      <c r="BE1879" s="1">
        <v>27.3</v>
      </c>
      <c r="BF1879" s="1">
        <v>26.9</v>
      </c>
      <c r="BG1879" s="1">
        <v>36.3</v>
      </c>
      <c r="BH1879" s="1" t="s">
        <v>3150</v>
      </c>
    </row>
    <row r="1880">
      <c r="A1880" s="1">
        <v>36105.0</v>
      </c>
      <c r="B1880" s="2" t="str">
        <f>IFERROR(__xludf.DUMMYFUNCTION("TO_TEXT(A1880)"),"36105")</f>
        <v>36105</v>
      </c>
      <c r="C1880" s="1">
        <v>75818.0</v>
      </c>
      <c r="D1880" s="1">
        <v>968.136577295908</v>
      </c>
      <c r="E1880" s="1" t="s">
        <v>1416</v>
      </c>
      <c r="F1880" s="1" t="s">
        <v>3151</v>
      </c>
      <c r="G1880" s="1">
        <v>78.3133307614164</v>
      </c>
      <c r="H1880" s="1">
        <v>17.142862867</v>
      </c>
      <c r="I1880" s="1">
        <v>4.0629033849</v>
      </c>
      <c r="J1880" s="1">
        <v>8.1448733209</v>
      </c>
      <c r="K1880" s="1">
        <v>16.144075284</v>
      </c>
      <c r="L1880" s="1">
        <v>32.5</v>
      </c>
      <c r="M1880" s="1">
        <v>8.3</v>
      </c>
      <c r="N1880" s="1">
        <v>27.6</v>
      </c>
      <c r="O1880" s="1">
        <v>66.812384747</v>
      </c>
      <c r="P1880" s="1">
        <v>6.5353866869</v>
      </c>
      <c r="Q1880" s="1">
        <v>35.7687</v>
      </c>
      <c r="R1880" s="1">
        <v>78.436657682</v>
      </c>
      <c r="S1880" s="1">
        <v>24.4</v>
      </c>
      <c r="T1880" s="1">
        <v>15717.0</v>
      </c>
      <c r="U1880" s="1">
        <v>35.757460075</v>
      </c>
      <c r="V1880" s="1">
        <v>261.17121667</v>
      </c>
      <c r="W1880" s="1">
        <v>18.746652384</v>
      </c>
      <c r="X1880" s="1">
        <v>17.078895107</v>
      </c>
      <c r="Y1880" s="1">
        <v>77.936071285</v>
      </c>
      <c r="Z1880" s="1">
        <v>11.9</v>
      </c>
      <c r="AA1880" s="1">
        <v>4.6694307833</v>
      </c>
      <c r="AB1880" s="1">
        <v>51985.0</v>
      </c>
      <c r="AC1880" s="1">
        <v>57.282369001</v>
      </c>
      <c r="AD1880" s="1">
        <v>67.665830047</v>
      </c>
      <c r="AE1880" s="1">
        <v>16.191438407</v>
      </c>
      <c r="AF1880" s="1">
        <v>8.1618056107</v>
      </c>
      <c r="AG1880" s="1">
        <v>0.7496887335</v>
      </c>
      <c r="AH1880" s="1">
        <v>1.7391189171</v>
      </c>
      <c r="AI1880" s="1">
        <v>0.0728496119</v>
      </c>
      <c r="AJ1880" s="1">
        <v>16.621632361</v>
      </c>
      <c r="AK1880" s="1">
        <v>71.234999603</v>
      </c>
      <c r="AL1880" s="1">
        <v>2.2470485475</v>
      </c>
      <c r="AM1880" s="1">
        <v>48.521815147</v>
      </c>
      <c r="AN1880" s="1">
        <v>74.165344888</v>
      </c>
      <c r="AO1880" s="1">
        <v>27068.0</v>
      </c>
      <c r="AP1880" s="1">
        <v>17.1</v>
      </c>
      <c r="AQ1880" s="1">
        <v>10.1</v>
      </c>
      <c r="AR1880" s="1">
        <v>13.8</v>
      </c>
      <c r="AS1880" s="1">
        <v>16.7</v>
      </c>
      <c r="AT1880" s="1">
        <v>21.6</v>
      </c>
      <c r="AU1880" s="1">
        <v>15.4</v>
      </c>
      <c r="AV1880" s="1">
        <v>27.0</v>
      </c>
      <c r="AW1880" s="1">
        <v>2.9</v>
      </c>
      <c r="AX1880" s="1">
        <v>0.7673</v>
      </c>
      <c r="AY1880" s="1">
        <v>16.1</v>
      </c>
      <c r="AZ1880" s="1">
        <v>11.4</v>
      </c>
      <c r="BA1880" s="1">
        <v>19.1</v>
      </c>
      <c r="BB1880" s="1">
        <v>2.95</v>
      </c>
      <c r="BC1880" s="1" t="s">
        <v>3075</v>
      </c>
      <c r="BD1880" s="1">
        <v>13.3</v>
      </c>
      <c r="BE1880" s="1">
        <v>33.8</v>
      </c>
      <c r="BF1880" s="1">
        <v>28.2</v>
      </c>
      <c r="BG1880" s="1">
        <v>24.8</v>
      </c>
      <c r="BH1880" s="1" t="s">
        <v>3151</v>
      </c>
    </row>
    <row r="1881">
      <c r="A1881" s="1">
        <v>36107.0</v>
      </c>
      <c r="B1881" s="2" t="str">
        <f>IFERROR(__xludf.DUMMYFUNCTION("TO_TEXT(A1881)"),"36107")</f>
        <v>36107</v>
      </c>
      <c r="C1881" s="1">
        <v>49649.0</v>
      </c>
      <c r="D1881" s="1">
        <v>518.609342681465</v>
      </c>
      <c r="E1881" s="1" t="s">
        <v>3152</v>
      </c>
      <c r="F1881" s="1" t="s">
        <v>3153</v>
      </c>
      <c r="G1881" s="1">
        <v>95.734873851848</v>
      </c>
      <c r="H1881" s="1">
        <v>13.690149893</v>
      </c>
      <c r="I1881" s="1">
        <v>4.0699200345</v>
      </c>
      <c r="J1881" s="1">
        <v>7.1139386929</v>
      </c>
      <c r="K1881" s="1">
        <v>15.659405522</v>
      </c>
      <c r="L1881" s="1">
        <v>34.9</v>
      </c>
      <c r="M1881" s="1">
        <v>8.6</v>
      </c>
      <c r="N1881" s="1">
        <v>27.3</v>
      </c>
      <c r="O1881" s="1">
        <v>65.099266504</v>
      </c>
      <c r="P1881" s="1">
        <v>4.7409579668</v>
      </c>
      <c r="Q1881" s="1">
        <v>28.81963</v>
      </c>
      <c r="R1881" s="1">
        <v>86.928104575</v>
      </c>
      <c r="S1881" s="1">
        <v>15.2</v>
      </c>
      <c r="T1881" s="1">
        <v>10427.0</v>
      </c>
      <c r="U1881" s="1">
        <v>29.931907548</v>
      </c>
      <c r="V1881" s="1">
        <v>115.22833404</v>
      </c>
      <c r="W1881" s="1">
        <v>10.758690688</v>
      </c>
      <c r="X1881" s="1">
        <v>9.3367346939</v>
      </c>
      <c r="Y1881" s="1">
        <v>80.444169556</v>
      </c>
      <c r="Z1881" s="1">
        <v>12.6</v>
      </c>
      <c r="AA1881" s="1">
        <v>2.7423352026</v>
      </c>
      <c r="AB1881" s="1">
        <v>60309.0</v>
      </c>
      <c r="AC1881" s="1">
        <v>50.484020687</v>
      </c>
      <c r="AD1881" s="1">
        <v>76.961835869</v>
      </c>
      <c r="AE1881" s="1">
        <v>9.4912641316</v>
      </c>
      <c r="AF1881" s="1">
        <v>0.866968698499999</v>
      </c>
      <c r="AG1881" s="1">
        <v>0.2594728171</v>
      </c>
      <c r="AH1881" s="1">
        <v>0.7990115321</v>
      </c>
      <c r="AI1881" s="1">
        <v>0.0432454695</v>
      </c>
      <c r="AJ1881" s="1">
        <v>2.1478583196</v>
      </c>
      <c r="AK1881" s="1">
        <v>94.709637562</v>
      </c>
      <c r="AL1881" s="1">
        <v>0.266879022</v>
      </c>
      <c r="AM1881" s="1">
        <v>50.310955519</v>
      </c>
      <c r="AN1881" s="1">
        <v>65.658679707</v>
      </c>
      <c r="AO1881" s="1">
        <v>29654.0</v>
      </c>
      <c r="AP1881" s="1">
        <v>11.0</v>
      </c>
      <c r="AQ1881" s="1">
        <v>6.7</v>
      </c>
      <c r="AR1881" s="1">
        <v>9.8</v>
      </c>
      <c r="AS1881" s="1">
        <v>17.9</v>
      </c>
      <c r="AT1881" s="1">
        <v>22.0</v>
      </c>
      <c r="AU1881" s="1">
        <v>14.0</v>
      </c>
      <c r="AV1881" s="1">
        <v>4.5</v>
      </c>
      <c r="AW1881" s="1">
        <v>0.3</v>
      </c>
      <c r="AX1881" s="1">
        <v>0.1601</v>
      </c>
      <c r="AY1881" s="1">
        <v>9.4</v>
      </c>
      <c r="AZ1881" s="1">
        <v>9.8</v>
      </c>
      <c r="BA1881" s="1">
        <v>17.8</v>
      </c>
      <c r="BB1881" s="1">
        <v>3.34</v>
      </c>
      <c r="BC1881" s="1" t="s">
        <v>3075</v>
      </c>
      <c r="BD1881" s="1">
        <v>8.8</v>
      </c>
      <c r="BE1881" s="1">
        <v>35.9</v>
      </c>
      <c r="BF1881" s="1">
        <v>29.2</v>
      </c>
      <c r="BG1881" s="1">
        <v>26.0</v>
      </c>
      <c r="BH1881" s="1" t="s">
        <v>3153</v>
      </c>
    </row>
    <row r="1882">
      <c r="A1882" s="1">
        <v>36109.0</v>
      </c>
      <c r="B1882" s="2" t="str">
        <f>IFERROR(__xludf.DUMMYFUNCTION("TO_TEXT(A1882)"),"36109")</f>
        <v>36109</v>
      </c>
      <c r="C1882" s="1">
        <v>104268.0</v>
      </c>
      <c r="D1882" s="1">
        <v>474.648761243606</v>
      </c>
      <c r="E1882" s="1" t="s">
        <v>3154</v>
      </c>
      <c r="F1882" s="1" t="s">
        <v>3155</v>
      </c>
      <c r="G1882" s="1">
        <v>219.674016902123</v>
      </c>
      <c r="H1882" s="1">
        <v>13.56594945</v>
      </c>
      <c r="I1882" s="1">
        <v>4.2711702755</v>
      </c>
      <c r="J1882" s="1">
        <v>6.8102849201</v>
      </c>
      <c r="K1882" s="1">
        <v>14.1491735909999</v>
      </c>
      <c r="L1882" s="1">
        <v>22.7</v>
      </c>
      <c r="M1882" s="1">
        <v>7.7</v>
      </c>
      <c r="N1882" s="1">
        <v>15.7</v>
      </c>
      <c r="O1882" s="1">
        <v>86.2126343979999</v>
      </c>
      <c r="P1882" s="1">
        <v>5.3467000835</v>
      </c>
      <c r="Q1882" s="1">
        <v>83.96786</v>
      </c>
      <c r="R1882" s="1">
        <v>82.735426009</v>
      </c>
      <c r="S1882" s="1">
        <v>13.7</v>
      </c>
      <c r="T1882" s="1">
        <v>14678.0</v>
      </c>
      <c r="U1882" s="1">
        <v>33.069900531</v>
      </c>
      <c r="V1882" s="1">
        <v>122.75704654</v>
      </c>
      <c r="W1882" s="1">
        <v>20.342304677</v>
      </c>
      <c r="X1882" s="1">
        <v>18.852348085</v>
      </c>
      <c r="Y1882" s="1">
        <v>80.697118074</v>
      </c>
      <c r="Z1882" s="1">
        <v>5.3</v>
      </c>
      <c r="AA1882" s="1">
        <v>5.3615965538</v>
      </c>
      <c r="AB1882" s="1">
        <v>57383.0</v>
      </c>
      <c r="AC1882" s="1">
        <v>39.98057052</v>
      </c>
      <c r="AD1882" s="1">
        <v>55.304378782</v>
      </c>
      <c r="AE1882" s="1">
        <v>19.62718426</v>
      </c>
      <c r="AF1882" s="1">
        <v>3.9788701565</v>
      </c>
      <c r="AG1882" s="1">
        <v>0.4669578668</v>
      </c>
      <c r="AH1882" s="1">
        <v>10.603834891</v>
      </c>
      <c r="AI1882" s="1">
        <v>0.0651795355999999</v>
      </c>
      <c r="AJ1882" s="1">
        <v>5.3233196813</v>
      </c>
      <c r="AK1882" s="1">
        <v>76.992596772</v>
      </c>
      <c r="AL1882" s="1">
        <v>0.9026623982</v>
      </c>
      <c r="AM1882" s="1">
        <v>50.848793206</v>
      </c>
      <c r="AN1882" s="1">
        <v>43.343113702</v>
      </c>
      <c r="AO1882" s="1">
        <v>28888.0</v>
      </c>
      <c r="AP1882" s="1">
        <v>20.1</v>
      </c>
      <c r="AQ1882" s="1">
        <v>5.4</v>
      </c>
      <c r="AR1882" s="1">
        <v>5.5</v>
      </c>
      <c r="AS1882" s="1">
        <v>12.2</v>
      </c>
      <c r="AT1882" s="1">
        <v>15.3</v>
      </c>
      <c r="AU1882" s="1">
        <v>9.2</v>
      </c>
      <c r="AV1882" s="1">
        <v>22.2</v>
      </c>
      <c r="AW1882" s="1">
        <v>0.9</v>
      </c>
      <c r="AX1882" s="1">
        <v>0.3493</v>
      </c>
      <c r="AY1882" s="1">
        <v>16.9</v>
      </c>
      <c r="AZ1882" s="1">
        <v>10.4</v>
      </c>
      <c r="BA1882" s="1">
        <v>15.0</v>
      </c>
      <c r="BB1882" s="1">
        <v>3.5</v>
      </c>
      <c r="BC1882" s="1" t="s">
        <v>3075</v>
      </c>
      <c r="BD1882" s="1">
        <v>5.6</v>
      </c>
      <c r="BE1882" s="1">
        <v>19.0</v>
      </c>
      <c r="BF1882" s="1">
        <v>21.9</v>
      </c>
      <c r="BG1882" s="1">
        <v>53.5</v>
      </c>
      <c r="BH1882" s="1" t="s">
        <v>3155</v>
      </c>
    </row>
    <row r="1883">
      <c r="A1883" s="1">
        <v>36111.0</v>
      </c>
      <c r="B1883" s="2" t="str">
        <f>IFERROR(__xludf.DUMMYFUNCTION("TO_TEXT(A1883)"),"36111")</f>
        <v>36111</v>
      </c>
      <c r="C1883" s="1">
        <v>180505.0</v>
      </c>
      <c r="D1883" s="1">
        <v>1124.23550739289</v>
      </c>
      <c r="E1883" s="1" t="s">
        <v>3156</v>
      </c>
      <c r="F1883" s="1" t="s">
        <v>3157</v>
      </c>
      <c r="G1883" s="1">
        <v>160.5579959119</v>
      </c>
      <c r="H1883" s="1">
        <v>15.9338377529999</v>
      </c>
      <c r="I1883" s="1">
        <v>4.0612724622</v>
      </c>
      <c r="J1883" s="1">
        <v>6.9281902444</v>
      </c>
      <c r="K1883" s="1">
        <v>15.721730154</v>
      </c>
      <c r="L1883" s="1">
        <v>28.4</v>
      </c>
      <c r="M1883" s="1">
        <v>8.1</v>
      </c>
      <c r="N1883" s="1">
        <v>20.9</v>
      </c>
      <c r="O1883" s="1">
        <v>82.1313694219999</v>
      </c>
      <c r="P1883" s="1">
        <v>6.79615146409999</v>
      </c>
      <c r="Q1883" s="1">
        <v>71.89954</v>
      </c>
      <c r="R1883" s="1">
        <v>86.2106406079999</v>
      </c>
      <c r="S1883" s="1">
        <v>16.2</v>
      </c>
      <c r="T1883" s="1">
        <v>31445.0</v>
      </c>
      <c r="U1883" s="1">
        <v>34.479249483</v>
      </c>
      <c r="V1883" s="1">
        <v>173.88207735</v>
      </c>
      <c r="W1883" s="1">
        <v>20.177399582</v>
      </c>
      <c r="X1883" s="1">
        <v>18.723994452</v>
      </c>
      <c r="Y1883" s="1">
        <v>79.816942045</v>
      </c>
      <c r="Z1883" s="1">
        <v>8.2</v>
      </c>
      <c r="AA1883" s="1">
        <v>8.1205790059</v>
      </c>
      <c r="AB1883" s="1">
        <v>63073.0</v>
      </c>
      <c r="AC1883" s="1">
        <v>46.262213133</v>
      </c>
      <c r="AD1883" s="1">
        <v>68.759976416</v>
      </c>
      <c r="AE1883" s="1">
        <v>19.098893612</v>
      </c>
      <c r="AF1883" s="1">
        <v>6.0750620104</v>
      </c>
      <c r="AG1883" s="1">
        <v>0.4462510988</v>
      </c>
      <c r="AH1883" s="1">
        <v>2.0750396139</v>
      </c>
      <c r="AI1883" s="1">
        <v>0.0515120465</v>
      </c>
      <c r="AJ1883" s="1">
        <v>10.517976025</v>
      </c>
      <c r="AK1883" s="1">
        <v>78.897978152</v>
      </c>
      <c r="AL1883" s="1">
        <v>1.64397471889999</v>
      </c>
      <c r="AM1883" s="1">
        <v>50.444851315</v>
      </c>
      <c r="AN1883" s="1">
        <v>46.040122087</v>
      </c>
      <c r="AO1883" s="1">
        <v>31760.0</v>
      </c>
      <c r="AP1883" s="1">
        <v>13.0</v>
      </c>
      <c r="AQ1883" s="1">
        <v>8.5</v>
      </c>
      <c r="AR1883" s="1">
        <v>9.9</v>
      </c>
      <c r="AS1883" s="1">
        <v>17.4</v>
      </c>
      <c r="AT1883" s="1">
        <v>18.6</v>
      </c>
      <c r="AU1883" s="1">
        <v>13.7</v>
      </c>
      <c r="AV1883" s="1">
        <v>19.8</v>
      </c>
      <c r="AW1883" s="1">
        <v>1.5</v>
      </c>
      <c r="AX1883" s="1">
        <v>0.4349</v>
      </c>
      <c r="AY1883" s="1">
        <v>12.0</v>
      </c>
      <c r="AZ1883" s="1">
        <v>10.5</v>
      </c>
      <c r="BA1883" s="1">
        <v>16.9</v>
      </c>
      <c r="BB1883" s="1">
        <v>3.45</v>
      </c>
      <c r="BC1883" s="1" t="s">
        <v>3075</v>
      </c>
      <c r="BD1883" s="1">
        <v>9.3</v>
      </c>
      <c r="BE1883" s="1">
        <v>29.7</v>
      </c>
      <c r="BF1883" s="1">
        <v>28.6</v>
      </c>
      <c r="BG1883" s="1">
        <v>32.5</v>
      </c>
      <c r="BH1883" s="1" t="s">
        <v>3157</v>
      </c>
    </row>
    <row r="1884">
      <c r="A1884" s="1">
        <v>36113.0</v>
      </c>
      <c r="B1884" s="2" t="str">
        <f>IFERROR(__xludf.DUMMYFUNCTION("TO_TEXT(A1884)"),"36113")</f>
        <v>36113</v>
      </c>
      <c r="C1884" s="1">
        <v>64911.0</v>
      </c>
      <c r="D1884" s="1">
        <v>867.244719276268</v>
      </c>
      <c r="E1884" s="1" t="s">
        <v>1045</v>
      </c>
      <c r="F1884" s="1" t="s">
        <v>3158</v>
      </c>
      <c r="G1884" s="1">
        <v>74.8473857000472</v>
      </c>
      <c r="H1884" s="1">
        <v>12.7212378</v>
      </c>
      <c r="I1884" s="1">
        <v>4.1048274582</v>
      </c>
      <c r="J1884" s="1">
        <v>7.1949685535</v>
      </c>
      <c r="K1884" s="1">
        <v>14.216023097</v>
      </c>
      <c r="L1884" s="1">
        <v>30.5</v>
      </c>
      <c r="M1884" s="1">
        <v>8.5</v>
      </c>
      <c r="N1884" s="1">
        <v>20.0</v>
      </c>
      <c r="O1884" s="1">
        <v>98.047392211</v>
      </c>
      <c r="P1884" s="1">
        <v>5.2097375307</v>
      </c>
      <c r="Q1884" s="1">
        <v>120.87027</v>
      </c>
      <c r="R1884" s="1">
        <v>88.446215139</v>
      </c>
      <c r="S1884" s="1">
        <v>15.5</v>
      </c>
      <c r="T1884" s="1">
        <v>11706.0</v>
      </c>
      <c r="U1884" s="1">
        <v>35.409191867</v>
      </c>
      <c r="V1884" s="1">
        <v>138.31258645</v>
      </c>
      <c r="W1884" s="1">
        <v>15.939877528</v>
      </c>
      <c r="X1884" s="1">
        <v>14.346038864</v>
      </c>
      <c r="Y1884" s="1">
        <v>79.25264643</v>
      </c>
      <c r="Z1884" s="1">
        <v>8.9</v>
      </c>
      <c r="AA1884" s="1">
        <v>3.869492751</v>
      </c>
      <c r="AB1884" s="1">
        <v>56694.0</v>
      </c>
      <c r="AC1884" s="1">
        <v>40.219629375</v>
      </c>
      <c r="AD1884" s="1">
        <v>70.943272965</v>
      </c>
      <c r="AE1884" s="1">
        <v>13.6492537309999</v>
      </c>
      <c r="AF1884" s="1">
        <v>1.2075001945</v>
      </c>
      <c r="AG1884" s="1">
        <v>0.3112113903</v>
      </c>
      <c r="AH1884" s="1">
        <v>0.9134054306</v>
      </c>
      <c r="AI1884" s="1">
        <v>0.0373453668</v>
      </c>
      <c r="AJ1884" s="1">
        <v>2.7090951529</v>
      </c>
      <c r="AK1884" s="1">
        <v>93.543919707</v>
      </c>
      <c r="AL1884" s="1">
        <v>0.5353319058</v>
      </c>
      <c r="AM1884" s="1">
        <v>50.872169921</v>
      </c>
      <c r="AN1884" s="1">
        <v>33.929413913</v>
      </c>
      <c r="AO1884" s="1">
        <v>31652.0</v>
      </c>
      <c r="AP1884" s="1">
        <v>11.1</v>
      </c>
      <c r="AQ1884" s="1">
        <v>6.0</v>
      </c>
      <c r="AR1884" s="1">
        <v>8.8</v>
      </c>
      <c r="AS1884" s="1">
        <v>19.8</v>
      </c>
      <c r="AT1884" s="1">
        <v>19.0</v>
      </c>
      <c r="AU1884" s="1">
        <v>14.6</v>
      </c>
      <c r="AV1884" s="1">
        <v>5.6</v>
      </c>
      <c r="AW1884" s="1">
        <v>0.6</v>
      </c>
      <c r="AX1884" s="1">
        <v>0.2111</v>
      </c>
      <c r="AY1884" s="1">
        <v>10.1</v>
      </c>
      <c r="AZ1884" s="1">
        <v>10.4</v>
      </c>
      <c r="BA1884" s="1">
        <v>18.3</v>
      </c>
      <c r="BB1884" s="1">
        <v>3.3</v>
      </c>
      <c r="BC1884" s="1" t="s">
        <v>3075</v>
      </c>
      <c r="BD1884" s="1">
        <v>8.1</v>
      </c>
      <c r="BE1884" s="1">
        <v>30.6</v>
      </c>
      <c r="BF1884" s="1">
        <v>30.0</v>
      </c>
      <c r="BG1884" s="1">
        <v>31.3</v>
      </c>
      <c r="BH1884" s="1" t="s">
        <v>3158</v>
      </c>
    </row>
    <row r="1885">
      <c r="A1885" s="1">
        <v>36115.0</v>
      </c>
      <c r="B1885" s="2" t="str">
        <f>IFERROR(__xludf.DUMMYFUNCTION("TO_TEXT(A1885)"),"36115")</f>
        <v>36115</v>
      </c>
      <c r="C1885" s="1">
        <v>62465.0</v>
      </c>
      <c r="D1885" s="1">
        <v>831.167056889258</v>
      </c>
      <c r="E1885" s="1" t="s">
        <v>188</v>
      </c>
      <c r="F1885" s="1" t="s">
        <v>3159</v>
      </c>
      <c r="G1885" s="1">
        <v>75.1533635533905</v>
      </c>
      <c r="H1885" s="1">
        <v>14.2587362059999</v>
      </c>
      <c r="I1885" s="1">
        <v>4.1142233203</v>
      </c>
      <c r="J1885" s="1">
        <v>7.39644970409999</v>
      </c>
      <c r="K1885" s="1">
        <v>15.354920424</v>
      </c>
      <c r="L1885" s="1">
        <v>33.6</v>
      </c>
      <c r="M1885" s="1">
        <v>8.4</v>
      </c>
      <c r="N1885" s="1">
        <v>25.8</v>
      </c>
      <c r="O1885" s="1">
        <v>66.041824854</v>
      </c>
      <c r="P1885" s="1">
        <v>5.5477009433</v>
      </c>
      <c r="Q1885" s="1">
        <v>32.45699</v>
      </c>
      <c r="R1885" s="1">
        <v>79.565217391</v>
      </c>
      <c r="S1885" s="1">
        <v>16.0</v>
      </c>
      <c r="T1885" s="1">
        <v>11574.0</v>
      </c>
      <c r="U1885" s="1">
        <v>34.99222395</v>
      </c>
      <c r="V1885" s="1">
        <v>141.08895017</v>
      </c>
      <c r="W1885" s="1">
        <v>14.921956296</v>
      </c>
      <c r="X1885" s="1">
        <v>13.18515412</v>
      </c>
      <c r="Y1885" s="1">
        <v>78.567356812</v>
      </c>
      <c r="Z1885" s="1">
        <v>12.4</v>
      </c>
      <c r="AA1885" s="1">
        <v>4.2864428929</v>
      </c>
      <c r="AB1885" s="1">
        <v>55913.0</v>
      </c>
      <c r="AC1885" s="1">
        <v>46.449937916</v>
      </c>
      <c r="AD1885" s="1">
        <v>72.9184889</v>
      </c>
      <c r="AE1885" s="1">
        <v>13.365298172</v>
      </c>
      <c r="AF1885" s="1">
        <v>2.9396865859</v>
      </c>
      <c r="AG1885" s="1">
        <v>0.3284474729</v>
      </c>
      <c r="AH1885" s="1">
        <v>0.558850924099999</v>
      </c>
      <c r="AI1885" s="1">
        <v>0.0343154076</v>
      </c>
      <c r="AJ1885" s="1">
        <v>2.8498128993</v>
      </c>
      <c r="AK1885" s="1">
        <v>92.2970080229999</v>
      </c>
      <c r="AL1885" s="1">
        <v>0.6622179206</v>
      </c>
      <c r="AM1885" s="1">
        <v>48.24256091</v>
      </c>
      <c r="AN1885" s="1">
        <v>67.898949633</v>
      </c>
      <c r="AO1885" s="1">
        <v>25200.0</v>
      </c>
      <c r="AP1885" s="1">
        <v>12.9</v>
      </c>
      <c r="AQ1885" s="1">
        <v>8.1</v>
      </c>
      <c r="AR1885" s="1">
        <v>11.5</v>
      </c>
      <c r="AS1885" s="1">
        <v>17.2</v>
      </c>
      <c r="AT1885" s="1">
        <v>19.7</v>
      </c>
      <c r="AU1885" s="1">
        <v>13.8</v>
      </c>
      <c r="AV1885" s="1">
        <v>7.3</v>
      </c>
      <c r="AW1885" s="1">
        <v>0.6</v>
      </c>
      <c r="AX1885" s="1">
        <v>0.3413</v>
      </c>
      <c r="AY1885" s="1">
        <v>11.9</v>
      </c>
      <c r="AZ1885" s="1">
        <v>10.5</v>
      </c>
      <c r="BA1885" s="1">
        <v>18.6</v>
      </c>
      <c r="BB1885" s="1">
        <v>3.84</v>
      </c>
      <c r="BC1885" s="1" t="s">
        <v>3075</v>
      </c>
      <c r="BD1885" s="1">
        <v>12.1</v>
      </c>
      <c r="BE1885" s="1">
        <v>38.7</v>
      </c>
      <c r="BF1885" s="1">
        <v>28.6</v>
      </c>
      <c r="BG1885" s="1">
        <v>20.5</v>
      </c>
      <c r="BH1885" s="1" t="s">
        <v>3159</v>
      </c>
    </row>
    <row r="1886">
      <c r="A1886" s="1">
        <v>36117.0</v>
      </c>
      <c r="B1886" s="2" t="str">
        <f>IFERROR(__xludf.DUMMYFUNCTION("TO_TEXT(A1886)"),"36117")</f>
        <v>36117</v>
      </c>
      <c r="C1886" s="1">
        <v>91874.0</v>
      </c>
      <c r="D1886" s="1">
        <v>603.826136337912</v>
      </c>
      <c r="E1886" s="1" t="s">
        <v>1048</v>
      </c>
      <c r="F1886" s="1" t="s">
        <v>3160</v>
      </c>
      <c r="G1886" s="1">
        <v>152.153069354033</v>
      </c>
      <c r="H1886" s="1">
        <v>15.446683599</v>
      </c>
      <c r="I1886" s="1">
        <v>4.0409147732</v>
      </c>
      <c r="J1886" s="1">
        <v>7.1081677704</v>
      </c>
      <c r="K1886" s="1">
        <v>16.092411125</v>
      </c>
      <c r="L1886" s="1">
        <v>36.3</v>
      </c>
      <c r="M1886" s="1">
        <v>8.6</v>
      </c>
      <c r="N1886" s="1">
        <v>29.4</v>
      </c>
      <c r="O1886" s="1">
        <v>61.8926758519999</v>
      </c>
      <c r="P1886" s="1">
        <v>4.7809952055</v>
      </c>
      <c r="Q1886" s="1">
        <v>28.67542</v>
      </c>
      <c r="R1886" s="1">
        <v>87.199312715</v>
      </c>
      <c r="S1886" s="1">
        <v>14.6</v>
      </c>
      <c r="T1886" s="1">
        <v>19324.0</v>
      </c>
      <c r="U1886" s="1">
        <v>33.005588905</v>
      </c>
      <c r="V1886" s="1">
        <v>178.44338254</v>
      </c>
      <c r="W1886" s="1">
        <v>12.1394395079999</v>
      </c>
      <c r="X1886" s="1">
        <v>10.599395106</v>
      </c>
      <c r="Y1886" s="1">
        <v>78.694902337</v>
      </c>
      <c r="Z1886" s="1">
        <v>12.1</v>
      </c>
      <c r="AA1886" s="1">
        <v>3.4889268891</v>
      </c>
      <c r="AB1886" s="1">
        <v>61118.0</v>
      </c>
      <c r="AC1886" s="1">
        <v>46.736885584</v>
      </c>
      <c r="AD1886" s="1">
        <v>75.945101907</v>
      </c>
      <c r="AE1886" s="1">
        <v>10.537398922</v>
      </c>
      <c r="AF1886" s="1">
        <v>2.80245159</v>
      </c>
      <c r="AG1886" s="1">
        <v>0.4163705809</v>
      </c>
      <c r="AH1886" s="1">
        <v>0.696171611299999</v>
      </c>
      <c r="AI1886" s="1">
        <v>0.0410818973</v>
      </c>
      <c r="AJ1886" s="1">
        <v>4.4734855214</v>
      </c>
      <c r="AK1886" s="1">
        <v>89.82945461</v>
      </c>
      <c r="AL1886" s="1">
        <v>0.5822484105</v>
      </c>
      <c r="AM1886" s="1">
        <v>50.36529579</v>
      </c>
      <c r="AN1886" s="1">
        <v>60.697223052</v>
      </c>
      <c r="AO1886" s="1">
        <v>26209.0</v>
      </c>
      <c r="AP1886" s="1">
        <v>11.9</v>
      </c>
      <c r="AQ1886" s="1">
        <v>7.0</v>
      </c>
      <c r="AR1886" s="1">
        <v>10.0</v>
      </c>
      <c r="AS1886" s="1">
        <v>16.5</v>
      </c>
      <c r="AT1886" s="1">
        <v>22.2</v>
      </c>
      <c r="AU1886" s="1">
        <v>14.7</v>
      </c>
      <c r="AV1886" s="1">
        <v>9.6</v>
      </c>
      <c r="AW1886" s="1">
        <v>0.7</v>
      </c>
      <c r="AX1886" s="1">
        <v>0.3578</v>
      </c>
      <c r="AY1886" s="1">
        <v>11.4</v>
      </c>
      <c r="AZ1886" s="1">
        <v>10.1</v>
      </c>
      <c r="BA1886" s="1">
        <v>18.3</v>
      </c>
      <c r="BB1886" s="1">
        <v>2.95</v>
      </c>
      <c r="BC1886" s="1" t="s">
        <v>3075</v>
      </c>
      <c r="BD1886" s="1">
        <v>10.8</v>
      </c>
      <c r="BE1886" s="1">
        <v>33.7</v>
      </c>
      <c r="BF1886" s="1">
        <v>32.8</v>
      </c>
      <c r="BG1886" s="1">
        <v>22.6</v>
      </c>
      <c r="BH1886" s="1" t="s">
        <v>3160</v>
      </c>
    </row>
    <row r="1887">
      <c r="A1887" s="1">
        <v>36119.0</v>
      </c>
      <c r="B1887" s="2" t="str">
        <f>IFERROR(__xludf.DUMMYFUNCTION("TO_TEXT(A1887)"),"36119")</f>
        <v>36119</v>
      </c>
      <c r="C1887" s="1">
        <v>969229.0</v>
      </c>
      <c r="D1887" s="1">
        <v>430.515833525495</v>
      </c>
      <c r="E1887" s="1" t="s">
        <v>3161</v>
      </c>
      <c r="F1887" s="1" t="s">
        <v>3162</v>
      </c>
      <c r="G1887" s="1">
        <v>2251.32021757012</v>
      </c>
      <c r="H1887" s="1">
        <v>14.801188782</v>
      </c>
      <c r="I1887" s="1">
        <v>3.9107989251</v>
      </c>
      <c r="J1887" s="1">
        <v>7.9535971764</v>
      </c>
      <c r="K1887" s="1">
        <v>11.37154602</v>
      </c>
      <c r="L1887" s="1">
        <v>20.7</v>
      </c>
      <c r="M1887" s="1">
        <v>9.1</v>
      </c>
      <c r="N1887" s="1">
        <v>21.2</v>
      </c>
      <c r="O1887" s="1">
        <v>99.62111993</v>
      </c>
      <c r="P1887" s="1">
        <v>6.9293390262</v>
      </c>
      <c r="Q1887" s="1">
        <v>137.31275</v>
      </c>
      <c r="R1887" s="1">
        <v>89.554779181</v>
      </c>
      <c r="S1887" s="1">
        <v>10.3</v>
      </c>
      <c r="T1887" s="1">
        <v>214300.0</v>
      </c>
      <c r="U1887" s="1">
        <v>25.424638357</v>
      </c>
      <c r="V1887" s="1">
        <v>220.6061664</v>
      </c>
      <c r="W1887" s="1">
        <v>24.23630618</v>
      </c>
      <c r="X1887" s="1">
        <v>20.895964897</v>
      </c>
      <c r="Y1887" s="1">
        <v>83.505387086</v>
      </c>
      <c r="Z1887" s="1">
        <v>7.6</v>
      </c>
      <c r="AA1887" s="1">
        <v>1.379185291</v>
      </c>
      <c r="AB1887" s="1">
        <v>94521.0</v>
      </c>
      <c r="AC1887" s="1">
        <v>36.182755095</v>
      </c>
      <c r="AD1887" s="1">
        <v>61.292653715</v>
      </c>
      <c r="AE1887" s="1">
        <v>21.110893997</v>
      </c>
      <c r="AF1887" s="1">
        <v>13.804293456</v>
      </c>
      <c r="AG1887" s="1">
        <v>0.9564784232</v>
      </c>
      <c r="AH1887" s="1">
        <v>6.4355340777</v>
      </c>
      <c r="AI1887" s="1">
        <v>0.1322844281</v>
      </c>
      <c r="AJ1887" s="1">
        <v>25.14034551</v>
      </c>
      <c r="AK1887" s="1">
        <v>53.088117965</v>
      </c>
      <c r="AL1887" s="1">
        <v>6.3180527517</v>
      </c>
      <c r="AM1887" s="1">
        <v>51.559096001</v>
      </c>
      <c r="AN1887" s="1">
        <v>3.2734774468</v>
      </c>
      <c r="AO1887" s="1">
        <v>49938.0</v>
      </c>
      <c r="AP1887" s="1">
        <v>9.8</v>
      </c>
      <c r="AQ1887" s="1">
        <v>7.1</v>
      </c>
      <c r="AR1887" s="1">
        <v>12.4</v>
      </c>
      <c r="AS1887" s="1">
        <v>15.6</v>
      </c>
      <c r="AT1887" s="1">
        <v>22.9</v>
      </c>
      <c r="AU1887" s="1">
        <v>9.1</v>
      </c>
      <c r="AV1887" s="1">
        <v>45.1</v>
      </c>
      <c r="AW1887" s="1">
        <v>6.5</v>
      </c>
      <c r="AX1887" s="1">
        <v>0.5619</v>
      </c>
      <c r="AY1887" s="1">
        <v>8.4</v>
      </c>
      <c r="AZ1887" s="1">
        <v>7.8</v>
      </c>
      <c r="BA1887" s="1">
        <v>11.0</v>
      </c>
      <c r="BB1887" s="1">
        <v>3.82</v>
      </c>
      <c r="BC1887" s="1" t="s">
        <v>3075</v>
      </c>
      <c r="BD1887" s="1">
        <v>11.9</v>
      </c>
      <c r="BE1887" s="1">
        <v>19.2</v>
      </c>
      <c r="BF1887" s="1">
        <v>19.9</v>
      </c>
      <c r="BG1887" s="1">
        <v>48.9</v>
      </c>
      <c r="BH1887" s="1" t="s">
        <v>3162</v>
      </c>
    </row>
    <row r="1888">
      <c r="A1888" s="1">
        <v>36121.0</v>
      </c>
      <c r="B1888" s="2" t="str">
        <f>IFERROR(__xludf.DUMMYFUNCTION("TO_TEXT(A1888)"),"36121")</f>
        <v>36121</v>
      </c>
      <c r="C1888" s="1">
        <v>41239.0</v>
      </c>
      <c r="D1888" s="1">
        <v>592.751064947782</v>
      </c>
      <c r="E1888" s="1" t="s">
        <v>3163</v>
      </c>
      <c r="F1888" s="1" t="s">
        <v>3164</v>
      </c>
      <c r="G1888" s="1">
        <v>69.5722073542507</v>
      </c>
      <c r="H1888" s="1">
        <v>13.954072078</v>
      </c>
      <c r="I1888" s="1">
        <v>4.0259998904</v>
      </c>
      <c r="J1888" s="1">
        <v>6.3755795981</v>
      </c>
      <c r="K1888" s="1">
        <v>15.897912863</v>
      </c>
      <c r="L1888" s="1">
        <v>37.9</v>
      </c>
      <c r="M1888" s="1">
        <v>8.2</v>
      </c>
      <c r="N1888" s="1">
        <v>26.5</v>
      </c>
      <c r="O1888" s="1">
        <v>69.00011861</v>
      </c>
      <c r="P1888" s="1">
        <v>4.5330855512</v>
      </c>
      <c r="Q1888" s="1">
        <v>37.04344</v>
      </c>
      <c r="R1888" s="1">
        <v>93.805309735</v>
      </c>
      <c r="S1888" s="1">
        <v>12.2</v>
      </c>
      <c r="T1888" s="1">
        <v>7972.0</v>
      </c>
      <c r="U1888" s="1">
        <v>30.72002007</v>
      </c>
      <c r="V1888" s="1">
        <v>110.99591389</v>
      </c>
      <c r="W1888" s="1">
        <v>9.1888466413</v>
      </c>
      <c r="X1888" s="1">
        <v>8.0192</v>
      </c>
      <c r="Y1888" s="1">
        <v>78.742583505</v>
      </c>
      <c r="Z1888" s="1">
        <v>12.3</v>
      </c>
      <c r="AA1888" s="1">
        <v>6.0666590039</v>
      </c>
      <c r="AB1888" s="1">
        <v>57709.0</v>
      </c>
      <c r="AC1888" s="1">
        <v>43.360071301</v>
      </c>
      <c r="AD1888" s="1">
        <v>76.326272526</v>
      </c>
      <c r="AE1888" s="1">
        <v>9.3639344262</v>
      </c>
      <c r="AF1888" s="1">
        <v>5.119121866</v>
      </c>
      <c r="AG1888" s="1">
        <v>0.4440563802</v>
      </c>
      <c r="AH1888" s="1">
        <v>0.5638019209</v>
      </c>
      <c r="AI1888" s="1">
        <v>0.0299363852</v>
      </c>
      <c r="AJ1888" s="1">
        <v>3.260571286</v>
      </c>
      <c r="AK1888" s="1">
        <v>89.9014593989999</v>
      </c>
      <c r="AL1888" s="1">
        <v>0.5923000987</v>
      </c>
      <c r="AM1888" s="1">
        <v>45.852563303</v>
      </c>
      <c r="AN1888" s="1">
        <v>64.082552485</v>
      </c>
      <c r="AO1888" s="1">
        <v>24610.0</v>
      </c>
      <c r="AP1888" s="1">
        <v>11.5</v>
      </c>
      <c r="AQ1888" s="1">
        <v>7.1</v>
      </c>
      <c r="AR1888" s="1">
        <v>11.9</v>
      </c>
      <c r="AS1888" s="1">
        <v>15.5</v>
      </c>
      <c r="AT1888" s="1">
        <v>19.7</v>
      </c>
      <c r="AU1888" s="1">
        <v>13.1</v>
      </c>
      <c r="AV1888" s="1">
        <v>10.1</v>
      </c>
      <c r="AW1888" s="1">
        <v>0.6</v>
      </c>
      <c r="AX1888" s="1">
        <v>0.2859</v>
      </c>
      <c r="AY1888" s="1">
        <v>9.9</v>
      </c>
      <c r="AZ1888" s="1">
        <v>10.1</v>
      </c>
      <c r="BA1888" s="1">
        <v>18.5</v>
      </c>
      <c r="BB1888" s="1">
        <v>3.36</v>
      </c>
      <c r="BC1888" s="1" t="s">
        <v>3075</v>
      </c>
      <c r="BD1888" s="1">
        <v>10.1</v>
      </c>
      <c r="BE1888" s="1">
        <v>40.0</v>
      </c>
      <c r="BF1888" s="1">
        <v>32.2</v>
      </c>
      <c r="BG1888" s="1">
        <v>17.7</v>
      </c>
      <c r="BH1888" s="1" t="s">
        <v>3164</v>
      </c>
    </row>
    <row r="1889">
      <c r="A1889" s="1">
        <v>36123.0</v>
      </c>
      <c r="B1889" s="2" t="str">
        <f>IFERROR(__xludf.DUMMYFUNCTION("TO_TEXT(A1889)"),"36123")</f>
        <v>36123</v>
      </c>
      <c r="C1889" s="1">
        <v>25106.0</v>
      </c>
      <c r="D1889" s="1">
        <v>338.142604935972</v>
      </c>
      <c r="E1889" s="1" t="s">
        <v>3165</v>
      </c>
      <c r="F1889" s="1" t="s">
        <v>3166</v>
      </c>
      <c r="G1889" s="1">
        <v>74.2467811908939</v>
      </c>
      <c r="H1889" s="1">
        <v>14.674492078</v>
      </c>
      <c r="I1889" s="1">
        <v>4.2602656054</v>
      </c>
      <c r="J1889" s="1">
        <v>4.5308924485</v>
      </c>
      <c r="K1889" s="1">
        <v>15.130632466</v>
      </c>
      <c r="L1889" s="1">
        <v>29.5</v>
      </c>
      <c r="M1889" s="1">
        <v>8.8</v>
      </c>
      <c r="N1889" s="1">
        <v>28.7</v>
      </c>
      <c r="O1889" s="1">
        <v>49.360896323</v>
      </c>
      <c r="P1889" s="1">
        <v>8.38794926</v>
      </c>
      <c r="Q1889" s="1">
        <v>44.07934</v>
      </c>
      <c r="R1889" s="1">
        <v>78.5046728969999</v>
      </c>
      <c r="S1889" s="1">
        <v>21.1</v>
      </c>
      <c r="T1889" s="1">
        <v>5579.0</v>
      </c>
      <c r="U1889" s="1">
        <v>20.523391289</v>
      </c>
      <c r="V1889" s="1">
        <v>76.047149233</v>
      </c>
      <c r="W1889" s="1">
        <v>15.73976915</v>
      </c>
      <c r="X1889" s="1">
        <v>12.949260042</v>
      </c>
      <c r="Y1889" s="1">
        <v>78.210234138</v>
      </c>
      <c r="Z1889" s="1">
        <v>14.3</v>
      </c>
      <c r="AA1889" s="1">
        <v>0.5000106347</v>
      </c>
      <c r="AB1889" s="1">
        <v>51089.0</v>
      </c>
      <c r="AC1889" s="1">
        <v>56.9856054189999</v>
      </c>
      <c r="AD1889" s="1">
        <v>79.211429837</v>
      </c>
      <c r="AE1889" s="1">
        <v>13.259418486</v>
      </c>
      <c r="AF1889" s="1">
        <v>0.885632623499999</v>
      </c>
      <c r="AG1889" s="1">
        <v>0.3300994324</v>
      </c>
      <c r="AH1889" s="1">
        <v>0.825248581</v>
      </c>
      <c r="AI1889" s="1">
        <v>0.0201280142</v>
      </c>
      <c r="AJ1889" s="1">
        <v>2.3106960267</v>
      </c>
      <c r="AK1889" s="1">
        <v>94.73048589</v>
      </c>
      <c r="AL1889" s="1">
        <v>0.6894203762</v>
      </c>
      <c r="AM1889" s="1">
        <v>51.410973793</v>
      </c>
      <c r="AN1889" s="1">
        <v>71.224554205</v>
      </c>
      <c r="AO1889" s="1">
        <v>26001.0</v>
      </c>
      <c r="AP1889" s="1">
        <v>13.9</v>
      </c>
      <c r="AQ1889" s="1">
        <v>7.2</v>
      </c>
      <c r="AR1889" s="1">
        <v>14.8</v>
      </c>
      <c r="AS1889" s="1">
        <v>18.2</v>
      </c>
      <c r="AT1889" s="1">
        <v>22.9</v>
      </c>
      <c r="AU1889" s="1">
        <v>13.0</v>
      </c>
      <c r="AV1889" s="1">
        <v>4.7</v>
      </c>
      <c r="AW1889" s="1">
        <v>1.3</v>
      </c>
      <c r="AX1889" s="1">
        <v>0.589</v>
      </c>
      <c r="AY1889" s="1">
        <v>13.9</v>
      </c>
      <c r="AZ1889" s="1">
        <v>9.4</v>
      </c>
      <c r="BA1889" s="1">
        <v>17.2</v>
      </c>
      <c r="BB1889" s="1">
        <v>2.61</v>
      </c>
      <c r="BC1889" s="1" t="s">
        <v>3075</v>
      </c>
      <c r="BD1889" s="1">
        <v>13.6</v>
      </c>
      <c r="BE1889" s="1">
        <v>32.6</v>
      </c>
      <c r="BF1889" s="1">
        <v>28.5</v>
      </c>
      <c r="BG1889" s="1">
        <v>25.2</v>
      </c>
      <c r="BH1889" s="1" t="s">
        <v>3166</v>
      </c>
    </row>
    <row r="1890">
      <c r="A1890" s="1">
        <v>37001.0</v>
      </c>
      <c r="B1890" s="2" t="str">
        <f>IFERROR(__xludf.DUMMYFUNCTION("TO_TEXT(A1890)"),"37001")</f>
        <v>37001</v>
      </c>
      <c r="C1890" s="1">
        <v>156372.0</v>
      </c>
      <c r="D1890" s="1">
        <v>423.420411974866</v>
      </c>
      <c r="E1890" s="1" t="s">
        <v>3167</v>
      </c>
      <c r="F1890" s="1" t="s">
        <v>3168</v>
      </c>
      <c r="G1890" s="1">
        <v>369.306711669067</v>
      </c>
      <c r="H1890" s="1">
        <v>17.954704364</v>
      </c>
      <c r="I1890" s="1">
        <v>4.0615290111</v>
      </c>
      <c r="J1890" s="1">
        <v>9.4704049844</v>
      </c>
      <c r="K1890" s="1">
        <v>17.098560247</v>
      </c>
      <c r="L1890" s="1">
        <v>32.4</v>
      </c>
      <c r="M1890" s="1">
        <v>7.1</v>
      </c>
      <c r="N1890" s="1">
        <v>26.2</v>
      </c>
      <c r="O1890" s="1">
        <v>80.327662756</v>
      </c>
      <c r="P1890" s="1">
        <v>14.14382019</v>
      </c>
      <c r="Q1890" s="1">
        <v>46.18483</v>
      </c>
      <c r="R1890" s="1">
        <v>81.3</v>
      </c>
      <c r="S1890" s="1">
        <v>19.8</v>
      </c>
      <c r="T1890" s="1">
        <v>35991.0</v>
      </c>
      <c r="U1890" s="1">
        <v>39.0236448</v>
      </c>
      <c r="V1890" s="1">
        <v>381.79810085</v>
      </c>
      <c r="W1890" s="1">
        <v>16.469261139</v>
      </c>
      <c r="X1890" s="1">
        <v>13.945884084</v>
      </c>
      <c r="Y1890" s="1">
        <v>77.463784854</v>
      </c>
      <c r="Z1890" s="1">
        <v>12.6</v>
      </c>
      <c r="AA1890" s="1">
        <v>10.020748263</v>
      </c>
      <c r="AB1890" s="1">
        <v>50480.0</v>
      </c>
      <c r="AC1890" s="1">
        <v>56.090674411</v>
      </c>
      <c r="AD1890" s="1">
        <v>65.046285456</v>
      </c>
      <c r="AE1890" s="1">
        <v>14.009809933</v>
      </c>
      <c r="AF1890" s="1">
        <v>19.894133481</v>
      </c>
      <c r="AG1890" s="1">
        <v>1.4257732702</v>
      </c>
      <c r="AH1890" s="1">
        <v>1.765843928</v>
      </c>
      <c r="AI1890" s="1">
        <v>0.082914754</v>
      </c>
      <c r="AJ1890" s="1">
        <v>12.917277512</v>
      </c>
      <c r="AK1890" s="1">
        <v>63.378115312</v>
      </c>
      <c r="AL1890" s="1">
        <v>3.3287266331</v>
      </c>
      <c r="AM1890" s="1">
        <v>52.572159869</v>
      </c>
      <c r="AN1890" s="1">
        <v>28.558005968</v>
      </c>
      <c r="AO1890" s="1">
        <v>23989.0</v>
      </c>
      <c r="AP1890" s="1">
        <v>18.5</v>
      </c>
      <c r="AQ1890" s="1">
        <v>6.9</v>
      </c>
      <c r="AR1890" s="1">
        <v>15.3</v>
      </c>
      <c r="AS1890" s="1">
        <v>16.0</v>
      </c>
      <c r="AT1890" s="1">
        <v>22.8</v>
      </c>
      <c r="AU1890" s="1">
        <v>14.6</v>
      </c>
      <c r="AV1890" s="1">
        <v>34.5</v>
      </c>
      <c r="AW1890" s="1">
        <v>3.3</v>
      </c>
      <c r="AX1890" s="1">
        <v>0.7886</v>
      </c>
      <c r="AY1890" s="1">
        <v>14.6</v>
      </c>
      <c r="AZ1890" s="1">
        <v>14.0</v>
      </c>
      <c r="BA1890" s="1">
        <v>19.7</v>
      </c>
      <c r="BB1890" s="1">
        <v>2.99</v>
      </c>
      <c r="BC1890" s="1" t="s">
        <v>3169</v>
      </c>
      <c r="BD1890" s="1">
        <v>13.7</v>
      </c>
      <c r="BE1890" s="1">
        <v>27.7</v>
      </c>
      <c r="BF1890" s="1">
        <v>33.8</v>
      </c>
      <c r="BG1890" s="1">
        <v>24.8</v>
      </c>
      <c r="BH1890" s="1" t="s">
        <v>3168</v>
      </c>
    </row>
    <row r="1891">
      <c r="A1891" s="1">
        <v>37003.0</v>
      </c>
      <c r="B1891" s="2" t="str">
        <f>IFERROR(__xludf.DUMMYFUNCTION("TO_TEXT(A1891)"),"37003")</f>
        <v>37003</v>
      </c>
      <c r="C1891" s="1">
        <v>37211.0</v>
      </c>
      <c r="D1891" s="1">
        <v>259.984937311646</v>
      </c>
      <c r="E1891" s="1" t="s">
        <v>1153</v>
      </c>
      <c r="F1891" s="1" t="s">
        <v>3170</v>
      </c>
      <c r="G1891" s="1">
        <v>143.127522635646</v>
      </c>
      <c r="H1891" s="1">
        <v>15.920837424</v>
      </c>
      <c r="I1891" s="1">
        <v>4.0862960785</v>
      </c>
      <c r="J1891" s="1">
        <v>8.3166733307</v>
      </c>
      <c r="K1891" s="1">
        <v>16.568724467</v>
      </c>
      <c r="L1891" s="1">
        <v>34.8</v>
      </c>
      <c r="M1891" s="1">
        <v>8.2</v>
      </c>
      <c r="N1891" s="1">
        <v>31.3</v>
      </c>
      <c r="O1891" s="1">
        <v>20.433894295</v>
      </c>
      <c r="P1891" s="1">
        <v>13.4107412209999</v>
      </c>
      <c r="Q1891" s="1">
        <v>24.13775</v>
      </c>
      <c r="R1891" s="1">
        <v>85.1</v>
      </c>
      <c r="S1891" s="1">
        <v>19.6</v>
      </c>
      <c r="T1891" s="1">
        <v>7540.0</v>
      </c>
      <c r="U1891" s="1">
        <v>29.602122016</v>
      </c>
      <c r="V1891" s="1">
        <v>192.54850741</v>
      </c>
      <c r="W1891" s="1">
        <v>14.24429141</v>
      </c>
      <c r="X1891" s="1">
        <v>9.6200663962</v>
      </c>
      <c r="Y1891" s="1">
        <v>77.146334654</v>
      </c>
      <c r="Z1891" s="1">
        <v>18.3</v>
      </c>
      <c r="AA1891" s="1">
        <v>2.9540791634</v>
      </c>
      <c r="AB1891" s="1">
        <v>49138.0</v>
      </c>
      <c r="AC1891" s="1">
        <v>46.315364426</v>
      </c>
      <c r="AD1891" s="1">
        <v>75.309721615</v>
      </c>
      <c r="AE1891" s="1">
        <v>8.6913467398</v>
      </c>
      <c r="AF1891" s="1">
        <v>5.74251064169999</v>
      </c>
      <c r="AG1891" s="1">
        <v>0.532755066499999</v>
      </c>
      <c r="AH1891" s="1">
        <v>1.0333841994</v>
      </c>
      <c r="AI1891" s="1">
        <v>0.0481889005</v>
      </c>
      <c r="AJ1891" s="1">
        <v>4.8215672101</v>
      </c>
      <c r="AK1891" s="1">
        <v>86.5686825689999</v>
      </c>
      <c r="AL1891" s="1">
        <v>1.5185426524</v>
      </c>
      <c r="AM1891" s="1">
        <v>49.112521083</v>
      </c>
      <c r="AN1891" s="1">
        <v>72.77810635</v>
      </c>
      <c r="AO1891" s="1">
        <v>20567.0</v>
      </c>
      <c r="AP1891" s="1">
        <v>17.4</v>
      </c>
      <c r="AQ1891" s="1">
        <v>8.4</v>
      </c>
      <c r="AR1891" s="1">
        <v>19.4</v>
      </c>
      <c r="AS1891" s="1">
        <v>18.4</v>
      </c>
      <c r="AT1891" s="1">
        <v>21.5</v>
      </c>
      <c r="AU1891" s="1">
        <v>18.0</v>
      </c>
      <c r="AV1891" s="1">
        <v>12.7</v>
      </c>
      <c r="AW1891" s="1">
        <v>0.8</v>
      </c>
      <c r="AX1891" s="1">
        <v>0.6695</v>
      </c>
      <c r="AY1891" s="1">
        <v>11.7</v>
      </c>
      <c r="AZ1891" s="1">
        <v>14.0</v>
      </c>
      <c r="BA1891" s="1">
        <v>21.5</v>
      </c>
      <c r="BB1891" s="1">
        <v>2.82</v>
      </c>
      <c r="BC1891" s="1" t="s">
        <v>3169</v>
      </c>
      <c r="BD1891" s="1">
        <v>17.6</v>
      </c>
      <c r="BE1891" s="1">
        <v>38.7</v>
      </c>
      <c r="BF1891" s="1">
        <v>29.5</v>
      </c>
      <c r="BG1891" s="1">
        <v>14.2</v>
      </c>
      <c r="BH1891" s="1" t="s">
        <v>3170</v>
      </c>
    </row>
    <row r="1892">
      <c r="A1892" s="1">
        <v>37005.0</v>
      </c>
      <c r="B1892" s="2" t="str">
        <f>IFERROR(__xludf.DUMMYFUNCTION("TO_TEXT(A1892)"),"37005")</f>
        <v>37005</v>
      </c>
      <c r="C1892" s="1">
        <v>10868.0</v>
      </c>
      <c r="D1892" s="1">
        <v>234.402911846408</v>
      </c>
      <c r="E1892" s="1" t="s">
        <v>3171</v>
      </c>
      <c r="F1892" s="1" t="s">
        <v>3172</v>
      </c>
      <c r="G1892" s="1">
        <v>46.3646117464668</v>
      </c>
      <c r="H1892" s="1">
        <v>18.949304349</v>
      </c>
      <c r="I1892" s="1">
        <v>4.3936263065</v>
      </c>
      <c r="J1892" s="1">
        <v>9.0504451039</v>
      </c>
      <c r="K1892" s="1">
        <v>17.205321828</v>
      </c>
      <c r="L1892" s="1">
        <v>25.7</v>
      </c>
      <c r="M1892" s="1">
        <v>8.0</v>
      </c>
      <c r="N1892" s="1">
        <v>25.8</v>
      </c>
      <c r="O1892" s="1">
        <v>26.741371582</v>
      </c>
      <c r="P1892" s="1">
        <v>18.279163517</v>
      </c>
      <c r="Q1892" s="1">
        <v>108.78434</v>
      </c>
      <c r="R1892" s="1">
        <v>92.0</v>
      </c>
      <c r="S1892" s="1">
        <v>29.8</v>
      </c>
      <c r="T1892" s="1">
        <v>1927.0</v>
      </c>
      <c r="U1892" s="1">
        <v>40.217955371</v>
      </c>
      <c r="V1892" s="1">
        <v>140.20329478</v>
      </c>
      <c r="W1892" s="1">
        <v>13.125</v>
      </c>
      <c r="X1892" s="1">
        <v>11.869747899</v>
      </c>
      <c r="Y1892" s="1">
        <v>78.226761154</v>
      </c>
      <c r="Z1892" s="1">
        <v>11.0</v>
      </c>
      <c r="AA1892" s="1">
        <v>1.7857548184</v>
      </c>
      <c r="AB1892" s="1">
        <v>39735.0</v>
      </c>
      <c r="AC1892" s="1">
        <v>64.5803698439999</v>
      </c>
      <c r="AD1892" s="1">
        <v>75.031605563</v>
      </c>
      <c r="AE1892" s="1">
        <v>13.15731085</v>
      </c>
      <c r="AF1892" s="1">
        <v>1.5590000896</v>
      </c>
      <c r="AG1892" s="1">
        <v>0.5734253203</v>
      </c>
      <c r="AH1892" s="1">
        <v>0.8332586686</v>
      </c>
      <c r="AI1892" s="1">
        <v>0.0447988531</v>
      </c>
      <c r="AJ1892" s="1">
        <v>9.9363856285</v>
      </c>
      <c r="AK1892" s="1">
        <v>86.399068184</v>
      </c>
      <c r="AL1892" s="1">
        <v>1.3482719332</v>
      </c>
      <c r="AM1892" s="1">
        <v>50.470387958</v>
      </c>
      <c r="AN1892" s="1">
        <v>100.0</v>
      </c>
      <c r="AO1892" s="1">
        <v>21059.0</v>
      </c>
      <c r="AP1892" s="1">
        <v>19.5</v>
      </c>
      <c r="AQ1892" s="1">
        <v>6.6</v>
      </c>
      <c r="AR1892" s="1">
        <v>19.0</v>
      </c>
      <c r="AS1892" s="1">
        <v>23.7</v>
      </c>
      <c r="AT1892" s="1">
        <v>18.3</v>
      </c>
      <c r="AU1892" s="1">
        <v>20.4</v>
      </c>
      <c r="AV1892" s="1">
        <v>12.5</v>
      </c>
      <c r="AW1892" s="1">
        <v>1.2</v>
      </c>
      <c r="AX1892" s="1">
        <v>0.5969</v>
      </c>
      <c r="AY1892" s="1">
        <v>16.9</v>
      </c>
      <c r="AZ1892" s="1">
        <v>18.0</v>
      </c>
      <c r="BA1892" s="1">
        <v>28.9</v>
      </c>
      <c r="BB1892" s="1">
        <v>2.77</v>
      </c>
      <c r="BC1892" s="1" t="s">
        <v>3169</v>
      </c>
      <c r="BD1892" s="1">
        <v>22.5</v>
      </c>
      <c r="BE1892" s="1">
        <v>29.0</v>
      </c>
      <c r="BF1892" s="1">
        <v>31.2</v>
      </c>
      <c r="BG1892" s="1">
        <v>17.3</v>
      </c>
      <c r="BH1892" s="1" t="s">
        <v>3172</v>
      </c>
    </row>
    <row r="1893">
      <c r="A1893" s="1">
        <v>37007.0</v>
      </c>
      <c r="B1893" s="2" t="str">
        <f>IFERROR(__xludf.DUMMYFUNCTION("TO_TEXT(A1893)"),"37007")</f>
        <v>37007</v>
      </c>
      <c r="C1893" s="1">
        <v>25883.0</v>
      </c>
      <c r="D1893" s="1">
        <v>531.462095633548</v>
      </c>
      <c r="E1893" s="1" t="s">
        <v>3173</v>
      </c>
      <c r="F1893" s="1" t="s">
        <v>3174</v>
      </c>
      <c r="G1893" s="1">
        <v>48.7014976470622</v>
      </c>
      <c r="H1893" s="1">
        <v>22.774451061</v>
      </c>
      <c r="I1893" s="1">
        <v>4.3910868782</v>
      </c>
      <c r="J1893" s="1">
        <v>12.414578588</v>
      </c>
      <c r="K1893" s="1">
        <v>20.217104679</v>
      </c>
      <c r="L1893" s="1">
        <v>38.6</v>
      </c>
      <c r="M1893" s="1">
        <v>6.5</v>
      </c>
      <c r="N1893" s="1">
        <v>31.0</v>
      </c>
      <c r="O1893" s="1">
        <v>6.1896986789</v>
      </c>
      <c r="P1893" s="1">
        <v>13.082773063</v>
      </c>
      <c r="Q1893" s="1">
        <v>48.01729</v>
      </c>
      <c r="R1893" s="1">
        <v>83.7</v>
      </c>
      <c r="S1893" s="1">
        <v>31.5</v>
      </c>
      <c r="T1893" s="1">
        <v>4887.0</v>
      </c>
      <c r="U1893" s="1">
        <v>41.354614283</v>
      </c>
      <c r="V1893" s="1">
        <v>427.55011448</v>
      </c>
      <c r="W1893" s="1">
        <v>15.825446898</v>
      </c>
      <c r="X1893" s="1">
        <v>11.456102784</v>
      </c>
      <c r="Y1893" s="1">
        <v>74.183934645</v>
      </c>
      <c r="Z1893" s="1">
        <v>18.5</v>
      </c>
      <c r="AA1893" s="1">
        <v>3.6341530972</v>
      </c>
      <c r="AB1893" s="1">
        <v>38023.0</v>
      </c>
      <c r="AC1893" s="1">
        <v>98.299015219</v>
      </c>
      <c r="AD1893" s="1">
        <v>66.93989071</v>
      </c>
      <c r="AE1893" s="1">
        <v>14.8936170209999</v>
      </c>
      <c r="AF1893" s="1">
        <v>48.221248543</v>
      </c>
      <c r="AG1893" s="1">
        <v>0.9607267757</v>
      </c>
      <c r="AH1893" s="1">
        <v>1.4712384934</v>
      </c>
      <c r="AI1893" s="1">
        <v>0.0683362142</v>
      </c>
      <c r="AJ1893" s="1">
        <v>4.3172408249</v>
      </c>
      <c r="AK1893" s="1">
        <v>44.181372352</v>
      </c>
      <c r="AL1893" s="1">
        <v>1.34384073</v>
      </c>
      <c r="AM1893" s="1">
        <v>47.988101459</v>
      </c>
      <c r="AN1893" s="1">
        <v>78.510464598</v>
      </c>
      <c r="AO1893" s="1">
        <v>17548.0</v>
      </c>
      <c r="AP1893" s="1">
        <v>22.8</v>
      </c>
      <c r="AQ1893" s="1">
        <v>14.4</v>
      </c>
      <c r="AR1893" s="1">
        <v>19.6</v>
      </c>
      <c r="AS1893" s="1">
        <v>16.1</v>
      </c>
      <c r="AT1893" s="1">
        <v>20.3</v>
      </c>
      <c r="AU1893" s="1">
        <v>19.7</v>
      </c>
      <c r="AV1893" s="1">
        <v>54.9</v>
      </c>
      <c r="AW1893" s="1">
        <v>0.8</v>
      </c>
      <c r="AX1893" s="1">
        <v>0.9637</v>
      </c>
      <c r="AY1893" s="1">
        <v>21.4</v>
      </c>
      <c r="AZ1893" s="1">
        <v>16.6</v>
      </c>
      <c r="BA1893" s="1">
        <v>24.6</v>
      </c>
      <c r="BB1893" s="1">
        <v>2.8</v>
      </c>
      <c r="BC1893" s="1" t="s">
        <v>3169</v>
      </c>
      <c r="BD1893" s="1">
        <v>19.3</v>
      </c>
      <c r="BE1893" s="1">
        <v>40.2</v>
      </c>
      <c r="BF1893" s="1">
        <v>29.2</v>
      </c>
      <c r="BG1893" s="1">
        <v>11.3</v>
      </c>
      <c r="BH1893" s="1" t="s">
        <v>3174</v>
      </c>
    </row>
    <row r="1894">
      <c r="A1894" s="1">
        <v>37009.0</v>
      </c>
      <c r="B1894" s="2" t="str">
        <f>IFERROR(__xludf.DUMMYFUNCTION("TO_TEXT(A1894)"),"37009")</f>
        <v>37009</v>
      </c>
      <c r="C1894" s="1">
        <v>26992.0</v>
      </c>
      <c r="D1894" s="1">
        <v>425.060570954254</v>
      </c>
      <c r="E1894" s="1" t="s">
        <v>3175</v>
      </c>
      <c r="F1894" s="1" t="s">
        <v>3176</v>
      </c>
      <c r="G1894" s="1">
        <v>63.5015380029331</v>
      </c>
      <c r="H1894" s="1">
        <v>15.809505842</v>
      </c>
      <c r="I1894" s="1">
        <v>4.1031839631</v>
      </c>
      <c r="J1894" s="1">
        <v>8.135810378</v>
      </c>
      <c r="K1894" s="1">
        <v>16.747418802</v>
      </c>
      <c r="L1894" s="1">
        <v>26.0</v>
      </c>
      <c r="M1894" s="1">
        <v>8.1</v>
      </c>
      <c r="N1894" s="1">
        <v>31.3</v>
      </c>
      <c r="O1894" s="1">
        <v>59.367325245</v>
      </c>
      <c r="P1894" s="1">
        <v>15.730169018</v>
      </c>
      <c r="Q1894" s="1">
        <v>44.51534</v>
      </c>
      <c r="R1894" s="1">
        <v>86.8</v>
      </c>
      <c r="S1894" s="1">
        <v>26.2</v>
      </c>
      <c r="T1894" s="1">
        <v>4766.0</v>
      </c>
      <c r="U1894" s="1">
        <v>33.508182963</v>
      </c>
      <c r="V1894" s="1">
        <v>81.246768594</v>
      </c>
      <c r="W1894" s="1">
        <v>12.137757245</v>
      </c>
      <c r="X1894" s="1">
        <v>11.398305085</v>
      </c>
      <c r="Y1894" s="1">
        <v>78.741459152</v>
      </c>
      <c r="Z1894" s="1">
        <v>17.3</v>
      </c>
      <c r="AA1894" s="1">
        <v>2.2911759069</v>
      </c>
      <c r="AB1894" s="1">
        <v>41864.0</v>
      </c>
      <c r="AC1894" s="1">
        <v>57.4663603539999</v>
      </c>
      <c r="AD1894" s="1">
        <v>75.180008471</v>
      </c>
      <c r="AE1894" s="1">
        <v>9.1996661411</v>
      </c>
      <c r="AF1894" s="1">
        <v>0.7414511786</v>
      </c>
      <c r="AG1894" s="1">
        <v>0.4242133609</v>
      </c>
      <c r="AH1894" s="1">
        <v>0.5606993987</v>
      </c>
      <c r="AI1894" s="1">
        <v>0.0553321775</v>
      </c>
      <c r="AJ1894" s="1">
        <v>5.1864694382</v>
      </c>
      <c r="AK1894" s="1">
        <v>92.2202958429999</v>
      </c>
      <c r="AL1894" s="1">
        <v>0.851163517099999</v>
      </c>
      <c r="AM1894" s="1">
        <v>50.9388026119999</v>
      </c>
      <c r="AN1894" s="1">
        <v>84.864924306</v>
      </c>
      <c r="AO1894" s="1">
        <v>22343.0</v>
      </c>
      <c r="AP1894" s="1">
        <v>19.9</v>
      </c>
      <c r="AQ1894" s="1">
        <v>7.6</v>
      </c>
      <c r="AR1894" s="1">
        <v>16.7</v>
      </c>
      <c r="AS1894" s="1">
        <v>22.9</v>
      </c>
      <c r="AT1894" s="1">
        <v>18.5</v>
      </c>
      <c r="AU1894" s="1">
        <v>15.2</v>
      </c>
      <c r="AV1894" s="1">
        <v>7.4</v>
      </c>
      <c r="AW1894" s="1">
        <v>0.7</v>
      </c>
      <c r="AX1894" s="1">
        <v>0.5282</v>
      </c>
      <c r="AY1894" s="1">
        <v>14.6</v>
      </c>
      <c r="AZ1894" s="1">
        <v>14.4</v>
      </c>
      <c r="BA1894" s="1">
        <v>21.5</v>
      </c>
      <c r="BB1894" s="1">
        <v>2.86</v>
      </c>
      <c r="BC1894" s="1" t="s">
        <v>3169</v>
      </c>
      <c r="BD1894" s="1">
        <v>14.9</v>
      </c>
      <c r="BE1894" s="1">
        <v>31.8</v>
      </c>
      <c r="BF1894" s="1">
        <v>33.7</v>
      </c>
      <c r="BG1894" s="1">
        <v>19.7</v>
      </c>
      <c r="BH1894" s="1" t="s">
        <v>3176</v>
      </c>
    </row>
    <row r="1895">
      <c r="A1895" s="1">
        <v>37011.0</v>
      </c>
      <c r="B1895" s="2" t="str">
        <f>IFERROR(__xludf.DUMMYFUNCTION("TO_TEXT(A1895)"),"37011")</f>
        <v>37011</v>
      </c>
      <c r="C1895" s="1">
        <v>17633.0</v>
      </c>
      <c r="D1895" s="1">
        <v>247.337672863289</v>
      </c>
      <c r="E1895" s="1" t="s">
        <v>3177</v>
      </c>
      <c r="F1895" s="1" t="s">
        <v>3178</v>
      </c>
      <c r="G1895" s="1">
        <v>71.2912020068459</v>
      </c>
      <c r="H1895" s="1">
        <v>16.6476291999999</v>
      </c>
      <c r="I1895" s="1">
        <v>4.139821632</v>
      </c>
      <c r="J1895" s="1">
        <v>9.7336065574</v>
      </c>
      <c r="K1895" s="1">
        <v>17.385965386</v>
      </c>
      <c r="L1895" s="1">
        <v>26.5</v>
      </c>
      <c r="M1895" s="1">
        <v>8.4</v>
      </c>
      <c r="N1895" s="1">
        <v>29.1</v>
      </c>
      <c r="O1895" s="1">
        <v>100.0</v>
      </c>
      <c r="P1895" s="1">
        <v>19.961460979</v>
      </c>
      <c r="Q1895" s="1">
        <v>28.51277</v>
      </c>
      <c r="R1895" s="1">
        <v>94.0</v>
      </c>
      <c r="S1895" s="1">
        <v>25.4</v>
      </c>
      <c r="T1895" s="1">
        <v>2627.0</v>
      </c>
      <c r="U1895" s="1">
        <v>36.353254663</v>
      </c>
      <c r="V1895" s="1">
        <v>173.82235355</v>
      </c>
      <c r="W1895" s="1">
        <v>13.2494448559999</v>
      </c>
      <c r="X1895" s="1">
        <v>9.9702380952</v>
      </c>
      <c r="Y1895" s="1">
        <v>77.82964548</v>
      </c>
      <c r="Z1895" s="1">
        <v>18.0</v>
      </c>
      <c r="AA1895" s="1">
        <v>0.1795912807</v>
      </c>
      <c r="AB1895" s="1">
        <v>41701.0</v>
      </c>
      <c r="AC1895" s="1">
        <v>57.588713125</v>
      </c>
      <c r="AD1895" s="1">
        <v>74.662213451</v>
      </c>
      <c r="AE1895" s="1">
        <v>13.92</v>
      </c>
      <c r="AF1895" s="1">
        <v>4.4158811768</v>
      </c>
      <c r="AG1895" s="1">
        <v>0.6112539274</v>
      </c>
      <c r="AH1895" s="1">
        <v>0.5541273922</v>
      </c>
      <c r="AI1895" s="1">
        <v>0.0799771494</v>
      </c>
      <c r="AJ1895" s="1">
        <v>5.1928020566</v>
      </c>
      <c r="AK1895" s="1">
        <v>88.454727221</v>
      </c>
      <c r="AL1895" s="1">
        <v>1.1507889429</v>
      </c>
      <c r="AM1895" s="1">
        <v>45.575549843</v>
      </c>
      <c r="AN1895" s="1">
        <v>88.784626622</v>
      </c>
      <c r="AO1895" s="1">
        <v>21548.0</v>
      </c>
      <c r="AP1895" s="1">
        <v>16.7</v>
      </c>
      <c r="AQ1895" s="1">
        <v>8.0</v>
      </c>
      <c r="AR1895" s="1">
        <v>21.0</v>
      </c>
      <c r="AS1895" s="1">
        <v>20.4</v>
      </c>
      <c r="AT1895" s="1">
        <v>15.7</v>
      </c>
      <c r="AU1895" s="1">
        <v>21.7</v>
      </c>
      <c r="AV1895" s="1">
        <v>10.8</v>
      </c>
      <c r="AW1895" s="1">
        <v>1.0</v>
      </c>
      <c r="AX1895" s="1">
        <v>0.7644</v>
      </c>
      <c r="AY1895" s="1">
        <v>16.4</v>
      </c>
      <c r="AZ1895" s="1">
        <v>14.5</v>
      </c>
      <c r="BA1895" s="1">
        <v>20.1</v>
      </c>
      <c r="BB1895" s="1">
        <v>3.01</v>
      </c>
      <c r="BC1895" s="1" t="s">
        <v>3169</v>
      </c>
      <c r="BD1895" s="1">
        <v>16.4</v>
      </c>
      <c r="BE1895" s="1">
        <v>30.2</v>
      </c>
      <c r="BF1895" s="1">
        <v>32.7</v>
      </c>
      <c r="BG1895" s="1">
        <v>20.7</v>
      </c>
      <c r="BH1895" s="1" t="s">
        <v>3178</v>
      </c>
    </row>
    <row r="1896">
      <c r="A1896" s="1">
        <v>37013.0</v>
      </c>
      <c r="B1896" s="2" t="str">
        <f>IFERROR(__xludf.DUMMYFUNCTION("TO_TEXT(A1896)"),"37013")</f>
        <v>37013</v>
      </c>
      <c r="C1896" s="1">
        <v>47513.0</v>
      </c>
      <c r="D1896" s="1">
        <v>832.017345771636</v>
      </c>
      <c r="E1896" s="1" t="s">
        <v>3179</v>
      </c>
      <c r="F1896" s="1" t="s">
        <v>3180</v>
      </c>
      <c r="G1896" s="1">
        <v>57.105780596359</v>
      </c>
      <c r="H1896" s="1">
        <v>18.956978723</v>
      </c>
      <c r="I1896" s="1">
        <v>4.2524445756</v>
      </c>
      <c r="J1896" s="1">
        <v>10.021584952</v>
      </c>
      <c r="K1896" s="1">
        <v>17.69732422</v>
      </c>
      <c r="L1896" s="1">
        <v>39.3</v>
      </c>
      <c r="M1896" s="1">
        <v>7.3</v>
      </c>
      <c r="N1896" s="1">
        <v>29.9</v>
      </c>
      <c r="O1896" s="1">
        <v>53.135534664</v>
      </c>
      <c r="P1896" s="1">
        <v>13.93614934</v>
      </c>
      <c r="Q1896" s="1">
        <v>50.9684</v>
      </c>
      <c r="R1896" s="1">
        <v>82.9</v>
      </c>
      <c r="S1896" s="1">
        <v>27.5</v>
      </c>
      <c r="T1896" s="1">
        <v>9731.0</v>
      </c>
      <c r="U1896" s="1">
        <v>41.31127325</v>
      </c>
      <c r="V1896" s="1">
        <v>297.6348658</v>
      </c>
      <c r="W1896" s="1">
        <v>14.9053627759999</v>
      </c>
      <c r="X1896" s="1">
        <v>13.3778371159999</v>
      </c>
      <c r="Y1896" s="1">
        <v>75.882278798</v>
      </c>
      <c r="Z1896" s="1">
        <v>11.0</v>
      </c>
      <c r="AA1896" s="1">
        <v>3.8571458958</v>
      </c>
      <c r="AB1896" s="1">
        <v>46411.0</v>
      </c>
      <c r="AC1896" s="1">
        <v>92.0909471329999</v>
      </c>
      <c r="AD1896" s="1">
        <v>70.447606727</v>
      </c>
      <c r="AE1896" s="1">
        <v>15.7520380809999</v>
      </c>
      <c r="AF1896" s="1">
        <v>24.348435608</v>
      </c>
      <c r="AG1896" s="1">
        <v>1.0620446484</v>
      </c>
      <c r="AH1896" s="1">
        <v>0.5480150386</v>
      </c>
      <c r="AI1896" s="1">
        <v>0.0743431254</v>
      </c>
      <c r="AJ1896" s="1">
        <v>8.0056925593</v>
      </c>
      <c r="AK1896" s="1">
        <v>65.657724251</v>
      </c>
      <c r="AL1896" s="1">
        <v>1.0745033481</v>
      </c>
      <c r="AM1896" s="1">
        <v>52.235603985</v>
      </c>
      <c r="AN1896" s="1">
        <v>65.600201009</v>
      </c>
      <c r="AO1896" s="1">
        <v>23716.0</v>
      </c>
      <c r="AP1896" s="1">
        <v>17.5</v>
      </c>
      <c r="AQ1896" s="1">
        <v>9.9</v>
      </c>
      <c r="AR1896" s="1">
        <v>15.4</v>
      </c>
      <c r="AS1896" s="1">
        <v>21.7</v>
      </c>
      <c r="AT1896" s="1">
        <v>21.2</v>
      </c>
      <c r="AU1896" s="1">
        <v>18.7</v>
      </c>
      <c r="AV1896" s="1">
        <v>34.1</v>
      </c>
      <c r="AW1896" s="1">
        <v>0.7</v>
      </c>
      <c r="AX1896" s="1">
        <v>0.667</v>
      </c>
      <c r="AY1896" s="1">
        <v>17.6</v>
      </c>
      <c r="AZ1896" s="1">
        <v>16.2</v>
      </c>
      <c r="BA1896" s="1">
        <v>22.8</v>
      </c>
      <c r="BB1896" s="1">
        <v>2.99</v>
      </c>
      <c r="BC1896" s="1" t="s">
        <v>3169</v>
      </c>
      <c r="BD1896" s="1">
        <v>12.3</v>
      </c>
      <c r="BE1896" s="1">
        <v>32.5</v>
      </c>
      <c r="BF1896" s="1">
        <v>34.6</v>
      </c>
      <c r="BG1896" s="1">
        <v>20.6</v>
      </c>
      <c r="BH1896" s="1" t="s">
        <v>3180</v>
      </c>
    </row>
    <row r="1897">
      <c r="A1897" s="1">
        <v>37015.0</v>
      </c>
      <c r="B1897" s="2" t="str">
        <f>IFERROR(__xludf.DUMMYFUNCTION("TO_TEXT(A1897)"),"37015")</f>
        <v>37015</v>
      </c>
      <c r="C1897" s="1">
        <v>20324.0</v>
      </c>
      <c r="D1897" s="1">
        <v>699.176120999568</v>
      </c>
      <c r="E1897" s="1" t="s">
        <v>3181</v>
      </c>
      <c r="F1897" s="1" t="s">
        <v>3182</v>
      </c>
      <c r="G1897" s="1">
        <v>29.0684984649418</v>
      </c>
      <c r="H1897" s="1">
        <v>22.609442574</v>
      </c>
      <c r="I1897" s="1">
        <v>4.2974752446</v>
      </c>
      <c r="J1897" s="1">
        <v>12.3686337909999</v>
      </c>
      <c r="K1897" s="1">
        <v>19.953601249</v>
      </c>
      <c r="L1897" s="1">
        <v>43.3</v>
      </c>
      <c r="M1897" s="1">
        <v>6.3</v>
      </c>
      <c r="N1897" s="1">
        <v>31.2</v>
      </c>
      <c r="O1897" s="1">
        <v>33.192369138</v>
      </c>
      <c r="P1897" s="1">
        <v>13.2418101259999</v>
      </c>
      <c r="Q1897" s="1">
        <v>15.60549</v>
      </c>
      <c r="R1897" s="1">
        <v>84.1</v>
      </c>
      <c r="S1897" s="1">
        <v>32.0</v>
      </c>
      <c r="T1897" s="1">
        <v>3498.0</v>
      </c>
      <c r="U1897" s="1">
        <v>55.889079474</v>
      </c>
      <c r="V1897" s="1">
        <v>168.93595562</v>
      </c>
      <c r="W1897" s="1">
        <v>18.892508143</v>
      </c>
      <c r="X1897" s="1">
        <v>17.169684775</v>
      </c>
      <c r="Y1897" s="1">
        <v>76.289400168</v>
      </c>
      <c r="Z1897" s="1">
        <v>20.4</v>
      </c>
      <c r="AA1897" s="1">
        <v>2.5291537099</v>
      </c>
      <c r="AB1897" s="1">
        <v>35433.0</v>
      </c>
      <c r="AC1897" s="1">
        <v>98.212108899</v>
      </c>
      <c r="AD1897" s="1">
        <v>74.874623872</v>
      </c>
      <c r="AE1897" s="1">
        <v>20.229320229</v>
      </c>
      <c r="AF1897" s="1">
        <v>60.727425628</v>
      </c>
      <c r="AG1897" s="1">
        <v>0.688531483199999</v>
      </c>
      <c r="AH1897" s="1">
        <v>0.7936507937</v>
      </c>
      <c r="AI1897" s="1">
        <v>0.1103752759</v>
      </c>
      <c r="AJ1897" s="1">
        <v>2.2390413119</v>
      </c>
      <c r="AK1897" s="1">
        <v>34.715652265</v>
      </c>
      <c r="AL1897" s="1">
        <v>0.3829787234</v>
      </c>
      <c r="AM1897" s="1">
        <v>49.547986965</v>
      </c>
      <c r="AN1897" s="1">
        <v>83.24405601</v>
      </c>
      <c r="AO1897" s="1">
        <v>17244.0</v>
      </c>
      <c r="AP1897" s="1">
        <v>20.9</v>
      </c>
      <c r="AQ1897" s="1">
        <v>14.2</v>
      </c>
      <c r="AR1897" s="1">
        <v>25.2</v>
      </c>
      <c r="AS1897" s="1">
        <v>19.6</v>
      </c>
      <c r="AT1897" s="1">
        <v>18.1</v>
      </c>
      <c r="AU1897" s="1">
        <v>22.2</v>
      </c>
      <c r="AV1897" s="1">
        <v>65.5</v>
      </c>
      <c r="AW1897" s="1">
        <v>0.6</v>
      </c>
      <c r="AX1897" s="1">
        <v>0.9252</v>
      </c>
      <c r="AY1897" s="1">
        <v>24.2</v>
      </c>
      <c r="AZ1897" s="1">
        <v>18.4</v>
      </c>
      <c r="BA1897" s="1">
        <v>28.2</v>
      </c>
      <c r="BB1897" s="1">
        <v>2.89</v>
      </c>
      <c r="BC1897" s="1" t="s">
        <v>3169</v>
      </c>
      <c r="BD1897" s="1">
        <v>21.6</v>
      </c>
      <c r="BE1897" s="1">
        <v>38.1</v>
      </c>
      <c r="BF1897" s="1">
        <v>26.6</v>
      </c>
      <c r="BG1897" s="1">
        <v>13.6</v>
      </c>
      <c r="BH1897" s="1" t="s">
        <v>3182</v>
      </c>
    </row>
    <row r="1898">
      <c r="A1898" s="1">
        <v>37017.0</v>
      </c>
      <c r="B1898" s="2" t="str">
        <f>IFERROR(__xludf.DUMMYFUNCTION("TO_TEXT(A1898)"),"37017")</f>
        <v>37017</v>
      </c>
      <c r="C1898" s="1">
        <v>34454.0</v>
      </c>
      <c r="D1898" s="1">
        <v>874.852076943616</v>
      </c>
      <c r="E1898" s="1" t="s">
        <v>3183</v>
      </c>
      <c r="F1898" s="1" t="s">
        <v>3184</v>
      </c>
      <c r="G1898" s="1">
        <v>39.3826578321315</v>
      </c>
      <c r="H1898" s="1">
        <v>20.7643273409999</v>
      </c>
      <c r="I1898" s="1">
        <v>4.4394985992</v>
      </c>
      <c r="J1898" s="1">
        <v>10.234627832</v>
      </c>
      <c r="K1898" s="1">
        <v>18.739880808</v>
      </c>
      <c r="L1898" s="1">
        <v>43.7</v>
      </c>
      <c r="M1898" s="1">
        <v>6.8</v>
      </c>
      <c r="N1898" s="1">
        <v>30.1</v>
      </c>
      <c r="O1898" s="1">
        <v>36.325660699</v>
      </c>
      <c r="P1898" s="1">
        <v>16.720442498</v>
      </c>
      <c r="Q1898" s="1">
        <v>20.90925</v>
      </c>
      <c r="R1898" s="1">
        <v>89.5</v>
      </c>
      <c r="S1898" s="1">
        <v>44.2</v>
      </c>
      <c r="T1898" s="1">
        <v>7015.0</v>
      </c>
      <c r="U1898" s="1">
        <v>48.7241625089999</v>
      </c>
      <c r="V1898" s="1">
        <v>223.93201654</v>
      </c>
      <c r="W1898" s="1">
        <v>21.332388377</v>
      </c>
      <c r="X1898" s="1">
        <v>19.701275046</v>
      </c>
      <c r="Y1898" s="1">
        <v>75.0496381689999</v>
      </c>
      <c r="Z1898" s="1">
        <v>19.2</v>
      </c>
      <c r="AA1898" s="1">
        <v>2.9323777536</v>
      </c>
      <c r="AB1898" s="1">
        <v>36976.0</v>
      </c>
      <c r="AC1898" s="1">
        <v>91.40562249</v>
      </c>
      <c r="AD1898" s="1">
        <v>70.776059565</v>
      </c>
      <c r="AE1898" s="1">
        <v>16.965678627</v>
      </c>
      <c r="AF1898" s="1">
        <v>33.5100934019999</v>
      </c>
      <c r="AG1898" s="1">
        <v>3.0250075324</v>
      </c>
      <c r="AH1898" s="1">
        <v>0.3495028623</v>
      </c>
      <c r="AI1898" s="1">
        <v>0.0391684242</v>
      </c>
      <c r="AJ1898" s="1">
        <v>7.7553479964</v>
      </c>
      <c r="AK1898" s="1">
        <v>54.7755348</v>
      </c>
      <c r="AL1898" s="1">
        <v>1.6383703843</v>
      </c>
      <c r="AM1898" s="1">
        <v>52.295872251</v>
      </c>
      <c r="AN1898" s="1">
        <v>91.233304916</v>
      </c>
      <c r="AO1898" s="1">
        <v>19510.0</v>
      </c>
      <c r="AP1898" s="1">
        <v>28.1</v>
      </c>
      <c r="AQ1898" s="1">
        <v>9.0</v>
      </c>
      <c r="AR1898" s="1">
        <v>21.6</v>
      </c>
      <c r="AS1898" s="1">
        <v>18.4</v>
      </c>
      <c r="AT1898" s="1">
        <v>21.8</v>
      </c>
      <c r="AU1898" s="1">
        <v>22.2</v>
      </c>
      <c r="AV1898" s="1">
        <v>45.8</v>
      </c>
      <c r="AW1898" s="1">
        <v>2.1</v>
      </c>
      <c r="AX1898" s="1">
        <v>0.9612</v>
      </c>
      <c r="AY1898" s="1">
        <v>21.2</v>
      </c>
      <c r="AZ1898" s="1">
        <v>19.1</v>
      </c>
      <c r="BA1898" s="1">
        <v>27.6</v>
      </c>
      <c r="BB1898" s="1">
        <v>3.03</v>
      </c>
      <c r="BC1898" s="1" t="s">
        <v>3169</v>
      </c>
      <c r="BD1898" s="1">
        <v>18.7</v>
      </c>
      <c r="BE1898" s="1">
        <v>33.4</v>
      </c>
      <c r="BF1898" s="1">
        <v>32.1</v>
      </c>
      <c r="BG1898" s="1">
        <v>15.8</v>
      </c>
      <c r="BH1898" s="1" t="s">
        <v>3184</v>
      </c>
    </row>
    <row r="1899">
      <c r="A1899" s="1">
        <v>37019.0</v>
      </c>
      <c r="B1899" s="2" t="str">
        <f>IFERROR(__xludf.DUMMYFUNCTION("TO_TEXT(A1899)"),"37019")</f>
        <v>37019</v>
      </c>
      <c r="C1899" s="1">
        <v>119167.0</v>
      </c>
      <c r="D1899" s="1">
        <v>849.620332865328</v>
      </c>
      <c r="E1899" s="1" t="s">
        <v>3185</v>
      </c>
      <c r="F1899" s="1" t="s">
        <v>3186</v>
      </c>
      <c r="G1899" s="1">
        <v>140.259119738945</v>
      </c>
      <c r="H1899" s="1">
        <v>16.415902592</v>
      </c>
      <c r="I1899" s="1">
        <v>3.9787653802</v>
      </c>
      <c r="J1899" s="1">
        <v>9.0604026846</v>
      </c>
      <c r="K1899" s="1">
        <v>14.995104748</v>
      </c>
      <c r="L1899" s="1">
        <v>28.9</v>
      </c>
      <c r="M1899" s="1">
        <v>7.7</v>
      </c>
      <c r="N1899" s="1">
        <v>24.6</v>
      </c>
      <c r="O1899" s="1">
        <v>79.009783024</v>
      </c>
      <c r="P1899" s="1">
        <v>13.519080419</v>
      </c>
      <c r="Q1899" s="1">
        <v>48.12945</v>
      </c>
      <c r="R1899" s="1">
        <v>84.3</v>
      </c>
      <c r="S1899" s="1">
        <v>20.1</v>
      </c>
      <c r="T1899" s="1">
        <v>20503.0</v>
      </c>
      <c r="U1899" s="1">
        <v>34.5998146609999</v>
      </c>
      <c r="V1899" s="1">
        <v>141.43283686</v>
      </c>
      <c r="W1899" s="1">
        <v>15.694224684</v>
      </c>
      <c r="X1899" s="1">
        <v>14.300060253</v>
      </c>
      <c r="Y1899" s="1">
        <v>78.632808222</v>
      </c>
      <c r="Z1899" s="1">
        <v>12.8</v>
      </c>
      <c r="AA1899" s="1">
        <v>5.5311905983</v>
      </c>
      <c r="AB1899" s="1">
        <v>60163.0</v>
      </c>
      <c r="AC1899" s="1">
        <v>54.058523258</v>
      </c>
      <c r="AD1899" s="1">
        <v>79.03404271</v>
      </c>
      <c r="AE1899" s="1">
        <v>15.084365962</v>
      </c>
      <c r="AF1899" s="1">
        <v>10.01798982</v>
      </c>
      <c r="AG1899" s="1">
        <v>0.8329433101</v>
      </c>
      <c r="AH1899" s="1">
        <v>0.7919908735</v>
      </c>
      <c r="AI1899" s="1">
        <v>0.1016497982</v>
      </c>
      <c r="AJ1899" s="1">
        <v>4.8733399637</v>
      </c>
      <c r="AK1899" s="1">
        <v>82.098666121</v>
      </c>
      <c r="AL1899" s="1">
        <v>0.9345563737</v>
      </c>
      <c r="AM1899" s="1">
        <v>52.245802375</v>
      </c>
      <c r="AN1899" s="1">
        <v>42.960597965</v>
      </c>
      <c r="AO1899" s="1">
        <v>28694.0</v>
      </c>
      <c r="AP1899" s="1">
        <v>15.2</v>
      </c>
      <c r="AQ1899" s="1">
        <v>9.7</v>
      </c>
      <c r="AR1899" s="1">
        <v>12.0</v>
      </c>
      <c r="AS1899" s="1">
        <v>26.9</v>
      </c>
      <c r="AT1899" s="1">
        <v>17.2</v>
      </c>
      <c r="AU1899" s="1">
        <v>17.7</v>
      </c>
      <c r="AV1899" s="1">
        <v>18.5</v>
      </c>
      <c r="AW1899" s="1">
        <v>1.1</v>
      </c>
      <c r="AX1899" s="1">
        <v>0.4693</v>
      </c>
      <c r="AY1899" s="1">
        <v>10.2</v>
      </c>
      <c r="AZ1899" s="1">
        <v>13.7</v>
      </c>
      <c r="BA1899" s="1">
        <v>21.6</v>
      </c>
      <c r="BB1899" s="1">
        <v>3.26</v>
      </c>
      <c r="BC1899" s="1" t="s">
        <v>3169</v>
      </c>
      <c r="BD1899" s="1">
        <v>8.7</v>
      </c>
      <c r="BE1899" s="1">
        <v>27.9</v>
      </c>
      <c r="BF1899" s="1">
        <v>33.5</v>
      </c>
      <c r="BG1899" s="1">
        <v>29.9</v>
      </c>
      <c r="BH1899" s="1" t="s">
        <v>3186</v>
      </c>
    </row>
    <row r="1900">
      <c r="A1900" s="1">
        <v>37021.0</v>
      </c>
      <c r="B1900" s="2" t="str">
        <f>IFERROR(__xludf.DUMMYFUNCTION("TO_TEXT(A1900)"),"37021")</f>
        <v>37021</v>
      </c>
      <c r="C1900" s="1">
        <v>250112.0</v>
      </c>
      <c r="D1900" s="1">
        <v>656.388630951696</v>
      </c>
      <c r="E1900" s="1" t="s">
        <v>3187</v>
      </c>
      <c r="F1900" s="1" t="s">
        <v>3188</v>
      </c>
      <c r="G1900" s="1">
        <v>381.042553460079</v>
      </c>
      <c r="H1900" s="1">
        <v>14.473508476</v>
      </c>
      <c r="I1900" s="1">
        <v>4.1121226304</v>
      </c>
      <c r="J1900" s="1">
        <v>8.367244551</v>
      </c>
      <c r="K1900" s="1">
        <v>16.6376814359999</v>
      </c>
      <c r="L1900" s="1">
        <v>22.1</v>
      </c>
      <c r="M1900" s="1">
        <v>7.7</v>
      </c>
      <c r="N1900" s="1">
        <v>17.3</v>
      </c>
      <c r="O1900" s="1">
        <v>74.99601373</v>
      </c>
      <c r="P1900" s="1">
        <v>13.506175521</v>
      </c>
      <c r="Q1900" s="1">
        <v>143.62964</v>
      </c>
      <c r="R1900" s="1">
        <v>88.048442907</v>
      </c>
      <c r="S1900" s="1">
        <v>16.8</v>
      </c>
      <c r="T1900" s="1">
        <v>47728.0</v>
      </c>
      <c r="U1900" s="1">
        <v>27.883003688</v>
      </c>
      <c r="V1900" s="1">
        <v>263.28126391</v>
      </c>
      <c r="W1900" s="1">
        <v>15.4083431259999</v>
      </c>
      <c r="X1900" s="1">
        <v>12.0129064279999</v>
      </c>
      <c r="Y1900" s="1">
        <v>78.596962484</v>
      </c>
      <c r="Z1900" s="1">
        <v>8.3</v>
      </c>
      <c r="AA1900" s="1">
        <v>7.9934731775</v>
      </c>
      <c r="AB1900" s="1">
        <v>53960.0</v>
      </c>
      <c r="AC1900" s="1">
        <v>46.535837833</v>
      </c>
      <c r="AD1900" s="1">
        <v>63.750198426</v>
      </c>
      <c r="AE1900" s="1">
        <v>12.488253814</v>
      </c>
      <c r="AF1900" s="1">
        <v>6.0300343879</v>
      </c>
      <c r="AG1900" s="1">
        <v>0.5187126355</v>
      </c>
      <c r="AH1900" s="1">
        <v>1.43533652639999</v>
      </c>
      <c r="AI1900" s="1">
        <v>0.1559225482</v>
      </c>
      <c r="AJ1900" s="1">
        <v>6.6869160141</v>
      </c>
      <c r="AK1900" s="1">
        <v>83.504629433</v>
      </c>
      <c r="AL1900" s="1">
        <v>1.9308295324</v>
      </c>
      <c r="AM1900" s="1">
        <v>52.062693215</v>
      </c>
      <c r="AN1900" s="1">
        <v>24.079591135</v>
      </c>
      <c r="AO1900" s="1">
        <v>28087.0</v>
      </c>
      <c r="AP1900" s="1">
        <v>14.8</v>
      </c>
      <c r="AQ1900" s="1">
        <v>6.0</v>
      </c>
      <c r="AR1900" s="1">
        <v>10.0</v>
      </c>
      <c r="AS1900" s="1">
        <v>18.0</v>
      </c>
      <c r="AT1900" s="1">
        <v>19.4</v>
      </c>
      <c r="AU1900" s="1">
        <v>13.9</v>
      </c>
      <c r="AV1900" s="1">
        <v>16.1</v>
      </c>
      <c r="AW1900" s="1">
        <v>2.0</v>
      </c>
      <c r="AX1900" s="1">
        <v>0.4804</v>
      </c>
      <c r="AY1900" s="1">
        <v>12.2</v>
      </c>
      <c r="AZ1900" s="1">
        <v>12.4</v>
      </c>
      <c r="BA1900" s="1">
        <v>16.8</v>
      </c>
      <c r="BB1900" s="1">
        <v>3.07</v>
      </c>
      <c r="BC1900" s="1" t="s">
        <v>3169</v>
      </c>
      <c r="BD1900" s="1">
        <v>8.9</v>
      </c>
      <c r="BE1900" s="1">
        <v>23.2</v>
      </c>
      <c r="BF1900" s="1">
        <v>27.7</v>
      </c>
      <c r="BG1900" s="1">
        <v>40.1</v>
      </c>
      <c r="BH1900" s="1" t="s">
        <v>3188</v>
      </c>
    </row>
    <row r="1901">
      <c r="A1901" s="1">
        <v>37023.0</v>
      </c>
      <c r="B1901" s="2" t="str">
        <f>IFERROR(__xludf.DUMMYFUNCTION("TO_TEXT(A1901)"),"37023")</f>
        <v>37023</v>
      </c>
      <c r="C1901" s="1">
        <v>89082.0</v>
      </c>
      <c r="D1901" s="1">
        <v>506.245475556702</v>
      </c>
      <c r="E1901" s="1" t="s">
        <v>826</v>
      </c>
      <c r="F1901" s="1" t="s">
        <v>3189</v>
      </c>
      <c r="G1901" s="1">
        <v>175.966017082996</v>
      </c>
      <c r="H1901" s="1">
        <v>17.014349433</v>
      </c>
      <c r="I1901" s="1">
        <v>4.12997186959999</v>
      </c>
      <c r="J1901" s="1">
        <v>8.5533776122</v>
      </c>
      <c r="K1901" s="1">
        <v>17.303198204</v>
      </c>
      <c r="L1901" s="1">
        <v>36.4</v>
      </c>
      <c r="M1901" s="1">
        <v>6.9</v>
      </c>
      <c r="N1901" s="1">
        <v>27.0</v>
      </c>
      <c r="O1901" s="1">
        <v>66.202481521</v>
      </c>
      <c r="P1901" s="1">
        <v>14.698929815</v>
      </c>
      <c r="Q1901" s="1">
        <v>53.75561</v>
      </c>
      <c r="R1901" s="1">
        <v>88.5</v>
      </c>
      <c r="S1901" s="1">
        <v>20.6</v>
      </c>
      <c r="T1901" s="1">
        <v>16953.0</v>
      </c>
      <c r="U1901" s="1">
        <v>36.949212529</v>
      </c>
      <c r="V1901" s="1">
        <v>178.6921112</v>
      </c>
      <c r="W1901" s="1">
        <v>13.640350877</v>
      </c>
      <c r="X1901" s="1">
        <v>10.7947805459999</v>
      </c>
      <c r="Y1901" s="1">
        <v>76.486141551</v>
      </c>
      <c r="Z1901" s="1">
        <v>8.9</v>
      </c>
      <c r="AA1901" s="1">
        <v>13.5641517479999</v>
      </c>
      <c r="AB1901" s="1">
        <v>44946.0</v>
      </c>
      <c r="AC1901" s="1">
        <v>56.45198972</v>
      </c>
      <c r="AD1901" s="1">
        <v>72.311952007</v>
      </c>
      <c r="AE1901" s="1">
        <v>10.088769049</v>
      </c>
      <c r="AF1901" s="1">
        <v>6.6683631697</v>
      </c>
      <c r="AG1901" s="1">
        <v>0.9172180301</v>
      </c>
      <c r="AH1901" s="1">
        <v>3.7230864553</v>
      </c>
      <c r="AI1901" s="1">
        <v>0.690402956299999</v>
      </c>
      <c r="AJ1901" s="1">
        <v>6.2490318869</v>
      </c>
      <c r="AK1901" s="1">
        <v>81.417760173</v>
      </c>
      <c r="AL1901" s="1">
        <v>1.5719000913</v>
      </c>
      <c r="AM1901" s="1">
        <v>50.009957735</v>
      </c>
      <c r="AN1901" s="1">
        <v>42.652235128</v>
      </c>
      <c r="AO1901" s="1">
        <v>20775.0</v>
      </c>
      <c r="AP1901" s="1">
        <v>19.9</v>
      </c>
      <c r="AQ1901" s="1">
        <v>10.8</v>
      </c>
      <c r="AR1901" s="1">
        <v>20.4</v>
      </c>
      <c r="AS1901" s="1">
        <v>18.2</v>
      </c>
      <c r="AT1901" s="1">
        <v>20.1</v>
      </c>
      <c r="AU1901" s="1">
        <v>20.5</v>
      </c>
      <c r="AV1901" s="1">
        <v>17.7</v>
      </c>
      <c r="AW1901" s="1">
        <v>2.1</v>
      </c>
      <c r="AX1901" s="1">
        <v>0.8991</v>
      </c>
      <c r="AY1901" s="1">
        <v>18.4</v>
      </c>
      <c r="AZ1901" s="1">
        <v>15.5</v>
      </c>
      <c r="BA1901" s="1">
        <v>22.7</v>
      </c>
      <c r="BB1901" s="1">
        <v>2.72</v>
      </c>
      <c r="BC1901" s="1" t="s">
        <v>3169</v>
      </c>
      <c r="BD1901" s="1">
        <v>18.4</v>
      </c>
      <c r="BE1901" s="1">
        <v>31.4</v>
      </c>
      <c r="BF1901" s="1">
        <v>33.8</v>
      </c>
      <c r="BG1901" s="1">
        <v>16.4</v>
      </c>
      <c r="BH1901" s="1" t="s">
        <v>3189</v>
      </c>
    </row>
    <row r="1902">
      <c r="A1902" s="1">
        <v>37025.0</v>
      </c>
      <c r="B1902" s="2" t="str">
        <f>IFERROR(__xludf.DUMMYFUNCTION("TO_TEXT(A1902)"),"37025")</f>
        <v>37025</v>
      </c>
      <c r="C1902" s="1">
        <v>192296.0</v>
      </c>
      <c r="D1902" s="1">
        <v>361.238298000662</v>
      </c>
      <c r="E1902" s="1" t="s">
        <v>3190</v>
      </c>
      <c r="F1902" s="1" t="s">
        <v>3191</v>
      </c>
      <c r="G1902" s="1">
        <v>532.324510065229</v>
      </c>
      <c r="H1902" s="1">
        <v>14.730247494</v>
      </c>
      <c r="I1902" s="1">
        <v>3.7427972513</v>
      </c>
      <c r="J1902" s="1">
        <v>8.78848649289999</v>
      </c>
      <c r="K1902" s="1">
        <v>15.520446062</v>
      </c>
      <c r="L1902" s="1">
        <v>35.9</v>
      </c>
      <c r="M1902" s="1">
        <v>7.8</v>
      </c>
      <c r="N1902" s="1">
        <v>25.4</v>
      </c>
      <c r="O1902" s="1">
        <v>79.508007932</v>
      </c>
      <c r="P1902" s="1">
        <v>10.42423568</v>
      </c>
      <c r="Q1902" s="1">
        <v>87.01033</v>
      </c>
      <c r="R1902" s="1">
        <v>88.8378048779999</v>
      </c>
      <c r="S1902" s="1">
        <v>12.9</v>
      </c>
      <c r="T1902" s="1">
        <v>51903.0</v>
      </c>
      <c r="U1902" s="1">
        <v>29.543571663</v>
      </c>
      <c r="V1902" s="1">
        <v>117.17978764</v>
      </c>
      <c r="W1902" s="1">
        <v>13.413384097</v>
      </c>
      <c r="X1902" s="1">
        <v>9.9298115996</v>
      </c>
      <c r="Y1902" s="1">
        <v>78.55974336</v>
      </c>
      <c r="Z1902" s="1">
        <v>11.7</v>
      </c>
      <c r="AA1902" s="1">
        <v>7.23101817549999</v>
      </c>
      <c r="AB1902" s="1">
        <v>69297.0</v>
      </c>
      <c r="AC1902" s="1">
        <v>47.843825726</v>
      </c>
      <c r="AD1902" s="1">
        <v>71.467101896</v>
      </c>
      <c r="AE1902" s="1">
        <v>10.299041188</v>
      </c>
      <c r="AF1902" s="1">
        <v>18.00210086</v>
      </c>
      <c r="AG1902" s="1">
        <v>0.7130622403</v>
      </c>
      <c r="AH1902" s="1">
        <v>4.3772652857</v>
      </c>
      <c r="AI1902" s="1">
        <v>0.099838177</v>
      </c>
      <c r="AJ1902" s="1">
        <v>10.7815767809999</v>
      </c>
      <c r="AK1902" s="1">
        <v>64.636466012</v>
      </c>
      <c r="AL1902" s="1">
        <v>2.2094084196</v>
      </c>
      <c r="AM1902" s="1">
        <v>51.267613631</v>
      </c>
      <c r="AN1902" s="1">
        <v>19.2533045709999</v>
      </c>
      <c r="AO1902" s="1">
        <v>27728.0</v>
      </c>
      <c r="AP1902" s="1">
        <v>11.7</v>
      </c>
      <c r="AQ1902" s="1">
        <v>7.9</v>
      </c>
      <c r="AR1902" s="1">
        <v>11.1</v>
      </c>
      <c r="AS1902" s="1">
        <v>12.5</v>
      </c>
      <c r="AT1902" s="1">
        <v>26.3</v>
      </c>
      <c r="AU1902" s="1">
        <v>10.3</v>
      </c>
      <c r="AV1902" s="1">
        <v>31.0</v>
      </c>
      <c r="AW1902" s="1">
        <v>2.6</v>
      </c>
      <c r="AX1902" s="1">
        <v>0.4473</v>
      </c>
      <c r="AY1902" s="1">
        <v>7.9</v>
      </c>
      <c r="AZ1902" s="1">
        <v>11.1</v>
      </c>
      <c r="BA1902" s="1">
        <v>15.2</v>
      </c>
      <c r="BB1902" s="1">
        <v>3.0</v>
      </c>
      <c r="BC1902" s="1" t="s">
        <v>3169</v>
      </c>
      <c r="BD1902" s="1">
        <v>10.1</v>
      </c>
      <c r="BE1902" s="1">
        <v>25.2</v>
      </c>
      <c r="BF1902" s="1">
        <v>32.5</v>
      </c>
      <c r="BG1902" s="1">
        <v>32.3</v>
      </c>
      <c r="BH1902" s="1" t="s">
        <v>3191</v>
      </c>
    </row>
    <row r="1903">
      <c r="A1903" s="1">
        <v>37027.0</v>
      </c>
      <c r="B1903" s="2" t="str">
        <f>IFERROR(__xludf.DUMMYFUNCTION("TO_TEXT(A1903)"),"37027")</f>
        <v>37027</v>
      </c>
      <c r="C1903" s="1">
        <v>81623.0</v>
      </c>
      <c r="D1903" s="1">
        <v>471.89097249602</v>
      </c>
      <c r="E1903" s="1" t="s">
        <v>1787</v>
      </c>
      <c r="F1903" s="1" t="s">
        <v>3192</v>
      </c>
      <c r="G1903" s="1">
        <v>172.970039177192</v>
      </c>
      <c r="H1903" s="1">
        <v>16.668500024</v>
      </c>
      <c r="I1903" s="1">
        <v>4.1630504549</v>
      </c>
      <c r="J1903" s="1">
        <v>9.5988538682</v>
      </c>
      <c r="K1903" s="1">
        <v>16.720111688</v>
      </c>
      <c r="L1903" s="1">
        <v>39.0</v>
      </c>
      <c r="M1903" s="1">
        <v>6.7</v>
      </c>
      <c r="N1903" s="1">
        <v>25.8</v>
      </c>
      <c r="O1903" s="1">
        <v>63.776511821</v>
      </c>
      <c r="P1903" s="1">
        <v>13.9194363609999</v>
      </c>
      <c r="Q1903" s="1">
        <v>47.572</v>
      </c>
      <c r="R1903" s="1">
        <v>88.5</v>
      </c>
      <c r="S1903" s="1">
        <v>22.4</v>
      </c>
      <c r="T1903" s="1">
        <v>16756.0</v>
      </c>
      <c r="U1903" s="1">
        <v>31.451420387</v>
      </c>
      <c r="V1903" s="1">
        <v>168.59878412</v>
      </c>
      <c r="W1903" s="1">
        <v>13.3657160759999</v>
      </c>
      <c r="X1903" s="1">
        <v>11.7918523229999</v>
      </c>
      <c r="Y1903" s="1">
        <v>76.019160811</v>
      </c>
      <c r="Z1903" s="1">
        <v>18.7</v>
      </c>
      <c r="AA1903" s="1">
        <v>17.127408914</v>
      </c>
      <c r="AB1903" s="1">
        <v>43328.0</v>
      </c>
      <c r="AC1903" s="1">
        <v>58.331916341</v>
      </c>
      <c r="AD1903" s="1">
        <v>71.307602626</v>
      </c>
      <c r="AE1903" s="1">
        <v>11.633710885</v>
      </c>
      <c r="AF1903" s="1">
        <v>4.7714832559</v>
      </c>
      <c r="AG1903" s="1">
        <v>0.6375793927</v>
      </c>
      <c r="AH1903" s="1">
        <v>0.731448634</v>
      </c>
      <c r="AI1903" s="1">
        <v>0.0963074035</v>
      </c>
      <c r="AJ1903" s="1">
        <v>5.6614124273</v>
      </c>
      <c r="AK1903" s="1">
        <v>87.071645394</v>
      </c>
      <c r="AL1903" s="1">
        <v>1.4682774787</v>
      </c>
      <c r="AM1903" s="1">
        <v>50.460203099</v>
      </c>
      <c r="AN1903" s="1">
        <v>34.42773007</v>
      </c>
      <c r="AO1903" s="1">
        <v>20587.0</v>
      </c>
      <c r="AP1903" s="1">
        <v>17.6</v>
      </c>
      <c r="AQ1903" s="1">
        <v>10.5</v>
      </c>
      <c r="AR1903" s="1">
        <v>22.4</v>
      </c>
      <c r="AS1903" s="1">
        <v>17.6</v>
      </c>
      <c r="AT1903" s="1">
        <v>21.0</v>
      </c>
      <c r="AU1903" s="1">
        <v>18.9</v>
      </c>
      <c r="AV1903" s="1">
        <v>11.8</v>
      </c>
      <c r="AW1903" s="1">
        <v>1.1</v>
      </c>
      <c r="AX1903" s="1">
        <v>0.6294</v>
      </c>
      <c r="AY1903" s="1">
        <v>12.0</v>
      </c>
      <c r="AZ1903" s="1">
        <v>14.9</v>
      </c>
      <c r="BA1903" s="1">
        <v>21.1</v>
      </c>
      <c r="BB1903" s="1">
        <v>2.69</v>
      </c>
      <c r="BC1903" s="1" t="s">
        <v>3169</v>
      </c>
      <c r="BD1903" s="1">
        <v>20.0</v>
      </c>
      <c r="BE1903" s="1">
        <v>32.5</v>
      </c>
      <c r="BF1903" s="1">
        <v>31.7</v>
      </c>
      <c r="BG1903" s="1">
        <v>15.7</v>
      </c>
      <c r="BH1903" s="1" t="s">
        <v>3192</v>
      </c>
    </row>
    <row r="1904">
      <c r="A1904" s="1">
        <v>37029.0</v>
      </c>
      <c r="B1904" s="2" t="str">
        <f>IFERROR(__xludf.DUMMYFUNCTION("TO_TEXT(A1904)"),"37029")</f>
        <v>37029</v>
      </c>
      <c r="C1904" s="1">
        <v>10228.0</v>
      </c>
      <c r="D1904" s="1">
        <v>240.328679859258</v>
      </c>
      <c r="E1904" s="1" t="s">
        <v>831</v>
      </c>
      <c r="F1904" s="1" t="s">
        <v>3193</v>
      </c>
      <c r="G1904" s="1">
        <v>42.5583829861245</v>
      </c>
      <c r="H1904" s="1">
        <v>13.768789332</v>
      </c>
      <c r="I1904" s="1">
        <v>3.7555797592</v>
      </c>
      <c r="J1904" s="1">
        <v>7.2755417957</v>
      </c>
      <c r="K1904" s="1">
        <v>15.55760781</v>
      </c>
      <c r="L1904" s="1">
        <v>32.4</v>
      </c>
      <c r="M1904" s="1">
        <v>8.5</v>
      </c>
      <c r="N1904" s="1">
        <v>24.6</v>
      </c>
      <c r="O1904" s="1">
        <v>37.174348697</v>
      </c>
      <c r="P1904" s="1">
        <v>11.871227364</v>
      </c>
      <c r="Q1904" s="1">
        <v>18.90181</v>
      </c>
      <c r="R1904" s="1">
        <v>83.4</v>
      </c>
      <c r="S1904" s="1">
        <v>9.9</v>
      </c>
      <c r="T1904" s="1">
        <v>2491.0</v>
      </c>
      <c r="U1904" s="1">
        <v>38.940184665</v>
      </c>
      <c r="V1904" s="1">
        <v>63.005864392</v>
      </c>
      <c r="W1904" s="1">
        <v>15.243101183</v>
      </c>
      <c r="X1904" s="1">
        <v>13.140604468</v>
      </c>
      <c r="Y1904" s="1">
        <v>79.483548169</v>
      </c>
      <c r="Z1904" s="1">
        <v>10.7</v>
      </c>
      <c r="AA1904" s="1">
        <v>0.8910547899</v>
      </c>
      <c r="AB1904" s="1">
        <v>65955.0</v>
      </c>
      <c r="AC1904" s="1">
        <v>26.4737406219999</v>
      </c>
      <c r="AD1904" s="1">
        <v>80.500521376</v>
      </c>
      <c r="AE1904" s="1">
        <v>12.107258938</v>
      </c>
      <c r="AF1904" s="1">
        <v>11.605975724</v>
      </c>
      <c r="AG1904" s="1">
        <v>0.5508870215</v>
      </c>
      <c r="AH1904" s="1">
        <v>2.1942110177</v>
      </c>
      <c r="AI1904" s="1">
        <v>0.0933706816</v>
      </c>
      <c r="AJ1904" s="1">
        <v>2.9598506069</v>
      </c>
      <c r="AK1904" s="1">
        <v>80.289449113</v>
      </c>
      <c r="AL1904" s="1">
        <v>0.7232546459</v>
      </c>
      <c r="AM1904" s="1">
        <v>50.177404295</v>
      </c>
      <c r="AN1904" s="1">
        <v>99.549098196</v>
      </c>
      <c r="AO1904" s="1">
        <v>26420.0</v>
      </c>
      <c r="AP1904" s="1">
        <v>10.4</v>
      </c>
      <c r="AQ1904" s="1">
        <v>11.0</v>
      </c>
      <c r="AR1904" s="1">
        <v>16.8</v>
      </c>
      <c r="AS1904" s="1">
        <v>15.8</v>
      </c>
      <c r="AT1904" s="1">
        <v>23.7</v>
      </c>
      <c r="AU1904" s="1">
        <v>14.2</v>
      </c>
      <c r="AV1904" s="1">
        <v>19.6</v>
      </c>
      <c r="AW1904" s="1">
        <v>1.7</v>
      </c>
      <c r="AX1904" s="1">
        <v>0.3754</v>
      </c>
      <c r="AY1904" s="1">
        <v>7.6</v>
      </c>
      <c r="AZ1904" s="1">
        <v>11.7</v>
      </c>
      <c r="BA1904" s="1">
        <v>18.6</v>
      </c>
      <c r="BB1904" s="1">
        <v>3.12</v>
      </c>
      <c r="BC1904" s="1" t="s">
        <v>3169</v>
      </c>
      <c r="BD1904" s="1">
        <v>13.5</v>
      </c>
      <c r="BE1904" s="1">
        <v>29.4</v>
      </c>
      <c r="BF1904" s="1">
        <v>40.0</v>
      </c>
      <c r="BG1904" s="1">
        <v>17.1</v>
      </c>
      <c r="BH1904" s="1" t="s">
        <v>3193</v>
      </c>
    </row>
    <row r="1905">
      <c r="A1905" s="1">
        <v>37031.0</v>
      </c>
      <c r="B1905" s="2" t="str">
        <f>IFERROR(__xludf.DUMMYFUNCTION("TO_TEXT(A1905)"),"37031")</f>
        <v>37031</v>
      </c>
      <c r="C1905" s="1">
        <v>68537.0</v>
      </c>
      <c r="D1905" s="1">
        <v>507.627387124574</v>
      </c>
      <c r="E1905" s="1" t="s">
        <v>3194</v>
      </c>
      <c r="F1905" s="1" t="s">
        <v>3195</v>
      </c>
      <c r="G1905" s="1">
        <v>135.014386020863</v>
      </c>
      <c r="H1905" s="1">
        <v>15.936653387</v>
      </c>
      <c r="I1905" s="1">
        <v>4.1895301195</v>
      </c>
      <c r="J1905" s="1">
        <v>7.4256208507</v>
      </c>
      <c r="K1905" s="1">
        <v>15.6464739909999</v>
      </c>
      <c r="L1905" s="1">
        <v>31.9</v>
      </c>
      <c r="M1905" s="1">
        <v>7.8</v>
      </c>
      <c r="N1905" s="1">
        <v>24.1</v>
      </c>
      <c r="O1905" s="1">
        <v>89.205494291</v>
      </c>
      <c r="P1905" s="1">
        <v>12.6798474079999</v>
      </c>
      <c r="Q1905" s="1">
        <v>75.49252</v>
      </c>
      <c r="R1905" s="1">
        <v>85.2</v>
      </c>
      <c r="S1905" s="1">
        <v>15.9</v>
      </c>
      <c r="T1905" s="1">
        <v>12247.0</v>
      </c>
      <c r="U1905" s="1">
        <v>33.012166245</v>
      </c>
      <c r="V1905" s="1">
        <v>204.509002055</v>
      </c>
      <c r="W1905" s="1">
        <v>14.8486385929999</v>
      </c>
      <c r="X1905" s="1">
        <v>13.337895637</v>
      </c>
      <c r="Y1905" s="1">
        <v>77.696220114</v>
      </c>
      <c r="Z1905" s="1">
        <v>11.0</v>
      </c>
      <c r="AA1905" s="1">
        <v>7.0666703449</v>
      </c>
      <c r="AB1905" s="1">
        <v>55052.0</v>
      </c>
      <c r="AC1905" s="1">
        <v>40.495867769</v>
      </c>
      <c r="AD1905" s="1">
        <v>72.196025598</v>
      </c>
      <c r="AE1905" s="1">
        <v>11.814242784</v>
      </c>
      <c r="AF1905" s="1">
        <v>5.4901904378</v>
      </c>
      <c r="AG1905" s="1">
        <v>0.6256832173</v>
      </c>
      <c r="AH1905" s="1">
        <v>1.3103388758</v>
      </c>
      <c r="AI1905" s="1">
        <v>0.1654105057</v>
      </c>
      <c r="AJ1905" s="1">
        <v>4.2647143432</v>
      </c>
      <c r="AK1905" s="1">
        <v>86.499626028</v>
      </c>
      <c r="AL1905" s="1">
        <v>0.7535326581</v>
      </c>
      <c r="AM1905" s="1">
        <v>51.0183533739999</v>
      </c>
      <c r="AN1905" s="1">
        <v>32.603168394</v>
      </c>
      <c r="AO1905" s="1">
        <v>29349.0</v>
      </c>
      <c r="AP1905" s="1">
        <v>13.1</v>
      </c>
      <c r="AQ1905" s="1">
        <v>9.2</v>
      </c>
      <c r="AR1905" s="1">
        <v>10.0</v>
      </c>
      <c r="AS1905" s="1">
        <v>21.8</v>
      </c>
      <c r="AT1905" s="1">
        <v>18.5</v>
      </c>
      <c r="AU1905" s="1">
        <v>19.5</v>
      </c>
      <c r="AV1905" s="1">
        <v>13.6</v>
      </c>
      <c r="AW1905" s="1">
        <v>1.1</v>
      </c>
      <c r="AX1905" s="1">
        <v>0.4849</v>
      </c>
      <c r="AY1905" s="1">
        <v>10.4</v>
      </c>
      <c r="AZ1905" s="1">
        <v>13.8</v>
      </c>
      <c r="BA1905" s="1">
        <v>19.9</v>
      </c>
      <c r="BB1905" s="1">
        <v>3.49</v>
      </c>
      <c r="BC1905" s="1" t="s">
        <v>3169</v>
      </c>
      <c r="BD1905" s="1">
        <v>8.4</v>
      </c>
      <c r="BE1905" s="1">
        <v>25.6</v>
      </c>
      <c r="BF1905" s="1">
        <v>36.9</v>
      </c>
      <c r="BG1905" s="1">
        <v>29.1</v>
      </c>
      <c r="BH1905" s="1" t="s">
        <v>3195</v>
      </c>
    </row>
    <row r="1906">
      <c r="A1906" s="1">
        <v>37033.0</v>
      </c>
      <c r="B1906" s="2" t="str">
        <f>IFERROR(__xludf.DUMMYFUNCTION("TO_TEXT(A1906)"),"37033")</f>
        <v>37033</v>
      </c>
      <c r="C1906" s="1">
        <v>23094.0</v>
      </c>
      <c r="D1906" s="1">
        <v>425.365752538788</v>
      </c>
      <c r="E1906" s="1" t="s">
        <v>3196</v>
      </c>
      <c r="F1906" s="1" t="s">
        <v>3197</v>
      </c>
      <c r="G1906" s="1">
        <v>54.2921000625082</v>
      </c>
      <c r="H1906" s="1">
        <v>18.900556514</v>
      </c>
      <c r="I1906" s="1">
        <v>4.181045524</v>
      </c>
      <c r="J1906" s="1">
        <v>9.9516240498</v>
      </c>
      <c r="K1906" s="1">
        <v>17.664689381</v>
      </c>
      <c r="L1906" s="1">
        <v>28.6</v>
      </c>
      <c r="M1906" s="1">
        <v>7.1</v>
      </c>
      <c r="N1906" s="1">
        <v>19.1</v>
      </c>
      <c r="O1906" s="1">
        <v>33.787259159</v>
      </c>
      <c r="P1906" s="1">
        <v>12.946133012</v>
      </c>
      <c r="Q1906" s="1">
        <v>17.66316</v>
      </c>
      <c r="R1906" s="1">
        <v>84.3</v>
      </c>
      <c r="S1906" s="1">
        <v>28.1</v>
      </c>
      <c r="T1906" s="1">
        <v>4302.0</v>
      </c>
      <c r="U1906" s="1">
        <v>32.821943282</v>
      </c>
      <c r="V1906" s="1">
        <v>254.8408878</v>
      </c>
      <c r="W1906" s="1">
        <v>14.5915492959999</v>
      </c>
      <c r="X1906" s="1">
        <v>12.678469446</v>
      </c>
      <c r="Y1906" s="1">
        <v>75.925649709</v>
      </c>
      <c r="Z1906" s="1">
        <v>6.2</v>
      </c>
      <c r="AA1906" s="1">
        <v>3.2988396101</v>
      </c>
      <c r="AB1906" s="1">
        <v>45517.0</v>
      </c>
      <c r="AC1906" s="1">
        <v>78.039655817</v>
      </c>
      <c r="AD1906" s="1">
        <v>78.814489572</v>
      </c>
      <c r="AE1906" s="1">
        <v>11.902861703</v>
      </c>
      <c r="AF1906" s="1">
        <v>31.9191118159999</v>
      </c>
      <c r="AG1906" s="1">
        <v>0.7269362939</v>
      </c>
      <c r="AH1906" s="1">
        <v>0.5903603842</v>
      </c>
      <c r="AI1906" s="1">
        <v>0.0220283725</v>
      </c>
      <c r="AJ1906" s="1">
        <v>4.1589567363</v>
      </c>
      <c r="AK1906" s="1">
        <v>61.133139484</v>
      </c>
      <c r="AL1906" s="1">
        <v>1.0466617484</v>
      </c>
      <c r="AM1906" s="1">
        <v>49.224601286</v>
      </c>
      <c r="AN1906" s="1">
        <v>99.194738395</v>
      </c>
      <c r="AO1906" s="1">
        <v>20235.0</v>
      </c>
      <c r="AP1906" s="1">
        <v>22.1</v>
      </c>
      <c r="AQ1906" s="1">
        <v>10.4</v>
      </c>
      <c r="AR1906" s="1">
        <v>24.9</v>
      </c>
      <c r="AS1906" s="1">
        <v>19.3</v>
      </c>
      <c r="AT1906" s="1">
        <v>19.0</v>
      </c>
      <c r="AU1906" s="1">
        <v>21.4</v>
      </c>
      <c r="AV1906" s="1">
        <v>38.8</v>
      </c>
      <c r="AW1906" s="1">
        <v>0.9</v>
      </c>
      <c r="AX1906" s="1">
        <v>0.9086</v>
      </c>
      <c r="AY1906" s="1">
        <v>16.2</v>
      </c>
      <c r="AZ1906" s="1">
        <v>15.9</v>
      </c>
      <c r="BA1906" s="1">
        <v>25.1</v>
      </c>
      <c r="BB1906" s="1">
        <v>2.81</v>
      </c>
      <c r="BC1906" s="1" t="s">
        <v>3169</v>
      </c>
      <c r="BD1906" s="1">
        <v>19.6</v>
      </c>
      <c r="BE1906" s="1">
        <v>33.6</v>
      </c>
      <c r="BF1906" s="1">
        <v>30.9</v>
      </c>
      <c r="BG1906" s="1">
        <v>15.9</v>
      </c>
      <c r="BH1906" s="1" t="s">
        <v>3197</v>
      </c>
    </row>
    <row r="1907">
      <c r="A1907" s="1">
        <v>37035.0</v>
      </c>
      <c r="B1907" s="2" t="str">
        <f>IFERROR(__xludf.DUMMYFUNCTION("TO_TEXT(A1907)"),"37035")</f>
        <v>37035</v>
      </c>
      <c r="C1907" s="1">
        <v>155461.0</v>
      </c>
      <c r="D1907" s="1">
        <v>401.371796259914</v>
      </c>
      <c r="E1907" s="1" t="s">
        <v>3198</v>
      </c>
      <c r="F1907" s="1" t="s">
        <v>3199</v>
      </c>
      <c r="G1907" s="1">
        <v>387.32417536216</v>
      </c>
      <c r="H1907" s="1">
        <v>15.393386824</v>
      </c>
      <c r="I1907" s="1">
        <v>4.0328480752</v>
      </c>
      <c r="J1907" s="1">
        <v>8.5778219791</v>
      </c>
      <c r="K1907" s="1">
        <v>16.024647963</v>
      </c>
      <c r="L1907" s="1">
        <v>31.3</v>
      </c>
      <c r="M1907" s="1">
        <v>7.7</v>
      </c>
      <c r="N1907" s="1">
        <v>26.0</v>
      </c>
      <c r="O1907" s="1">
        <v>71.441065575</v>
      </c>
      <c r="P1907" s="1">
        <v>13.201780922</v>
      </c>
      <c r="Q1907" s="1">
        <v>66.46663</v>
      </c>
      <c r="R1907" s="1">
        <v>91.607913669</v>
      </c>
      <c r="S1907" s="1">
        <v>20.0</v>
      </c>
      <c r="T1907" s="1">
        <v>34958.0</v>
      </c>
      <c r="U1907" s="1">
        <v>31.712340523</v>
      </c>
      <c r="V1907" s="1">
        <v>266.68302495</v>
      </c>
      <c r="W1907" s="1">
        <v>13.381343159</v>
      </c>
      <c r="X1907" s="1">
        <v>10.397491313</v>
      </c>
      <c r="Y1907" s="1">
        <v>76.586628593</v>
      </c>
      <c r="Z1907" s="1">
        <v>10.6</v>
      </c>
      <c r="AA1907" s="1">
        <v>7.8244405677</v>
      </c>
      <c r="AB1907" s="1">
        <v>53738.0</v>
      </c>
      <c r="AC1907" s="1">
        <v>52.768977316</v>
      </c>
      <c r="AD1907" s="1">
        <v>69.423394818</v>
      </c>
      <c r="AE1907" s="1">
        <v>9.7823507475</v>
      </c>
      <c r="AF1907" s="1">
        <v>8.4801956483</v>
      </c>
      <c r="AG1907" s="1">
        <v>0.6069888813</v>
      </c>
      <c r="AH1907" s="1">
        <v>4.4090210019</v>
      </c>
      <c r="AI1907" s="1">
        <v>0.1058921413</v>
      </c>
      <c r="AJ1907" s="1">
        <v>9.9261276252</v>
      </c>
      <c r="AK1907" s="1">
        <v>75.286160906</v>
      </c>
      <c r="AL1907" s="1">
        <v>2.7927141881</v>
      </c>
      <c r="AM1907" s="1">
        <v>51.1641832439999</v>
      </c>
      <c r="AN1907" s="1">
        <v>30.295158009</v>
      </c>
      <c r="AO1907" s="1">
        <v>24220.0</v>
      </c>
      <c r="AP1907" s="1">
        <v>15.9</v>
      </c>
      <c r="AQ1907" s="1">
        <v>7.9</v>
      </c>
      <c r="AR1907" s="1">
        <v>16.6</v>
      </c>
      <c r="AS1907" s="1">
        <v>16.1</v>
      </c>
      <c r="AT1907" s="1">
        <v>22.9</v>
      </c>
      <c r="AU1907" s="1">
        <v>14.3</v>
      </c>
      <c r="AV1907" s="1">
        <v>23.3</v>
      </c>
      <c r="AW1907" s="1">
        <v>2.8</v>
      </c>
      <c r="AX1907" s="1">
        <v>0.6543</v>
      </c>
      <c r="AY1907" s="1">
        <v>13.3</v>
      </c>
      <c r="AZ1907" s="1">
        <v>12.8</v>
      </c>
      <c r="BA1907" s="1">
        <v>17.9</v>
      </c>
      <c r="BB1907" s="1">
        <v>2.94</v>
      </c>
      <c r="BC1907" s="1" t="s">
        <v>3169</v>
      </c>
      <c r="BD1907" s="1">
        <v>14.1</v>
      </c>
      <c r="BE1907" s="1">
        <v>30.0</v>
      </c>
      <c r="BF1907" s="1">
        <v>33.3</v>
      </c>
      <c r="BG1907" s="1">
        <v>22.6</v>
      </c>
      <c r="BH1907" s="1" t="s">
        <v>3199</v>
      </c>
    </row>
    <row r="1908">
      <c r="A1908" s="1">
        <v>37037.0</v>
      </c>
      <c r="B1908" s="2" t="str">
        <f>IFERROR(__xludf.DUMMYFUNCTION("TO_TEXT(A1908)"),"37037")</f>
        <v>37037</v>
      </c>
      <c r="C1908" s="1">
        <v>68778.0</v>
      </c>
      <c r="D1908" s="1">
        <v>681.474700289792</v>
      </c>
      <c r="E1908" s="1" t="s">
        <v>840</v>
      </c>
      <c r="F1908" s="1" t="s">
        <v>3200</v>
      </c>
      <c r="G1908" s="1">
        <v>100.925243403391</v>
      </c>
      <c r="H1908" s="1">
        <v>15.493605698</v>
      </c>
      <c r="I1908" s="1">
        <v>3.879067339</v>
      </c>
      <c r="J1908" s="1">
        <v>8.8943931547</v>
      </c>
      <c r="K1908" s="1">
        <v>14.17891525</v>
      </c>
      <c r="L1908" s="1">
        <v>23.8</v>
      </c>
      <c r="M1908" s="1">
        <v>8.4</v>
      </c>
      <c r="N1908" s="1">
        <v>20.9</v>
      </c>
      <c r="O1908" s="1">
        <v>63.413904417</v>
      </c>
      <c r="P1908" s="1">
        <v>14.2483996759999</v>
      </c>
      <c r="Q1908" s="1">
        <v>95.14215</v>
      </c>
      <c r="R1908" s="1">
        <v>85.9</v>
      </c>
      <c r="S1908" s="1">
        <v>14.2</v>
      </c>
      <c r="T1908" s="1">
        <v>14243.0</v>
      </c>
      <c r="U1908" s="1">
        <v>30.618549463</v>
      </c>
      <c r="V1908" s="1">
        <v>164.75522081</v>
      </c>
      <c r="W1908" s="1">
        <v>13.8346413579999</v>
      </c>
      <c r="X1908" s="1">
        <v>12.281025263</v>
      </c>
      <c r="Y1908" s="1">
        <v>81.7298371</v>
      </c>
      <c r="Z1908" s="1">
        <v>11.2</v>
      </c>
      <c r="AA1908" s="1">
        <v>2.4039160748</v>
      </c>
      <c r="AB1908" s="1">
        <v>73703.0</v>
      </c>
      <c r="AC1908" s="1">
        <v>42.729393468</v>
      </c>
      <c r="AD1908" s="1">
        <v>76.478423949</v>
      </c>
      <c r="AE1908" s="1">
        <v>11.683886568</v>
      </c>
      <c r="AF1908" s="1">
        <v>12.005906561</v>
      </c>
      <c r="AG1908" s="1">
        <v>1.1963521514</v>
      </c>
      <c r="AH1908" s="1">
        <v>2.1602701705</v>
      </c>
      <c r="AI1908" s="1">
        <v>0.1203188449</v>
      </c>
      <c r="AJ1908" s="1">
        <v>12.32037627</v>
      </c>
      <c r="AK1908" s="1">
        <v>71.809841535</v>
      </c>
      <c r="AL1908" s="1">
        <v>3.5123157165</v>
      </c>
      <c r="AM1908" s="1">
        <v>52.210175146</v>
      </c>
      <c r="AN1908" s="1">
        <v>65.922368317</v>
      </c>
      <c r="AO1908" s="1">
        <v>35109.0</v>
      </c>
      <c r="AP1908" s="1">
        <v>13.6</v>
      </c>
      <c r="AQ1908" s="1">
        <v>7.8</v>
      </c>
      <c r="AR1908" s="1">
        <v>13.1</v>
      </c>
      <c r="AS1908" s="1">
        <v>23.8</v>
      </c>
      <c r="AT1908" s="1">
        <v>20.3</v>
      </c>
      <c r="AU1908" s="1">
        <v>14.3</v>
      </c>
      <c r="AV1908" s="1">
        <v>28.3</v>
      </c>
      <c r="AW1908" s="1">
        <v>3.7</v>
      </c>
      <c r="AX1908" s="1">
        <v>0.4187</v>
      </c>
      <c r="AY1908" s="1">
        <v>8.7</v>
      </c>
      <c r="AZ1908" s="1">
        <v>11.9</v>
      </c>
      <c r="BA1908" s="1">
        <v>17.3</v>
      </c>
      <c r="BB1908" s="1">
        <v>3.44</v>
      </c>
      <c r="BC1908" s="1" t="s">
        <v>3169</v>
      </c>
      <c r="BD1908" s="1">
        <v>11.1</v>
      </c>
      <c r="BE1908" s="1">
        <v>21.2</v>
      </c>
      <c r="BF1908" s="1">
        <v>25.4</v>
      </c>
      <c r="BG1908" s="1">
        <v>42.4</v>
      </c>
      <c r="BH1908" s="1" t="s">
        <v>3200</v>
      </c>
    </row>
    <row r="1909">
      <c r="A1909" s="1">
        <v>37039.0</v>
      </c>
      <c r="B1909" s="2" t="str">
        <f>IFERROR(__xludf.DUMMYFUNCTION("TO_TEXT(A1909)"),"37039")</f>
        <v>37039</v>
      </c>
      <c r="C1909" s="1">
        <v>27226.0</v>
      </c>
      <c r="D1909" s="1">
        <v>455.36931077167</v>
      </c>
      <c r="E1909" s="1" t="s">
        <v>78</v>
      </c>
      <c r="F1909" s="1" t="s">
        <v>3201</v>
      </c>
      <c r="G1909" s="1">
        <v>59.7888337135912</v>
      </c>
      <c r="H1909" s="1">
        <v>17.302028834</v>
      </c>
      <c r="I1909" s="1">
        <v>4.3453741993</v>
      </c>
      <c r="J1909" s="1">
        <v>9.4586185439</v>
      </c>
      <c r="K1909" s="1">
        <v>17.350194997</v>
      </c>
      <c r="L1909" s="1">
        <v>27.0</v>
      </c>
      <c r="M1909" s="1">
        <v>8.0</v>
      </c>
      <c r="N1909" s="1">
        <v>29.4</v>
      </c>
      <c r="O1909" s="1">
        <v>98.637224894</v>
      </c>
      <c r="P1909" s="1">
        <v>13.992897007</v>
      </c>
      <c r="Q1909" s="1">
        <v>35.60366</v>
      </c>
      <c r="R1909" s="1">
        <v>92.4</v>
      </c>
      <c r="S1909" s="1">
        <v>27.9</v>
      </c>
      <c r="T1909" s="1">
        <v>4763.0</v>
      </c>
      <c r="U1909" s="1">
        <v>31.156833928</v>
      </c>
      <c r="V1909" s="1">
        <v>213.40790345</v>
      </c>
      <c r="W1909" s="1">
        <v>13.496084754</v>
      </c>
      <c r="X1909" s="1">
        <v>11.063423939</v>
      </c>
      <c r="Y1909" s="1">
        <v>76.666769456</v>
      </c>
      <c r="Z1909" s="1">
        <v>13.1</v>
      </c>
      <c r="AA1909" s="1">
        <v>3.4300390877</v>
      </c>
      <c r="AB1909" s="1">
        <v>41262.0</v>
      </c>
      <c r="AC1909" s="1">
        <v>82.386202997</v>
      </c>
      <c r="AD1909" s="1">
        <v>80.168137873</v>
      </c>
      <c r="AE1909" s="1">
        <v>10.710842317</v>
      </c>
      <c r="AF1909" s="1">
        <v>1.4586195962</v>
      </c>
      <c r="AG1909" s="1">
        <v>1.543177254</v>
      </c>
      <c r="AH1909" s="1">
        <v>0.7187400909</v>
      </c>
      <c r="AI1909" s="1">
        <v>0.0880808935</v>
      </c>
      <c r="AJ1909" s="1">
        <v>3.2977486524</v>
      </c>
      <c r="AK1909" s="1">
        <v>90.955853856</v>
      </c>
      <c r="AL1909" s="1">
        <v>0.5765100418</v>
      </c>
      <c r="AM1909" s="1">
        <v>51.266603248</v>
      </c>
      <c r="AN1909" s="1">
        <v>100.0</v>
      </c>
      <c r="AO1909" s="1">
        <v>19285.0</v>
      </c>
      <c r="AP1909" s="1">
        <v>19.5</v>
      </c>
      <c r="AQ1909" s="1">
        <v>7.7</v>
      </c>
      <c r="AR1909" s="1">
        <v>15.8</v>
      </c>
      <c r="AS1909" s="1">
        <v>26.7</v>
      </c>
      <c r="AT1909" s="1">
        <v>17.9</v>
      </c>
      <c r="AU1909" s="1">
        <v>20.6</v>
      </c>
      <c r="AV1909" s="1">
        <v>8.3</v>
      </c>
      <c r="AW1909" s="1">
        <v>0.5</v>
      </c>
      <c r="AX1909" s="1">
        <v>0.5794</v>
      </c>
      <c r="AY1909" s="1">
        <v>17.7</v>
      </c>
      <c r="AZ1909" s="1">
        <v>15.3</v>
      </c>
      <c r="BA1909" s="1">
        <v>23.1</v>
      </c>
      <c r="BB1909" s="1">
        <v>2.99</v>
      </c>
      <c r="BC1909" s="1" t="s">
        <v>3169</v>
      </c>
      <c r="BD1909" s="1">
        <v>12.8</v>
      </c>
      <c r="BE1909" s="1">
        <v>33.8</v>
      </c>
      <c r="BF1909" s="1">
        <v>34.3</v>
      </c>
      <c r="BG1909" s="1">
        <v>19.0</v>
      </c>
      <c r="BH1909" s="1" t="s">
        <v>3201</v>
      </c>
    </row>
    <row r="1910">
      <c r="A1910" s="1">
        <v>37041.0</v>
      </c>
      <c r="B1910" s="2" t="str">
        <f>IFERROR(__xludf.DUMMYFUNCTION("TO_TEXT(A1910)"),"37041")</f>
        <v>37041</v>
      </c>
      <c r="C1910" s="1">
        <v>14556.0</v>
      </c>
      <c r="D1910" s="1">
        <v>172.657064174554</v>
      </c>
      <c r="E1910" s="1" t="s">
        <v>3202</v>
      </c>
      <c r="F1910" s="1" t="s">
        <v>3203</v>
      </c>
      <c r="G1910" s="1">
        <v>84.3058467928313</v>
      </c>
      <c r="H1910" s="1">
        <v>20.64132206</v>
      </c>
      <c r="I1910" s="1">
        <v>4.3335928714</v>
      </c>
      <c r="J1910" s="1">
        <v>10.6962663979999</v>
      </c>
      <c r="K1910" s="1">
        <v>17.971445009</v>
      </c>
      <c r="L1910" s="1">
        <v>38.5</v>
      </c>
      <c r="M1910" s="1">
        <v>6.2</v>
      </c>
      <c r="N1910" s="1">
        <v>28.3</v>
      </c>
      <c r="O1910" s="1">
        <v>51.862367336</v>
      </c>
      <c r="P1910" s="1">
        <v>11.949924127</v>
      </c>
      <c r="Q1910" s="1">
        <v>85.07621</v>
      </c>
      <c r="R1910" s="1">
        <v>89.2</v>
      </c>
      <c r="S1910" s="1">
        <v>30.2</v>
      </c>
      <c r="T1910" s="1">
        <v>2993.0</v>
      </c>
      <c r="U1910" s="1">
        <v>49.448713665</v>
      </c>
      <c r="V1910" s="1">
        <v>453.967053</v>
      </c>
      <c r="W1910" s="1">
        <v>19.983136594</v>
      </c>
      <c r="X1910" s="1">
        <v>16.494845361</v>
      </c>
      <c r="Y1910" s="1">
        <v>76.567850262</v>
      </c>
      <c r="Z1910" s="1">
        <v>16.5</v>
      </c>
      <c r="AA1910" s="1">
        <v>11.332454955</v>
      </c>
      <c r="AB1910" s="1">
        <v>42618.0</v>
      </c>
      <c r="AC1910" s="1">
        <v>61.747285291</v>
      </c>
      <c r="AD1910" s="1">
        <v>69.251336898</v>
      </c>
      <c r="AE1910" s="1">
        <v>14.661857529</v>
      </c>
      <c r="AF1910" s="1">
        <v>33.993869841</v>
      </c>
      <c r="AG1910" s="1">
        <v>0.4419416922</v>
      </c>
      <c r="AH1910" s="1">
        <v>0.8054743745</v>
      </c>
      <c r="AI1910" s="1">
        <v>0.2352270297</v>
      </c>
      <c r="AJ1910" s="1">
        <v>3.6923515575</v>
      </c>
      <c r="AK1910" s="1">
        <v>59.897355478</v>
      </c>
      <c r="AL1910" s="1">
        <v>0.0</v>
      </c>
      <c r="AM1910" s="1">
        <v>52.405730986</v>
      </c>
      <c r="AN1910" s="1">
        <v>67.619820185</v>
      </c>
      <c r="AO1910" s="1">
        <v>22173.0</v>
      </c>
      <c r="AP1910" s="1">
        <v>24.4</v>
      </c>
      <c r="AQ1910" s="1">
        <v>13.4</v>
      </c>
      <c r="AR1910" s="1">
        <v>15.8</v>
      </c>
      <c r="AS1910" s="1">
        <v>22.1</v>
      </c>
      <c r="AT1910" s="1">
        <v>21.0</v>
      </c>
      <c r="AU1910" s="1">
        <v>15.5</v>
      </c>
      <c r="AV1910" s="1">
        <v>40.0</v>
      </c>
      <c r="AW1910" s="1">
        <v>0.6</v>
      </c>
      <c r="AX1910" s="1">
        <v>0.9182</v>
      </c>
      <c r="AY1910" s="1">
        <v>18.5</v>
      </c>
      <c r="AZ1910" s="1">
        <v>15.9</v>
      </c>
      <c r="BA1910" s="1">
        <v>23.7</v>
      </c>
      <c r="BB1910" s="1">
        <v>2.97</v>
      </c>
      <c r="BC1910" s="1" t="s">
        <v>3169</v>
      </c>
      <c r="BD1910" s="1">
        <v>13.2</v>
      </c>
      <c r="BE1910" s="1">
        <v>33.4</v>
      </c>
      <c r="BF1910" s="1">
        <v>31.7</v>
      </c>
      <c r="BG1910" s="1">
        <v>21.7</v>
      </c>
      <c r="BH1910" s="1" t="s">
        <v>3203</v>
      </c>
    </row>
    <row r="1911">
      <c r="A1911" s="1">
        <v>37043.0</v>
      </c>
      <c r="B1911" s="2" t="str">
        <f>IFERROR(__xludf.DUMMYFUNCTION("TO_TEXT(A1911)"),"37043")</f>
        <v>37043</v>
      </c>
      <c r="C1911" s="1">
        <v>10730.0</v>
      </c>
      <c r="D1911" s="1">
        <v>214.983333761714</v>
      </c>
      <c r="E1911" s="1" t="s">
        <v>86</v>
      </c>
      <c r="F1911" s="1" t="s">
        <v>3204</v>
      </c>
      <c r="G1911" s="1">
        <v>49.9108457025467</v>
      </c>
      <c r="H1911" s="1">
        <v>17.070928132</v>
      </c>
      <c r="I1911" s="1">
        <v>4.3242134677</v>
      </c>
      <c r="J1911" s="1">
        <v>8.45771144279999</v>
      </c>
      <c r="K1911" s="1">
        <v>16.310994291</v>
      </c>
      <c r="L1911" s="1">
        <v>31.4</v>
      </c>
      <c r="M1911" s="1">
        <v>8.1</v>
      </c>
      <c r="N1911" s="1">
        <v>30.1</v>
      </c>
      <c r="O1911" s="1">
        <v>99.697742514</v>
      </c>
      <c r="P1911" s="1">
        <v>15.5927329759999</v>
      </c>
      <c r="Q1911" s="1">
        <v>54.18096</v>
      </c>
      <c r="R1911" s="1">
        <v>86.3</v>
      </c>
      <c r="S1911" s="1">
        <v>24.2</v>
      </c>
      <c r="T1911" s="1">
        <v>1883.0</v>
      </c>
      <c r="U1911" s="1">
        <v>26.234731811</v>
      </c>
      <c r="V1911" s="1">
        <v>243.71953506</v>
      </c>
      <c r="W1911" s="1">
        <v>18.006430868</v>
      </c>
      <c r="X1911" s="1">
        <v>15.6709956709999</v>
      </c>
      <c r="Y1911" s="1">
        <v>76.354650145</v>
      </c>
      <c r="Z1911" s="1">
        <v>6.2</v>
      </c>
      <c r="AA1911" s="1">
        <v>1.2520194766</v>
      </c>
      <c r="AB1911" s="1">
        <v>42878.0</v>
      </c>
      <c r="AC1911" s="1">
        <v>50.1855976239999</v>
      </c>
      <c r="AD1911" s="1">
        <v>76.155669696</v>
      </c>
      <c r="AE1911" s="1">
        <v>14.91339248</v>
      </c>
      <c r="AF1911" s="1">
        <v>1.1491157195</v>
      </c>
      <c r="AG1911" s="1">
        <v>0.6194451926</v>
      </c>
      <c r="AH1911" s="1">
        <v>0.3590986624</v>
      </c>
      <c r="AI1911" s="1">
        <v>0.0538647994</v>
      </c>
      <c r="AJ1911" s="1">
        <v>3.6358739564</v>
      </c>
      <c r="AK1911" s="1">
        <v>92.862914086</v>
      </c>
      <c r="AL1911" s="1">
        <v>0.4417979255</v>
      </c>
      <c r="AM1911" s="1">
        <v>51.2074692519999</v>
      </c>
      <c r="AN1911" s="1">
        <v>100.0</v>
      </c>
      <c r="AO1911" s="1">
        <v>23076.0</v>
      </c>
      <c r="AP1911" s="1">
        <v>16.2</v>
      </c>
      <c r="AQ1911" s="1">
        <v>10.3</v>
      </c>
      <c r="AR1911" s="1">
        <v>12.0</v>
      </c>
      <c r="AS1911" s="1">
        <v>28.1</v>
      </c>
      <c r="AT1911" s="1">
        <v>18.0</v>
      </c>
      <c r="AU1911" s="1">
        <v>17.2</v>
      </c>
      <c r="AV1911" s="1">
        <v>3.8</v>
      </c>
      <c r="AW1911" s="1">
        <v>0.4</v>
      </c>
      <c r="AX1911" s="1">
        <v>0.2614</v>
      </c>
      <c r="AY1911" s="1">
        <v>14.0</v>
      </c>
      <c r="AZ1911" s="1">
        <v>14.9</v>
      </c>
      <c r="BA1911" s="1">
        <v>23.9</v>
      </c>
      <c r="BB1911" s="1">
        <v>3.03</v>
      </c>
      <c r="BC1911" s="1" t="s">
        <v>3169</v>
      </c>
      <c r="BD1911" s="1">
        <v>11.8</v>
      </c>
      <c r="BE1911" s="1">
        <v>33.4</v>
      </c>
      <c r="BF1911" s="1">
        <v>31.1</v>
      </c>
      <c r="BG1911" s="1">
        <v>23.7</v>
      </c>
      <c r="BH1911" s="1" t="s">
        <v>3204</v>
      </c>
    </row>
    <row r="1912">
      <c r="A1912" s="1">
        <v>37045.0</v>
      </c>
      <c r="B1912" s="2" t="str">
        <f>IFERROR(__xludf.DUMMYFUNCTION("TO_TEXT(A1912)"),"37045")</f>
        <v>37045</v>
      </c>
      <c r="C1912" s="1">
        <v>97113.0</v>
      </c>
      <c r="D1912" s="1">
        <v>464.096920225898</v>
      </c>
      <c r="E1912" s="1" t="s">
        <v>306</v>
      </c>
      <c r="F1912" s="1" t="s">
        <v>3205</v>
      </c>
      <c r="G1912" s="1">
        <v>209.251550199322</v>
      </c>
      <c r="H1912" s="1">
        <v>17.910785155</v>
      </c>
      <c r="I1912" s="1">
        <v>4.3274043058</v>
      </c>
      <c r="J1912" s="1">
        <v>10.441448586</v>
      </c>
      <c r="K1912" s="1">
        <v>18.370495757</v>
      </c>
      <c r="L1912" s="1">
        <v>38.1</v>
      </c>
      <c r="M1912" s="1">
        <v>7.0</v>
      </c>
      <c r="N1912" s="1">
        <v>28.7</v>
      </c>
      <c r="O1912" s="1">
        <v>55.345745223</v>
      </c>
      <c r="P1912" s="1">
        <v>11.926226332</v>
      </c>
      <c r="Q1912" s="1">
        <v>52.3969</v>
      </c>
      <c r="R1912" s="1">
        <v>88.0</v>
      </c>
      <c r="S1912" s="1">
        <v>28.4</v>
      </c>
      <c r="T1912" s="1">
        <v>21230.0</v>
      </c>
      <c r="U1912" s="1">
        <v>44.795101272</v>
      </c>
      <c r="V1912" s="1">
        <v>188.18501787</v>
      </c>
      <c r="W1912" s="1">
        <v>14.954276493</v>
      </c>
      <c r="X1912" s="1">
        <v>13.409371994</v>
      </c>
      <c r="Y1912" s="1">
        <v>74.353865623</v>
      </c>
      <c r="Z1912" s="1">
        <v>15.4</v>
      </c>
      <c r="AA1912" s="1">
        <v>7.2101994246</v>
      </c>
      <c r="AB1912" s="1">
        <v>42728.0</v>
      </c>
      <c r="AC1912" s="1">
        <v>68.896236012</v>
      </c>
      <c r="AD1912" s="1">
        <v>67.512607776</v>
      </c>
      <c r="AE1912" s="1">
        <v>14.237720111</v>
      </c>
      <c r="AF1912" s="1">
        <v>20.64826668</v>
      </c>
      <c r="AG1912" s="1">
        <v>0.376875416</v>
      </c>
      <c r="AH1912" s="1">
        <v>1.0374315121</v>
      </c>
      <c r="AI1912" s="1">
        <v>0.0317476573</v>
      </c>
      <c r="AJ1912" s="1">
        <v>3.6581494188</v>
      </c>
      <c r="AK1912" s="1">
        <v>72.874187106</v>
      </c>
      <c r="AL1912" s="1">
        <v>0.5372125967</v>
      </c>
      <c r="AM1912" s="1">
        <v>51.944287982</v>
      </c>
      <c r="AN1912" s="1">
        <v>55.7902893619999</v>
      </c>
      <c r="AO1912" s="1">
        <v>20677.0</v>
      </c>
      <c r="AP1912" s="1">
        <v>20.8</v>
      </c>
      <c r="AQ1912" s="1">
        <v>12.2</v>
      </c>
      <c r="AR1912" s="1">
        <v>16.5</v>
      </c>
      <c r="AS1912" s="1">
        <v>17.1</v>
      </c>
      <c r="AT1912" s="1">
        <v>22.3</v>
      </c>
      <c r="AU1912" s="1">
        <v>16.8</v>
      </c>
      <c r="AV1912" s="1">
        <v>26.4</v>
      </c>
      <c r="AW1912" s="1">
        <v>0.7</v>
      </c>
      <c r="AX1912" s="1">
        <v>0.8211</v>
      </c>
      <c r="AY1912" s="1">
        <v>19.0</v>
      </c>
      <c r="AZ1912" s="1">
        <v>16.2</v>
      </c>
      <c r="BA1912" s="1">
        <v>22.8</v>
      </c>
      <c r="BB1912" s="1">
        <v>2.66</v>
      </c>
      <c r="BC1912" s="1" t="s">
        <v>3169</v>
      </c>
      <c r="BD1912" s="1">
        <v>15.8</v>
      </c>
      <c r="BE1912" s="1">
        <v>34.4</v>
      </c>
      <c r="BF1912" s="1">
        <v>32.3</v>
      </c>
      <c r="BG1912" s="1">
        <v>17.6</v>
      </c>
      <c r="BH1912" s="1" t="s">
        <v>3205</v>
      </c>
    </row>
    <row r="1913">
      <c r="A1913" s="1">
        <v>37047.0</v>
      </c>
      <c r="B1913" s="2" t="str">
        <f>IFERROR(__xludf.DUMMYFUNCTION("TO_TEXT(A1913)"),"37047")</f>
        <v>37047</v>
      </c>
      <c r="C1913" s="1">
        <v>57015.0</v>
      </c>
      <c r="D1913" s="1">
        <v>937.507839229708</v>
      </c>
      <c r="E1913" s="1" t="s">
        <v>3206</v>
      </c>
      <c r="F1913" s="1" t="s">
        <v>3207</v>
      </c>
      <c r="G1913" s="1">
        <v>60.8154914702853</v>
      </c>
      <c r="H1913" s="1">
        <v>21.97416485</v>
      </c>
      <c r="I1913" s="1">
        <v>4.4240996505</v>
      </c>
      <c r="J1913" s="1">
        <v>11.295681063</v>
      </c>
      <c r="K1913" s="1">
        <v>19.205305092</v>
      </c>
      <c r="L1913" s="1">
        <v>46.2</v>
      </c>
      <c r="M1913" s="1">
        <v>7.1</v>
      </c>
      <c r="N1913" s="1">
        <v>30.7</v>
      </c>
      <c r="O1913" s="1">
        <v>45.906915901</v>
      </c>
      <c r="P1913" s="1">
        <v>14.764652582</v>
      </c>
      <c r="Q1913" s="1">
        <v>37.54291</v>
      </c>
      <c r="R1913" s="1">
        <v>84.021893491</v>
      </c>
      <c r="S1913" s="1">
        <v>36.2</v>
      </c>
      <c r="T1913" s="1">
        <v>11956.0</v>
      </c>
      <c r="U1913" s="1">
        <v>46.18601539</v>
      </c>
      <c r="V1913" s="1">
        <v>388.2797052</v>
      </c>
      <c r="W1913" s="1">
        <v>16.485753053</v>
      </c>
      <c r="X1913" s="1">
        <v>14.563106796</v>
      </c>
      <c r="Y1913" s="1">
        <v>74.23425866</v>
      </c>
      <c r="Z1913" s="1">
        <v>19.1</v>
      </c>
      <c r="AA1913" s="1">
        <v>1.3338931428</v>
      </c>
      <c r="AB1913" s="1">
        <v>36862.0</v>
      </c>
      <c r="AC1913" s="1">
        <v>93.1609766879999</v>
      </c>
      <c r="AD1913" s="1">
        <v>71.913386533</v>
      </c>
      <c r="AE1913" s="1">
        <v>15.3949903659999</v>
      </c>
      <c r="AF1913" s="1">
        <v>30.002695176</v>
      </c>
      <c r="AG1913" s="1">
        <v>3.7139520259</v>
      </c>
      <c r="AH1913" s="1">
        <v>0.6019225586</v>
      </c>
      <c r="AI1913" s="1">
        <v>0.0862456202999999</v>
      </c>
      <c r="AJ1913" s="1">
        <v>5.458629054</v>
      </c>
      <c r="AK1913" s="1">
        <v>59.250741173</v>
      </c>
      <c r="AL1913" s="1">
        <v>1.6194786251</v>
      </c>
      <c r="AM1913" s="1">
        <v>50.507591411</v>
      </c>
      <c r="AN1913" s="1">
        <v>80.594856966</v>
      </c>
      <c r="AO1913" s="1">
        <v>21133.0</v>
      </c>
      <c r="AP1913" s="1">
        <v>23.0</v>
      </c>
      <c r="AQ1913" s="1">
        <v>8.5</v>
      </c>
      <c r="AR1913" s="1">
        <v>19.3</v>
      </c>
      <c r="AS1913" s="1">
        <v>17.8</v>
      </c>
      <c r="AT1913" s="1">
        <v>22.2</v>
      </c>
      <c r="AU1913" s="1">
        <v>20.5</v>
      </c>
      <c r="AV1913" s="1">
        <v>40.1</v>
      </c>
      <c r="AW1913" s="1">
        <v>1.1</v>
      </c>
      <c r="AX1913" s="1">
        <v>0.9328</v>
      </c>
      <c r="AY1913" s="1">
        <v>22.3</v>
      </c>
      <c r="AZ1913" s="1">
        <v>18.1</v>
      </c>
      <c r="BA1913" s="1">
        <v>27.3</v>
      </c>
      <c r="BB1913" s="1">
        <v>2.81</v>
      </c>
      <c r="BC1913" s="1" t="s">
        <v>3169</v>
      </c>
      <c r="BD1913" s="1">
        <v>17.0</v>
      </c>
      <c r="BE1913" s="1">
        <v>36.3</v>
      </c>
      <c r="BF1913" s="1">
        <v>32.8</v>
      </c>
      <c r="BG1913" s="1">
        <v>13.8</v>
      </c>
      <c r="BH1913" s="1" t="s">
        <v>3207</v>
      </c>
    </row>
    <row r="1914">
      <c r="A1914" s="1">
        <v>37049.0</v>
      </c>
      <c r="B1914" s="2" t="str">
        <f>IFERROR(__xludf.DUMMYFUNCTION("TO_TEXT(A1914)"),"37049")</f>
        <v>37049</v>
      </c>
      <c r="C1914" s="1">
        <v>104190.0</v>
      </c>
      <c r="D1914" s="1">
        <v>706.696053977158</v>
      </c>
      <c r="E1914" s="1" t="s">
        <v>3208</v>
      </c>
      <c r="F1914" s="1" t="s">
        <v>3209</v>
      </c>
      <c r="G1914" s="1">
        <v>147.432548142355</v>
      </c>
      <c r="H1914" s="1">
        <v>17.038629017</v>
      </c>
      <c r="I1914" s="1">
        <v>4.0131570627</v>
      </c>
      <c r="J1914" s="1">
        <v>8.1550932708</v>
      </c>
      <c r="K1914" s="1">
        <v>15.658887703</v>
      </c>
      <c r="L1914" s="1">
        <v>30.6</v>
      </c>
      <c r="M1914" s="1">
        <v>7.2</v>
      </c>
      <c r="N1914" s="1">
        <v>23.1</v>
      </c>
      <c r="O1914" s="1">
        <v>80.780638616</v>
      </c>
      <c r="P1914" s="1">
        <v>11.57980023</v>
      </c>
      <c r="Q1914" s="1">
        <v>69.21562</v>
      </c>
      <c r="R1914" s="1">
        <v>86.2</v>
      </c>
      <c r="S1914" s="1">
        <v>21.8</v>
      </c>
      <c r="T1914" s="1">
        <v>22240.0</v>
      </c>
      <c r="U1914" s="1">
        <v>34.851618705</v>
      </c>
      <c r="V1914" s="1">
        <v>249.10825062</v>
      </c>
      <c r="W1914" s="1">
        <v>15.611918247</v>
      </c>
      <c r="X1914" s="1">
        <v>13.609834844</v>
      </c>
      <c r="Y1914" s="1">
        <v>76.356676965</v>
      </c>
      <c r="Z1914" s="1">
        <v>15.4</v>
      </c>
      <c r="AA1914" s="1">
        <v>8.1434774263</v>
      </c>
      <c r="AB1914" s="1">
        <v>50748.0</v>
      </c>
      <c r="AC1914" s="1">
        <v>52.135588362</v>
      </c>
      <c r="AD1914" s="1">
        <v>62.4990824789999</v>
      </c>
      <c r="AE1914" s="1">
        <v>12.854614412</v>
      </c>
      <c r="AF1914" s="1">
        <v>20.852767413</v>
      </c>
      <c r="AG1914" s="1">
        <v>0.6510416667</v>
      </c>
      <c r="AH1914" s="1">
        <v>3.1308302239</v>
      </c>
      <c r="AI1914" s="1">
        <v>0.1875388682</v>
      </c>
      <c r="AJ1914" s="1">
        <v>7.375233209</v>
      </c>
      <c r="AK1914" s="1">
        <v>65.677472015</v>
      </c>
      <c r="AL1914" s="1">
        <v>2.2770181954</v>
      </c>
      <c r="AM1914" s="1">
        <v>49.444185323</v>
      </c>
      <c r="AN1914" s="1">
        <v>27.708806338</v>
      </c>
      <c r="AO1914" s="1">
        <v>25230.0</v>
      </c>
      <c r="AP1914" s="1">
        <v>15.2</v>
      </c>
      <c r="AQ1914" s="1">
        <v>9.9</v>
      </c>
      <c r="AR1914" s="1">
        <v>12.7</v>
      </c>
      <c r="AS1914" s="1">
        <v>17.1</v>
      </c>
      <c r="AT1914" s="1">
        <v>22.5</v>
      </c>
      <c r="AU1914" s="1">
        <v>17.7</v>
      </c>
      <c r="AV1914" s="1">
        <v>33.7</v>
      </c>
      <c r="AW1914" s="1">
        <v>2.3</v>
      </c>
      <c r="AX1914" s="1">
        <v>0.7861</v>
      </c>
      <c r="AY1914" s="1">
        <v>13.8</v>
      </c>
      <c r="AZ1914" s="1">
        <v>15.0</v>
      </c>
      <c r="BA1914" s="1">
        <v>21.8</v>
      </c>
      <c r="BB1914" s="1">
        <v>3.22</v>
      </c>
      <c r="BC1914" s="1" t="s">
        <v>3169</v>
      </c>
      <c r="BD1914" s="1">
        <v>11.2</v>
      </c>
      <c r="BE1914" s="1">
        <v>26.0</v>
      </c>
      <c r="BF1914" s="1">
        <v>37.5</v>
      </c>
      <c r="BG1914" s="1">
        <v>25.3</v>
      </c>
      <c r="BH1914" s="1" t="s">
        <v>3209</v>
      </c>
    </row>
    <row r="1915">
      <c r="A1915" s="1">
        <v>37051.0</v>
      </c>
      <c r="B1915" s="2" t="str">
        <f>IFERROR(__xludf.DUMMYFUNCTION("TO_TEXT(A1915)"),"37051")</f>
        <v>37051</v>
      </c>
      <c r="C1915" s="1">
        <v>325841.0</v>
      </c>
      <c r="D1915" s="1">
        <v>652.515286961958</v>
      </c>
      <c r="E1915" s="1" t="s">
        <v>1178</v>
      </c>
      <c r="F1915" s="1" t="s">
        <v>3210</v>
      </c>
      <c r="G1915" s="1">
        <v>499.361480888948</v>
      </c>
      <c r="H1915" s="1">
        <v>19.498561182</v>
      </c>
      <c r="I1915" s="1">
        <v>4.3730241156</v>
      </c>
      <c r="J1915" s="1">
        <v>9.82025087289999</v>
      </c>
      <c r="K1915" s="1">
        <v>18.090857472</v>
      </c>
      <c r="L1915" s="1">
        <v>33.7</v>
      </c>
      <c r="M1915" s="1">
        <v>6.0</v>
      </c>
      <c r="N1915" s="1">
        <v>25.0</v>
      </c>
      <c r="O1915" s="1">
        <v>77.204779749</v>
      </c>
      <c r="P1915" s="1">
        <v>10.775223291</v>
      </c>
      <c r="Q1915" s="1">
        <v>75.1775699999999</v>
      </c>
      <c r="R1915" s="1">
        <v>82.0</v>
      </c>
      <c r="S1915" s="1">
        <v>23.7</v>
      </c>
      <c r="T1915" s="1">
        <v>81674.0</v>
      </c>
      <c r="U1915" s="1">
        <v>41.237113402</v>
      </c>
      <c r="V1915" s="1">
        <v>548.41665569</v>
      </c>
      <c r="W1915" s="1">
        <v>16.268874817</v>
      </c>
      <c r="X1915" s="1">
        <v>14.850378709</v>
      </c>
      <c r="Y1915" s="1">
        <v>76.337981311</v>
      </c>
      <c r="Z1915" s="1">
        <v>11.5</v>
      </c>
      <c r="AA1915" s="1">
        <v>12.830459207</v>
      </c>
      <c r="AB1915" s="1">
        <v>46779.0</v>
      </c>
      <c r="AC1915" s="1">
        <v>71.723501595</v>
      </c>
      <c r="AD1915" s="1">
        <v>50.953238277</v>
      </c>
      <c r="AE1915" s="1">
        <v>17.134604372</v>
      </c>
      <c r="AF1915" s="1">
        <v>37.123642163</v>
      </c>
      <c r="AG1915" s="1">
        <v>1.8457557247</v>
      </c>
      <c r="AH1915" s="1">
        <v>2.8399482442</v>
      </c>
      <c r="AI1915" s="1">
        <v>0.3899738212</v>
      </c>
      <c r="AJ1915" s="1">
        <v>11.864712785</v>
      </c>
      <c r="AK1915" s="1">
        <v>42.6235970269999</v>
      </c>
      <c r="AL1915" s="1">
        <v>1.5057844557</v>
      </c>
      <c r="AM1915" s="1">
        <v>50.503114374</v>
      </c>
      <c r="AN1915" s="1">
        <v>13.368145233</v>
      </c>
      <c r="AO1915" s="1">
        <v>23148.0</v>
      </c>
      <c r="AP1915" s="1">
        <v>17.6</v>
      </c>
      <c r="AQ1915" s="1">
        <v>11.4</v>
      </c>
      <c r="AR1915" s="1">
        <v>9.7</v>
      </c>
      <c r="AS1915" s="1">
        <v>10.8</v>
      </c>
      <c r="AT1915" s="1">
        <v>25.8</v>
      </c>
      <c r="AU1915" s="1">
        <v>16.2</v>
      </c>
      <c r="AV1915" s="1">
        <v>55.3</v>
      </c>
      <c r="AW1915" s="1">
        <v>1.5</v>
      </c>
      <c r="AX1915" s="1">
        <v>0.8303</v>
      </c>
      <c r="AY1915" s="1">
        <v>18.0</v>
      </c>
      <c r="AZ1915" s="1">
        <v>16.9</v>
      </c>
      <c r="BA1915" s="1">
        <v>22.8</v>
      </c>
      <c r="BB1915" s="1">
        <v>2.95</v>
      </c>
      <c r="BC1915" s="1" t="s">
        <v>3169</v>
      </c>
      <c r="BD1915" s="1">
        <v>9.0</v>
      </c>
      <c r="BE1915" s="1">
        <v>25.9</v>
      </c>
      <c r="BF1915" s="1">
        <v>39.5</v>
      </c>
      <c r="BG1915" s="1">
        <v>25.5</v>
      </c>
      <c r="BH1915" s="1" t="s">
        <v>3210</v>
      </c>
    </row>
    <row r="1916">
      <c r="A1916" s="1">
        <v>37053.0</v>
      </c>
      <c r="B1916" s="2" t="str">
        <f>IFERROR(__xludf.DUMMYFUNCTION("TO_TEXT(A1916)"),"37053")</f>
        <v>37053</v>
      </c>
      <c r="C1916" s="1">
        <v>24864.0</v>
      </c>
      <c r="D1916" s="1">
        <v>261.937705705844</v>
      </c>
      <c r="E1916" s="1" t="s">
        <v>3211</v>
      </c>
      <c r="F1916" s="1" t="s">
        <v>3212</v>
      </c>
      <c r="G1916" s="1">
        <v>94.9233327557746</v>
      </c>
      <c r="H1916" s="1">
        <v>13.642424512</v>
      </c>
      <c r="I1916" s="1">
        <v>3.8174449159</v>
      </c>
      <c r="J1916" s="1">
        <v>7.323943662</v>
      </c>
      <c r="K1916" s="1">
        <v>15.372268443</v>
      </c>
      <c r="L1916" s="1">
        <v>28.6</v>
      </c>
      <c r="M1916" s="1">
        <v>8.6</v>
      </c>
      <c r="N1916" s="1">
        <v>22.2</v>
      </c>
      <c r="O1916" s="1">
        <v>54.71185289</v>
      </c>
      <c r="P1916" s="1">
        <v>12.808126411</v>
      </c>
      <c r="Q1916" s="1">
        <v>26.58463</v>
      </c>
      <c r="R1916" s="1">
        <v>86.7</v>
      </c>
      <c r="S1916" s="1">
        <v>13.8</v>
      </c>
      <c r="T1916" s="1">
        <v>5696.0</v>
      </c>
      <c r="U1916" s="1">
        <v>27.738764045</v>
      </c>
      <c r="V1916" s="1">
        <v>171.188566199999</v>
      </c>
      <c r="W1916" s="1">
        <v>14.457202505</v>
      </c>
      <c r="X1916" s="1">
        <v>12.627698789</v>
      </c>
      <c r="Y1916" s="1">
        <v>78.00126381</v>
      </c>
      <c r="Z1916" s="1">
        <v>9.4</v>
      </c>
      <c r="AA1916" s="1">
        <v>2.8341194051</v>
      </c>
      <c r="AB1916" s="1">
        <v>64426.0</v>
      </c>
      <c r="AC1916" s="1">
        <v>29.5582133269999</v>
      </c>
      <c r="AD1916" s="1">
        <v>82.617264486</v>
      </c>
      <c r="AE1916" s="1">
        <v>13.56087621</v>
      </c>
      <c r="AF1916" s="1">
        <v>5.533392435</v>
      </c>
      <c r="AG1916" s="1">
        <v>0.6796690307</v>
      </c>
      <c r="AH1916" s="1">
        <v>0.742464539</v>
      </c>
      <c r="AI1916" s="1">
        <v>0.077570922</v>
      </c>
      <c r="AJ1916" s="1">
        <v>3.9635047281</v>
      </c>
      <c r="AK1916" s="1">
        <v>87.326388889</v>
      </c>
      <c r="AL1916" s="1">
        <v>0.3402197081</v>
      </c>
      <c r="AM1916" s="1">
        <v>50.487588652</v>
      </c>
      <c r="AN1916" s="1">
        <v>98.314010277</v>
      </c>
      <c r="AO1916" s="1">
        <v>28202.0</v>
      </c>
      <c r="AP1916" s="1">
        <v>10.0</v>
      </c>
      <c r="AQ1916" s="1">
        <v>6.2</v>
      </c>
      <c r="AR1916" s="1">
        <v>12.8</v>
      </c>
      <c r="AS1916" s="1">
        <v>15.0</v>
      </c>
      <c r="AT1916" s="1">
        <v>22.2</v>
      </c>
      <c r="AU1916" s="1">
        <v>14.2</v>
      </c>
      <c r="AV1916" s="1">
        <v>12.5</v>
      </c>
      <c r="AW1916" s="1">
        <v>0.5</v>
      </c>
      <c r="AX1916" s="1">
        <v>0.1133</v>
      </c>
      <c r="AY1916" s="1">
        <v>8.8</v>
      </c>
      <c r="AZ1916" s="1">
        <v>11.4</v>
      </c>
      <c r="BA1916" s="1">
        <v>16.3</v>
      </c>
      <c r="BB1916" s="1">
        <v>3.59</v>
      </c>
      <c r="BC1916" s="1" t="s">
        <v>3169</v>
      </c>
      <c r="BD1916" s="1">
        <v>9.5</v>
      </c>
      <c r="BE1916" s="1">
        <v>28.8</v>
      </c>
      <c r="BF1916" s="1">
        <v>38.3</v>
      </c>
      <c r="BG1916" s="1">
        <v>23.5</v>
      </c>
      <c r="BH1916" s="1" t="s">
        <v>3212</v>
      </c>
    </row>
    <row r="1917">
      <c r="A1917" s="1">
        <v>37055.0</v>
      </c>
      <c r="B1917" s="2" t="str">
        <f>IFERROR(__xludf.DUMMYFUNCTION("TO_TEXT(A1917)"),"37055")</f>
        <v>37055</v>
      </c>
      <c r="C1917" s="1">
        <v>35187.0</v>
      </c>
      <c r="D1917" s="1">
        <v>383.214564378445</v>
      </c>
      <c r="E1917" s="1" t="s">
        <v>3213</v>
      </c>
      <c r="F1917" s="1" t="s">
        <v>3214</v>
      </c>
      <c r="G1917" s="1">
        <v>91.8206228854362</v>
      </c>
      <c r="H1917" s="1">
        <v>14.155566273</v>
      </c>
      <c r="I1917" s="1">
        <v>3.8748374343</v>
      </c>
      <c r="J1917" s="1">
        <v>5.9286898839</v>
      </c>
      <c r="K1917" s="1">
        <v>15.757820204</v>
      </c>
      <c r="L1917" s="1">
        <v>22.6</v>
      </c>
      <c r="M1917" s="1">
        <v>7.9</v>
      </c>
      <c r="N1917" s="1">
        <v>20.8</v>
      </c>
      <c r="O1917" s="1">
        <v>70.754716981</v>
      </c>
      <c r="P1917" s="1">
        <v>13.009980739</v>
      </c>
      <c r="Q1917" s="1">
        <v>63.71368</v>
      </c>
      <c r="R1917" s="1">
        <v>91.4</v>
      </c>
      <c r="S1917" s="1">
        <v>13.6</v>
      </c>
      <c r="T1917" s="1">
        <v>6827.0</v>
      </c>
      <c r="U1917" s="1">
        <v>26.951808994</v>
      </c>
      <c r="V1917" s="1">
        <v>246.60566913</v>
      </c>
      <c r="W1917" s="1">
        <v>16.62699762</v>
      </c>
      <c r="X1917" s="1">
        <v>15.174299385</v>
      </c>
      <c r="Y1917" s="1">
        <v>78.565328467</v>
      </c>
      <c r="Z1917" s="1">
        <v>10.3</v>
      </c>
      <c r="AA1917" s="1">
        <v>7.4488499476</v>
      </c>
      <c r="AB1917" s="1">
        <v>64768.0</v>
      </c>
      <c r="AC1917" s="1">
        <v>32.021196064</v>
      </c>
      <c r="AD1917" s="1">
        <v>70.908619908</v>
      </c>
      <c r="AE1917" s="1">
        <v>15.164206887</v>
      </c>
      <c r="AF1917" s="1">
        <v>2.4163721542</v>
      </c>
      <c r="AG1917" s="1">
        <v>0.5588887976</v>
      </c>
      <c r="AH1917" s="1">
        <v>0.7944987809</v>
      </c>
      <c r="AI1917" s="1">
        <v>0.0602723213</v>
      </c>
      <c r="AJ1917" s="1">
        <v>7.3039094819</v>
      </c>
      <c r="AK1917" s="1">
        <v>87.5181501879999</v>
      </c>
      <c r="AL1917" s="1">
        <v>2.0637623297</v>
      </c>
      <c r="AM1917" s="1">
        <v>50.69176187</v>
      </c>
      <c r="AN1917" s="1">
        <v>28.959316038</v>
      </c>
      <c r="AO1917" s="1">
        <v>29746.0</v>
      </c>
      <c r="AP1917" s="1">
        <v>8.2</v>
      </c>
      <c r="AQ1917" s="1">
        <v>5.9</v>
      </c>
      <c r="AR1917" s="1">
        <v>7.5</v>
      </c>
      <c r="AS1917" s="1">
        <v>18.6</v>
      </c>
      <c r="AT1917" s="1">
        <v>19.6</v>
      </c>
      <c r="AU1917" s="1">
        <v>14.6</v>
      </c>
      <c r="AV1917" s="1">
        <v>12.2</v>
      </c>
      <c r="AW1917" s="1">
        <v>1.8</v>
      </c>
      <c r="AX1917" s="1">
        <v>0.1146</v>
      </c>
      <c r="AY1917" s="1">
        <v>8.9</v>
      </c>
      <c r="AZ1917" s="1">
        <v>11.8</v>
      </c>
      <c r="BA1917" s="1">
        <v>17.3</v>
      </c>
      <c r="BB1917" s="1">
        <v>3.8</v>
      </c>
      <c r="BC1917" s="1" t="s">
        <v>3169</v>
      </c>
      <c r="BD1917" s="1">
        <v>5.8</v>
      </c>
      <c r="BE1917" s="1">
        <v>22.8</v>
      </c>
      <c r="BF1917" s="1">
        <v>36.7</v>
      </c>
      <c r="BG1917" s="1">
        <v>34.7</v>
      </c>
      <c r="BH1917" s="1" t="s">
        <v>3214</v>
      </c>
    </row>
    <row r="1918">
      <c r="A1918" s="1">
        <v>37057.0</v>
      </c>
      <c r="B1918" s="2" t="str">
        <f>IFERROR(__xludf.DUMMYFUNCTION("TO_TEXT(A1918)"),"37057")</f>
        <v>37057</v>
      </c>
      <c r="C1918" s="1">
        <v>164058.0</v>
      </c>
      <c r="D1918" s="1">
        <v>553.166880567664</v>
      </c>
      <c r="E1918" s="1" t="s">
        <v>3215</v>
      </c>
      <c r="F1918" s="1" t="s">
        <v>3216</v>
      </c>
      <c r="G1918" s="1">
        <v>296.579577995779</v>
      </c>
      <c r="H1918" s="1">
        <v>17.422171017</v>
      </c>
      <c r="I1918" s="1">
        <v>4.1193972537</v>
      </c>
      <c r="J1918" s="1">
        <v>9.534368071</v>
      </c>
      <c r="K1918" s="1">
        <v>17.8579709359999</v>
      </c>
      <c r="L1918" s="1">
        <v>32.2</v>
      </c>
      <c r="M1918" s="1">
        <v>7.7</v>
      </c>
      <c r="N1918" s="1">
        <v>27.2</v>
      </c>
      <c r="O1918" s="1">
        <v>68.717690541</v>
      </c>
      <c r="P1918" s="1">
        <v>12.939621044</v>
      </c>
      <c r="Q1918" s="1">
        <v>25.38286</v>
      </c>
      <c r="R1918" s="1">
        <v>87.1105602379999</v>
      </c>
      <c r="S1918" s="1">
        <v>23.2</v>
      </c>
      <c r="T1918" s="1">
        <v>36343.0</v>
      </c>
      <c r="U1918" s="1">
        <v>30.250667254</v>
      </c>
      <c r="V1918" s="1">
        <v>180.91306088</v>
      </c>
      <c r="W1918" s="1">
        <v>14.953562788</v>
      </c>
      <c r="X1918" s="1">
        <v>12.114520073</v>
      </c>
      <c r="Y1918" s="1">
        <v>76.356529561</v>
      </c>
      <c r="Z1918" s="1">
        <v>15.8</v>
      </c>
      <c r="AA1918" s="1">
        <v>6.5938633019</v>
      </c>
      <c r="AB1918" s="1">
        <v>47758.0</v>
      </c>
      <c r="AC1918" s="1">
        <v>54.5113085619999</v>
      </c>
      <c r="AD1918" s="1">
        <v>70.1150127539999</v>
      </c>
      <c r="AE1918" s="1">
        <v>11.341769752</v>
      </c>
      <c r="AF1918" s="1">
        <v>9.4925996615</v>
      </c>
      <c r="AG1918" s="1">
        <v>0.7790461786</v>
      </c>
      <c r="AH1918" s="1">
        <v>1.63791758199999</v>
      </c>
      <c r="AI1918" s="1">
        <v>0.0666210523</v>
      </c>
      <c r="AJ1918" s="1">
        <v>7.3115104373</v>
      </c>
      <c r="AK1918" s="1">
        <v>79.706987408</v>
      </c>
      <c r="AL1918" s="1">
        <v>1.9752563015</v>
      </c>
      <c r="AM1918" s="1">
        <v>51.079141009</v>
      </c>
      <c r="AN1918" s="1">
        <v>47.384545488</v>
      </c>
      <c r="AO1918" s="1">
        <v>23146.0</v>
      </c>
      <c r="AP1918" s="1">
        <v>16.2</v>
      </c>
      <c r="AQ1918" s="1">
        <v>10.0</v>
      </c>
      <c r="AR1918" s="1">
        <v>17.6</v>
      </c>
      <c r="AS1918" s="1">
        <v>16.7</v>
      </c>
      <c r="AT1918" s="1">
        <v>22.8</v>
      </c>
      <c r="AU1918" s="1">
        <v>17.0</v>
      </c>
      <c r="AV1918" s="1">
        <v>18.8</v>
      </c>
      <c r="AW1918" s="1">
        <v>1.9</v>
      </c>
      <c r="AX1918" s="1">
        <v>0.7122</v>
      </c>
      <c r="AY1918" s="1">
        <v>15.2</v>
      </c>
      <c r="AZ1918" s="1">
        <v>14.1</v>
      </c>
      <c r="BA1918" s="1">
        <v>20.2</v>
      </c>
      <c r="BB1918" s="1">
        <v>2.71</v>
      </c>
      <c r="BC1918" s="1" t="s">
        <v>3169</v>
      </c>
      <c r="BD1918" s="1">
        <v>16.1</v>
      </c>
      <c r="BE1918" s="1">
        <v>32.8</v>
      </c>
      <c r="BF1918" s="1">
        <v>32.6</v>
      </c>
      <c r="BG1918" s="1">
        <v>18.5</v>
      </c>
      <c r="BH1918" s="1" t="s">
        <v>3216</v>
      </c>
    </row>
    <row r="1919">
      <c r="A1919" s="1">
        <v>37059.0</v>
      </c>
      <c r="B1919" s="2" t="str">
        <f>IFERROR(__xludf.DUMMYFUNCTION("TO_TEXT(A1919)"),"37059")</f>
        <v>37059</v>
      </c>
      <c r="C1919" s="1">
        <v>41568.0</v>
      </c>
      <c r="D1919" s="1">
        <v>263.695233129498</v>
      </c>
      <c r="E1919" s="1" t="s">
        <v>3217</v>
      </c>
      <c r="F1919" s="1" t="s">
        <v>3218</v>
      </c>
      <c r="G1919" s="1">
        <v>157.636524205147</v>
      </c>
      <c r="H1919" s="1">
        <v>14.8949708359999</v>
      </c>
      <c r="I1919" s="1">
        <v>4.0169407504</v>
      </c>
      <c r="J1919" s="1">
        <v>8.7725764836</v>
      </c>
      <c r="K1919" s="1">
        <v>15.073575689</v>
      </c>
      <c r="L1919" s="1">
        <v>41.2</v>
      </c>
      <c r="M1919" s="1">
        <v>8.3</v>
      </c>
      <c r="N1919" s="1">
        <v>29.1</v>
      </c>
      <c r="O1919" s="1">
        <v>47.9073714839999</v>
      </c>
      <c r="P1919" s="1">
        <v>12.5166681479999</v>
      </c>
      <c r="Q1919" s="1">
        <v>40.04145</v>
      </c>
      <c r="R1919" s="1">
        <v>87.3</v>
      </c>
      <c r="S1919" s="1">
        <v>15.5</v>
      </c>
      <c r="T1919" s="1">
        <v>9015.0</v>
      </c>
      <c r="U1919" s="1">
        <v>25.623960067</v>
      </c>
      <c r="V1919" s="1">
        <v>148.27159435</v>
      </c>
      <c r="W1919" s="1">
        <v>10.194950463</v>
      </c>
      <c r="X1919" s="1">
        <v>8.2554014834</v>
      </c>
      <c r="Y1919" s="1">
        <v>78.354536478</v>
      </c>
      <c r="Z1919" s="1">
        <v>15.9</v>
      </c>
      <c r="AA1919" s="1">
        <v>3.2278583069</v>
      </c>
      <c r="AB1919" s="1">
        <v>60801.0</v>
      </c>
      <c r="AC1919" s="1">
        <v>44.156901042</v>
      </c>
      <c r="AD1919" s="1">
        <v>77.779861241</v>
      </c>
      <c r="AE1919" s="1">
        <v>9.2560160861</v>
      </c>
      <c r="AF1919" s="1">
        <v>6.2434184354</v>
      </c>
      <c r="AG1919" s="1">
        <v>0.6926731098</v>
      </c>
      <c r="AH1919" s="1">
        <v>0.8377600449</v>
      </c>
      <c r="AI1919" s="1">
        <v>0.0234011186</v>
      </c>
      <c r="AJ1919" s="1">
        <v>7.0086350128</v>
      </c>
      <c r="AK1919" s="1">
        <v>84.035756909</v>
      </c>
      <c r="AL1919" s="1">
        <v>2.3394151462</v>
      </c>
      <c r="AM1919" s="1">
        <v>51.211007886</v>
      </c>
      <c r="AN1919" s="1">
        <v>70.288554801</v>
      </c>
      <c r="AO1919" s="1">
        <v>28178.0</v>
      </c>
      <c r="AP1919" s="1">
        <v>13.9</v>
      </c>
      <c r="AQ1919" s="1">
        <v>6.4</v>
      </c>
      <c r="AR1919" s="1">
        <v>14.5</v>
      </c>
      <c r="AS1919" s="1">
        <v>18.8</v>
      </c>
      <c r="AT1919" s="1">
        <v>22.1</v>
      </c>
      <c r="AU1919" s="1">
        <v>13.9</v>
      </c>
      <c r="AV1919" s="1">
        <v>15.1</v>
      </c>
      <c r="AW1919" s="1">
        <v>2.1</v>
      </c>
      <c r="AX1919" s="1">
        <v>0.3731</v>
      </c>
      <c r="AY1919" s="1">
        <v>10.9</v>
      </c>
      <c r="AZ1919" s="1">
        <v>12.6</v>
      </c>
      <c r="BA1919" s="1">
        <v>19.2</v>
      </c>
      <c r="BB1919" s="1">
        <v>3.07</v>
      </c>
      <c r="BC1919" s="1" t="s">
        <v>3169</v>
      </c>
      <c r="BD1919" s="1">
        <v>12.2</v>
      </c>
      <c r="BE1919" s="1">
        <v>32.0</v>
      </c>
      <c r="BF1919" s="1">
        <v>31.8</v>
      </c>
      <c r="BG1919" s="1">
        <v>24.0</v>
      </c>
      <c r="BH1919" s="1" t="s">
        <v>3218</v>
      </c>
    </row>
    <row r="1920">
      <c r="A1920" s="1">
        <v>37061.0</v>
      </c>
      <c r="B1920" s="2" t="str">
        <f>IFERROR(__xludf.DUMMYFUNCTION("TO_TEXT(A1920)"),"37061")</f>
        <v>37061</v>
      </c>
      <c r="C1920" s="1">
        <v>59121.0</v>
      </c>
      <c r="D1920" s="1">
        <v>814.737148058086</v>
      </c>
      <c r="E1920" s="1" t="s">
        <v>3219</v>
      </c>
      <c r="F1920" s="1" t="s">
        <v>3220</v>
      </c>
      <c r="G1920" s="1">
        <v>72.5645076340437</v>
      </c>
      <c r="H1920" s="1">
        <v>26.352486893</v>
      </c>
      <c r="I1920" s="1">
        <v>4.5923053644</v>
      </c>
      <c r="J1920" s="1">
        <v>8.275862069</v>
      </c>
      <c r="K1920" s="1">
        <v>21.3033961979999</v>
      </c>
      <c r="L1920" s="1">
        <v>39.8</v>
      </c>
      <c r="M1920" s="1">
        <v>7.7</v>
      </c>
      <c r="N1920" s="1">
        <v>35.4</v>
      </c>
      <c r="O1920" s="1">
        <v>29.489787198</v>
      </c>
      <c r="P1920" s="1">
        <v>19.565080233</v>
      </c>
      <c r="Q1920" s="1">
        <v>23.71314</v>
      </c>
      <c r="R1920" s="1">
        <v>81.3</v>
      </c>
      <c r="S1920" s="1">
        <v>30.7</v>
      </c>
      <c r="T1920" s="1">
        <v>14094.0</v>
      </c>
      <c r="U1920" s="1">
        <v>44.096778771</v>
      </c>
      <c r="V1920" s="1">
        <v>235.79104503</v>
      </c>
      <c r="W1920" s="1">
        <v>18.029398254</v>
      </c>
      <c r="X1920" s="1">
        <v>13.468720822</v>
      </c>
      <c r="Y1920" s="1">
        <v>79.492814377</v>
      </c>
      <c r="Z1920" s="1">
        <v>20.6</v>
      </c>
      <c r="AA1920" s="1">
        <v>0.9068166921</v>
      </c>
      <c r="AB1920" s="1">
        <v>42725.0</v>
      </c>
      <c r="AC1920" s="1">
        <v>98.946835443</v>
      </c>
      <c r="AD1920" s="1">
        <v>70.024333134</v>
      </c>
      <c r="AE1920" s="1">
        <v>12.701104865</v>
      </c>
      <c r="AF1920" s="1">
        <v>24.2116351769999</v>
      </c>
      <c r="AG1920" s="1">
        <v>1.3949299986</v>
      </c>
      <c r="AH1920" s="1">
        <v>0.7628788909</v>
      </c>
      <c r="AI1920" s="1">
        <v>0.4230664673</v>
      </c>
      <c r="AJ1920" s="1">
        <v>22.690974582</v>
      </c>
      <c r="AK1920" s="1">
        <v>51.298083458</v>
      </c>
      <c r="AL1920" s="1">
        <v>7.0436023924</v>
      </c>
      <c r="AM1920" s="1">
        <v>51.298083458</v>
      </c>
      <c r="AN1920" s="1">
        <v>86.464404752</v>
      </c>
      <c r="AO1920" s="1">
        <v>17960.0</v>
      </c>
      <c r="AP1920" s="1">
        <v>27.6</v>
      </c>
      <c r="AQ1920" s="1">
        <v>10.5</v>
      </c>
      <c r="AR1920" s="1">
        <v>28.0</v>
      </c>
      <c r="AS1920" s="1">
        <v>15.8</v>
      </c>
      <c r="AT1920" s="1">
        <v>24.8</v>
      </c>
      <c r="AU1920" s="1">
        <v>18.2</v>
      </c>
      <c r="AV1920" s="1">
        <v>47.9</v>
      </c>
      <c r="AW1920" s="1">
        <v>8.5</v>
      </c>
      <c r="AX1920" s="1">
        <v>0.9809</v>
      </c>
      <c r="AY1920" s="1">
        <v>17.7</v>
      </c>
      <c r="AZ1920" s="1">
        <v>17.1</v>
      </c>
      <c r="BA1920" s="1">
        <v>24.8</v>
      </c>
      <c r="BB1920" s="1">
        <v>2.86</v>
      </c>
      <c r="BC1920" s="1" t="s">
        <v>3169</v>
      </c>
      <c r="BD1920" s="1">
        <v>24.0</v>
      </c>
      <c r="BE1920" s="1">
        <v>31.8</v>
      </c>
      <c r="BF1920" s="1">
        <v>32.0</v>
      </c>
      <c r="BG1920" s="1">
        <v>12.1</v>
      </c>
      <c r="BH1920" s="1" t="s">
        <v>3220</v>
      </c>
    </row>
    <row r="1921">
      <c r="A1921" s="1">
        <v>37063.0</v>
      </c>
      <c r="B1921" s="2" t="str">
        <f>IFERROR(__xludf.DUMMYFUNCTION("TO_TEXT(A1921)"),"37063")</f>
        <v>37063</v>
      </c>
      <c r="C1921" s="1">
        <v>294618.0</v>
      </c>
      <c r="D1921" s="1">
        <v>286.387138019874</v>
      </c>
      <c r="E1921" s="1" t="s">
        <v>3221</v>
      </c>
      <c r="F1921" s="1" t="s">
        <v>3222</v>
      </c>
      <c r="G1921" s="1">
        <v>1028.74033393062</v>
      </c>
      <c r="H1921" s="1">
        <v>16.679165742</v>
      </c>
      <c r="I1921" s="1">
        <v>3.8291224159</v>
      </c>
      <c r="J1921" s="1">
        <v>8.7864288821</v>
      </c>
      <c r="K1921" s="1">
        <v>14.789372254</v>
      </c>
      <c r="L1921" s="1">
        <v>24.7</v>
      </c>
      <c r="M1921" s="1">
        <v>6.9</v>
      </c>
      <c r="N1921" s="1">
        <v>18.5</v>
      </c>
      <c r="O1921" s="1">
        <v>89.588059211</v>
      </c>
      <c r="P1921" s="1">
        <v>13.419437645</v>
      </c>
      <c r="Q1921" s="1">
        <v>123.2191</v>
      </c>
      <c r="R1921" s="1">
        <v>81.5</v>
      </c>
      <c r="S1921" s="1">
        <v>19.3</v>
      </c>
      <c r="T1921" s="1">
        <v>65110.0</v>
      </c>
      <c r="U1921" s="1">
        <v>44.6551988939999</v>
      </c>
      <c r="V1921" s="1">
        <v>665.93156185</v>
      </c>
      <c r="W1921" s="1">
        <v>17.277553084</v>
      </c>
      <c r="X1921" s="1">
        <v>14.6827096</v>
      </c>
      <c r="Y1921" s="1">
        <v>80.290853997</v>
      </c>
      <c r="Z1921" s="1">
        <v>6.6</v>
      </c>
      <c r="AA1921" s="1">
        <v>7.4604579725</v>
      </c>
      <c r="AB1921" s="1">
        <v>59329.0</v>
      </c>
      <c r="AC1921" s="1">
        <v>53.397354593</v>
      </c>
      <c r="AD1921" s="1">
        <v>53.772560837</v>
      </c>
      <c r="AE1921" s="1">
        <v>14.978336944</v>
      </c>
      <c r="AF1921" s="1">
        <v>35.968731353</v>
      </c>
      <c r="AG1921" s="1">
        <v>0.9162117706</v>
      </c>
      <c r="AH1921" s="1">
        <v>5.4928505804</v>
      </c>
      <c r="AI1921" s="1">
        <v>0.1057653147</v>
      </c>
      <c r="AJ1921" s="1">
        <v>13.710973388</v>
      </c>
      <c r="AK1921" s="1">
        <v>42.617738895</v>
      </c>
      <c r="AL1921" s="1">
        <v>5.9074725628</v>
      </c>
      <c r="AM1921" s="1">
        <v>52.256905528</v>
      </c>
      <c r="AN1921" s="1">
        <v>5.6277023921</v>
      </c>
      <c r="AO1921" s="1">
        <v>31473.0</v>
      </c>
      <c r="AP1921" s="1">
        <v>17.4</v>
      </c>
      <c r="AQ1921" s="1">
        <v>6.3</v>
      </c>
      <c r="AR1921" s="1">
        <v>12.6</v>
      </c>
      <c r="AS1921" s="1">
        <v>11.1</v>
      </c>
      <c r="AT1921" s="1">
        <v>21.9</v>
      </c>
      <c r="AU1921" s="1">
        <v>9.9</v>
      </c>
      <c r="AV1921" s="1">
        <v>58.0</v>
      </c>
      <c r="AW1921" s="1">
        <v>5.8</v>
      </c>
      <c r="AX1921" s="1">
        <v>0.6186</v>
      </c>
      <c r="AY1921" s="1">
        <v>14.0</v>
      </c>
      <c r="AZ1921" s="1">
        <v>13.5</v>
      </c>
      <c r="BA1921" s="1">
        <v>17.3</v>
      </c>
      <c r="BB1921" s="1">
        <v>3.28</v>
      </c>
      <c r="BC1921" s="1" t="s">
        <v>3169</v>
      </c>
      <c r="BD1921" s="1">
        <v>11.6</v>
      </c>
      <c r="BE1921" s="1">
        <v>17.7</v>
      </c>
      <c r="BF1921" s="1">
        <v>22.4</v>
      </c>
      <c r="BG1921" s="1">
        <v>48.2</v>
      </c>
      <c r="BH1921" s="1" t="s">
        <v>3222</v>
      </c>
    </row>
    <row r="1922">
      <c r="A1922" s="1">
        <v>37065.0</v>
      </c>
      <c r="B1922" s="2" t="str">
        <f>IFERROR(__xludf.DUMMYFUNCTION("TO_TEXT(A1922)"),"37065")</f>
        <v>37065</v>
      </c>
      <c r="C1922" s="1">
        <v>54669.0</v>
      </c>
      <c r="D1922" s="1">
        <v>505.43183856498</v>
      </c>
      <c r="E1922" s="1" t="s">
        <v>3223</v>
      </c>
      <c r="F1922" s="1" t="s">
        <v>3224</v>
      </c>
      <c r="G1922" s="1">
        <v>108.162952605471</v>
      </c>
      <c r="H1922" s="1">
        <v>24.725769774</v>
      </c>
      <c r="I1922" s="1">
        <v>4.7198945359</v>
      </c>
      <c r="J1922" s="1">
        <v>12.430811808</v>
      </c>
      <c r="K1922" s="1">
        <v>20.794787648</v>
      </c>
      <c r="L1922" s="1">
        <v>38.0</v>
      </c>
      <c r="M1922" s="1">
        <v>5.5</v>
      </c>
      <c r="N1922" s="1">
        <v>37.8</v>
      </c>
      <c r="O1922" s="1">
        <v>58.501909747</v>
      </c>
      <c r="P1922" s="1">
        <v>12.0740651679999</v>
      </c>
      <c r="Q1922" s="1">
        <v>34.12516</v>
      </c>
      <c r="R1922" s="1">
        <v>77.3</v>
      </c>
      <c r="S1922" s="1">
        <v>37.0</v>
      </c>
      <c r="T1922" s="1">
        <v>12045.0</v>
      </c>
      <c r="U1922" s="1">
        <v>58.364466584</v>
      </c>
      <c r="V1922" s="1">
        <v>481.02109825</v>
      </c>
      <c r="W1922" s="1">
        <v>20.682302772</v>
      </c>
      <c r="X1922" s="1">
        <v>17.553191489</v>
      </c>
      <c r="Y1922" s="1">
        <v>73.630186626</v>
      </c>
      <c r="Z1922" s="1">
        <v>16.4</v>
      </c>
      <c r="AA1922" s="1">
        <v>7.7710360116</v>
      </c>
      <c r="AB1922" s="1">
        <v>38818.0</v>
      </c>
      <c r="AC1922" s="1">
        <v>92.733564014</v>
      </c>
      <c r="AD1922" s="1">
        <v>59.3654952969999</v>
      </c>
      <c r="AE1922" s="1">
        <v>16.670011036</v>
      </c>
      <c r="AF1922" s="1">
        <v>57.231035477</v>
      </c>
      <c r="AG1922" s="1">
        <v>0.778771272</v>
      </c>
      <c r="AH1922" s="1">
        <v>0.3153542929</v>
      </c>
      <c r="AI1922" s="1">
        <v>0.128833766</v>
      </c>
      <c r="AJ1922" s="1">
        <v>4.7726180175</v>
      </c>
      <c r="AK1922" s="1">
        <v>36.281126815</v>
      </c>
      <c r="AL1922" s="1">
        <v>0.9762900976</v>
      </c>
      <c r="AM1922" s="1">
        <v>53.781367176</v>
      </c>
      <c r="AN1922" s="1">
        <v>45.306974112</v>
      </c>
      <c r="AO1922" s="1">
        <v>18009.0</v>
      </c>
      <c r="AP1922" s="1">
        <v>25.7</v>
      </c>
      <c r="AQ1922" s="1">
        <v>12.5</v>
      </c>
      <c r="AR1922" s="1">
        <v>22.6</v>
      </c>
      <c r="AS1922" s="1">
        <v>17.0</v>
      </c>
      <c r="AT1922" s="1">
        <v>23.4</v>
      </c>
      <c r="AU1922" s="1">
        <v>18.1</v>
      </c>
      <c r="AV1922" s="1">
        <v>63.3</v>
      </c>
      <c r="AW1922" s="1">
        <v>1.0</v>
      </c>
      <c r="AX1922" s="1">
        <v>0.9869</v>
      </c>
      <c r="AY1922" s="1">
        <v>21.0</v>
      </c>
      <c r="AZ1922" s="1">
        <v>19.6</v>
      </c>
      <c r="BA1922" s="1">
        <v>28.1</v>
      </c>
      <c r="BB1922" s="1">
        <v>2.85</v>
      </c>
      <c r="BC1922" s="1" t="s">
        <v>3169</v>
      </c>
      <c r="BD1922" s="1">
        <v>18.9</v>
      </c>
      <c r="BE1922" s="1">
        <v>37.5</v>
      </c>
      <c r="BF1922" s="1">
        <v>30.1</v>
      </c>
      <c r="BG1922" s="1">
        <v>13.6</v>
      </c>
      <c r="BH1922" s="1" t="s">
        <v>3224</v>
      </c>
    </row>
    <row r="1923">
      <c r="A1923" s="1">
        <v>37067.0</v>
      </c>
      <c r="B1923" s="2" t="str">
        <f>IFERROR(__xludf.DUMMYFUNCTION("TO_TEXT(A1923)"),"37067")</f>
        <v>37067</v>
      </c>
      <c r="C1923" s="1">
        <v>364691.0</v>
      </c>
      <c r="D1923" s="1">
        <v>407.767186699098</v>
      </c>
      <c r="E1923" s="1" t="s">
        <v>896</v>
      </c>
      <c r="F1923" s="1" t="s">
        <v>3225</v>
      </c>
      <c r="G1923" s="1">
        <v>894.360831120811</v>
      </c>
      <c r="H1923" s="1">
        <v>17.061101274</v>
      </c>
      <c r="I1923" s="1">
        <v>4.2488692844</v>
      </c>
      <c r="J1923" s="1">
        <v>10.435952465</v>
      </c>
      <c r="K1923" s="1">
        <v>18.379820476</v>
      </c>
      <c r="L1923" s="1">
        <v>33.0</v>
      </c>
      <c r="M1923" s="1">
        <v>6.6</v>
      </c>
      <c r="N1923" s="1">
        <v>23.4</v>
      </c>
      <c r="O1923" s="1">
        <v>80.483930761</v>
      </c>
      <c r="P1923" s="1">
        <v>12.93458297</v>
      </c>
      <c r="Q1923" s="1">
        <v>112.13861</v>
      </c>
      <c r="R1923" s="1">
        <v>84.4</v>
      </c>
      <c r="S1923" s="1">
        <v>25.1</v>
      </c>
      <c r="T1923" s="1">
        <v>86321.0</v>
      </c>
      <c r="U1923" s="1">
        <v>37.379085043</v>
      </c>
      <c r="V1923" s="1">
        <v>575.57255429</v>
      </c>
      <c r="W1923" s="1">
        <v>16.35610766</v>
      </c>
      <c r="X1923" s="1">
        <v>14.025801024</v>
      </c>
      <c r="Y1923" s="1">
        <v>77.965077688</v>
      </c>
      <c r="Z1923" s="1">
        <v>11.3</v>
      </c>
      <c r="AA1923" s="1">
        <v>13.9335561029999</v>
      </c>
      <c r="AB1923" s="1">
        <v>50112.0</v>
      </c>
      <c r="AC1923" s="1">
        <v>61.371940237</v>
      </c>
      <c r="AD1923" s="1">
        <v>61.542079967</v>
      </c>
      <c r="AE1923" s="1">
        <v>14.630803615</v>
      </c>
      <c r="AF1923" s="1">
        <v>25.81568403</v>
      </c>
      <c r="AG1923" s="1">
        <v>0.858614768199999</v>
      </c>
      <c r="AH1923" s="1">
        <v>2.5763718712</v>
      </c>
      <c r="AI1923" s="1">
        <v>0.1250333026</v>
      </c>
      <c r="AJ1923" s="1">
        <v>13.0382828759999</v>
      </c>
      <c r="AK1923" s="1">
        <v>56.528505747</v>
      </c>
      <c r="AL1923" s="1">
        <v>3.1086419328</v>
      </c>
      <c r="AM1923" s="1">
        <v>52.57623998</v>
      </c>
      <c r="AN1923" s="1">
        <v>7.346508113</v>
      </c>
      <c r="AO1923" s="1">
        <v>27593.0</v>
      </c>
      <c r="AP1923" s="1">
        <v>19.5</v>
      </c>
      <c r="AQ1923" s="1">
        <v>8.4</v>
      </c>
      <c r="AR1923" s="1">
        <v>12.1</v>
      </c>
      <c r="AS1923" s="1">
        <v>14.4</v>
      </c>
      <c r="AT1923" s="1">
        <v>23.7</v>
      </c>
      <c r="AU1923" s="1">
        <v>10.8</v>
      </c>
      <c r="AV1923" s="1">
        <v>42.3</v>
      </c>
      <c r="AW1923" s="1">
        <v>3.4</v>
      </c>
      <c r="AX1923" s="1">
        <v>0.7233</v>
      </c>
      <c r="AY1923" s="1">
        <v>15.2</v>
      </c>
      <c r="AZ1923" s="1">
        <v>13.8</v>
      </c>
      <c r="BA1923" s="1">
        <v>18.8</v>
      </c>
      <c r="BB1923" s="1">
        <v>3.04</v>
      </c>
      <c r="BC1923" s="1" t="s">
        <v>3169</v>
      </c>
      <c r="BD1923" s="1">
        <v>10.8</v>
      </c>
      <c r="BE1923" s="1">
        <v>25.7</v>
      </c>
      <c r="BF1923" s="1">
        <v>29.5</v>
      </c>
      <c r="BG1923" s="1">
        <v>34.0</v>
      </c>
      <c r="BH1923" s="1" t="s">
        <v>3225</v>
      </c>
    </row>
    <row r="1924">
      <c r="A1924" s="1">
        <v>37069.0</v>
      </c>
      <c r="B1924" s="2" t="str">
        <f>IFERROR(__xludf.DUMMYFUNCTION("TO_TEXT(A1924)"),"37069")</f>
        <v>37069</v>
      </c>
      <c r="C1924" s="1">
        <v>62989.0</v>
      </c>
      <c r="D1924" s="1">
        <v>491.751752038828</v>
      </c>
      <c r="E1924" s="1" t="s">
        <v>118</v>
      </c>
      <c r="F1924" s="1" t="s">
        <v>3226</v>
      </c>
      <c r="G1924" s="1">
        <v>128.091053542452</v>
      </c>
      <c r="H1924" s="1">
        <v>20.013418143</v>
      </c>
      <c r="I1924" s="1">
        <v>4.2767347245</v>
      </c>
      <c r="J1924" s="1">
        <v>9.0702008697</v>
      </c>
      <c r="K1924" s="1">
        <v>18.008536939</v>
      </c>
      <c r="L1924" s="1">
        <v>36.1</v>
      </c>
      <c r="M1924" s="1">
        <v>7.7</v>
      </c>
      <c r="N1924" s="1">
        <v>33.4</v>
      </c>
      <c r="O1924" s="1">
        <v>61.211831274</v>
      </c>
      <c r="P1924" s="1">
        <v>14.39685819</v>
      </c>
      <c r="Q1924" s="1">
        <v>9.06783</v>
      </c>
      <c r="R1924" s="1">
        <v>86.0</v>
      </c>
      <c r="S1924" s="1">
        <v>20.0</v>
      </c>
      <c r="T1924" s="1">
        <v>14534.0</v>
      </c>
      <c r="U1924" s="1">
        <v>31.938901885</v>
      </c>
      <c r="V1924" s="1">
        <v>142.4400532</v>
      </c>
      <c r="W1924" s="1">
        <v>13.933389545</v>
      </c>
      <c r="X1924" s="1">
        <v>11.861861862</v>
      </c>
      <c r="Y1924" s="1">
        <v>77.555191738</v>
      </c>
      <c r="Z1924" s="1">
        <v>8.5</v>
      </c>
      <c r="AA1924" s="1">
        <v>2.2208865885</v>
      </c>
      <c r="AB1924" s="1">
        <v>57710.0</v>
      </c>
      <c r="AC1924" s="1">
        <v>66.5673352439999</v>
      </c>
      <c r="AD1924" s="1">
        <v>73.283769041</v>
      </c>
      <c r="AE1924" s="1">
        <v>10.928093645</v>
      </c>
      <c r="AF1924" s="1">
        <v>25.190941385</v>
      </c>
      <c r="AG1924" s="1">
        <v>0.9399052694</v>
      </c>
      <c r="AH1924" s="1">
        <v>0.6971580817</v>
      </c>
      <c r="AI1924" s="1">
        <v>0.0784487863</v>
      </c>
      <c r="AJ1924" s="1">
        <v>8.5301953819</v>
      </c>
      <c r="AK1924" s="1">
        <v>63.481349911</v>
      </c>
      <c r="AL1924" s="1">
        <v>1.9113062497</v>
      </c>
      <c r="AM1924" s="1">
        <v>50.575784488</v>
      </c>
      <c r="AN1924" s="1">
        <v>85.318134578</v>
      </c>
      <c r="AO1924" s="1">
        <v>22394.0</v>
      </c>
      <c r="AP1924" s="1">
        <v>16.3</v>
      </c>
      <c r="AQ1924" s="1">
        <v>8.2</v>
      </c>
      <c r="AR1924" s="1">
        <v>16.8</v>
      </c>
      <c r="AS1924" s="1">
        <v>15.2</v>
      </c>
      <c r="AT1924" s="1">
        <v>22.9</v>
      </c>
      <c r="AU1924" s="1">
        <v>14.8</v>
      </c>
      <c r="AV1924" s="1">
        <v>36.4</v>
      </c>
      <c r="AW1924" s="1">
        <v>1.5</v>
      </c>
      <c r="AX1924" s="1">
        <v>0.7542</v>
      </c>
      <c r="AY1924" s="1">
        <v>11.6</v>
      </c>
      <c r="AZ1924" s="1">
        <v>13.7</v>
      </c>
      <c r="BA1924" s="1">
        <v>19.5</v>
      </c>
      <c r="BB1924" s="1">
        <v>3.0</v>
      </c>
      <c r="BC1924" s="1" t="s">
        <v>3169</v>
      </c>
      <c r="BD1924" s="1">
        <v>13.8</v>
      </c>
      <c r="BE1924" s="1">
        <v>29.8</v>
      </c>
      <c r="BF1924" s="1">
        <v>34.4</v>
      </c>
      <c r="BG1924" s="1">
        <v>22.0</v>
      </c>
      <c r="BH1924" s="1" t="s">
        <v>3226</v>
      </c>
    </row>
    <row r="1925">
      <c r="A1925" s="1">
        <v>37071.0</v>
      </c>
      <c r="B1925" s="2" t="str">
        <f>IFERROR(__xludf.DUMMYFUNCTION("TO_TEXT(A1925)"),"37071")</f>
        <v>37071</v>
      </c>
      <c r="C1925" s="1">
        <v>211753.0</v>
      </c>
      <c r="D1925" s="1">
        <v>355.973181397972</v>
      </c>
      <c r="E1925" s="1" t="s">
        <v>3227</v>
      </c>
      <c r="F1925" s="1" t="s">
        <v>3228</v>
      </c>
      <c r="G1925" s="1">
        <v>594.856610176101</v>
      </c>
      <c r="H1925" s="1">
        <v>18.091471904</v>
      </c>
      <c r="I1925" s="1">
        <v>4.2624994688</v>
      </c>
      <c r="J1925" s="1">
        <v>9.5607820912</v>
      </c>
      <c r="K1925" s="1">
        <v>16.768014654</v>
      </c>
      <c r="L1925" s="1">
        <v>29.2</v>
      </c>
      <c r="M1925" s="1">
        <v>6.9</v>
      </c>
      <c r="N1925" s="1">
        <v>31.9</v>
      </c>
      <c r="O1925" s="1">
        <v>72.111157478</v>
      </c>
      <c r="P1925" s="1">
        <v>11.996370038</v>
      </c>
      <c r="Q1925" s="1">
        <v>60.85874</v>
      </c>
      <c r="R1925" s="1">
        <v>85.6</v>
      </c>
      <c r="S1925" s="1">
        <v>19.2</v>
      </c>
      <c r="T1925" s="1">
        <v>48960.0</v>
      </c>
      <c r="U1925" s="1">
        <v>36.944444444</v>
      </c>
      <c r="V1925" s="1">
        <v>389.69726963</v>
      </c>
      <c r="W1925" s="1">
        <v>15.643576747</v>
      </c>
      <c r="X1925" s="1">
        <v>12.98717786</v>
      </c>
      <c r="Y1925" s="1">
        <v>75.656594561</v>
      </c>
      <c r="Z1925" s="1">
        <v>10.5</v>
      </c>
      <c r="AA1925" s="1">
        <v>11.270559549</v>
      </c>
      <c r="AB1925" s="1">
        <v>52798.0</v>
      </c>
      <c r="AC1925" s="1">
        <v>59.000402831</v>
      </c>
      <c r="AD1925" s="1">
        <v>66.303040715</v>
      </c>
      <c r="AE1925" s="1">
        <v>13.444855136</v>
      </c>
      <c r="AF1925" s="1">
        <v>17.016684168</v>
      </c>
      <c r="AG1925" s="1">
        <v>0.5874011649</v>
      </c>
      <c r="AH1925" s="1">
        <v>1.6343124849</v>
      </c>
      <c r="AI1925" s="1">
        <v>0.0691060194</v>
      </c>
      <c r="AJ1925" s="1">
        <v>7.2606194412</v>
      </c>
      <c r="AK1925" s="1">
        <v>71.819103776</v>
      </c>
      <c r="AL1925" s="1">
        <v>1.163173219</v>
      </c>
      <c r="AM1925" s="1">
        <v>51.810218716</v>
      </c>
      <c r="AN1925" s="1">
        <v>19.647622837</v>
      </c>
      <c r="AO1925" s="1">
        <v>23710.0</v>
      </c>
      <c r="AP1925" s="1">
        <v>17.2</v>
      </c>
      <c r="AQ1925" s="1">
        <v>9.7</v>
      </c>
      <c r="AR1925" s="1">
        <v>16.8</v>
      </c>
      <c r="AS1925" s="1">
        <v>15.0</v>
      </c>
      <c r="AT1925" s="1">
        <v>23.2</v>
      </c>
      <c r="AU1925" s="1">
        <v>16.0</v>
      </c>
      <c r="AV1925" s="1">
        <v>25.8</v>
      </c>
      <c r="AW1925" s="1">
        <v>1.4</v>
      </c>
      <c r="AX1925" s="1">
        <v>0.7615</v>
      </c>
      <c r="AY1925" s="1">
        <v>11.6</v>
      </c>
      <c r="AZ1925" s="1">
        <v>14.4</v>
      </c>
      <c r="BA1925" s="1">
        <v>20.1</v>
      </c>
      <c r="BB1925" s="1">
        <v>2.85</v>
      </c>
      <c r="BC1925" s="1" t="s">
        <v>3169</v>
      </c>
      <c r="BD1925" s="1">
        <v>15.2</v>
      </c>
      <c r="BE1925" s="1">
        <v>30.7</v>
      </c>
      <c r="BF1925" s="1">
        <v>32.9</v>
      </c>
      <c r="BG1925" s="1">
        <v>21.2</v>
      </c>
      <c r="BH1925" s="1" t="s">
        <v>3228</v>
      </c>
    </row>
    <row r="1926">
      <c r="A1926" s="1">
        <v>37073.0</v>
      </c>
      <c r="B1926" s="2" t="str">
        <f>IFERROR(__xludf.DUMMYFUNCTION("TO_TEXT(A1926)"),"37073")</f>
        <v>37073</v>
      </c>
      <c r="C1926" s="1">
        <v>11615.0</v>
      </c>
      <c r="D1926" s="1">
        <v>340.61212452493</v>
      </c>
      <c r="E1926" s="1" t="s">
        <v>3229</v>
      </c>
      <c r="F1926" s="1" t="s">
        <v>3230</v>
      </c>
      <c r="G1926" s="1">
        <v>34.1003715478422</v>
      </c>
      <c r="H1926" s="1">
        <v>16.678135604</v>
      </c>
      <c r="I1926" s="1">
        <v>3.9311520213</v>
      </c>
      <c r="J1926" s="1">
        <v>10.796221323</v>
      </c>
      <c r="K1926" s="1">
        <v>15.828558435</v>
      </c>
      <c r="L1926" s="1">
        <v>44.7</v>
      </c>
      <c r="M1926" s="1">
        <v>7.9</v>
      </c>
      <c r="N1926" s="1">
        <v>33.5</v>
      </c>
      <c r="O1926" s="1">
        <v>28.867754366</v>
      </c>
      <c r="P1926" s="1">
        <v>11.746169727</v>
      </c>
      <c r="Q1926" s="1">
        <v>48.31939</v>
      </c>
      <c r="R1926" s="1">
        <v>93.0</v>
      </c>
      <c r="S1926" s="1">
        <v>21.1</v>
      </c>
      <c r="T1926" s="1">
        <v>2392.0</v>
      </c>
      <c r="U1926" s="1">
        <v>31.772575251</v>
      </c>
      <c r="V1926" s="1">
        <v>204.509002055</v>
      </c>
      <c r="W1926" s="1">
        <v>15.138121547</v>
      </c>
      <c r="X1926" s="1">
        <v>13.072625698</v>
      </c>
      <c r="Y1926" s="1">
        <v>75.530236171</v>
      </c>
      <c r="Z1926" s="1">
        <v>15.1</v>
      </c>
      <c r="AA1926" s="1">
        <v>0.0230665917</v>
      </c>
      <c r="AB1926" s="1">
        <v>51746.0</v>
      </c>
      <c r="AC1926" s="1">
        <v>49.258160237</v>
      </c>
      <c r="AD1926" s="1">
        <v>78.289032834</v>
      </c>
      <c r="AE1926" s="1">
        <v>12.0660761309999</v>
      </c>
      <c r="AF1926" s="1">
        <v>30.985915493</v>
      </c>
      <c r="AG1926" s="1">
        <v>0.5702929232</v>
      </c>
      <c r="AH1926" s="1">
        <v>0.3715544803</v>
      </c>
      <c r="AI1926" s="1">
        <v>0.1036896224</v>
      </c>
      <c r="AJ1926" s="1">
        <v>2.2725308909</v>
      </c>
      <c r="AK1926" s="1">
        <v>63.79504018</v>
      </c>
      <c r="AL1926" s="1">
        <v>0.1262740146</v>
      </c>
      <c r="AM1926" s="1">
        <v>50.4795645039999</v>
      </c>
      <c r="AN1926" s="1">
        <v>100.0</v>
      </c>
      <c r="AO1926" s="1">
        <v>23602.0</v>
      </c>
      <c r="AP1926" s="1">
        <v>12.0</v>
      </c>
      <c r="AQ1926" s="1">
        <v>9.7</v>
      </c>
      <c r="AR1926" s="1">
        <v>14.7</v>
      </c>
      <c r="AS1926" s="1">
        <v>17.4</v>
      </c>
      <c r="AT1926" s="1">
        <v>21.3</v>
      </c>
      <c r="AU1926" s="1">
        <v>18.5</v>
      </c>
      <c r="AV1926" s="1">
        <v>37.5</v>
      </c>
      <c r="AW1926" s="1">
        <v>0.9</v>
      </c>
      <c r="AX1926" s="1">
        <v>0.4744</v>
      </c>
      <c r="AY1926" s="1">
        <v>14.7</v>
      </c>
      <c r="AZ1926" s="1">
        <v>14.2</v>
      </c>
      <c r="BA1926" s="1">
        <v>21.5</v>
      </c>
      <c r="BB1926" s="1">
        <v>2.99</v>
      </c>
      <c r="BC1926" s="1" t="s">
        <v>3169</v>
      </c>
      <c r="BD1926" s="1">
        <v>10.9</v>
      </c>
      <c r="BE1926" s="1">
        <v>37.9</v>
      </c>
      <c r="BF1926" s="1">
        <v>36.8</v>
      </c>
      <c r="BG1926" s="1">
        <v>14.3</v>
      </c>
      <c r="BH1926" s="1" t="s">
        <v>3230</v>
      </c>
    </row>
    <row r="1927">
      <c r="A1927" s="1">
        <v>37075.0</v>
      </c>
      <c r="B1927" s="2" t="str">
        <f>IFERROR(__xludf.DUMMYFUNCTION("TO_TEXT(A1927)"),"37075")</f>
        <v>37075</v>
      </c>
      <c r="C1927" s="1">
        <v>8651.0</v>
      </c>
      <c r="D1927" s="1">
        <v>291.9706412816</v>
      </c>
      <c r="E1927" s="1" t="s">
        <v>262</v>
      </c>
      <c r="F1927" s="1" t="s">
        <v>3231</v>
      </c>
      <c r="G1927" s="1">
        <v>29.6296914033088</v>
      </c>
      <c r="H1927" s="1">
        <v>18.241607088</v>
      </c>
      <c r="I1927" s="1">
        <v>4.4397865082</v>
      </c>
      <c r="J1927" s="1">
        <v>8.7542087542</v>
      </c>
      <c r="K1927" s="1">
        <v>18.298457598</v>
      </c>
      <c r="L1927" s="1">
        <v>43.0</v>
      </c>
      <c r="M1927" s="1">
        <v>7.9</v>
      </c>
      <c r="N1927" s="1">
        <v>25.4</v>
      </c>
      <c r="O1927" s="1">
        <v>100.0</v>
      </c>
      <c r="P1927" s="1">
        <v>18.597842835</v>
      </c>
      <c r="Q1927" s="1">
        <v>23.41646</v>
      </c>
      <c r="R1927" s="1">
        <v>85.4</v>
      </c>
      <c r="S1927" s="1">
        <v>26.3</v>
      </c>
      <c r="T1927" s="1">
        <v>1717.0</v>
      </c>
      <c r="U1927" s="1">
        <v>26.033779849</v>
      </c>
      <c r="V1927" s="1">
        <v>291.81743901</v>
      </c>
      <c r="W1927" s="1">
        <v>8.7692307692</v>
      </c>
      <c r="X1927" s="1">
        <v>7.5928917609</v>
      </c>
      <c r="Y1927" s="1">
        <v>77.77016171</v>
      </c>
      <c r="Z1927" s="1">
        <v>7.0</v>
      </c>
      <c r="AA1927" s="1">
        <v>1.1171741232</v>
      </c>
      <c r="AB1927" s="1">
        <v>39502.0</v>
      </c>
      <c r="AC1927" s="1">
        <v>61.789297659</v>
      </c>
      <c r="AD1927" s="1">
        <v>83.972019465</v>
      </c>
      <c r="AE1927" s="1">
        <v>5.8744993324</v>
      </c>
      <c r="AF1927" s="1">
        <v>0.4361150401</v>
      </c>
      <c r="AG1927" s="1">
        <v>8.00330033</v>
      </c>
      <c r="AH1927" s="1">
        <v>0.5539839698</v>
      </c>
      <c r="AI1927" s="1">
        <v>0.1060820368</v>
      </c>
      <c r="AJ1927" s="1">
        <v>3.760018859</v>
      </c>
      <c r="AK1927" s="1">
        <v>85.950023574</v>
      </c>
      <c r="AL1927" s="1">
        <v>0.5731707317</v>
      </c>
      <c r="AM1927" s="1">
        <v>50.0353606789999</v>
      </c>
      <c r="AN1927" s="1">
        <v>100.0</v>
      </c>
      <c r="AO1927" s="1">
        <v>18783.0</v>
      </c>
      <c r="AP1927" s="1">
        <v>19.3</v>
      </c>
      <c r="AQ1927" s="1">
        <v>9.5</v>
      </c>
      <c r="AR1927" s="1">
        <v>21.0</v>
      </c>
      <c r="AS1927" s="1">
        <v>21.9</v>
      </c>
      <c r="AT1927" s="1">
        <v>21.3</v>
      </c>
      <c r="AU1927" s="1">
        <v>19.0</v>
      </c>
      <c r="AV1927" s="1">
        <v>12.2</v>
      </c>
      <c r="AW1927" s="1">
        <v>0.8</v>
      </c>
      <c r="AX1927" s="1">
        <v>0.6428</v>
      </c>
      <c r="AY1927" s="1">
        <v>16.8</v>
      </c>
      <c r="AZ1927" s="1">
        <v>16.5</v>
      </c>
      <c r="BA1927" s="1">
        <v>25.8</v>
      </c>
      <c r="BB1927" s="1">
        <v>3.09</v>
      </c>
      <c r="BC1927" s="1" t="s">
        <v>3169</v>
      </c>
      <c r="BD1927" s="1">
        <v>18.1</v>
      </c>
      <c r="BE1927" s="1">
        <v>36.3</v>
      </c>
      <c r="BF1927" s="1">
        <v>32.7</v>
      </c>
      <c r="BG1927" s="1">
        <v>12.9</v>
      </c>
      <c r="BH1927" s="1" t="s">
        <v>3231</v>
      </c>
    </row>
    <row r="1928">
      <c r="A1928" s="1">
        <v>37077.0</v>
      </c>
      <c r="B1928" s="2" t="str">
        <f>IFERROR(__xludf.DUMMYFUNCTION("TO_TEXT(A1928)"),"37077")</f>
        <v>37077</v>
      </c>
      <c r="C1928" s="1">
        <v>58341.0</v>
      </c>
      <c r="D1928" s="1">
        <v>531.990315216014</v>
      </c>
      <c r="E1928" s="1" t="s">
        <v>3232</v>
      </c>
      <c r="F1928" s="1" t="s">
        <v>3233</v>
      </c>
      <c r="G1928" s="1">
        <v>109.665530238666</v>
      </c>
      <c r="H1928" s="1">
        <v>17.054864308</v>
      </c>
      <c r="I1928" s="1">
        <v>3.9512149571</v>
      </c>
      <c r="J1928" s="1">
        <v>9.358490566</v>
      </c>
      <c r="K1928" s="1">
        <v>16.627128893</v>
      </c>
      <c r="L1928" s="1">
        <v>37.2</v>
      </c>
      <c r="M1928" s="1">
        <v>7.6</v>
      </c>
      <c r="N1928" s="1">
        <v>35.0</v>
      </c>
      <c r="O1928" s="1">
        <v>59.181186995</v>
      </c>
      <c r="P1928" s="1">
        <v>11.549356687</v>
      </c>
      <c r="Q1928" s="1">
        <v>45.33472</v>
      </c>
      <c r="R1928" s="1">
        <v>81.3</v>
      </c>
      <c r="S1928" s="1">
        <v>19.1</v>
      </c>
      <c r="T1928" s="1">
        <v>12123.0</v>
      </c>
      <c r="U1928" s="1">
        <v>39.239462179</v>
      </c>
      <c r="V1928" s="1">
        <v>292.91553134</v>
      </c>
      <c r="W1928" s="1">
        <v>14.591961023</v>
      </c>
      <c r="X1928" s="1">
        <v>12.289812067</v>
      </c>
      <c r="Y1928" s="1">
        <v>78.155082387</v>
      </c>
      <c r="Z1928" s="1">
        <v>10.9</v>
      </c>
      <c r="AA1928" s="1">
        <v>4.0072750636</v>
      </c>
      <c r="AB1928" s="1">
        <v>58956.0</v>
      </c>
      <c r="AC1928" s="1">
        <v>50.222717149</v>
      </c>
      <c r="AD1928" s="1">
        <v>73.632905373</v>
      </c>
      <c r="AE1928" s="1">
        <v>12.079510703</v>
      </c>
      <c r="AF1928" s="1">
        <v>31.344922232</v>
      </c>
      <c r="AG1928" s="1">
        <v>0.8400565583</v>
      </c>
      <c r="AH1928" s="1">
        <v>0.683689594899999</v>
      </c>
      <c r="AI1928" s="1">
        <v>0.0981452217</v>
      </c>
      <c r="AJ1928" s="1">
        <v>8.177659486</v>
      </c>
      <c r="AK1928" s="1">
        <v>58.002162522</v>
      </c>
      <c r="AL1928" s="1">
        <v>1.4970969183</v>
      </c>
      <c r="AM1928" s="1">
        <v>49.039341263</v>
      </c>
      <c r="AN1928" s="1">
        <v>54.74998331</v>
      </c>
      <c r="AO1928" s="1">
        <v>23563.0</v>
      </c>
      <c r="AP1928" s="1">
        <v>16.5</v>
      </c>
      <c r="AQ1928" s="1">
        <v>6.9</v>
      </c>
      <c r="AR1928" s="1">
        <v>18.4</v>
      </c>
      <c r="AS1928" s="1">
        <v>15.3</v>
      </c>
      <c r="AT1928" s="1">
        <v>21.4</v>
      </c>
      <c r="AU1928" s="1">
        <v>17.5</v>
      </c>
      <c r="AV1928" s="1">
        <v>41.6</v>
      </c>
      <c r="AW1928" s="1">
        <v>1.6</v>
      </c>
      <c r="AX1928" s="1">
        <v>0.7848</v>
      </c>
      <c r="AY1928" s="1">
        <v>14.6</v>
      </c>
      <c r="AZ1928" s="1">
        <v>13.4</v>
      </c>
      <c r="BA1928" s="1">
        <v>18.5</v>
      </c>
      <c r="BB1928" s="1">
        <v>2.96</v>
      </c>
      <c r="BC1928" s="1" t="s">
        <v>3169</v>
      </c>
      <c r="BD1928" s="1">
        <v>15.7</v>
      </c>
      <c r="BE1928" s="1">
        <v>30.6</v>
      </c>
      <c r="BF1928" s="1">
        <v>31.2</v>
      </c>
      <c r="BG1928" s="1">
        <v>22.5</v>
      </c>
      <c r="BH1928" s="1" t="s">
        <v>3233</v>
      </c>
    </row>
    <row r="1929">
      <c r="A1929" s="1">
        <v>37079.0</v>
      </c>
      <c r="B1929" s="2" t="str">
        <f>IFERROR(__xludf.DUMMYFUNCTION("TO_TEXT(A1929)"),"37079")</f>
        <v>37079</v>
      </c>
      <c r="C1929" s="1">
        <v>21241.0</v>
      </c>
      <c r="D1929" s="1">
        <v>266.738984462364</v>
      </c>
      <c r="E1929" s="1" t="s">
        <v>122</v>
      </c>
      <c r="F1929" s="1" t="s">
        <v>3234</v>
      </c>
      <c r="G1929" s="1">
        <v>79.632154417972</v>
      </c>
      <c r="H1929" s="1">
        <v>22.487932531</v>
      </c>
      <c r="I1929" s="1">
        <v>4.2342770648</v>
      </c>
      <c r="J1929" s="1">
        <v>10.3495544889999</v>
      </c>
      <c r="K1929" s="1">
        <v>19.773671306</v>
      </c>
      <c r="L1929" s="1">
        <v>28.4</v>
      </c>
      <c r="M1929" s="1">
        <v>7.7</v>
      </c>
      <c r="N1929" s="1">
        <v>28.6</v>
      </c>
      <c r="O1929" s="1">
        <v>39.52345286</v>
      </c>
      <c r="P1929" s="1">
        <v>18.835866463</v>
      </c>
      <c r="Q1929" s="1">
        <v>14.27552</v>
      </c>
      <c r="R1929" s="1">
        <v>94.9</v>
      </c>
      <c r="S1929" s="1">
        <v>34.3</v>
      </c>
      <c r="T1929" s="1">
        <v>4315.0</v>
      </c>
      <c r="U1929" s="1">
        <v>45.793742758</v>
      </c>
      <c r="V1929" s="1">
        <v>204.509002055</v>
      </c>
      <c r="W1929" s="1">
        <v>18.087318087</v>
      </c>
      <c r="X1929" s="1">
        <v>13.4736842109999</v>
      </c>
      <c r="Y1929" s="1">
        <v>77.133117285</v>
      </c>
      <c r="Z1929" s="1">
        <v>11.7</v>
      </c>
      <c r="AA1929" s="1">
        <v>6.508531482</v>
      </c>
      <c r="AB1929" s="1">
        <v>43591.0</v>
      </c>
      <c r="AC1929" s="1">
        <v>98.79360939</v>
      </c>
      <c r="AD1929" s="1">
        <v>70.670891307</v>
      </c>
      <c r="AE1929" s="1">
        <v>15.0197628459999</v>
      </c>
      <c r="AF1929" s="1">
        <v>35.693889206</v>
      </c>
      <c r="AG1929" s="1">
        <v>2.2701313535</v>
      </c>
      <c r="AH1929" s="1">
        <v>0.6044165239</v>
      </c>
      <c r="AI1929" s="1">
        <v>0.2617551875</v>
      </c>
      <c r="AJ1929" s="1">
        <v>15.533980583</v>
      </c>
      <c r="AK1929" s="1">
        <v>46.75899486</v>
      </c>
      <c r="AL1929" s="1">
        <v>4.9548645938</v>
      </c>
      <c r="AM1929" s="1">
        <v>45.359794403</v>
      </c>
      <c r="AN1929" s="1">
        <v>100.0</v>
      </c>
      <c r="AO1929" s="1">
        <v>18682.0</v>
      </c>
      <c r="AP1929" s="1">
        <v>24.3</v>
      </c>
      <c r="AQ1929" s="1">
        <v>10.5</v>
      </c>
      <c r="AR1929" s="1">
        <v>24.9</v>
      </c>
      <c r="AS1929" s="1">
        <v>14.3</v>
      </c>
      <c r="AT1929" s="1">
        <v>21.7</v>
      </c>
      <c r="AU1929" s="1">
        <v>21.7</v>
      </c>
      <c r="AV1929" s="1">
        <v>52.8</v>
      </c>
      <c r="AW1929" s="1">
        <v>4.5</v>
      </c>
      <c r="AX1929" s="1">
        <v>0.986</v>
      </c>
      <c r="AY1929" s="1">
        <v>20.2</v>
      </c>
      <c r="AZ1929" s="1">
        <v>18.5</v>
      </c>
      <c r="BA1929" s="1">
        <v>26.5</v>
      </c>
      <c r="BB1929" s="1">
        <v>3.01</v>
      </c>
      <c r="BC1929" s="1" t="s">
        <v>3169</v>
      </c>
      <c r="BD1929" s="1">
        <v>25.0</v>
      </c>
      <c r="BE1929" s="1">
        <v>32.9</v>
      </c>
      <c r="BF1929" s="1">
        <v>31.1</v>
      </c>
      <c r="BG1929" s="1">
        <v>11.0</v>
      </c>
      <c r="BH1929" s="1" t="s">
        <v>3234</v>
      </c>
    </row>
    <row r="1930">
      <c r="A1930" s="1">
        <v>37081.0</v>
      </c>
      <c r="B1930" s="2" t="str">
        <f>IFERROR(__xludf.DUMMYFUNCTION("TO_TEXT(A1930)"),"37081")</f>
        <v>37081</v>
      </c>
      <c r="C1930" s="1">
        <v>511815.0</v>
      </c>
      <c r="D1930" s="1">
        <v>645.76859698485</v>
      </c>
      <c r="E1930" s="1" t="s">
        <v>3235</v>
      </c>
      <c r="F1930" s="1" t="s">
        <v>3236</v>
      </c>
      <c r="G1930" s="1">
        <v>792.567186434443</v>
      </c>
      <c r="H1930" s="1">
        <v>16.261303671</v>
      </c>
      <c r="I1930" s="1">
        <v>3.883337662</v>
      </c>
      <c r="J1930" s="1">
        <v>9.6287352852</v>
      </c>
      <c r="K1930" s="1">
        <v>15.811453025</v>
      </c>
      <c r="L1930" s="1">
        <v>33.4</v>
      </c>
      <c r="M1930" s="1">
        <v>6.8</v>
      </c>
      <c r="N1930" s="1">
        <v>22.2</v>
      </c>
      <c r="O1930" s="1">
        <v>90.3438942189999</v>
      </c>
      <c r="P1930" s="1">
        <v>11.850656472</v>
      </c>
      <c r="Q1930" s="1">
        <v>79.51373</v>
      </c>
      <c r="R1930" s="1">
        <v>89.4</v>
      </c>
      <c r="S1930" s="1">
        <v>23.1</v>
      </c>
      <c r="T1930" s="1">
        <v>116608.0</v>
      </c>
      <c r="U1930" s="1">
        <v>40.114743414</v>
      </c>
      <c r="V1930" s="1">
        <v>452.63944714</v>
      </c>
      <c r="W1930" s="1">
        <v>16.642536196</v>
      </c>
      <c r="X1930" s="1">
        <v>14.173148289</v>
      </c>
      <c r="Y1930" s="1">
        <v>78.254502048</v>
      </c>
      <c r="Z1930" s="1">
        <v>9.6</v>
      </c>
      <c r="AA1930" s="1">
        <v>8.3328216847</v>
      </c>
      <c r="AB1930" s="1">
        <v>52166.0</v>
      </c>
      <c r="AC1930" s="1">
        <v>60.479761622</v>
      </c>
      <c r="AD1930" s="1">
        <v>58.9199481089999</v>
      </c>
      <c r="AE1930" s="1">
        <v>14.371275752</v>
      </c>
      <c r="AF1930" s="1">
        <v>34.169055784</v>
      </c>
      <c r="AG1930" s="1">
        <v>0.7618940544</v>
      </c>
      <c r="AH1930" s="1">
        <v>5.3632394551</v>
      </c>
      <c r="AI1930" s="1">
        <v>0.0948151479</v>
      </c>
      <c r="AJ1930" s="1">
        <v>8.1503550884</v>
      </c>
      <c r="AK1930" s="1">
        <v>49.838851725</v>
      </c>
      <c r="AL1930" s="1">
        <v>2.8067410528</v>
      </c>
      <c r="AM1930" s="1">
        <v>52.651076508</v>
      </c>
      <c r="AN1930" s="1">
        <v>12.694356744</v>
      </c>
      <c r="AO1930" s="1">
        <v>27531.0</v>
      </c>
      <c r="AP1930" s="1">
        <v>17.6</v>
      </c>
      <c r="AQ1930" s="1">
        <v>7.6</v>
      </c>
      <c r="AR1930" s="1">
        <v>11.6</v>
      </c>
      <c r="AS1930" s="1">
        <v>13.7</v>
      </c>
      <c r="AT1930" s="1">
        <v>22.8</v>
      </c>
      <c r="AU1930" s="1">
        <v>10.8</v>
      </c>
      <c r="AV1930" s="1">
        <v>48.0</v>
      </c>
      <c r="AW1930" s="1">
        <v>3.0</v>
      </c>
      <c r="AX1930" s="1">
        <v>0.659</v>
      </c>
      <c r="AY1930" s="1">
        <v>16.0</v>
      </c>
      <c r="AZ1930" s="1">
        <v>13.9</v>
      </c>
      <c r="BA1930" s="1">
        <v>19.0</v>
      </c>
      <c r="BB1930" s="1">
        <v>3.12</v>
      </c>
      <c r="BC1930" s="1" t="s">
        <v>3169</v>
      </c>
      <c r="BD1930" s="1">
        <v>10.9</v>
      </c>
      <c r="BE1930" s="1">
        <v>23.3</v>
      </c>
      <c r="BF1930" s="1">
        <v>29.8</v>
      </c>
      <c r="BG1930" s="1">
        <v>36.0</v>
      </c>
      <c r="BH1930" s="1" t="s">
        <v>3236</v>
      </c>
    </row>
    <row r="1931">
      <c r="A1931" s="1">
        <v>37083.0</v>
      </c>
      <c r="B1931" s="2" t="str">
        <f>IFERROR(__xludf.DUMMYFUNCTION("TO_TEXT(A1931)"),"37083")</f>
        <v>37083</v>
      </c>
      <c r="C1931" s="1">
        <v>52849.0</v>
      </c>
      <c r="D1931" s="1">
        <v>723.732393528528</v>
      </c>
      <c r="E1931" s="1" t="s">
        <v>3237</v>
      </c>
      <c r="F1931" s="1" t="s">
        <v>3238</v>
      </c>
      <c r="G1931" s="1">
        <v>73.0228472188965</v>
      </c>
      <c r="H1931" s="1">
        <v>24.193462632</v>
      </c>
      <c r="I1931" s="1">
        <v>4.6707571242</v>
      </c>
      <c r="J1931" s="1">
        <v>11.722069483</v>
      </c>
      <c r="K1931" s="1">
        <v>20.236613403</v>
      </c>
      <c r="L1931" s="1">
        <v>43.7</v>
      </c>
      <c r="M1931" s="1">
        <v>5.4</v>
      </c>
      <c r="N1931" s="1">
        <v>39.8</v>
      </c>
      <c r="O1931" s="1">
        <v>54.114936644</v>
      </c>
      <c r="P1931" s="1">
        <v>13.501830757</v>
      </c>
      <c r="Q1931" s="1">
        <v>52.62132</v>
      </c>
      <c r="R1931" s="1">
        <v>75.473476703</v>
      </c>
      <c r="S1931" s="1">
        <v>33.6</v>
      </c>
      <c r="T1931" s="1">
        <v>11017.0</v>
      </c>
      <c r="U1931" s="1">
        <v>55.623127893</v>
      </c>
      <c r="V1931" s="1">
        <v>461.36895744</v>
      </c>
      <c r="W1931" s="1">
        <v>19.082182159</v>
      </c>
      <c r="X1931" s="1">
        <v>17.054449508</v>
      </c>
      <c r="Y1931" s="1">
        <v>74.89999629</v>
      </c>
      <c r="Z1931" s="1">
        <v>22.2</v>
      </c>
      <c r="AA1931" s="1">
        <v>9.3862418947</v>
      </c>
      <c r="AB1931" s="1">
        <v>36760.0</v>
      </c>
      <c r="AC1931" s="1">
        <v>80.6159159589999</v>
      </c>
      <c r="AD1931" s="1">
        <v>62.668118962</v>
      </c>
      <c r="AE1931" s="1">
        <v>16.7635066259999</v>
      </c>
      <c r="AF1931" s="1">
        <v>53.104361925</v>
      </c>
      <c r="AG1931" s="1">
        <v>4.009965595</v>
      </c>
      <c r="AH1931" s="1">
        <v>0.875944160999999</v>
      </c>
      <c r="AI1931" s="1">
        <v>0.0711828212</v>
      </c>
      <c r="AJ1931" s="1">
        <v>3.0667932139</v>
      </c>
      <c r="AK1931" s="1">
        <v>38.157946771</v>
      </c>
      <c r="AL1931" s="1">
        <v>0.4814852596</v>
      </c>
      <c r="AM1931" s="1">
        <v>51.987187092</v>
      </c>
      <c r="AN1931" s="1">
        <v>54.705527418</v>
      </c>
      <c r="AO1931" s="1">
        <v>20134.0</v>
      </c>
      <c r="AP1931" s="1">
        <v>26.8</v>
      </c>
      <c r="AQ1931" s="1">
        <v>11.6</v>
      </c>
      <c r="AR1931" s="1">
        <v>23.2</v>
      </c>
      <c r="AS1931" s="1">
        <v>18.5</v>
      </c>
      <c r="AT1931" s="1">
        <v>21.8</v>
      </c>
      <c r="AU1931" s="1">
        <v>21.8</v>
      </c>
      <c r="AV1931" s="1">
        <v>61.1</v>
      </c>
      <c r="AW1931" s="1">
        <v>0.4</v>
      </c>
      <c r="AX1931" s="1">
        <v>0.9608</v>
      </c>
      <c r="AY1931" s="1">
        <v>23.8</v>
      </c>
      <c r="AZ1931" s="1">
        <v>19.9</v>
      </c>
      <c r="BA1931" s="1">
        <v>28.1</v>
      </c>
      <c r="BB1931" s="1">
        <v>2.83</v>
      </c>
      <c r="BC1931" s="1" t="s">
        <v>3169</v>
      </c>
      <c r="BD1931" s="1">
        <v>21.4</v>
      </c>
      <c r="BE1931" s="1">
        <v>37.2</v>
      </c>
      <c r="BF1931" s="1">
        <v>27.0</v>
      </c>
      <c r="BG1931" s="1">
        <v>14.4</v>
      </c>
      <c r="BH1931" s="1" t="s">
        <v>3238</v>
      </c>
    </row>
    <row r="1932">
      <c r="A1932" s="1">
        <v>37085.0</v>
      </c>
      <c r="B1932" s="2" t="str">
        <f>IFERROR(__xludf.DUMMYFUNCTION("TO_TEXT(A1932)"),"37085")</f>
        <v>37085</v>
      </c>
      <c r="C1932" s="1">
        <v>126620.0</v>
      </c>
      <c r="D1932" s="1">
        <v>595.01307208633</v>
      </c>
      <c r="E1932" s="1" t="s">
        <v>3239</v>
      </c>
      <c r="F1932" s="1" t="s">
        <v>3240</v>
      </c>
      <c r="G1932" s="1">
        <v>212.802047450865</v>
      </c>
      <c r="H1932" s="1">
        <v>18.68184096</v>
      </c>
      <c r="I1932" s="1">
        <v>4.1774614142</v>
      </c>
      <c r="J1932" s="1">
        <v>8.4865738247</v>
      </c>
      <c r="K1932" s="1">
        <v>18.910360202</v>
      </c>
      <c r="L1932" s="1">
        <v>33.2</v>
      </c>
      <c r="M1932" s="1">
        <v>7.5</v>
      </c>
      <c r="N1932" s="1">
        <v>27.0</v>
      </c>
      <c r="O1932" s="1">
        <v>55.490155043</v>
      </c>
      <c r="P1932" s="1">
        <v>13.047446064</v>
      </c>
      <c r="Q1932" s="1">
        <v>27.8711</v>
      </c>
      <c r="R1932" s="1">
        <v>86.2</v>
      </c>
      <c r="S1932" s="1">
        <v>19.7</v>
      </c>
      <c r="T1932" s="1">
        <v>34443.0</v>
      </c>
      <c r="U1932" s="1">
        <v>33.025578492</v>
      </c>
      <c r="V1932" s="1">
        <v>242.52905924</v>
      </c>
      <c r="W1932" s="1">
        <v>15.4293017309999</v>
      </c>
      <c r="X1932" s="1">
        <v>13.0148192059999</v>
      </c>
      <c r="Y1932" s="1">
        <v>76.916416607</v>
      </c>
      <c r="Z1932" s="1">
        <v>11.8</v>
      </c>
      <c r="AA1932" s="1">
        <v>3.9242743836</v>
      </c>
      <c r="AB1932" s="1">
        <v>51225.0</v>
      </c>
      <c r="AC1932" s="1">
        <v>57.763975155</v>
      </c>
      <c r="AD1932" s="1">
        <v>64.492303598</v>
      </c>
      <c r="AE1932" s="1">
        <v>12.597692594</v>
      </c>
      <c r="AF1932" s="1">
        <v>20.877851789</v>
      </c>
      <c r="AG1932" s="1">
        <v>1.7062303485</v>
      </c>
      <c r="AH1932" s="1">
        <v>1.3322008136</v>
      </c>
      <c r="AI1932" s="1">
        <v>0.2108572876</v>
      </c>
      <c r="AJ1932" s="1">
        <v>13.012055374</v>
      </c>
      <c r="AK1932" s="1">
        <v>61.068144903</v>
      </c>
      <c r="AL1932" s="1">
        <v>1.8331881714</v>
      </c>
      <c r="AM1932" s="1">
        <v>50.468654537</v>
      </c>
      <c r="AN1932" s="1">
        <v>55.92092642</v>
      </c>
      <c r="AO1932" s="1">
        <v>21214.0</v>
      </c>
      <c r="AP1932" s="1">
        <v>18.3</v>
      </c>
      <c r="AQ1932" s="1">
        <v>10.0</v>
      </c>
      <c r="AR1932" s="1">
        <v>14.2</v>
      </c>
      <c r="AS1932" s="1">
        <v>11.2</v>
      </c>
      <c r="AT1932" s="1">
        <v>27.2</v>
      </c>
      <c r="AU1932" s="1">
        <v>13.7</v>
      </c>
      <c r="AV1932" s="1">
        <v>37.5</v>
      </c>
      <c r="AW1932" s="1">
        <v>1.9</v>
      </c>
      <c r="AX1932" s="1">
        <v>0.7924</v>
      </c>
      <c r="AY1932" s="1">
        <v>15.6</v>
      </c>
      <c r="AZ1932" s="1">
        <v>14.5</v>
      </c>
      <c r="BA1932" s="1">
        <v>19.9</v>
      </c>
      <c r="BB1932" s="1">
        <v>3.14</v>
      </c>
      <c r="BC1932" s="1" t="s">
        <v>3169</v>
      </c>
      <c r="BD1932" s="1">
        <v>12.5</v>
      </c>
      <c r="BE1932" s="1">
        <v>29.9</v>
      </c>
      <c r="BF1932" s="1">
        <v>35.7</v>
      </c>
      <c r="BG1932" s="1">
        <v>21.9</v>
      </c>
      <c r="BH1932" s="1" t="s">
        <v>3240</v>
      </c>
    </row>
    <row r="1933">
      <c r="A1933" s="1">
        <v>37087.0</v>
      </c>
      <c r="B1933" s="2" t="str">
        <f>IFERROR(__xludf.DUMMYFUNCTION("TO_TEXT(A1933)"),"37087")</f>
        <v>37087</v>
      </c>
      <c r="C1933" s="1">
        <v>59577.0</v>
      </c>
      <c r="D1933" s="1">
        <v>553.569285338511</v>
      </c>
      <c r="E1933" s="1" t="s">
        <v>3241</v>
      </c>
      <c r="F1933" s="1" t="s">
        <v>3242</v>
      </c>
      <c r="G1933" s="1">
        <v>107.623384421641</v>
      </c>
      <c r="H1933" s="1">
        <v>15.335968639</v>
      </c>
      <c r="I1933" s="1">
        <v>4.374666082</v>
      </c>
      <c r="J1933" s="1">
        <v>9.4930417495</v>
      </c>
      <c r="K1933" s="1">
        <v>18.181281242</v>
      </c>
      <c r="L1933" s="1">
        <v>31.7</v>
      </c>
      <c r="M1933" s="1">
        <v>7.6</v>
      </c>
      <c r="N1933" s="1">
        <v>25.5</v>
      </c>
      <c r="O1933" s="1">
        <v>86.386272783</v>
      </c>
      <c r="P1933" s="1">
        <v>12.025261324</v>
      </c>
      <c r="Q1933" s="1">
        <v>75.30614</v>
      </c>
      <c r="R1933" s="1">
        <v>85.3</v>
      </c>
      <c r="S1933" s="1">
        <v>21.8</v>
      </c>
      <c r="T1933" s="1">
        <v>10859.0</v>
      </c>
      <c r="U1933" s="1">
        <v>31.411732204</v>
      </c>
      <c r="V1933" s="1">
        <v>277.51690061</v>
      </c>
      <c r="W1933" s="1">
        <v>15.402167712</v>
      </c>
      <c r="X1933" s="1">
        <v>13.424763376</v>
      </c>
      <c r="Y1933" s="1">
        <v>77.152160966</v>
      </c>
      <c r="Z1933" s="1">
        <v>11.4</v>
      </c>
      <c r="AA1933" s="1">
        <v>8.4653138405</v>
      </c>
      <c r="AB1933" s="1">
        <v>47183.0</v>
      </c>
      <c r="AC1933" s="1">
        <v>54.300935551</v>
      </c>
      <c r="AD1933" s="1">
        <v>71.909173755</v>
      </c>
      <c r="AE1933" s="1">
        <v>12.883972625</v>
      </c>
      <c r="AF1933" s="1">
        <v>1.232834713</v>
      </c>
      <c r="AG1933" s="1">
        <v>0.6680544125</v>
      </c>
      <c r="AH1933" s="1">
        <v>0.5583256685</v>
      </c>
      <c r="AI1933" s="1">
        <v>0.050023398</v>
      </c>
      <c r="AJ1933" s="1">
        <v>4.0631908473</v>
      </c>
      <c r="AK1933" s="1">
        <v>92.527149796</v>
      </c>
      <c r="AL1933" s="1">
        <v>0.7469167969</v>
      </c>
      <c r="AM1933" s="1">
        <v>51.6612609119999</v>
      </c>
      <c r="AN1933" s="1">
        <v>55.440748018</v>
      </c>
      <c r="AO1933" s="1">
        <v>26483.0</v>
      </c>
      <c r="AP1933" s="1">
        <v>16.7</v>
      </c>
      <c r="AQ1933" s="1">
        <v>6.0</v>
      </c>
      <c r="AR1933" s="1">
        <v>13.0</v>
      </c>
      <c r="AS1933" s="1">
        <v>23.6</v>
      </c>
      <c r="AT1933" s="1">
        <v>18.5</v>
      </c>
      <c r="AU1933" s="1">
        <v>17.0</v>
      </c>
      <c r="AV1933" s="1">
        <v>6.7</v>
      </c>
      <c r="AW1933" s="1">
        <v>0.6</v>
      </c>
      <c r="AX1933" s="1">
        <v>0.3598</v>
      </c>
      <c r="AY1933" s="1">
        <v>10.6</v>
      </c>
      <c r="AZ1933" s="1">
        <v>13.6</v>
      </c>
      <c r="BA1933" s="1">
        <v>21.0</v>
      </c>
      <c r="BB1933" s="1">
        <v>3.09</v>
      </c>
      <c r="BC1933" s="1" t="s">
        <v>3169</v>
      </c>
      <c r="BD1933" s="1">
        <v>12.0</v>
      </c>
      <c r="BE1933" s="1">
        <v>26.4</v>
      </c>
      <c r="BF1933" s="1">
        <v>35.7</v>
      </c>
      <c r="BG1933" s="1">
        <v>26.0</v>
      </c>
      <c r="BH1933" s="1" t="s">
        <v>3242</v>
      </c>
    </row>
    <row r="1934">
      <c r="A1934" s="1">
        <v>37089.0</v>
      </c>
      <c r="B1934" s="2" t="str">
        <f>IFERROR(__xludf.DUMMYFUNCTION("TO_TEXT(A1934)"),"37089")</f>
        <v>37089</v>
      </c>
      <c r="C1934" s="1">
        <v>110905.0</v>
      </c>
      <c r="D1934" s="1">
        <v>373.064568283686</v>
      </c>
      <c r="E1934" s="1" t="s">
        <v>1205</v>
      </c>
      <c r="F1934" s="1" t="s">
        <v>3243</v>
      </c>
      <c r="G1934" s="1">
        <v>297.280978759863</v>
      </c>
      <c r="H1934" s="1">
        <v>14.896301619</v>
      </c>
      <c r="I1934" s="1">
        <v>3.8162357035</v>
      </c>
      <c r="J1934" s="1">
        <v>7.6410188025</v>
      </c>
      <c r="K1934" s="1">
        <v>13.959955784</v>
      </c>
      <c r="L1934" s="1">
        <v>28.4</v>
      </c>
      <c r="M1934" s="1">
        <v>8.1</v>
      </c>
      <c r="N1934" s="1">
        <v>23.4</v>
      </c>
      <c r="O1934" s="1">
        <v>89.74798576</v>
      </c>
      <c r="P1934" s="1">
        <v>15.2065307259999</v>
      </c>
      <c r="Q1934" s="1">
        <v>89.88143</v>
      </c>
      <c r="R1934" s="1">
        <v>91.4</v>
      </c>
      <c r="S1934" s="1">
        <v>15.5</v>
      </c>
      <c r="T1934" s="1">
        <v>21739.0</v>
      </c>
      <c r="U1934" s="1">
        <v>27.328763973</v>
      </c>
      <c r="V1934" s="1">
        <v>120.84565201</v>
      </c>
      <c r="W1934" s="1">
        <v>13.408534639</v>
      </c>
      <c r="X1934" s="1">
        <v>10.76377699</v>
      </c>
      <c r="Y1934" s="1">
        <v>79.59819798</v>
      </c>
      <c r="Z1934" s="1">
        <v>9.8</v>
      </c>
      <c r="AA1934" s="1">
        <v>7.2045529057</v>
      </c>
      <c r="AB1934" s="1">
        <v>54012.0</v>
      </c>
      <c r="AC1934" s="1">
        <v>50.921477232</v>
      </c>
      <c r="AD1934" s="1">
        <v>72.496427166</v>
      </c>
      <c r="AE1934" s="1">
        <v>10.164526059</v>
      </c>
      <c r="AF1934" s="1">
        <v>3.1709322644</v>
      </c>
      <c r="AG1934" s="1">
        <v>0.6886627608</v>
      </c>
      <c r="AH1934" s="1">
        <v>1.3019494981</v>
      </c>
      <c r="AI1934" s="1">
        <v>0.2201322507</v>
      </c>
      <c r="AJ1934" s="1">
        <v>10.37448179</v>
      </c>
      <c r="AK1934" s="1">
        <v>83.081508891</v>
      </c>
      <c r="AL1934" s="1">
        <v>2.6902013025</v>
      </c>
      <c r="AM1934" s="1">
        <v>52.006886628</v>
      </c>
      <c r="AN1934" s="1">
        <v>33.2705639869999</v>
      </c>
      <c r="AO1934" s="1">
        <v>26534.0</v>
      </c>
      <c r="AP1934" s="1">
        <v>13.3</v>
      </c>
      <c r="AQ1934" s="1">
        <v>4.7</v>
      </c>
      <c r="AR1934" s="1">
        <v>11.3</v>
      </c>
      <c r="AS1934" s="1">
        <v>24.5</v>
      </c>
      <c r="AT1934" s="1">
        <v>19.7</v>
      </c>
      <c r="AU1934" s="1">
        <v>16.1</v>
      </c>
      <c r="AV1934" s="1">
        <v>16.2</v>
      </c>
      <c r="AW1934" s="1">
        <v>3.2</v>
      </c>
      <c r="AX1934" s="1">
        <v>0.447</v>
      </c>
      <c r="AY1934" s="1">
        <v>10.6</v>
      </c>
      <c r="AZ1934" s="1">
        <v>11.8</v>
      </c>
      <c r="BA1934" s="1">
        <v>16.3</v>
      </c>
      <c r="BB1934" s="1">
        <v>2.95</v>
      </c>
      <c r="BC1934" s="1" t="s">
        <v>3169</v>
      </c>
      <c r="BD1934" s="1">
        <v>10.1</v>
      </c>
      <c r="BE1934" s="1">
        <v>24.2</v>
      </c>
      <c r="BF1934" s="1">
        <v>34.0</v>
      </c>
      <c r="BG1934" s="1">
        <v>31.8</v>
      </c>
      <c r="BH1934" s="1" t="s">
        <v>3243</v>
      </c>
    </row>
    <row r="1935">
      <c r="A1935" s="1">
        <v>37091.0</v>
      </c>
      <c r="B1935" s="2" t="str">
        <f>IFERROR(__xludf.DUMMYFUNCTION("TO_TEXT(A1935)"),"37091")</f>
        <v>37091</v>
      </c>
      <c r="C1935" s="1">
        <v>24285.0</v>
      </c>
      <c r="D1935" s="1">
        <v>353.162056906207</v>
      </c>
      <c r="E1935" s="1" t="s">
        <v>3244</v>
      </c>
      <c r="F1935" s="1" t="s">
        <v>3245</v>
      </c>
      <c r="G1935" s="1">
        <v>68.7644652790362</v>
      </c>
      <c r="H1935" s="1">
        <v>23.50295857</v>
      </c>
      <c r="I1935" s="1">
        <v>4.3190879158</v>
      </c>
      <c r="J1935" s="1">
        <v>10.959752322</v>
      </c>
      <c r="K1935" s="1">
        <v>19.332545586</v>
      </c>
      <c r="L1935" s="1">
        <v>46.5</v>
      </c>
      <c r="M1935" s="1">
        <v>6.1</v>
      </c>
      <c r="N1935" s="1">
        <v>42.5</v>
      </c>
      <c r="O1935" s="1">
        <v>59.329522883</v>
      </c>
      <c r="P1935" s="1">
        <v>11.943752225</v>
      </c>
      <c r="Q1935" s="1">
        <v>66.9288</v>
      </c>
      <c r="R1935" s="1">
        <v>85.5</v>
      </c>
      <c r="S1935" s="1">
        <v>31.7</v>
      </c>
      <c r="T1935" s="1">
        <v>4602.0</v>
      </c>
      <c r="U1935" s="1">
        <v>56.431986093</v>
      </c>
      <c r="V1935" s="1">
        <v>303.97721234</v>
      </c>
      <c r="W1935" s="1">
        <v>19.70132108</v>
      </c>
      <c r="X1935" s="1">
        <v>17.779083431</v>
      </c>
      <c r="Y1935" s="1">
        <v>76.935673998</v>
      </c>
      <c r="Z1935" s="1">
        <v>21.7</v>
      </c>
      <c r="AA1935" s="1">
        <v>5.2946957045</v>
      </c>
      <c r="AB1935" s="1">
        <v>38216.0</v>
      </c>
      <c r="AC1935" s="1">
        <v>98.975759645</v>
      </c>
      <c r="AD1935" s="1">
        <v>67.119901112</v>
      </c>
      <c r="AE1935" s="1">
        <v>17.275512609</v>
      </c>
      <c r="AF1935" s="1">
        <v>60.256139313</v>
      </c>
      <c r="AG1935" s="1">
        <v>1.284923285</v>
      </c>
      <c r="AH1935" s="1">
        <v>0.7608098398</v>
      </c>
      <c r="AI1935" s="1">
        <v>0.050720656</v>
      </c>
      <c r="AJ1935" s="1">
        <v>3.842089691</v>
      </c>
      <c r="AK1935" s="1">
        <v>33.002240162</v>
      </c>
      <c r="AL1935" s="1">
        <v>1.006813349</v>
      </c>
      <c r="AM1935" s="1">
        <v>50.872817955</v>
      </c>
      <c r="AN1935" s="1">
        <v>68.636750578</v>
      </c>
      <c r="AO1935" s="1">
        <v>17650.0</v>
      </c>
      <c r="AP1935" s="1">
        <v>24.4</v>
      </c>
      <c r="AQ1935" s="1">
        <v>11.8</v>
      </c>
      <c r="AR1935" s="1">
        <v>19.7</v>
      </c>
      <c r="AS1935" s="1">
        <v>17.6</v>
      </c>
      <c r="AT1935" s="1">
        <v>19.6</v>
      </c>
      <c r="AU1935" s="1">
        <v>19.6</v>
      </c>
      <c r="AV1935" s="1">
        <v>66.2</v>
      </c>
      <c r="AW1935" s="1">
        <v>1.1</v>
      </c>
      <c r="AX1935" s="1">
        <v>0.9656</v>
      </c>
      <c r="AY1935" s="1">
        <v>23.0</v>
      </c>
      <c r="AZ1935" s="1">
        <v>18.9</v>
      </c>
      <c r="BA1935" s="1">
        <v>28.2</v>
      </c>
      <c r="BB1935" s="1">
        <v>2.77</v>
      </c>
      <c r="BC1935" s="1" t="s">
        <v>3169</v>
      </c>
      <c r="BD1935" s="1">
        <v>19.2</v>
      </c>
      <c r="BE1935" s="1">
        <v>32.7</v>
      </c>
      <c r="BF1935" s="1">
        <v>33.2</v>
      </c>
      <c r="BG1935" s="1">
        <v>14.9</v>
      </c>
      <c r="BH1935" s="1" t="s">
        <v>3245</v>
      </c>
    </row>
    <row r="1936">
      <c r="A1936" s="1">
        <v>37093.0</v>
      </c>
      <c r="B1936" s="2" t="str">
        <f>IFERROR(__xludf.DUMMYFUNCTION("TO_TEXT(A1936)"),"37093")</f>
        <v>37093</v>
      </c>
      <c r="C1936" s="1">
        <v>51853.0</v>
      </c>
      <c r="D1936" s="1">
        <v>390.109541075776</v>
      </c>
      <c r="E1936" s="1" t="s">
        <v>3246</v>
      </c>
      <c r="F1936" s="1" t="s">
        <v>3247</v>
      </c>
      <c r="G1936" s="1">
        <v>132.919076670129</v>
      </c>
      <c r="H1936" s="1">
        <v>22.320161836</v>
      </c>
      <c r="I1936" s="1">
        <v>4.3477730399</v>
      </c>
      <c r="J1936" s="1">
        <v>9.4776352831</v>
      </c>
      <c r="K1936" s="1">
        <v>20.208121023</v>
      </c>
      <c r="L1936" s="1">
        <v>37.4</v>
      </c>
      <c r="M1936" s="1">
        <v>6.6</v>
      </c>
      <c r="N1936" s="1">
        <v>28.7</v>
      </c>
      <c r="O1936" s="1">
        <v>20.919236667</v>
      </c>
      <c r="P1936" s="1">
        <v>15.802231788</v>
      </c>
      <c r="Q1936" s="1">
        <v>22.17459</v>
      </c>
      <c r="R1936" s="1">
        <v>81.7</v>
      </c>
      <c r="S1936" s="1">
        <v>25.6</v>
      </c>
      <c r="T1936" s="1">
        <v>14801.0</v>
      </c>
      <c r="U1936" s="1">
        <v>33.896358354</v>
      </c>
      <c r="V1936" s="1">
        <v>123.94172832</v>
      </c>
      <c r="W1936" s="1">
        <v>16.200634189</v>
      </c>
      <c r="X1936" s="1">
        <v>14.472900536</v>
      </c>
      <c r="Y1936" s="1">
        <v>76.515681707</v>
      </c>
      <c r="Z1936" s="1">
        <v>11.9</v>
      </c>
      <c r="AA1936" s="1">
        <v>8.5424357797</v>
      </c>
      <c r="AB1936" s="1">
        <v>47892.0</v>
      </c>
      <c r="AC1936" s="1">
        <v>68.309859155</v>
      </c>
      <c r="AD1936" s="1">
        <v>67.644735357</v>
      </c>
      <c r="AE1936" s="1">
        <v>15.98195203</v>
      </c>
      <c r="AF1936" s="1">
        <v>33.702797458</v>
      </c>
      <c r="AG1936" s="1">
        <v>9.1154773209</v>
      </c>
      <c r="AH1936" s="1">
        <v>1.4827258783</v>
      </c>
      <c r="AI1936" s="1">
        <v>0.4108538456</v>
      </c>
      <c r="AJ1936" s="1">
        <v>13.605653349</v>
      </c>
      <c r="AK1936" s="1">
        <v>39.317800015</v>
      </c>
      <c r="AL1936" s="1">
        <v>2.9803437275</v>
      </c>
      <c r="AM1936" s="1">
        <v>50.575195384</v>
      </c>
      <c r="AN1936" s="1">
        <v>43.150451525</v>
      </c>
      <c r="AO1936" s="1">
        <v>18715.0</v>
      </c>
      <c r="AP1936" s="1">
        <v>22.9</v>
      </c>
      <c r="AQ1936" s="1">
        <v>11.6</v>
      </c>
      <c r="AR1936" s="1">
        <v>15.4</v>
      </c>
      <c r="AS1936" s="1">
        <v>8.2</v>
      </c>
      <c r="AT1936" s="1">
        <v>28.8</v>
      </c>
      <c r="AU1936" s="1">
        <v>14.3</v>
      </c>
      <c r="AV1936" s="1">
        <v>59.2</v>
      </c>
      <c r="AW1936" s="1">
        <v>3.2</v>
      </c>
      <c r="AX1936" s="1">
        <v>0.9067</v>
      </c>
      <c r="AY1936" s="1">
        <v>16.9</v>
      </c>
      <c r="AZ1936" s="1">
        <v>16.7</v>
      </c>
      <c r="BA1936" s="1">
        <v>23.0</v>
      </c>
      <c r="BB1936" s="1">
        <v>2.93</v>
      </c>
      <c r="BC1936" s="1" t="s">
        <v>3169</v>
      </c>
      <c r="BD1936" s="1">
        <v>12.9</v>
      </c>
      <c r="BE1936" s="1">
        <v>28.7</v>
      </c>
      <c r="BF1936" s="1">
        <v>40.6</v>
      </c>
      <c r="BG1936" s="1">
        <v>17.7</v>
      </c>
      <c r="BH1936" s="1" t="s">
        <v>3247</v>
      </c>
    </row>
    <row r="1937">
      <c r="A1937" s="1">
        <v>37095.0</v>
      </c>
      <c r="B1937" s="2" t="str">
        <f>IFERROR(__xludf.DUMMYFUNCTION("TO_TEXT(A1937)"),"37095")</f>
        <v>37095</v>
      </c>
      <c r="C1937" s="1">
        <v>5629.0</v>
      </c>
      <c r="D1937" s="1">
        <v>612.332131738384</v>
      </c>
      <c r="E1937" s="1" t="s">
        <v>3248</v>
      </c>
      <c r="F1937" s="1" t="s">
        <v>3249</v>
      </c>
      <c r="G1937" s="1">
        <v>9.19272353717502</v>
      </c>
      <c r="H1937" s="1">
        <v>18.729128827</v>
      </c>
      <c r="I1937" s="1">
        <v>3.9994542855</v>
      </c>
      <c r="J1937" s="1">
        <v>6.66666666669999</v>
      </c>
      <c r="K1937" s="1">
        <v>17.312000945</v>
      </c>
      <c r="L1937" s="1">
        <v>36.4</v>
      </c>
      <c r="M1937" s="1">
        <v>4.2</v>
      </c>
      <c r="N1937" s="1">
        <v>38.2</v>
      </c>
      <c r="O1937" s="1">
        <v>64.819277108</v>
      </c>
      <c r="P1937" s="1">
        <v>15.663986693</v>
      </c>
      <c r="Q1937" s="1">
        <v>18.64628</v>
      </c>
      <c r="R1937" s="1">
        <v>90.9</v>
      </c>
      <c r="S1937" s="1">
        <v>31.9</v>
      </c>
      <c r="T1937" s="1">
        <v>1165.0</v>
      </c>
      <c r="U1937" s="1">
        <v>36.995708155</v>
      </c>
      <c r="V1937" s="1">
        <v>204.509002055</v>
      </c>
      <c r="W1937" s="1">
        <v>15.762273902</v>
      </c>
      <c r="X1937" s="1">
        <v>12.533333333</v>
      </c>
      <c r="Y1937" s="1">
        <v>77.237907396</v>
      </c>
      <c r="Z1937" s="1">
        <v>20.2</v>
      </c>
      <c r="AA1937" s="1">
        <v>35.387537998</v>
      </c>
      <c r="AB1937" s="1">
        <v>40653.0</v>
      </c>
      <c r="AC1937" s="1">
        <v>74.025974026</v>
      </c>
      <c r="AD1937" s="1">
        <v>68.061051441</v>
      </c>
      <c r="AE1937" s="1">
        <v>11.992504685</v>
      </c>
      <c r="AF1937" s="1">
        <v>28.45124283</v>
      </c>
      <c r="AG1937" s="1">
        <v>0.8413001912</v>
      </c>
      <c r="AH1937" s="1">
        <v>0.8221797323</v>
      </c>
      <c r="AI1937" s="1">
        <v>0.0191204589</v>
      </c>
      <c r="AJ1937" s="1">
        <v>9.1586998088</v>
      </c>
      <c r="AK1937" s="1">
        <v>59.942638623</v>
      </c>
      <c r="AL1937" s="1">
        <v>2.3860747115</v>
      </c>
      <c r="AM1937" s="1">
        <v>45.2772466539999</v>
      </c>
      <c r="AN1937" s="1">
        <v>100.0</v>
      </c>
      <c r="AO1937" s="1">
        <v>18770.0</v>
      </c>
      <c r="AP1937" s="1">
        <v>22.4</v>
      </c>
      <c r="AQ1937" s="1">
        <v>14.3</v>
      </c>
      <c r="AR1937" s="1">
        <v>19.4</v>
      </c>
      <c r="AS1937" s="1">
        <v>16.8</v>
      </c>
      <c r="AT1937" s="1">
        <v>18.2</v>
      </c>
      <c r="AU1937" s="1">
        <v>18.1</v>
      </c>
      <c r="AV1937" s="1">
        <v>39.0</v>
      </c>
      <c r="AW1937" s="1">
        <v>1.1</v>
      </c>
      <c r="AX1937" s="1">
        <v>0.8179</v>
      </c>
      <c r="AY1937" s="1">
        <v>19.2</v>
      </c>
      <c r="AZ1937" s="1">
        <v>18.1</v>
      </c>
      <c r="BA1937" s="1">
        <v>26.6</v>
      </c>
      <c r="BB1937" s="1">
        <v>3.26</v>
      </c>
      <c r="BC1937" s="1" t="s">
        <v>3169</v>
      </c>
      <c r="BD1937" s="1">
        <v>19.2</v>
      </c>
      <c r="BE1937" s="1">
        <v>38.7</v>
      </c>
      <c r="BF1937" s="1">
        <v>32.9</v>
      </c>
      <c r="BG1937" s="1">
        <v>9.2</v>
      </c>
      <c r="BH1937" s="1" t="s">
        <v>3249</v>
      </c>
    </row>
    <row r="1938">
      <c r="A1938" s="1">
        <v>37097.0</v>
      </c>
      <c r="B1938" s="2" t="str">
        <f>IFERROR(__xludf.DUMMYFUNCTION("TO_TEXT(A1938)"),"37097")</f>
        <v>37097</v>
      </c>
      <c r="C1938" s="1">
        <v>167493.0</v>
      </c>
      <c r="D1938" s="1">
        <v>574.19440977511</v>
      </c>
      <c r="E1938" s="1" t="s">
        <v>3250</v>
      </c>
      <c r="F1938" s="1" t="s">
        <v>3251</v>
      </c>
      <c r="G1938" s="1">
        <v>291.700854533921</v>
      </c>
      <c r="H1938" s="1">
        <v>16.003703563</v>
      </c>
      <c r="I1938" s="1">
        <v>4.063579624</v>
      </c>
      <c r="J1938" s="1">
        <v>8.5505329495</v>
      </c>
      <c r="K1938" s="1">
        <v>15.4315938279999</v>
      </c>
      <c r="L1938" s="1">
        <v>31.9</v>
      </c>
      <c r="M1938" s="1">
        <v>8.0</v>
      </c>
      <c r="N1938" s="1">
        <v>25.7</v>
      </c>
      <c r="O1938" s="1">
        <v>66.677747323</v>
      </c>
      <c r="P1938" s="1">
        <v>11.5250896179999</v>
      </c>
      <c r="Q1938" s="1">
        <v>75.69247</v>
      </c>
      <c r="R1938" s="1">
        <v>89.2920838679999</v>
      </c>
      <c r="S1938" s="1">
        <v>13.6</v>
      </c>
      <c r="T1938" s="1">
        <v>40091.0</v>
      </c>
      <c r="U1938" s="1">
        <v>29.9069616619999</v>
      </c>
      <c r="V1938" s="1">
        <v>254.11494634</v>
      </c>
      <c r="W1938" s="1">
        <v>14.1132625779999</v>
      </c>
      <c r="X1938" s="1">
        <v>11.620469083</v>
      </c>
      <c r="Y1938" s="1">
        <v>77.565840537</v>
      </c>
      <c r="Z1938" s="1">
        <v>11.9</v>
      </c>
      <c r="AA1938" s="1">
        <v>5.0861862363</v>
      </c>
      <c r="AB1938" s="1">
        <v>60044.0</v>
      </c>
      <c r="AC1938" s="1">
        <v>35.342456993</v>
      </c>
      <c r="AD1938" s="1">
        <v>71.894062471</v>
      </c>
      <c r="AE1938" s="1">
        <v>10.653148885</v>
      </c>
      <c r="AF1938" s="1">
        <v>11.790848208</v>
      </c>
      <c r="AG1938" s="1">
        <v>0.5520217446</v>
      </c>
      <c r="AH1938" s="1">
        <v>2.7102306162</v>
      </c>
      <c r="AI1938" s="1">
        <v>0.060526242</v>
      </c>
      <c r="AJ1938" s="1">
        <v>7.8095665088</v>
      </c>
      <c r="AK1938" s="1">
        <v>75.78950318</v>
      </c>
      <c r="AL1938" s="1">
        <v>1.7402032999</v>
      </c>
      <c r="AM1938" s="1">
        <v>50.779835795</v>
      </c>
      <c r="AN1938" s="1">
        <v>37.91215339</v>
      </c>
      <c r="AO1938" s="1">
        <v>28268.0</v>
      </c>
      <c r="AP1938" s="1">
        <v>13.3</v>
      </c>
      <c r="AQ1938" s="1">
        <v>8.6</v>
      </c>
      <c r="AR1938" s="1">
        <v>12.1</v>
      </c>
      <c r="AS1938" s="1">
        <v>14.5</v>
      </c>
      <c r="AT1938" s="1">
        <v>24.0</v>
      </c>
      <c r="AU1938" s="1">
        <v>13.0</v>
      </c>
      <c r="AV1938" s="1">
        <v>23.4</v>
      </c>
      <c r="AW1938" s="1">
        <v>1.8</v>
      </c>
      <c r="AX1938" s="1">
        <v>0.469</v>
      </c>
      <c r="AY1938" s="1">
        <v>8.2</v>
      </c>
      <c r="AZ1938" s="1">
        <v>12.1</v>
      </c>
      <c r="BA1938" s="1">
        <v>17.2</v>
      </c>
      <c r="BB1938" s="1">
        <v>3.11</v>
      </c>
      <c r="BC1938" s="1" t="s">
        <v>3169</v>
      </c>
      <c r="BD1938" s="1">
        <v>10.7</v>
      </c>
      <c r="BE1938" s="1">
        <v>28.3</v>
      </c>
      <c r="BF1938" s="1">
        <v>32.6</v>
      </c>
      <c r="BG1938" s="1">
        <v>28.4</v>
      </c>
      <c r="BH1938" s="1" t="s">
        <v>3251</v>
      </c>
    </row>
    <row r="1939">
      <c r="A1939" s="1">
        <v>37099.0</v>
      </c>
      <c r="B1939" s="2" t="str">
        <f>IFERROR(__xludf.DUMMYFUNCTION("TO_TEXT(A1939)"),"37099")</f>
        <v>37099</v>
      </c>
      <c r="C1939" s="1">
        <v>41227.0</v>
      </c>
      <c r="D1939" s="1">
        <v>490.881120214274</v>
      </c>
      <c r="E1939" s="1" t="s">
        <v>130</v>
      </c>
      <c r="F1939" s="1" t="s">
        <v>3252</v>
      </c>
      <c r="G1939" s="1">
        <v>83.9857112084572</v>
      </c>
      <c r="H1939" s="1">
        <v>17.154375979</v>
      </c>
      <c r="I1939" s="1">
        <v>4.4044633531</v>
      </c>
      <c r="J1939" s="1">
        <v>8.3113952614</v>
      </c>
      <c r="K1939" s="1">
        <v>17.5268077</v>
      </c>
      <c r="L1939" s="1">
        <v>28.4</v>
      </c>
      <c r="M1939" s="1">
        <v>6.9</v>
      </c>
      <c r="N1939" s="1">
        <v>29.0</v>
      </c>
      <c r="O1939" s="1">
        <v>99.505847881</v>
      </c>
      <c r="P1939" s="1">
        <v>18.161615511</v>
      </c>
      <c r="Q1939" s="1">
        <v>93.0817</v>
      </c>
      <c r="R1939" s="1">
        <v>92.0</v>
      </c>
      <c r="S1939" s="1">
        <v>21.4</v>
      </c>
      <c r="T1939" s="1">
        <v>7049.0</v>
      </c>
      <c r="U1939" s="1">
        <v>39.11193077</v>
      </c>
      <c r="V1939" s="1">
        <v>214.27274378</v>
      </c>
      <c r="W1939" s="1">
        <v>17.102803738</v>
      </c>
      <c r="X1939" s="1">
        <v>15.47241598</v>
      </c>
      <c r="Y1939" s="1">
        <v>77.705274296</v>
      </c>
      <c r="Z1939" s="1">
        <v>8.2</v>
      </c>
      <c r="AA1939" s="1">
        <v>11.340322293</v>
      </c>
      <c r="AB1939" s="1">
        <v>44502.0</v>
      </c>
      <c r="AC1939" s="1">
        <v>57.35914619</v>
      </c>
      <c r="AD1939" s="1">
        <v>64.535512559</v>
      </c>
      <c r="AE1939" s="1">
        <v>15.307628152</v>
      </c>
      <c r="AF1939" s="1">
        <v>2.1095390865</v>
      </c>
      <c r="AG1939" s="1">
        <v>9.0359360214</v>
      </c>
      <c r="AH1939" s="1">
        <v>1.0455374247</v>
      </c>
      <c r="AI1939" s="1">
        <v>0.0438525631</v>
      </c>
      <c r="AJ1939" s="1">
        <v>5.8693193621</v>
      </c>
      <c r="AK1939" s="1">
        <v>81.0626168439999</v>
      </c>
      <c r="AL1939" s="1">
        <v>1.42906763259999</v>
      </c>
      <c r="AM1939" s="1">
        <v>50.947446165</v>
      </c>
      <c r="AN1939" s="1">
        <v>73.089816493</v>
      </c>
      <c r="AO1939" s="1">
        <v>21903.0</v>
      </c>
      <c r="AP1939" s="1">
        <v>23.1</v>
      </c>
      <c r="AQ1939" s="1">
        <v>5.1</v>
      </c>
      <c r="AR1939" s="1">
        <v>13.2</v>
      </c>
      <c r="AS1939" s="1">
        <v>17.5</v>
      </c>
      <c r="AT1939" s="1">
        <v>17.3</v>
      </c>
      <c r="AU1939" s="1">
        <v>12.7</v>
      </c>
      <c r="AV1939" s="1">
        <v>19.0</v>
      </c>
      <c r="AW1939" s="1">
        <v>1.5</v>
      </c>
      <c r="AX1939" s="1">
        <v>0.6211</v>
      </c>
      <c r="AY1939" s="1">
        <v>19.3</v>
      </c>
      <c r="AZ1939" s="1">
        <v>14.4</v>
      </c>
      <c r="BA1939" s="1">
        <v>20.7</v>
      </c>
      <c r="BB1939" s="1">
        <v>3.07</v>
      </c>
      <c r="BC1939" s="1" t="s">
        <v>3169</v>
      </c>
      <c r="BD1939" s="1">
        <v>10.6</v>
      </c>
      <c r="BE1939" s="1">
        <v>26.8</v>
      </c>
      <c r="BF1939" s="1">
        <v>32.2</v>
      </c>
      <c r="BG1939" s="1">
        <v>30.4</v>
      </c>
      <c r="BH1939" s="1" t="s">
        <v>3252</v>
      </c>
    </row>
    <row r="1940">
      <c r="A1940" s="1">
        <v>37101.0</v>
      </c>
      <c r="B1940" s="2" t="str">
        <f>IFERROR(__xludf.DUMMYFUNCTION("TO_TEXT(A1940)"),"37101")</f>
        <v>37101</v>
      </c>
      <c r="C1940" s="1">
        <v>182155.0</v>
      </c>
      <c r="D1940" s="1">
        <v>791.244313951114</v>
      </c>
      <c r="E1940" s="1" t="s">
        <v>3253</v>
      </c>
      <c r="F1940" s="1" t="s">
        <v>3254</v>
      </c>
      <c r="G1940" s="1">
        <v>230.213344713216</v>
      </c>
      <c r="H1940" s="1">
        <v>16.704347488</v>
      </c>
      <c r="I1940" s="1">
        <v>4.0202548461</v>
      </c>
      <c r="J1940" s="1">
        <v>8.2336648621</v>
      </c>
      <c r="K1940" s="1">
        <v>17.681758712</v>
      </c>
      <c r="L1940" s="1">
        <v>37.2</v>
      </c>
      <c r="M1940" s="1">
        <v>8.3</v>
      </c>
      <c r="N1940" s="1">
        <v>27.4</v>
      </c>
      <c r="O1940" s="1">
        <v>69.601724322</v>
      </c>
      <c r="P1940" s="1">
        <v>14.008850548</v>
      </c>
      <c r="Q1940" s="1">
        <v>27.96023</v>
      </c>
      <c r="R1940" s="1">
        <v>91.8</v>
      </c>
      <c r="S1940" s="1">
        <v>16.7</v>
      </c>
      <c r="T1940" s="1">
        <v>49257.0</v>
      </c>
      <c r="U1940" s="1">
        <v>29.583612481</v>
      </c>
      <c r="V1940" s="1">
        <v>184.85167122</v>
      </c>
      <c r="W1940" s="1">
        <v>13.294843404</v>
      </c>
      <c r="X1940" s="1">
        <v>10.97512199</v>
      </c>
      <c r="Y1940" s="1">
        <v>78.085278532</v>
      </c>
      <c r="Z1940" s="1">
        <v>9.7</v>
      </c>
      <c r="AA1940" s="1">
        <v>1.5345826452</v>
      </c>
      <c r="AB1940" s="1">
        <v>60296.0</v>
      </c>
      <c r="AC1940" s="1">
        <v>41.21347348</v>
      </c>
      <c r="AD1940" s="1">
        <v>71.572802811</v>
      </c>
      <c r="AE1940" s="1">
        <v>10.729633566</v>
      </c>
      <c r="AF1940" s="1">
        <v>15.8342173429999</v>
      </c>
      <c r="AG1940" s="1">
        <v>0.9330208462</v>
      </c>
      <c r="AH1940" s="1">
        <v>0.9039102011</v>
      </c>
      <c r="AI1940" s="1">
        <v>0.1110151721</v>
      </c>
      <c r="AJ1940" s="1">
        <v>13.968175651</v>
      </c>
      <c r="AK1940" s="1">
        <v>67.2258542</v>
      </c>
      <c r="AL1940" s="1">
        <v>2.6434821503</v>
      </c>
      <c r="AM1940" s="1">
        <v>51.010731467</v>
      </c>
      <c r="AN1940" s="1">
        <v>52.036973436</v>
      </c>
      <c r="AO1940" s="1">
        <v>23171.0</v>
      </c>
      <c r="AP1940" s="1">
        <v>14.6</v>
      </c>
      <c r="AQ1940" s="1">
        <v>7.6</v>
      </c>
      <c r="AR1940" s="1">
        <v>15.0</v>
      </c>
      <c r="AS1940" s="1">
        <v>12.2</v>
      </c>
      <c r="AT1940" s="1">
        <v>26.5</v>
      </c>
      <c r="AU1940" s="1">
        <v>13.9</v>
      </c>
      <c r="AV1940" s="1">
        <v>30.9</v>
      </c>
      <c r="AW1940" s="1">
        <v>3.3</v>
      </c>
      <c r="AX1940" s="1">
        <v>0.6039</v>
      </c>
      <c r="AY1940" s="1">
        <v>12.5</v>
      </c>
      <c r="AZ1940" s="1">
        <v>12.6</v>
      </c>
      <c r="BA1940" s="1">
        <v>18.0</v>
      </c>
      <c r="BB1940" s="1">
        <v>3.2</v>
      </c>
      <c r="BC1940" s="1" t="s">
        <v>3169</v>
      </c>
      <c r="BD1940" s="1">
        <v>13.1</v>
      </c>
      <c r="BE1940" s="1">
        <v>27.8</v>
      </c>
      <c r="BF1940" s="1">
        <v>36.2</v>
      </c>
      <c r="BG1940" s="1">
        <v>22.9</v>
      </c>
      <c r="BH1940" s="1" t="s">
        <v>3254</v>
      </c>
    </row>
    <row r="1941">
      <c r="A1941" s="1">
        <v>37103.0</v>
      </c>
      <c r="B1941" s="2" t="str">
        <f>IFERROR(__xludf.DUMMYFUNCTION("TO_TEXT(A1941)"),"37103")</f>
        <v>37103</v>
      </c>
      <c r="C1941" s="1">
        <v>10074.0</v>
      </c>
      <c r="D1941" s="1">
        <v>471.370413563336</v>
      </c>
      <c r="E1941" s="1" t="s">
        <v>940</v>
      </c>
      <c r="F1941" s="1" t="s">
        <v>3255</v>
      </c>
      <c r="G1941" s="1">
        <v>21.371727435851</v>
      </c>
      <c r="H1941" s="1">
        <v>20.750697096</v>
      </c>
      <c r="I1941" s="1">
        <v>4.4330986551</v>
      </c>
      <c r="J1941" s="1">
        <v>8.2442748092</v>
      </c>
      <c r="K1941" s="1">
        <v>18.612754764</v>
      </c>
      <c r="L1941" s="1">
        <v>40.9</v>
      </c>
      <c r="M1941" s="1">
        <v>7.2</v>
      </c>
      <c r="N1941" s="1">
        <v>33.1</v>
      </c>
      <c r="O1941" s="1">
        <v>48.429035753</v>
      </c>
      <c r="P1941" s="1">
        <v>15.558564658</v>
      </c>
      <c r="Q1941" s="1">
        <v>41.67969</v>
      </c>
      <c r="R1941" s="1">
        <v>97.5</v>
      </c>
      <c r="S1941" s="1">
        <v>28.9</v>
      </c>
      <c r="T1941" s="1">
        <v>1819.0</v>
      </c>
      <c r="U1941" s="1">
        <v>41.7262232</v>
      </c>
      <c r="V1941" s="1">
        <v>204.509002055</v>
      </c>
      <c r="W1941" s="1">
        <v>15.217391304</v>
      </c>
      <c r="X1941" s="1">
        <v>13.308823529</v>
      </c>
      <c r="Y1941" s="1">
        <v>76.951901997</v>
      </c>
      <c r="Z1941" s="1">
        <v>29.6</v>
      </c>
      <c r="AA1941" s="1">
        <v>0.00142719049999999</v>
      </c>
      <c r="AB1941" s="1">
        <v>43302.0</v>
      </c>
      <c r="AC1941" s="1">
        <v>97.3821989529999</v>
      </c>
      <c r="AD1941" s="1">
        <v>72.806381436</v>
      </c>
      <c r="AE1941" s="1">
        <v>15.59438708</v>
      </c>
      <c r="AF1941" s="1">
        <v>29.718792155</v>
      </c>
      <c r="AG1941" s="1">
        <v>1.0065373041</v>
      </c>
      <c r="AH1941" s="1">
        <v>0.4877036422</v>
      </c>
      <c r="AI1941" s="1">
        <v>0.041506693</v>
      </c>
      <c r="AJ1941" s="1">
        <v>5.1156999066</v>
      </c>
      <c r="AK1941" s="1">
        <v>62.1355193519999</v>
      </c>
      <c r="AL1941" s="1">
        <v>1.112070827</v>
      </c>
      <c r="AM1941" s="1">
        <v>51.011725641</v>
      </c>
      <c r="AN1941" s="1">
        <v>100.0</v>
      </c>
      <c r="AO1941" s="1">
        <v>20348.0</v>
      </c>
      <c r="AP1941" s="1">
        <v>22.8</v>
      </c>
      <c r="AQ1941" s="1">
        <v>11.5</v>
      </c>
      <c r="AR1941" s="1">
        <v>18.5</v>
      </c>
      <c r="AS1941" s="1">
        <v>22.0</v>
      </c>
      <c r="AT1941" s="1">
        <v>19.0</v>
      </c>
      <c r="AU1941" s="1">
        <v>25.0</v>
      </c>
      <c r="AV1941" s="1">
        <v>37.6</v>
      </c>
      <c r="AW1941" s="1">
        <v>1.1</v>
      </c>
      <c r="AX1941" s="1">
        <v>0.8437</v>
      </c>
      <c r="AY1941" s="1">
        <v>18.8</v>
      </c>
      <c r="AZ1941" s="1">
        <v>19.5</v>
      </c>
      <c r="BA1941" s="1">
        <v>30.8</v>
      </c>
      <c r="BB1941" s="1">
        <v>3.03</v>
      </c>
      <c r="BC1941" s="1" t="s">
        <v>3169</v>
      </c>
      <c r="BD1941" s="1">
        <v>18.9</v>
      </c>
      <c r="BE1941" s="1">
        <v>34.4</v>
      </c>
      <c r="BF1941" s="1">
        <v>34.6</v>
      </c>
      <c r="BG1941" s="1">
        <v>12.2</v>
      </c>
      <c r="BH1941" s="1" t="s">
        <v>3255</v>
      </c>
    </row>
    <row r="1942">
      <c r="A1942" s="1">
        <v>37105.0</v>
      </c>
      <c r="B1942" s="2" t="str">
        <f>IFERROR(__xludf.DUMMYFUNCTION("TO_TEXT(A1942)"),"37105")</f>
        <v>37105</v>
      </c>
      <c r="C1942" s="1">
        <v>59540.0</v>
      </c>
      <c r="D1942" s="1">
        <v>255.05140587876</v>
      </c>
      <c r="E1942" s="1" t="s">
        <v>140</v>
      </c>
      <c r="F1942" s="1" t="s">
        <v>3256</v>
      </c>
      <c r="G1942" s="1">
        <v>233.443135884154</v>
      </c>
      <c r="H1942" s="1">
        <v>18.79597613</v>
      </c>
      <c r="I1942" s="1">
        <v>4.045640839</v>
      </c>
      <c r="J1942" s="1">
        <v>9.87564008779999</v>
      </c>
      <c r="K1942" s="1">
        <v>16.8453556879999</v>
      </c>
      <c r="L1942" s="1">
        <v>32.9</v>
      </c>
      <c r="M1942" s="1">
        <v>7.8</v>
      </c>
      <c r="N1942" s="1">
        <v>23.5</v>
      </c>
      <c r="O1942" s="1">
        <v>79.8586389239999</v>
      </c>
      <c r="P1942" s="1">
        <v>15.026010404</v>
      </c>
      <c r="Q1942" s="1">
        <v>49.64422</v>
      </c>
      <c r="R1942" s="1">
        <v>89.0</v>
      </c>
      <c r="S1942" s="1">
        <v>22.5</v>
      </c>
      <c r="T1942" s="1">
        <v>14815.0</v>
      </c>
      <c r="U1942" s="1">
        <v>39.547755653</v>
      </c>
      <c r="V1942" s="1">
        <v>180.80155355</v>
      </c>
      <c r="W1942" s="1">
        <v>15.105386417</v>
      </c>
      <c r="X1942" s="1">
        <v>12.400568182</v>
      </c>
      <c r="Y1942" s="1">
        <v>76.27154433</v>
      </c>
      <c r="Z1942" s="1">
        <v>11.3</v>
      </c>
      <c r="AA1942" s="1">
        <v>4.5213734585</v>
      </c>
      <c r="AB1942" s="1">
        <v>48984.0</v>
      </c>
      <c r="AC1942" s="1">
        <v>64.1522423289999</v>
      </c>
      <c r="AD1942" s="1">
        <v>66.634473878</v>
      </c>
      <c r="AE1942" s="1">
        <v>13.43318732</v>
      </c>
      <c r="AF1942" s="1">
        <v>19.115732604</v>
      </c>
      <c r="AG1942" s="1">
        <v>1.27416520209999</v>
      </c>
      <c r="AH1942" s="1">
        <v>1.4271301178</v>
      </c>
      <c r="AI1942" s="1">
        <v>0.1676104927</v>
      </c>
      <c r="AJ1942" s="1">
        <v>19.537199766</v>
      </c>
      <c r="AK1942" s="1">
        <v>57.784937838</v>
      </c>
      <c r="AL1942" s="1">
        <v>4.8165137615</v>
      </c>
      <c r="AM1942" s="1">
        <v>51.077263555</v>
      </c>
      <c r="AN1942" s="1">
        <v>42.764317561</v>
      </c>
      <c r="AO1942" s="1">
        <v>22389.0</v>
      </c>
      <c r="AP1942" s="1">
        <v>18.3</v>
      </c>
      <c r="AQ1942" s="1">
        <v>9.4</v>
      </c>
      <c r="AR1942" s="1">
        <v>19.0</v>
      </c>
      <c r="AS1942" s="1">
        <v>15.1</v>
      </c>
      <c r="AT1942" s="1">
        <v>25.3</v>
      </c>
      <c r="AU1942" s="1">
        <v>14.1</v>
      </c>
      <c r="AV1942" s="1">
        <v>41.6</v>
      </c>
      <c r="AW1942" s="1">
        <v>5.6</v>
      </c>
      <c r="AX1942" s="1">
        <v>0.8602</v>
      </c>
      <c r="AY1942" s="1">
        <v>14.2</v>
      </c>
      <c r="AZ1942" s="1">
        <v>14.2</v>
      </c>
      <c r="BA1942" s="1">
        <v>19.4</v>
      </c>
      <c r="BB1942" s="1">
        <v>2.81</v>
      </c>
      <c r="BC1942" s="1" t="s">
        <v>3169</v>
      </c>
      <c r="BD1942" s="1">
        <v>16.5</v>
      </c>
      <c r="BE1942" s="1">
        <v>26.8</v>
      </c>
      <c r="BF1942" s="1">
        <v>35.1</v>
      </c>
      <c r="BG1942" s="1">
        <v>21.5</v>
      </c>
      <c r="BH1942" s="1" t="s">
        <v>3256</v>
      </c>
    </row>
    <row r="1943">
      <c r="A1943" s="1">
        <v>37107.0</v>
      </c>
      <c r="B1943" s="2" t="str">
        <f>IFERROR(__xludf.DUMMYFUNCTION("TO_TEXT(A1943)"),"37107")</f>
        <v>37107</v>
      </c>
      <c r="C1943" s="1">
        <v>58343.0</v>
      </c>
      <c r="D1943" s="1">
        <v>399.086619140346</v>
      </c>
      <c r="E1943" s="1" t="s">
        <v>3257</v>
      </c>
      <c r="F1943" s="1" t="s">
        <v>3258</v>
      </c>
      <c r="G1943" s="1">
        <v>146.191320885862</v>
      </c>
      <c r="H1943" s="1">
        <v>21.5742701659999</v>
      </c>
      <c r="I1943" s="1">
        <v>4.4982958932</v>
      </c>
      <c r="J1943" s="1">
        <v>10.490130849</v>
      </c>
      <c r="K1943" s="1">
        <v>19.316118167</v>
      </c>
      <c r="L1943" s="1">
        <v>33.4</v>
      </c>
      <c r="M1943" s="1">
        <v>6.5</v>
      </c>
      <c r="N1943" s="1">
        <v>29.7</v>
      </c>
      <c r="O1943" s="1">
        <v>53.7641818639999</v>
      </c>
      <c r="P1943" s="1">
        <v>13.460040505</v>
      </c>
      <c r="Q1943" s="1">
        <v>45.70786</v>
      </c>
      <c r="R1943" s="1">
        <v>84.6</v>
      </c>
      <c r="S1943" s="1">
        <v>37.7</v>
      </c>
      <c r="T1943" s="1">
        <v>12467.0</v>
      </c>
      <c r="U1943" s="1">
        <v>47.3490013639999</v>
      </c>
      <c r="V1943" s="1">
        <v>752.81220458</v>
      </c>
      <c r="W1943" s="1">
        <v>16.597870954</v>
      </c>
      <c r="X1943" s="1">
        <v>13.445931125</v>
      </c>
      <c r="Y1943" s="1">
        <v>75.13132968</v>
      </c>
      <c r="Z1943" s="1">
        <v>17.8</v>
      </c>
      <c r="AA1943" s="1">
        <v>6.0141729297</v>
      </c>
      <c r="AB1943" s="1">
        <v>40433.0</v>
      </c>
      <c r="AC1943" s="1">
        <v>98.579736077</v>
      </c>
      <c r="AD1943" s="1">
        <v>59.422170321</v>
      </c>
      <c r="AE1943" s="1">
        <v>14.6655850009999</v>
      </c>
      <c r="AF1943" s="1">
        <v>40.926468486</v>
      </c>
      <c r="AG1943" s="1">
        <v>0.6413462913</v>
      </c>
      <c r="AH1943" s="1">
        <v>0.803915964</v>
      </c>
      <c r="AI1943" s="1">
        <v>0.1822209518</v>
      </c>
      <c r="AJ1943" s="1">
        <v>7.5389452623</v>
      </c>
      <c r="AK1943" s="1">
        <v>49.190724596</v>
      </c>
      <c r="AL1943" s="1">
        <v>2.1853973197</v>
      </c>
      <c r="AM1943" s="1">
        <v>52.372445334</v>
      </c>
      <c r="AN1943" s="1">
        <v>45.005462644</v>
      </c>
      <c r="AO1943" s="1">
        <v>20773.0</v>
      </c>
      <c r="AP1943" s="1">
        <v>22.1</v>
      </c>
      <c r="AQ1943" s="1">
        <v>12.5</v>
      </c>
      <c r="AR1943" s="1">
        <v>19.7</v>
      </c>
      <c r="AS1943" s="1">
        <v>17.9</v>
      </c>
      <c r="AT1943" s="1">
        <v>22.8</v>
      </c>
      <c r="AU1943" s="1">
        <v>23.3</v>
      </c>
      <c r="AV1943" s="1">
        <v>49.9</v>
      </c>
      <c r="AW1943" s="1">
        <v>2.9</v>
      </c>
      <c r="AX1943" s="1">
        <v>0.9825</v>
      </c>
      <c r="AY1943" s="1">
        <v>23.1</v>
      </c>
      <c r="AZ1943" s="1">
        <v>18.9</v>
      </c>
      <c r="BA1943" s="1">
        <v>27.7</v>
      </c>
      <c r="BB1943" s="1">
        <v>2.62</v>
      </c>
      <c r="BC1943" s="1" t="s">
        <v>3169</v>
      </c>
      <c r="BD1943" s="1">
        <v>20.3</v>
      </c>
      <c r="BE1943" s="1">
        <v>31.9</v>
      </c>
      <c r="BF1943" s="1">
        <v>32.8</v>
      </c>
      <c r="BG1943" s="1">
        <v>14.9</v>
      </c>
      <c r="BH1943" s="1" t="s">
        <v>3258</v>
      </c>
    </row>
    <row r="1944">
      <c r="A1944" s="1">
        <v>37109.0</v>
      </c>
      <c r="B1944" s="2" t="str">
        <f>IFERROR(__xludf.DUMMYFUNCTION("TO_TEXT(A1944)"),"37109")</f>
        <v>37109</v>
      </c>
      <c r="C1944" s="1">
        <v>79783.0</v>
      </c>
      <c r="D1944" s="1">
        <v>295.861342486748</v>
      </c>
      <c r="E1944" s="1" t="s">
        <v>353</v>
      </c>
      <c r="F1944" s="1" t="s">
        <v>3259</v>
      </c>
      <c r="G1944" s="1">
        <v>269.663482661894</v>
      </c>
      <c r="H1944" s="1">
        <v>15.863118678</v>
      </c>
      <c r="I1944" s="1">
        <v>4.1039071681</v>
      </c>
      <c r="J1944" s="1">
        <v>8.2181948681</v>
      </c>
      <c r="K1944" s="1">
        <v>16.214111018</v>
      </c>
      <c r="L1944" s="1">
        <v>37.0</v>
      </c>
      <c r="M1944" s="1">
        <v>8.1</v>
      </c>
      <c r="N1944" s="1">
        <v>22.7</v>
      </c>
      <c r="O1944" s="1">
        <v>69.102408484</v>
      </c>
      <c r="P1944" s="1">
        <v>12.6546947459999</v>
      </c>
      <c r="Q1944" s="1">
        <v>47.32837</v>
      </c>
      <c r="R1944" s="1">
        <v>89.9</v>
      </c>
      <c r="S1944" s="1">
        <v>14.6</v>
      </c>
      <c r="T1944" s="1">
        <v>17389.0</v>
      </c>
      <c r="U1944" s="1">
        <v>28.489274829</v>
      </c>
      <c r="V1944" s="1">
        <v>153.24818172</v>
      </c>
      <c r="W1944" s="1">
        <v>12.479581836</v>
      </c>
      <c r="X1944" s="1">
        <v>10.167246233</v>
      </c>
      <c r="Y1944" s="1">
        <v>77.313440622</v>
      </c>
      <c r="Z1944" s="1">
        <v>12.1</v>
      </c>
      <c r="AA1944" s="1">
        <v>4.6995018707</v>
      </c>
      <c r="AB1944" s="1">
        <v>62963.0</v>
      </c>
      <c r="AC1944" s="1">
        <v>39.817966553</v>
      </c>
      <c r="AD1944" s="1">
        <v>76.431828118</v>
      </c>
      <c r="AE1944" s="1">
        <v>9.6774193548</v>
      </c>
      <c r="AF1944" s="1">
        <v>5.4016951176</v>
      </c>
      <c r="AG1944" s="1">
        <v>0.4619792288</v>
      </c>
      <c r="AH1944" s="1">
        <v>0.7472842306</v>
      </c>
      <c r="AI1944" s="1">
        <v>0.0525247702</v>
      </c>
      <c r="AJ1944" s="1">
        <v>7.1612749194</v>
      </c>
      <c r="AK1944" s="1">
        <v>85.032827981</v>
      </c>
      <c r="AL1944" s="1">
        <v>1.0022372522</v>
      </c>
      <c r="AM1944" s="1">
        <v>50.34737973</v>
      </c>
      <c r="AN1944" s="1">
        <v>54.553120808</v>
      </c>
      <c r="AO1944" s="1">
        <v>26352.0</v>
      </c>
      <c r="AP1944" s="1">
        <v>15.1</v>
      </c>
      <c r="AQ1944" s="1">
        <v>8.9</v>
      </c>
      <c r="AR1944" s="1">
        <v>16.1</v>
      </c>
      <c r="AS1944" s="1">
        <v>15.6</v>
      </c>
      <c r="AT1944" s="1">
        <v>22.1</v>
      </c>
      <c r="AU1944" s="1">
        <v>15.4</v>
      </c>
      <c r="AV1944" s="1">
        <v>14.7</v>
      </c>
      <c r="AW1944" s="1">
        <v>1.6</v>
      </c>
      <c r="AX1944" s="1">
        <v>0.3903</v>
      </c>
      <c r="AY1944" s="1">
        <v>9.0</v>
      </c>
      <c r="AZ1944" s="1">
        <v>12.9</v>
      </c>
      <c r="BA1944" s="1">
        <v>19.1</v>
      </c>
      <c r="BB1944" s="1">
        <v>2.84</v>
      </c>
      <c r="BC1944" s="1" t="s">
        <v>3169</v>
      </c>
      <c r="BD1944" s="1">
        <v>12.1</v>
      </c>
      <c r="BE1944" s="1">
        <v>31.1</v>
      </c>
      <c r="BF1944" s="1">
        <v>33.8</v>
      </c>
      <c r="BG1944" s="1">
        <v>23.0</v>
      </c>
      <c r="BH1944" s="1" t="s">
        <v>3259</v>
      </c>
    </row>
    <row r="1945">
      <c r="A1945" s="1">
        <v>37111.0</v>
      </c>
      <c r="B1945" s="2" t="str">
        <f>IFERROR(__xludf.DUMMYFUNCTION("TO_TEXT(A1945)"),"37111")</f>
        <v>37111</v>
      </c>
      <c r="C1945" s="1">
        <v>45013.0</v>
      </c>
      <c r="D1945" s="1">
        <v>439.953909269924</v>
      </c>
      <c r="E1945" s="1" t="s">
        <v>3260</v>
      </c>
      <c r="F1945" s="1" t="s">
        <v>3261</v>
      </c>
      <c r="G1945" s="1">
        <v>102.312990182759</v>
      </c>
      <c r="H1945" s="1">
        <v>17.239174778</v>
      </c>
      <c r="I1945" s="1">
        <v>4.4950636853</v>
      </c>
      <c r="J1945" s="1">
        <v>10.173775671</v>
      </c>
      <c r="K1945" s="1">
        <v>18.565702742</v>
      </c>
      <c r="L1945" s="1">
        <v>40.0</v>
      </c>
      <c r="M1945" s="1">
        <v>8.0</v>
      </c>
      <c r="N1945" s="1">
        <v>34.3</v>
      </c>
      <c r="O1945" s="1">
        <v>84.629744866</v>
      </c>
      <c r="P1945" s="1">
        <v>12.8872719</v>
      </c>
      <c r="Q1945" s="1">
        <v>28.78717</v>
      </c>
      <c r="R1945" s="1">
        <v>85.2</v>
      </c>
      <c r="S1945" s="1">
        <v>21.4</v>
      </c>
      <c r="T1945" s="1">
        <v>9210.0</v>
      </c>
      <c r="U1945" s="1">
        <v>35.55917481</v>
      </c>
      <c r="V1945" s="1">
        <v>157.62317855</v>
      </c>
      <c r="W1945" s="1">
        <v>11.547212742</v>
      </c>
      <c r="X1945" s="1">
        <v>8.6809008482</v>
      </c>
      <c r="Y1945" s="1">
        <v>76.6030258839999</v>
      </c>
      <c r="Z1945" s="1">
        <v>12.8</v>
      </c>
      <c r="AA1945" s="1">
        <v>2.1760119865</v>
      </c>
      <c r="AB1945" s="1">
        <v>43972.0</v>
      </c>
      <c r="AC1945" s="1">
        <v>82.959048877</v>
      </c>
      <c r="AD1945" s="1">
        <v>71.833416848</v>
      </c>
      <c r="AE1945" s="1">
        <v>8.5785773859</v>
      </c>
      <c r="AF1945" s="1">
        <v>3.720306766</v>
      </c>
      <c r="AG1945" s="1">
        <v>0.8328389039</v>
      </c>
      <c r="AH1945" s="1">
        <v>1.1229041686</v>
      </c>
      <c r="AI1945" s="1">
        <v>0.052739139</v>
      </c>
      <c r="AJ1945" s="1">
        <v>6.2605752961</v>
      </c>
      <c r="AK1945" s="1">
        <v>87.349199024</v>
      </c>
      <c r="AL1945" s="1">
        <v>1.1637341493</v>
      </c>
      <c r="AM1945" s="1">
        <v>50.093392225</v>
      </c>
      <c r="AN1945" s="1">
        <v>70.301804605</v>
      </c>
      <c r="AO1945" s="1">
        <v>19233.0</v>
      </c>
      <c r="AP1945" s="1">
        <v>20.0</v>
      </c>
      <c r="AQ1945" s="1">
        <v>9.8</v>
      </c>
      <c r="AR1945" s="1">
        <v>17.6</v>
      </c>
      <c r="AS1945" s="1">
        <v>18.3</v>
      </c>
      <c r="AT1945" s="1">
        <v>21.1</v>
      </c>
      <c r="AU1945" s="1">
        <v>20.7</v>
      </c>
      <c r="AV1945" s="1">
        <v>12.0</v>
      </c>
      <c r="AW1945" s="1">
        <v>1.2</v>
      </c>
      <c r="AX1945" s="1">
        <v>0.8704</v>
      </c>
      <c r="AY1945" s="1">
        <v>13.6</v>
      </c>
      <c r="AZ1945" s="1">
        <v>15.5</v>
      </c>
      <c r="BA1945" s="1">
        <v>21.8</v>
      </c>
      <c r="BB1945" s="1">
        <v>2.91</v>
      </c>
      <c r="BC1945" s="1" t="s">
        <v>3169</v>
      </c>
      <c r="BD1945" s="1">
        <v>16.1</v>
      </c>
      <c r="BE1945" s="1">
        <v>32.4</v>
      </c>
      <c r="BF1945" s="1">
        <v>34.1</v>
      </c>
      <c r="BG1945" s="1">
        <v>17.4</v>
      </c>
      <c r="BH1945" s="1" t="s">
        <v>3261</v>
      </c>
    </row>
    <row r="1946">
      <c r="A1946" s="1">
        <v>37113.0</v>
      </c>
      <c r="B1946" s="2" t="str">
        <f>IFERROR(__xludf.DUMMYFUNCTION("TO_TEXT(A1946)"),"37113")</f>
        <v>37113</v>
      </c>
      <c r="C1946" s="1">
        <v>33991.0</v>
      </c>
      <c r="D1946" s="1">
        <v>515.584442006546</v>
      </c>
      <c r="E1946" s="1" t="s">
        <v>146</v>
      </c>
      <c r="F1946" s="1" t="s">
        <v>3262</v>
      </c>
      <c r="G1946" s="1">
        <v>65.9271250849118</v>
      </c>
      <c r="H1946" s="1">
        <v>16.198657248</v>
      </c>
      <c r="I1946" s="1">
        <v>4.25417650529999</v>
      </c>
      <c r="J1946" s="1">
        <v>8.2001682086</v>
      </c>
      <c r="K1946" s="1">
        <v>15.914126635</v>
      </c>
      <c r="L1946" s="1">
        <v>28.8</v>
      </c>
      <c r="M1946" s="1">
        <v>8.0</v>
      </c>
      <c r="N1946" s="1">
        <v>26.0</v>
      </c>
      <c r="O1946" s="1">
        <v>100.0</v>
      </c>
      <c r="P1946" s="1">
        <v>15.590876001</v>
      </c>
      <c r="Q1946" s="1">
        <v>71.97973</v>
      </c>
      <c r="R1946" s="1">
        <v>91.2</v>
      </c>
      <c r="S1946" s="1">
        <v>26.1</v>
      </c>
      <c r="T1946" s="1">
        <v>6252.0</v>
      </c>
      <c r="U1946" s="1">
        <v>28.758797185</v>
      </c>
      <c r="V1946" s="1">
        <v>110.02552592</v>
      </c>
      <c r="W1946" s="1">
        <v>13.835031219</v>
      </c>
      <c r="X1946" s="1">
        <v>11.891165603</v>
      </c>
      <c r="Y1946" s="1">
        <v>77.446104202</v>
      </c>
      <c r="Z1946" s="1">
        <v>13.6</v>
      </c>
      <c r="AA1946" s="1">
        <v>3.1952844434</v>
      </c>
      <c r="AB1946" s="1">
        <v>46426.0</v>
      </c>
      <c r="AC1946" s="1">
        <v>60.054533061</v>
      </c>
      <c r="AD1946" s="1">
        <v>72.756226511</v>
      </c>
      <c r="AE1946" s="1">
        <v>11.9733027709999</v>
      </c>
      <c r="AF1946" s="1">
        <v>1.280997591</v>
      </c>
      <c r="AG1946" s="1">
        <v>0.8218789854</v>
      </c>
      <c r="AH1946" s="1">
        <v>1.0372679609</v>
      </c>
      <c r="AI1946" s="1">
        <v>0.0566813093</v>
      </c>
      <c r="AJ1946" s="1">
        <v>7.2013603514</v>
      </c>
      <c r="AK1946" s="1">
        <v>88.998157857</v>
      </c>
      <c r="AL1946" s="1">
        <v>1.6927918844</v>
      </c>
      <c r="AM1946" s="1">
        <v>51.492135468</v>
      </c>
      <c r="AN1946" s="1">
        <v>80.010022994</v>
      </c>
      <c r="AO1946" s="1">
        <v>25195.0</v>
      </c>
      <c r="AP1946" s="1">
        <v>18.4</v>
      </c>
      <c r="AQ1946" s="1">
        <v>5.8</v>
      </c>
      <c r="AR1946" s="1">
        <v>12.3</v>
      </c>
      <c r="AS1946" s="1">
        <v>26.7</v>
      </c>
      <c r="AT1946" s="1">
        <v>19.0</v>
      </c>
      <c r="AU1946" s="1">
        <v>17.0</v>
      </c>
      <c r="AV1946" s="1">
        <v>10.3</v>
      </c>
      <c r="AW1946" s="1">
        <v>1.7</v>
      </c>
      <c r="AX1946" s="1">
        <v>0.4155</v>
      </c>
      <c r="AY1946" s="1">
        <v>14.3</v>
      </c>
      <c r="AZ1946" s="1">
        <v>14.5</v>
      </c>
      <c r="BA1946" s="1">
        <v>22.7</v>
      </c>
      <c r="BB1946" s="1">
        <v>2.99</v>
      </c>
      <c r="BC1946" s="1" t="s">
        <v>3169</v>
      </c>
      <c r="BD1946" s="1">
        <v>10.7</v>
      </c>
      <c r="BE1946" s="1">
        <v>31.0</v>
      </c>
      <c r="BF1946" s="1">
        <v>34.4</v>
      </c>
      <c r="BG1946" s="1">
        <v>23.8</v>
      </c>
      <c r="BH1946" s="1" t="s">
        <v>3262</v>
      </c>
    </row>
    <row r="1947">
      <c r="A1947" s="1">
        <v>37115.0</v>
      </c>
      <c r="B1947" s="2" t="str">
        <f>IFERROR(__xludf.DUMMYFUNCTION("TO_TEXT(A1947)"),"37115")</f>
        <v>37115</v>
      </c>
      <c r="C1947" s="1">
        <v>21130.0</v>
      </c>
      <c r="D1947" s="1">
        <v>449.614894826419</v>
      </c>
      <c r="E1947" s="1" t="s">
        <v>148</v>
      </c>
      <c r="F1947" s="1" t="s">
        <v>3263</v>
      </c>
      <c r="G1947" s="1">
        <v>46.9957740349272</v>
      </c>
      <c r="H1947" s="1">
        <v>15.711321274</v>
      </c>
      <c r="I1947" s="1">
        <v>4.2244350945</v>
      </c>
      <c r="J1947" s="1">
        <v>8.7943262411</v>
      </c>
      <c r="K1947" s="1">
        <v>16.834797645</v>
      </c>
      <c r="L1947" s="1">
        <v>26.8</v>
      </c>
      <c r="M1947" s="1">
        <v>7.7</v>
      </c>
      <c r="N1947" s="1">
        <v>26.6</v>
      </c>
      <c r="O1947" s="1">
        <v>62.72394529</v>
      </c>
      <c r="P1947" s="1">
        <v>12.606611467</v>
      </c>
      <c r="Q1947" s="1">
        <v>59.78111</v>
      </c>
      <c r="R1947" s="1">
        <v>86.6</v>
      </c>
      <c r="S1947" s="1">
        <v>23.0</v>
      </c>
      <c r="T1947" s="1">
        <v>3800.0</v>
      </c>
      <c r="U1947" s="1">
        <v>29.263157895</v>
      </c>
      <c r="V1947" s="1">
        <v>32.944754181</v>
      </c>
      <c r="W1947" s="1">
        <v>14.047619048</v>
      </c>
      <c r="X1947" s="1">
        <v>11.327327327</v>
      </c>
      <c r="Y1947" s="1">
        <v>77.376603195</v>
      </c>
      <c r="Z1947" s="1">
        <v>6.8</v>
      </c>
      <c r="AA1947" s="1">
        <v>6.3953946255</v>
      </c>
      <c r="AB1947" s="1">
        <v>44693.0</v>
      </c>
      <c r="AC1947" s="1">
        <v>50.591327201</v>
      </c>
      <c r="AD1947" s="1">
        <v>72.562707052</v>
      </c>
      <c r="AE1947" s="1">
        <v>11.7527346729999</v>
      </c>
      <c r="AF1947" s="1">
        <v>1.4336258788</v>
      </c>
      <c r="AG1947" s="1">
        <v>0.5284197951</v>
      </c>
      <c r="AH1947" s="1">
        <v>0.5008500666</v>
      </c>
      <c r="AI1947" s="1">
        <v>0.0459495474</v>
      </c>
      <c r="AJ1947" s="1">
        <v>2.4169461931</v>
      </c>
      <c r="AK1947" s="1">
        <v>93.884115241</v>
      </c>
      <c r="AL1947" s="1">
        <v>0.4792410387</v>
      </c>
      <c r="AM1947" s="1">
        <v>50.714515462</v>
      </c>
      <c r="AN1947" s="1">
        <v>90.618377962</v>
      </c>
      <c r="AO1947" s="1">
        <v>22278.0</v>
      </c>
      <c r="AP1947" s="1">
        <v>16.6</v>
      </c>
      <c r="AQ1947" s="1">
        <v>7.2</v>
      </c>
      <c r="AR1947" s="1">
        <v>17.5</v>
      </c>
      <c r="AS1947" s="1">
        <v>19.9</v>
      </c>
      <c r="AT1947" s="1">
        <v>18.4</v>
      </c>
      <c r="AU1947" s="1">
        <v>15.0</v>
      </c>
      <c r="AV1947" s="1">
        <v>5.9</v>
      </c>
      <c r="AW1947" s="1">
        <v>1.0</v>
      </c>
      <c r="AX1947" s="1">
        <v>0.5301</v>
      </c>
      <c r="AY1947" s="1">
        <v>14.6</v>
      </c>
      <c r="AZ1947" s="1">
        <v>14.7</v>
      </c>
      <c r="BA1947" s="1">
        <v>21.7</v>
      </c>
      <c r="BB1947" s="1">
        <v>3.16</v>
      </c>
      <c r="BC1947" s="1" t="s">
        <v>3169</v>
      </c>
      <c r="BD1947" s="1">
        <v>13.0</v>
      </c>
      <c r="BE1947" s="1">
        <v>31.3</v>
      </c>
      <c r="BF1947" s="1">
        <v>27.2</v>
      </c>
      <c r="BG1947" s="1">
        <v>28.5</v>
      </c>
      <c r="BH1947" s="1" t="s">
        <v>3263</v>
      </c>
    </row>
    <row r="1948">
      <c r="A1948" s="1">
        <v>37117.0</v>
      </c>
      <c r="B1948" s="2" t="str">
        <f>IFERROR(__xludf.DUMMYFUNCTION("TO_TEXT(A1948)"),"37117")</f>
        <v>37117</v>
      </c>
      <c r="C1948" s="1">
        <v>23510.0</v>
      </c>
      <c r="D1948" s="1">
        <v>456.424694719835</v>
      </c>
      <c r="E1948" s="1" t="s">
        <v>750</v>
      </c>
      <c r="F1948" s="1" t="s">
        <v>3264</v>
      </c>
      <c r="G1948" s="1">
        <v>51.5090446945054</v>
      </c>
      <c r="H1948" s="1">
        <v>21.7120933969999</v>
      </c>
      <c r="I1948" s="1">
        <v>4.4862055779</v>
      </c>
      <c r="J1948" s="1">
        <v>12.5</v>
      </c>
      <c r="K1948" s="1">
        <v>19.243701566</v>
      </c>
      <c r="L1948" s="1">
        <v>43.1</v>
      </c>
      <c r="M1948" s="1">
        <v>7.0</v>
      </c>
      <c r="N1948" s="1">
        <v>22.9</v>
      </c>
      <c r="O1948" s="1">
        <v>51.732299531</v>
      </c>
      <c r="P1948" s="1">
        <v>10.936604379</v>
      </c>
      <c r="Q1948" s="1">
        <v>43.88082</v>
      </c>
      <c r="R1948" s="1">
        <v>69.5</v>
      </c>
      <c r="S1948" s="1">
        <v>30.6</v>
      </c>
      <c r="T1948" s="1">
        <v>4764.0</v>
      </c>
      <c r="U1948" s="1">
        <v>46.347607053</v>
      </c>
      <c r="V1948" s="1">
        <v>432.47409437</v>
      </c>
      <c r="W1948" s="1">
        <v>14.285714286</v>
      </c>
      <c r="X1948" s="1">
        <v>12.53634895</v>
      </c>
      <c r="Y1948" s="1">
        <v>75.084339935</v>
      </c>
      <c r="Z1948" s="1">
        <v>13.0</v>
      </c>
      <c r="AA1948" s="1">
        <v>1.3703058827</v>
      </c>
      <c r="AB1948" s="1">
        <v>43569.0</v>
      </c>
      <c r="AC1948" s="1">
        <v>84.7596407819999</v>
      </c>
      <c r="AD1948" s="1">
        <v>69.749762433</v>
      </c>
      <c r="AE1948" s="1">
        <v>14.4989821309999</v>
      </c>
      <c r="AF1948" s="1">
        <v>41.722905915</v>
      </c>
      <c r="AG1948" s="1">
        <v>0.48961228</v>
      </c>
      <c r="AH1948" s="1">
        <v>0.5601870231</v>
      </c>
      <c r="AI1948" s="1">
        <v>0.189669622</v>
      </c>
      <c r="AJ1948" s="1">
        <v>4.1594989193</v>
      </c>
      <c r="AK1948" s="1">
        <v>52.066516695</v>
      </c>
      <c r="AL1948" s="1">
        <v>0.5224325191</v>
      </c>
      <c r="AM1948" s="1">
        <v>52.992810198</v>
      </c>
      <c r="AN1948" s="1">
        <v>78.122832075</v>
      </c>
      <c r="AO1948" s="1">
        <v>21149.0</v>
      </c>
      <c r="AP1948" s="1">
        <v>20.2</v>
      </c>
      <c r="AQ1948" s="1">
        <v>13.1</v>
      </c>
      <c r="AR1948" s="1">
        <v>16.3</v>
      </c>
      <c r="AS1948" s="1">
        <v>20.6</v>
      </c>
      <c r="AT1948" s="1">
        <v>20.9</v>
      </c>
      <c r="AU1948" s="1">
        <v>19.2</v>
      </c>
      <c r="AV1948" s="1">
        <v>47.9</v>
      </c>
      <c r="AW1948" s="1">
        <v>0.5</v>
      </c>
      <c r="AX1948" s="1">
        <v>0.8001</v>
      </c>
      <c r="AY1948" s="1">
        <v>20.6</v>
      </c>
      <c r="AZ1948" s="1">
        <v>16.7</v>
      </c>
      <c r="BA1948" s="1">
        <v>23.6</v>
      </c>
      <c r="BB1948" s="1">
        <v>2.75</v>
      </c>
      <c r="BC1948" s="1" t="s">
        <v>3169</v>
      </c>
      <c r="BD1948" s="1">
        <v>16.6</v>
      </c>
      <c r="BE1948" s="1">
        <v>33.9</v>
      </c>
      <c r="BF1948" s="1">
        <v>33.1</v>
      </c>
      <c r="BG1948" s="1">
        <v>16.4</v>
      </c>
      <c r="BH1948" s="1" t="s">
        <v>3264</v>
      </c>
    </row>
    <row r="1949">
      <c r="A1949" s="1">
        <v>37119.0</v>
      </c>
      <c r="B1949" s="2" t="str">
        <f>IFERROR(__xludf.DUMMYFUNCTION("TO_TEXT(A1949)"),"37119")</f>
        <v>37119</v>
      </c>
      <c r="C1949" s="1">
        <v>1011774.0</v>
      </c>
      <c r="D1949" s="1">
        <v>523.599175507992</v>
      </c>
      <c r="E1949" s="1" t="s">
        <v>3265</v>
      </c>
      <c r="F1949" s="1" t="s">
        <v>3266</v>
      </c>
      <c r="G1949" s="1">
        <v>1932.34452483311</v>
      </c>
      <c r="H1949" s="1">
        <v>15.35144379</v>
      </c>
      <c r="I1949" s="1">
        <v>3.757315206</v>
      </c>
      <c r="J1949" s="1">
        <v>9.3915827544</v>
      </c>
      <c r="K1949" s="1">
        <v>13.91919475</v>
      </c>
      <c r="L1949" s="1">
        <v>28.0</v>
      </c>
      <c r="M1949" s="1">
        <v>7.4</v>
      </c>
      <c r="N1949" s="1">
        <v>18.6</v>
      </c>
      <c r="O1949" s="1">
        <v>92.253824372</v>
      </c>
      <c r="P1949" s="1">
        <v>12.7282973709999</v>
      </c>
      <c r="Q1949" s="1">
        <v>87.29269</v>
      </c>
      <c r="R1949" s="1">
        <v>85.1</v>
      </c>
      <c r="S1949" s="1">
        <v>17.5</v>
      </c>
      <c r="T1949" s="1">
        <v>252069.0</v>
      </c>
      <c r="U1949" s="1">
        <v>35.521623048</v>
      </c>
      <c r="V1949" s="1">
        <v>583.79122539</v>
      </c>
      <c r="W1949" s="1">
        <v>16.265301638</v>
      </c>
      <c r="X1949" s="1">
        <v>14.15138878</v>
      </c>
      <c r="Y1949" s="1">
        <v>80.358177488</v>
      </c>
      <c r="Z1949" s="1">
        <v>8.5</v>
      </c>
      <c r="AA1949" s="1">
        <v>5.4459411502</v>
      </c>
      <c r="AB1949" s="1">
        <v>64509.0</v>
      </c>
      <c r="AC1949" s="1">
        <v>55.890896166</v>
      </c>
      <c r="AD1949" s="1">
        <v>56.474107041</v>
      </c>
      <c r="AE1949" s="1">
        <v>14.217003855</v>
      </c>
      <c r="AF1949" s="1">
        <v>31.4693011519999</v>
      </c>
      <c r="AG1949" s="1">
        <v>0.7818806272</v>
      </c>
      <c r="AH1949" s="1">
        <v>6.3620930962</v>
      </c>
      <c r="AI1949" s="1">
        <v>0.1029343606</v>
      </c>
      <c r="AJ1949" s="1">
        <v>13.561647718</v>
      </c>
      <c r="AK1949" s="1">
        <v>46.406119018</v>
      </c>
      <c r="AL1949" s="1">
        <v>4.7745692734</v>
      </c>
      <c r="AM1949" s="1">
        <v>51.913930054</v>
      </c>
      <c r="AN1949" s="1">
        <v>1.06543080459999</v>
      </c>
      <c r="AO1949" s="1">
        <v>34091.0</v>
      </c>
      <c r="AP1949" s="1">
        <v>14.2</v>
      </c>
      <c r="AQ1949" s="1">
        <v>7.9</v>
      </c>
      <c r="AR1949" s="1">
        <v>10.4</v>
      </c>
      <c r="AS1949" s="1">
        <v>10.0</v>
      </c>
      <c r="AT1949" s="1">
        <v>24.6</v>
      </c>
      <c r="AU1949" s="1">
        <v>8.8</v>
      </c>
      <c r="AV1949" s="1">
        <v>51.5</v>
      </c>
      <c r="AW1949" s="1">
        <v>4.7</v>
      </c>
      <c r="AX1949" s="1">
        <v>0.5088</v>
      </c>
      <c r="AY1949" s="1">
        <v>10.3</v>
      </c>
      <c r="AZ1949" s="1">
        <v>12.0</v>
      </c>
      <c r="BA1949" s="1">
        <v>15.2</v>
      </c>
      <c r="BB1949" s="1">
        <v>3.36</v>
      </c>
      <c r="BC1949" s="1" t="s">
        <v>3169</v>
      </c>
      <c r="BD1949" s="1">
        <v>9.7</v>
      </c>
      <c r="BE1949" s="1">
        <v>17.0</v>
      </c>
      <c r="BF1949" s="1">
        <v>27.9</v>
      </c>
      <c r="BG1949" s="1">
        <v>45.4</v>
      </c>
      <c r="BH1949" s="1" t="s">
        <v>3266</v>
      </c>
    </row>
    <row r="1950">
      <c r="A1950" s="1">
        <v>37121.0</v>
      </c>
      <c r="B1950" s="2" t="str">
        <f>IFERROR(__xludf.DUMMYFUNCTION("TO_TEXT(A1950)"),"37121")</f>
        <v>37121</v>
      </c>
      <c r="C1950" s="1">
        <v>15263.0</v>
      </c>
      <c r="D1950" s="1">
        <v>221.251120964816</v>
      </c>
      <c r="E1950" s="1" t="s">
        <v>965</v>
      </c>
      <c r="F1950" s="1" t="s">
        <v>3267</v>
      </c>
      <c r="G1950" s="1">
        <v>68.98496122163</v>
      </c>
      <c r="H1950" s="1">
        <v>15.9471905959999</v>
      </c>
      <c r="I1950" s="1">
        <v>4.1346984572</v>
      </c>
      <c r="J1950" s="1">
        <v>8.45771144279999</v>
      </c>
      <c r="K1950" s="1">
        <v>15.701850892</v>
      </c>
      <c r="L1950" s="1">
        <v>27.0</v>
      </c>
      <c r="M1950" s="1">
        <v>7.7</v>
      </c>
      <c r="N1950" s="1">
        <v>25.5</v>
      </c>
      <c r="O1950" s="1">
        <v>100.0</v>
      </c>
      <c r="P1950" s="1">
        <v>14.16689026</v>
      </c>
      <c r="Q1950" s="1">
        <v>59.71338</v>
      </c>
      <c r="R1950" s="1">
        <v>84.9</v>
      </c>
      <c r="S1950" s="1">
        <v>23.9</v>
      </c>
      <c r="T1950" s="1">
        <v>2661.0</v>
      </c>
      <c r="U1950" s="1">
        <v>26.1180007519999</v>
      </c>
      <c r="V1950" s="1">
        <v>204.509002055</v>
      </c>
      <c r="W1950" s="1">
        <v>13.862928349</v>
      </c>
      <c r="X1950" s="1">
        <v>13.017377567</v>
      </c>
      <c r="Y1950" s="1">
        <v>76.315052443</v>
      </c>
      <c r="Z1950" s="1">
        <v>17.0</v>
      </c>
      <c r="AA1950" s="1">
        <v>6.508531482</v>
      </c>
      <c r="AB1950" s="1">
        <v>43967.0</v>
      </c>
      <c r="AC1950" s="1">
        <v>53.9802440439999</v>
      </c>
      <c r="AD1950" s="1">
        <v>80.317560132</v>
      </c>
      <c r="AE1950" s="1">
        <v>11.91062921</v>
      </c>
      <c r="AF1950" s="1">
        <v>0.46</v>
      </c>
      <c r="AG1950" s="1">
        <v>0.92</v>
      </c>
      <c r="AH1950" s="1">
        <v>0.6666666667</v>
      </c>
      <c r="AI1950" s="1">
        <v>0.173333333299999</v>
      </c>
      <c r="AJ1950" s="1">
        <v>5.8</v>
      </c>
      <c r="AK1950" s="1">
        <v>91.786666667</v>
      </c>
      <c r="AL1950" s="1">
        <v>0.8767657087</v>
      </c>
      <c r="AM1950" s="1">
        <v>50.713333333</v>
      </c>
      <c r="AN1950" s="1">
        <v>82.643301881</v>
      </c>
      <c r="AO1950" s="1">
        <v>22130.0</v>
      </c>
      <c r="AP1950" s="1">
        <v>18.0</v>
      </c>
      <c r="AQ1950" s="1">
        <v>6.6</v>
      </c>
      <c r="AR1950" s="1">
        <v>18.3</v>
      </c>
      <c r="AS1950" s="1">
        <v>23.1</v>
      </c>
      <c r="AT1950" s="1">
        <v>18.5</v>
      </c>
      <c r="AU1950" s="1">
        <v>21.8</v>
      </c>
      <c r="AV1950" s="1">
        <v>6.9</v>
      </c>
      <c r="AW1950" s="1">
        <v>0.9</v>
      </c>
      <c r="AX1950" s="1">
        <v>0.5489</v>
      </c>
      <c r="AY1950" s="1">
        <v>14.8</v>
      </c>
      <c r="AZ1950" s="1">
        <v>14.5</v>
      </c>
      <c r="BA1950" s="1">
        <v>21.2</v>
      </c>
      <c r="BB1950" s="1">
        <v>3.14</v>
      </c>
      <c r="BC1950" s="1" t="s">
        <v>3169</v>
      </c>
      <c r="BD1950" s="1">
        <v>14.8</v>
      </c>
      <c r="BE1950" s="1">
        <v>33.0</v>
      </c>
      <c r="BF1950" s="1">
        <v>31.7</v>
      </c>
      <c r="BG1950" s="1">
        <v>20.5</v>
      </c>
      <c r="BH1950" s="1" t="s">
        <v>3267</v>
      </c>
    </row>
    <row r="1951">
      <c r="A1951" s="1">
        <v>37123.0</v>
      </c>
      <c r="B1951" s="2" t="str">
        <f>IFERROR(__xludf.DUMMYFUNCTION("TO_TEXT(A1951)"),"37123")</f>
        <v>37123</v>
      </c>
      <c r="C1951" s="1">
        <v>27475.0</v>
      </c>
      <c r="D1951" s="1">
        <v>491.52432869438</v>
      </c>
      <c r="E1951" s="1" t="s">
        <v>160</v>
      </c>
      <c r="F1951" s="1" t="s">
        <v>3268</v>
      </c>
      <c r="G1951" s="1">
        <v>55.8975383232422</v>
      </c>
      <c r="H1951" s="1">
        <v>19.899421093</v>
      </c>
      <c r="I1951" s="1">
        <v>4.2708547029</v>
      </c>
      <c r="J1951" s="1">
        <v>10.508796957</v>
      </c>
      <c r="K1951" s="1">
        <v>17.544425581</v>
      </c>
      <c r="L1951" s="1">
        <v>36.5</v>
      </c>
      <c r="M1951" s="1">
        <v>7.9</v>
      </c>
      <c r="N1951" s="1">
        <v>38.5</v>
      </c>
      <c r="O1951" s="1">
        <v>72.825383121</v>
      </c>
      <c r="P1951" s="1">
        <v>16.304920703</v>
      </c>
      <c r="Q1951" s="1">
        <v>25.51485</v>
      </c>
      <c r="R1951" s="1">
        <v>89.6</v>
      </c>
      <c r="S1951" s="1">
        <v>26.1</v>
      </c>
      <c r="T1951" s="1">
        <v>6213.0</v>
      </c>
      <c r="U1951" s="1">
        <v>35.425720264</v>
      </c>
      <c r="V1951" s="1">
        <v>237.36412788</v>
      </c>
      <c r="W1951" s="1">
        <v>16.187384045</v>
      </c>
      <c r="X1951" s="1">
        <v>12.316437707</v>
      </c>
      <c r="Y1951" s="1">
        <v>77.53318707</v>
      </c>
      <c r="Z1951" s="1">
        <v>14.8</v>
      </c>
      <c r="AA1951" s="1">
        <v>0.5772188345</v>
      </c>
      <c r="AB1951" s="1">
        <v>47757.0</v>
      </c>
      <c r="AC1951" s="1">
        <v>72.3209876539999</v>
      </c>
      <c r="AD1951" s="1">
        <v>72.653923735</v>
      </c>
      <c r="AE1951" s="1">
        <v>11.959550098</v>
      </c>
      <c r="AF1951" s="1">
        <v>18.305159327</v>
      </c>
      <c r="AG1951" s="1">
        <v>1.0670675809</v>
      </c>
      <c r="AH1951" s="1">
        <v>1.5877672253</v>
      </c>
      <c r="AI1951" s="1">
        <v>0.0586703825</v>
      </c>
      <c r="AJ1951" s="1">
        <v>15.433977485</v>
      </c>
      <c r="AK1951" s="1">
        <v>63.085328737</v>
      </c>
      <c r="AL1951" s="1">
        <v>4.0154888674</v>
      </c>
      <c r="AM1951" s="1">
        <v>51.1715742</v>
      </c>
      <c r="AN1951" s="1">
        <v>76.836463055</v>
      </c>
      <c r="AO1951" s="1">
        <v>20007.0</v>
      </c>
      <c r="AP1951" s="1">
        <v>21.9</v>
      </c>
      <c r="AQ1951" s="1">
        <v>8.8</v>
      </c>
      <c r="AR1951" s="1">
        <v>23.6</v>
      </c>
      <c r="AS1951" s="1">
        <v>18.4</v>
      </c>
      <c r="AT1951" s="1">
        <v>23.2</v>
      </c>
      <c r="AU1951" s="1">
        <v>14.5</v>
      </c>
      <c r="AV1951" s="1">
        <v>36.7</v>
      </c>
      <c r="AW1951" s="1">
        <v>5.2</v>
      </c>
      <c r="AX1951" s="1">
        <v>0.9507</v>
      </c>
      <c r="AY1951" s="1">
        <v>16.1</v>
      </c>
      <c r="AZ1951" s="1">
        <v>14.5</v>
      </c>
      <c r="BA1951" s="1">
        <v>20.9</v>
      </c>
      <c r="BB1951" s="1">
        <v>2.66</v>
      </c>
      <c r="BC1951" s="1" t="s">
        <v>3169</v>
      </c>
      <c r="BD1951" s="1">
        <v>20.5</v>
      </c>
      <c r="BE1951" s="1">
        <v>34.6</v>
      </c>
      <c r="BF1951" s="1">
        <v>29.3</v>
      </c>
      <c r="BG1951" s="1">
        <v>15.7</v>
      </c>
      <c r="BH1951" s="1" t="s">
        <v>3268</v>
      </c>
    </row>
    <row r="1952">
      <c r="A1952" s="1">
        <v>37125.0</v>
      </c>
      <c r="B1952" s="2" t="str">
        <f>IFERROR(__xludf.DUMMYFUNCTION("TO_TEXT(A1952)"),"37125")</f>
        <v>37125</v>
      </c>
      <c r="C1952" s="1">
        <v>93070.0</v>
      </c>
      <c r="D1952" s="1">
        <v>697.671599266678</v>
      </c>
      <c r="E1952" s="1" t="s">
        <v>3269</v>
      </c>
      <c r="F1952" s="1" t="s">
        <v>3270</v>
      </c>
      <c r="G1952" s="1">
        <v>133.400872413075</v>
      </c>
      <c r="H1952" s="1">
        <v>15.0773619909999</v>
      </c>
      <c r="I1952" s="1">
        <v>3.9907644559</v>
      </c>
      <c r="J1952" s="1">
        <v>8.8084991931</v>
      </c>
      <c r="K1952" s="1">
        <v>14.276149569</v>
      </c>
      <c r="L1952" s="1">
        <v>26.3</v>
      </c>
      <c r="M1952" s="1">
        <v>8.0</v>
      </c>
      <c r="N1952" s="1">
        <v>26.9</v>
      </c>
      <c r="O1952" s="1">
        <v>69.33153535</v>
      </c>
      <c r="P1952" s="1">
        <v>11.863239088</v>
      </c>
      <c r="Q1952" s="1">
        <v>112.06613</v>
      </c>
      <c r="R1952" s="1">
        <v>89.4</v>
      </c>
      <c r="S1952" s="1">
        <v>14.9</v>
      </c>
      <c r="T1952" s="1">
        <v>20202.0</v>
      </c>
      <c r="U1952" s="1">
        <v>29.6158796159999</v>
      </c>
      <c r="V1952" s="1">
        <v>155.40525751</v>
      </c>
      <c r="W1952" s="1">
        <v>12.6704620679999</v>
      </c>
      <c r="X1952" s="1">
        <v>11.276681434</v>
      </c>
      <c r="Y1952" s="1">
        <v>79.357025706</v>
      </c>
      <c r="Z1952" s="1">
        <v>11.2</v>
      </c>
      <c r="AA1952" s="1">
        <v>4.1679696384</v>
      </c>
      <c r="AB1952" s="1">
        <v>59471.0</v>
      </c>
      <c r="AC1952" s="1">
        <v>39.507352941</v>
      </c>
      <c r="AD1952" s="1">
        <v>75.331707943</v>
      </c>
      <c r="AE1952" s="1">
        <v>12.231561751</v>
      </c>
      <c r="AF1952" s="1">
        <v>11.870452565</v>
      </c>
      <c r="AG1952" s="1">
        <v>0.9292474818</v>
      </c>
      <c r="AH1952" s="1">
        <v>1.5686751383</v>
      </c>
      <c r="AI1952" s="1">
        <v>0.1682171014</v>
      </c>
      <c r="AJ1952" s="1">
        <v>6.7986056221</v>
      </c>
      <c r="AK1952" s="1">
        <v>77.25015707</v>
      </c>
      <c r="AL1952" s="1">
        <v>1.3626393105</v>
      </c>
      <c r="AM1952" s="1">
        <v>51.826067571</v>
      </c>
      <c r="AN1952" s="1">
        <v>50.65781273</v>
      </c>
      <c r="AO1952" s="1">
        <v>29679.0</v>
      </c>
      <c r="AP1952" s="1">
        <v>14.6</v>
      </c>
      <c r="AQ1952" s="1">
        <v>7.3</v>
      </c>
      <c r="AR1952" s="1">
        <v>10.4</v>
      </c>
      <c r="AS1952" s="1">
        <v>23.8</v>
      </c>
      <c r="AT1952" s="1">
        <v>21.3</v>
      </c>
      <c r="AU1952" s="1">
        <v>15.0</v>
      </c>
      <c r="AV1952" s="1">
        <v>22.7</v>
      </c>
      <c r="AW1952" s="1">
        <v>1.6</v>
      </c>
      <c r="AX1952" s="1">
        <v>0.4101</v>
      </c>
      <c r="AY1952" s="1">
        <v>11.3</v>
      </c>
      <c r="AZ1952" s="1">
        <v>12.8</v>
      </c>
      <c r="BA1952" s="1">
        <v>18.7</v>
      </c>
      <c r="BB1952" s="1">
        <v>3.43</v>
      </c>
      <c r="BC1952" s="1" t="s">
        <v>3169</v>
      </c>
      <c r="BD1952" s="1">
        <v>9.3</v>
      </c>
      <c r="BE1952" s="1">
        <v>21.6</v>
      </c>
      <c r="BF1952" s="1">
        <v>31.6</v>
      </c>
      <c r="BG1952" s="1">
        <v>37.4</v>
      </c>
      <c r="BH1952" s="1" t="s">
        <v>3270</v>
      </c>
    </row>
    <row r="1953">
      <c r="A1953" s="1">
        <v>37127.0</v>
      </c>
      <c r="B1953" s="2" t="str">
        <f>IFERROR(__xludf.DUMMYFUNCTION("TO_TEXT(A1953)"),"37127")</f>
        <v>37127</v>
      </c>
      <c r="C1953" s="1">
        <v>94385.0</v>
      </c>
      <c r="D1953" s="1">
        <v>540.442303054828</v>
      </c>
      <c r="E1953" s="1" t="s">
        <v>3271</v>
      </c>
      <c r="F1953" s="1" t="s">
        <v>3272</v>
      </c>
      <c r="G1953" s="1">
        <v>174.643989684917</v>
      </c>
      <c r="H1953" s="1">
        <v>19.674727936</v>
      </c>
      <c r="I1953" s="1">
        <v>4.137706997</v>
      </c>
      <c r="J1953" s="1">
        <v>9.3001471966</v>
      </c>
      <c r="K1953" s="1">
        <v>18.299857696</v>
      </c>
      <c r="L1953" s="1">
        <v>41.9</v>
      </c>
      <c r="M1953" s="1">
        <v>6.8</v>
      </c>
      <c r="N1953" s="1">
        <v>25.3</v>
      </c>
      <c r="O1953" s="1">
        <v>46.439899833</v>
      </c>
      <c r="P1953" s="1">
        <v>12.301344336</v>
      </c>
      <c r="Q1953" s="1">
        <v>56.38838</v>
      </c>
      <c r="R1953" s="1">
        <v>82.8</v>
      </c>
      <c r="S1953" s="1">
        <v>22.8</v>
      </c>
      <c r="T1953" s="1">
        <v>20754.0</v>
      </c>
      <c r="U1953" s="1">
        <v>40.560855739</v>
      </c>
      <c r="V1953" s="1">
        <v>444.15117775</v>
      </c>
      <c r="W1953" s="1">
        <v>15.417121047</v>
      </c>
      <c r="X1953" s="1">
        <v>12.539616922</v>
      </c>
      <c r="Y1953" s="1">
        <v>75.1469014119999</v>
      </c>
      <c r="Z1953" s="1">
        <v>14.9</v>
      </c>
      <c r="AA1953" s="1">
        <v>5.675646584</v>
      </c>
      <c r="AB1953" s="1">
        <v>50122.0</v>
      </c>
      <c r="AC1953" s="1">
        <v>75.1150256339999</v>
      </c>
      <c r="AD1953" s="1">
        <v>65.669934641</v>
      </c>
      <c r="AE1953" s="1">
        <v>13.250843002</v>
      </c>
      <c r="AF1953" s="1">
        <v>40.432479578</v>
      </c>
      <c r="AG1953" s="1">
        <v>0.9987661675</v>
      </c>
      <c r="AH1953" s="1">
        <v>1.0317392784</v>
      </c>
      <c r="AI1953" s="1">
        <v>0.0808373043</v>
      </c>
      <c r="AJ1953" s="1">
        <v>7.0817733152</v>
      </c>
      <c r="AK1953" s="1">
        <v>49.372447243</v>
      </c>
      <c r="AL1953" s="1">
        <v>1.3593786986</v>
      </c>
      <c r="AM1953" s="1">
        <v>52.065605854</v>
      </c>
      <c r="AN1953" s="1">
        <v>47.562604341</v>
      </c>
      <c r="AO1953" s="1">
        <v>24106.0</v>
      </c>
      <c r="AP1953" s="1">
        <v>17.4</v>
      </c>
      <c r="AQ1953" s="1">
        <v>9.5</v>
      </c>
      <c r="AR1953" s="1">
        <v>15.9</v>
      </c>
      <c r="AS1953" s="1">
        <v>16.3</v>
      </c>
      <c r="AT1953" s="1">
        <v>22.8</v>
      </c>
      <c r="AU1953" s="1">
        <v>16.1</v>
      </c>
      <c r="AV1953" s="1">
        <v>48.5</v>
      </c>
      <c r="AW1953" s="1">
        <v>1.3</v>
      </c>
      <c r="AX1953" s="1">
        <v>0.8606</v>
      </c>
      <c r="AY1953" s="1">
        <v>16.4</v>
      </c>
      <c r="AZ1953" s="1">
        <v>15.4</v>
      </c>
      <c r="BA1953" s="1">
        <v>21.4</v>
      </c>
      <c r="BB1953" s="1">
        <v>2.7</v>
      </c>
      <c r="BC1953" s="1" t="s">
        <v>3169</v>
      </c>
      <c r="BD1953" s="1">
        <v>14.4</v>
      </c>
      <c r="BE1953" s="1">
        <v>33.7</v>
      </c>
      <c r="BF1953" s="1">
        <v>31.1</v>
      </c>
      <c r="BG1953" s="1">
        <v>20.8</v>
      </c>
      <c r="BH1953" s="1" t="s">
        <v>3272</v>
      </c>
    </row>
    <row r="1954">
      <c r="A1954" s="1">
        <v>37129.0</v>
      </c>
      <c r="B1954" s="2" t="str">
        <f>IFERROR(__xludf.DUMMYFUNCTION("TO_TEXT(A1954)"),"37129")</f>
        <v>37129</v>
      </c>
      <c r="C1954" s="1">
        <v>216430.0</v>
      </c>
      <c r="D1954" s="1">
        <v>191.887017528396</v>
      </c>
      <c r="E1954" s="1" t="s">
        <v>3273</v>
      </c>
      <c r="F1954" s="1" t="s">
        <v>3274</v>
      </c>
      <c r="G1954" s="1">
        <v>1127.90329844994</v>
      </c>
      <c r="H1954" s="1">
        <v>15.825482193</v>
      </c>
      <c r="I1954" s="1">
        <v>4.2683146796</v>
      </c>
      <c r="J1954" s="1">
        <v>7.9679246484</v>
      </c>
      <c r="K1954" s="1">
        <v>15.852352644</v>
      </c>
      <c r="L1954" s="1">
        <v>26.4</v>
      </c>
      <c r="M1954" s="1">
        <v>7.2</v>
      </c>
      <c r="N1954" s="1">
        <v>22.8</v>
      </c>
      <c r="O1954" s="1">
        <v>89.321399142</v>
      </c>
      <c r="P1954" s="1">
        <v>12.258971246</v>
      </c>
      <c r="Q1954" s="1">
        <v>93.75083</v>
      </c>
      <c r="R1954" s="1">
        <v>86.0</v>
      </c>
      <c r="S1954" s="1">
        <v>19.3</v>
      </c>
      <c r="T1954" s="1">
        <v>41949.0</v>
      </c>
      <c r="U1954" s="1">
        <v>37.030680112</v>
      </c>
      <c r="V1954" s="1">
        <v>446.98656747</v>
      </c>
      <c r="W1954" s="1">
        <v>19.464285714</v>
      </c>
      <c r="X1954" s="1">
        <v>17.743490839</v>
      </c>
      <c r="Y1954" s="1">
        <v>79.237937752</v>
      </c>
      <c r="Z1954" s="1">
        <v>7.6</v>
      </c>
      <c r="AA1954" s="1">
        <v>7.6676919586</v>
      </c>
      <c r="AB1954" s="1">
        <v>53419.0</v>
      </c>
      <c r="AC1954" s="1">
        <v>49.131646655</v>
      </c>
      <c r="AD1954" s="1">
        <v>57.213037721</v>
      </c>
      <c r="AE1954" s="1">
        <v>18.721264368</v>
      </c>
      <c r="AF1954" s="1">
        <v>13.2378139609999</v>
      </c>
      <c r="AG1954" s="1">
        <v>0.5626975038</v>
      </c>
      <c r="AH1954" s="1">
        <v>1.5615178625</v>
      </c>
      <c r="AI1954" s="1">
        <v>0.1119367643</v>
      </c>
      <c r="AJ1954" s="1">
        <v>5.6071708413</v>
      </c>
      <c r="AK1954" s="1">
        <v>77.354331522</v>
      </c>
      <c r="AL1954" s="1">
        <v>1.2605851106</v>
      </c>
      <c r="AM1954" s="1">
        <v>52.321826808</v>
      </c>
      <c r="AN1954" s="1">
        <v>2.2149634622</v>
      </c>
      <c r="AO1954" s="1">
        <v>30375.0</v>
      </c>
      <c r="AP1954" s="1">
        <v>17.7</v>
      </c>
      <c r="AQ1954" s="1">
        <v>7.7</v>
      </c>
      <c r="AR1954" s="1">
        <v>7.7</v>
      </c>
      <c r="AS1954" s="1">
        <v>15.7</v>
      </c>
      <c r="AT1954" s="1">
        <v>19.4</v>
      </c>
      <c r="AU1954" s="1">
        <v>12.5</v>
      </c>
      <c r="AV1954" s="1">
        <v>23.1</v>
      </c>
      <c r="AW1954" s="1">
        <v>2.1</v>
      </c>
      <c r="AX1954" s="1">
        <v>0.4043</v>
      </c>
      <c r="AY1954" s="1">
        <v>13.0</v>
      </c>
      <c r="AZ1954" s="1">
        <v>14.1</v>
      </c>
      <c r="BA1954" s="1">
        <v>18.7</v>
      </c>
      <c r="BB1954" s="1">
        <v>3.3</v>
      </c>
      <c r="BC1954" s="1" t="s">
        <v>3169</v>
      </c>
      <c r="BD1954" s="1">
        <v>6.8</v>
      </c>
      <c r="BE1954" s="1">
        <v>21.3</v>
      </c>
      <c r="BF1954" s="1">
        <v>31.3</v>
      </c>
      <c r="BG1954" s="1">
        <v>40.6</v>
      </c>
      <c r="BH1954" s="1" t="s">
        <v>3274</v>
      </c>
    </row>
    <row r="1955">
      <c r="A1955" s="1">
        <v>37131.0</v>
      </c>
      <c r="B1955" s="2" t="str">
        <f>IFERROR(__xludf.DUMMYFUNCTION("TO_TEXT(A1955)"),"37131")</f>
        <v>37131</v>
      </c>
      <c r="C1955" s="1">
        <v>20628.0</v>
      </c>
      <c r="D1955" s="1">
        <v>536.688443734418</v>
      </c>
      <c r="E1955" s="1" t="s">
        <v>3275</v>
      </c>
      <c r="F1955" s="1" t="s">
        <v>3276</v>
      </c>
      <c r="G1955" s="1">
        <v>38.4357074217306</v>
      </c>
      <c r="H1955" s="1">
        <v>23.455464518</v>
      </c>
      <c r="I1955" s="1">
        <v>4.455588585</v>
      </c>
      <c r="J1955" s="1">
        <v>11.615384615</v>
      </c>
      <c r="K1955" s="1">
        <v>19.471204783</v>
      </c>
      <c r="L1955" s="1">
        <v>33.5</v>
      </c>
      <c r="M1955" s="1">
        <v>5.8</v>
      </c>
      <c r="N1955" s="1">
        <v>36.4</v>
      </c>
      <c r="O1955" s="1">
        <v>18.919408118</v>
      </c>
      <c r="P1955" s="1">
        <v>11.491563874</v>
      </c>
      <c r="Q1955" s="1">
        <v>5.03474</v>
      </c>
      <c r="R1955" s="1">
        <v>63.4</v>
      </c>
      <c r="S1955" s="1">
        <v>34.3</v>
      </c>
      <c r="T1955" s="1">
        <v>3596.0</v>
      </c>
      <c r="U1955" s="1">
        <v>60.31701891</v>
      </c>
      <c r="V1955" s="1">
        <v>253.40416438</v>
      </c>
      <c r="W1955" s="1">
        <v>17.820069204</v>
      </c>
      <c r="X1955" s="1">
        <v>17.374334713</v>
      </c>
      <c r="Y1955" s="1">
        <v>76.3725484639999</v>
      </c>
      <c r="Z1955" s="1">
        <v>21.9</v>
      </c>
      <c r="AA1955" s="1">
        <v>7.0652733754</v>
      </c>
      <c r="AB1955" s="1">
        <v>37233.0</v>
      </c>
      <c r="AC1955" s="1">
        <v>89.32885906</v>
      </c>
      <c r="AD1955" s="1">
        <v>69.042651831</v>
      </c>
      <c r="AE1955" s="1">
        <v>15.2382168859999</v>
      </c>
      <c r="AF1955" s="1">
        <v>56.866232974</v>
      </c>
      <c r="AG1955" s="1">
        <v>0.6403740598</v>
      </c>
      <c r="AH1955" s="1">
        <v>0.2947753608</v>
      </c>
      <c r="AI1955" s="1">
        <v>0.0304940028</v>
      </c>
      <c r="AJ1955" s="1">
        <v>2.2921325473</v>
      </c>
      <c r="AK1955" s="1">
        <v>38.864606627</v>
      </c>
      <c r="AL1955" s="1">
        <v>0.5867082035</v>
      </c>
      <c r="AM1955" s="1">
        <v>51.224842448</v>
      </c>
      <c r="AN1955" s="1">
        <v>89.366034662</v>
      </c>
      <c r="AO1955" s="1">
        <v>18836.0</v>
      </c>
      <c r="AP1955" s="1">
        <v>28.5</v>
      </c>
      <c r="AQ1955" s="1">
        <v>12.7</v>
      </c>
      <c r="AR1955" s="1">
        <v>21.7</v>
      </c>
      <c r="AS1955" s="1">
        <v>22.9</v>
      </c>
      <c r="AT1955" s="1">
        <v>18.9</v>
      </c>
      <c r="AU1955" s="1">
        <v>23.4</v>
      </c>
      <c r="AV1955" s="1">
        <v>61.7</v>
      </c>
      <c r="AW1955" s="1">
        <v>0.6</v>
      </c>
      <c r="AX1955" s="1">
        <v>0.951</v>
      </c>
      <c r="AY1955" s="1">
        <v>21.6</v>
      </c>
      <c r="AZ1955" s="1">
        <v>18.5</v>
      </c>
      <c r="BA1955" s="1">
        <v>28.0</v>
      </c>
      <c r="BB1955" s="1">
        <v>3.21</v>
      </c>
      <c r="BC1955" s="1" t="s">
        <v>3169</v>
      </c>
      <c r="BD1955" s="1">
        <v>19.6</v>
      </c>
      <c r="BE1955" s="1">
        <v>38.5</v>
      </c>
      <c r="BF1955" s="1">
        <v>28.1</v>
      </c>
      <c r="BG1955" s="1">
        <v>13.8</v>
      </c>
      <c r="BH1955" s="1" t="s">
        <v>3276</v>
      </c>
    </row>
    <row r="1956">
      <c r="A1956" s="1">
        <v>37133.0</v>
      </c>
      <c r="B1956" s="2" t="str">
        <f>IFERROR(__xludf.DUMMYFUNCTION("TO_TEXT(A1956)"),"37133")</f>
        <v>37133</v>
      </c>
      <c r="C1956" s="1">
        <v>185755.0</v>
      </c>
      <c r="D1956" s="1">
        <v>762.057842145222</v>
      </c>
      <c r="E1956" s="1" t="s">
        <v>3277</v>
      </c>
      <c r="F1956" s="1" t="s">
        <v>3278</v>
      </c>
      <c r="G1956" s="1">
        <v>243.754462885773</v>
      </c>
      <c r="H1956" s="1">
        <v>18.047138427</v>
      </c>
      <c r="I1956" s="1">
        <v>4.1401958215</v>
      </c>
      <c r="J1956" s="1">
        <v>6.6769336071</v>
      </c>
      <c r="K1956" s="1">
        <v>17.795532165</v>
      </c>
      <c r="L1956" s="1">
        <v>29.3</v>
      </c>
      <c r="M1956" s="1">
        <v>7.1</v>
      </c>
      <c r="N1956" s="1">
        <v>24.7</v>
      </c>
      <c r="O1956" s="1">
        <v>48.548140315</v>
      </c>
      <c r="P1956" s="1">
        <v>8.7948617186</v>
      </c>
      <c r="Q1956" s="1">
        <v>33.0079</v>
      </c>
      <c r="R1956" s="1">
        <v>88.9</v>
      </c>
      <c r="S1956" s="1">
        <v>20.8</v>
      </c>
      <c r="T1956" s="1">
        <v>46952.0</v>
      </c>
      <c r="U1956" s="1">
        <v>27.824160845</v>
      </c>
      <c r="V1956" s="1">
        <v>209.04716953</v>
      </c>
      <c r="W1956" s="1">
        <v>14.74415263</v>
      </c>
      <c r="X1956" s="1">
        <v>13.40356564</v>
      </c>
      <c r="Y1956" s="1">
        <v>76.7187339939999</v>
      </c>
      <c r="Z1956" s="1">
        <v>8.9</v>
      </c>
      <c r="AA1956" s="1">
        <v>10.186311493</v>
      </c>
      <c r="AB1956" s="1">
        <v>50531.0</v>
      </c>
      <c r="AC1956" s="1">
        <v>44.370342772</v>
      </c>
      <c r="AD1956" s="1">
        <v>52.771404043</v>
      </c>
      <c r="AE1956" s="1">
        <v>13.440111421</v>
      </c>
      <c r="AF1956" s="1">
        <v>14.763029699</v>
      </c>
      <c r="AG1956" s="1">
        <v>0.949499957</v>
      </c>
      <c r="AH1956" s="1">
        <v>2.1660942013</v>
      </c>
      <c r="AI1956" s="1">
        <v>0.3116100019</v>
      </c>
      <c r="AJ1956" s="1">
        <v>12.778539379</v>
      </c>
      <c r="AK1956" s="1">
        <v>65.901468513</v>
      </c>
      <c r="AL1956" s="1">
        <v>0.6968305267</v>
      </c>
      <c r="AM1956" s="1">
        <v>44.788373305</v>
      </c>
      <c r="AN1956" s="1">
        <v>26.34891884</v>
      </c>
      <c r="AO1956" s="1">
        <v>22590.0</v>
      </c>
      <c r="AP1956" s="1">
        <v>13.9</v>
      </c>
      <c r="AQ1956" s="1">
        <v>11.8</v>
      </c>
      <c r="AR1956" s="1">
        <v>9.0</v>
      </c>
      <c r="AS1956" s="1">
        <v>8.5</v>
      </c>
      <c r="AT1956" s="1">
        <v>25.4</v>
      </c>
      <c r="AU1956" s="1">
        <v>16.4</v>
      </c>
      <c r="AV1956" s="1">
        <v>32.9</v>
      </c>
      <c r="AW1956" s="1">
        <v>0.8</v>
      </c>
      <c r="AX1956" s="1">
        <v>0.7256</v>
      </c>
      <c r="AY1956" s="1">
        <v>12.5</v>
      </c>
      <c r="AZ1956" s="1">
        <v>15.2</v>
      </c>
      <c r="BA1956" s="1">
        <v>20.5</v>
      </c>
      <c r="BB1956" s="1">
        <v>2.95</v>
      </c>
      <c r="BC1956" s="1" t="s">
        <v>3169</v>
      </c>
      <c r="BD1956" s="1">
        <v>8.5</v>
      </c>
      <c r="BE1956" s="1">
        <v>30.0</v>
      </c>
      <c r="BF1956" s="1">
        <v>38.6</v>
      </c>
      <c r="BG1956" s="1">
        <v>22.9</v>
      </c>
      <c r="BH1956" s="1" t="s">
        <v>3278</v>
      </c>
    </row>
    <row r="1957">
      <c r="A1957" s="1">
        <v>37135.0</v>
      </c>
      <c r="B1957" s="2" t="str">
        <f>IFERROR(__xludf.DUMMYFUNCTION("TO_TEXT(A1957)"),"37135")</f>
        <v>37135</v>
      </c>
      <c r="C1957" s="1">
        <v>139807.0</v>
      </c>
      <c r="D1957" s="1">
        <v>397.53257480663</v>
      </c>
      <c r="E1957" s="1" t="s">
        <v>475</v>
      </c>
      <c r="F1957" s="1" t="s">
        <v>3279</v>
      </c>
      <c r="G1957" s="1">
        <v>351.686902810432</v>
      </c>
      <c r="H1957" s="1">
        <v>14.291492143</v>
      </c>
      <c r="I1957" s="1">
        <v>3.7300769556</v>
      </c>
      <c r="J1957" s="1">
        <v>7.1206690562</v>
      </c>
      <c r="K1957" s="1">
        <v>14.241707251</v>
      </c>
      <c r="L1957" s="1">
        <v>22.9</v>
      </c>
      <c r="M1957" s="1">
        <v>7.5</v>
      </c>
      <c r="N1957" s="1">
        <v>17.8</v>
      </c>
      <c r="O1957" s="1">
        <v>84.098773552</v>
      </c>
      <c r="P1957" s="1">
        <v>10.531994427</v>
      </c>
      <c r="Q1957" s="1">
        <v>187.65609</v>
      </c>
      <c r="R1957" s="1">
        <v>88.392602206</v>
      </c>
      <c r="S1957" s="1">
        <v>10.8</v>
      </c>
      <c r="T1957" s="1">
        <v>28360.0</v>
      </c>
      <c r="U1957" s="1">
        <v>25.049365303</v>
      </c>
      <c r="V1957" s="1">
        <v>159.92480728</v>
      </c>
      <c r="W1957" s="1">
        <v>17.456021651</v>
      </c>
      <c r="X1957" s="1">
        <v>15.51064456</v>
      </c>
      <c r="Y1957" s="1">
        <v>82.0865034639999</v>
      </c>
      <c r="Z1957" s="1">
        <v>5.8</v>
      </c>
      <c r="AA1957" s="1">
        <v>8.9197572089</v>
      </c>
      <c r="AB1957" s="1">
        <v>71920.0</v>
      </c>
      <c r="AC1957" s="1">
        <v>29.762368524</v>
      </c>
      <c r="AD1957" s="1">
        <v>61.944830475</v>
      </c>
      <c r="AE1957" s="1">
        <v>15.332811276</v>
      </c>
      <c r="AF1957" s="1">
        <v>11.380772049</v>
      </c>
      <c r="AG1957" s="1">
        <v>0.6108459394</v>
      </c>
      <c r="AH1957" s="1">
        <v>8.2786060112</v>
      </c>
      <c r="AI1957" s="1">
        <v>0.0712197059</v>
      </c>
      <c r="AJ1957" s="1">
        <v>8.6168996145</v>
      </c>
      <c r="AK1957" s="1">
        <v>69.237880666</v>
      </c>
      <c r="AL1957" s="1">
        <v>2.9887417947</v>
      </c>
      <c r="AM1957" s="1">
        <v>52.24239353</v>
      </c>
      <c r="AN1957" s="1">
        <v>28.5319242759999</v>
      </c>
      <c r="AO1957" s="1">
        <v>37103.0</v>
      </c>
      <c r="AP1957" s="1">
        <v>14.5</v>
      </c>
      <c r="AQ1957" s="1">
        <v>5.9</v>
      </c>
      <c r="AR1957" s="1">
        <v>7.6</v>
      </c>
      <c r="AS1957" s="1">
        <v>11.2</v>
      </c>
      <c r="AT1957" s="1">
        <v>20.4</v>
      </c>
      <c r="AU1957" s="1">
        <v>8.7</v>
      </c>
      <c r="AV1957" s="1">
        <v>30.4</v>
      </c>
      <c r="AW1957" s="1">
        <v>3.3</v>
      </c>
      <c r="AX1957" s="1">
        <v>0.2945</v>
      </c>
      <c r="AY1957" s="1">
        <v>13.4</v>
      </c>
      <c r="AZ1957" s="1">
        <v>10.8</v>
      </c>
      <c r="BA1957" s="1">
        <v>12.2</v>
      </c>
      <c r="BB1957" s="1">
        <v>4.02</v>
      </c>
      <c r="BC1957" s="1" t="s">
        <v>3169</v>
      </c>
      <c r="BD1957" s="1">
        <v>7.3</v>
      </c>
      <c r="BE1957" s="1">
        <v>13.6</v>
      </c>
      <c r="BF1957" s="1">
        <v>19.4</v>
      </c>
      <c r="BG1957" s="1">
        <v>59.7</v>
      </c>
      <c r="BH1957" s="1" t="s">
        <v>3279</v>
      </c>
    </row>
    <row r="1958">
      <c r="A1958" s="1">
        <v>37137.0</v>
      </c>
      <c r="B1958" s="2" t="str">
        <f>IFERROR(__xludf.DUMMYFUNCTION("TO_TEXT(A1958)"),"37137")</f>
        <v>37137</v>
      </c>
      <c r="C1958" s="1">
        <v>12892.0</v>
      </c>
      <c r="D1958" s="1">
        <v>336.50976374779</v>
      </c>
      <c r="E1958" s="1" t="s">
        <v>3280</v>
      </c>
      <c r="F1958" s="1" t="s">
        <v>3281</v>
      </c>
      <c r="G1958" s="1">
        <v>38.310924046954</v>
      </c>
      <c r="H1958" s="1">
        <v>17.511145131</v>
      </c>
      <c r="I1958" s="1">
        <v>4.125336658</v>
      </c>
      <c r="J1958" s="1">
        <v>9.3289689034</v>
      </c>
      <c r="K1958" s="1">
        <v>15.961985424</v>
      </c>
      <c r="L1958" s="1">
        <v>37.2</v>
      </c>
      <c r="M1958" s="1">
        <v>7.8</v>
      </c>
      <c r="N1958" s="1">
        <v>31.0</v>
      </c>
      <c r="O1958" s="1">
        <v>54.86153378</v>
      </c>
      <c r="P1958" s="1">
        <v>12.724658519</v>
      </c>
      <c r="Q1958" s="1">
        <v>47.28505</v>
      </c>
      <c r="R1958" s="1">
        <v>87.4</v>
      </c>
      <c r="S1958" s="1">
        <v>29.3</v>
      </c>
      <c r="T1958" s="1">
        <v>1954.0</v>
      </c>
      <c r="U1958" s="1">
        <v>33.0603889459999</v>
      </c>
      <c r="V1958" s="1">
        <v>165.46269018</v>
      </c>
      <c r="W1958" s="1">
        <v>12.617702448</v>
      </c>
      <c r="X1958" s="1">
        <v>10.19047619</v>
      </c>
      <c r="Y1958" s="1">
        <v>78.077503006</v>
      </c>
      <c r="Z1958" s="1">
        <v>15.7</v>
      </c>
      <c r="AA1958" s="1">
        <v>2.3573255892</v>
      </c>
      <c r="AB1958" s="1">
        <v>46447.0</v>
      </c>
      <c r="AC1958" s="1">
        <v>70.731707317</v>
      </c>
      <c r="AD1958" s="1">
        <v>75.112107623</v>
      </c>
      <c r="AE1958" s="1">
        <v>11.2830957229999</v>
      </c>
      <c r="AF1958" s="1">
        <v>18.800315706</v>
      </c>
      <c r="AG1958" s="1">
        <v>0.7813733228</v>
      </c>
      <c r="AH1958" s="1">
        <v>0.5840568272</v>
      </c>
      <c r="AI1958" s="1">
        <v>0.1973164957</v>
      </c>
      <c r="AJ1958" s="1">
        <v>4.1199684294</v>
      </c>
      <c r="AK1958" s="1">
        <v>74.254143646</v>
      </c>
      <c r="AL1958" s="1">
        <v>1.2867497353</v>
      </c>
      <c r="AM1958" s="1">
        <v>49.392265193</v>
      </c>
      <c r="AN1958" s="1">
        <v>100.0</v>
      </c>
      <c r="AO1958" s="1">
        <v>24332.0</v>
      </c>
      <c r="AP1958" s="1">
        <v>14.5</v>
      </c>
      <c r="AQ1958" s="1">
        <v>9.0</v>
      </c>
      <c r="AR1958" s="1">
        <v>13.3</v>
      </c>
      <c r="AS1958" s="1">
        <v>25.8</v>
      </c>
      <c r="AT1958" s="1">
        <v>16.4</v>
      </c>
      <c r="AU1958" s="1">
        <v>21.3</v>
      </c>
      <c r="AV1958" s="1">
        <v>25.6</v>
      </c>
      <c r="AW1958" s="1">
        <v>0.9</v>
      </c>
      <c r="AX1958" s="1">
        <v>0.6714</v>
      </c>
      <c r="AY1958" s="1">
        <v>15.9</v>
      </c>
      <c r="AZ1958" s="1">
        <v>15.1</v>
      </c>
      <c r="BA1958" s="1">
        <v>23.1</v>
      </c>
      <c r="BB1958" s="1">
        <v>3.25</v>
      </c>
      <c r="BC1958" s="1" t="s">
        <v>3169</v>
      </c>
      <c r="BD1958" s="1">
        <v>12.0</v>
      </c>
      <c r="BE1958" s="1">
        <v>31.0</v>
      </c>
      <c r="BF1958" s="1">
        <v>38.4</v>
      </c>
      <c r="BG1958" s="1">
        <v>18.5</v>
      </c>
      <c r="BH1958" s="1" t="s">
        <v>3281</v>
      </c>
    </row>
    <row r="1959">
      <c r="A1959" s="1">
        <v>37139.0</v>
      </c>
      <c r="B1959" s="2" t="str">
        <f>IFERROR(__xludf.DUMMYFUNCTION("TO_TEXT(A1959)"),"37139")</f>
        <v>37139</v>
      </c>
      <c r="C1959" s="1">
        <v>39909.0</v>
      </c>
      <c r="D1959" s="1">
        <v>226.8798865779</v>
      </c>
      <c r="E1959" s="1" t="s">
        <v>3282</v>
      </c>
      <c r="F1959" s="1" t="s">
        <v>3283</v>
      </c>
      <c r="G1959" s="1">
        <v>175.903649291966</v>
      </c>
      <c r="H1959" s="1">
        <v>18.892109396</v>
      </c>
      <c r="I1959" s="1">
        <v>4.1860348439</v>
      </c>
      <c r="J1959" s="1">
        <v>9.3997071742</v>
      </c>
      <c r="K1959" s="1">
        <v>18.119296578</v>
      </c>
      <c r="L1959" s="1">
        <v>39.2</v>
      </c>
      <c r="M1959" s="1">
        <v>6.1</v>
      </c>
      <c r="N1959" s="1">
        <v>27.7</v>
      </c>
      <c r="O1959" s="1">
        <v>68.800570571</v>
      </c>
      <c r="P1959" s="1">
        <v>12.218815556</v>
      </c>
      <c r="Q1959" s="1">
        <v>67.93649</v>
      </c>
      <c r="R1959" s="1">
        <v>82.7</v>
      </c>
      <c r="S1959" s="1">
        <v>28.2</v>
      </c>
      <c r="T1959" s="1">
        <v>8656.0</v>
      </c>
      <c r="U1959" s="1">
        <v>35.004621072</v>
      </c>
      <c r="V1959" s="1">
        <v>382.18322165</v>
      </c>
      <c r="W1959" s="1">
        <v>19.602467443</v>
      </c>
      <c r="X1959" s="1">
        <v>17.150857543</v>
      </c>
      <c r="Y1959" s="1">
        <v>76.193947041</v>
      </c>
      <c r="Z1959" s="1">
        <v>11.5</v>
      </c>
      <c r="AA1959" s="1">
        <v>12.467985642</v>
      </c>
      <c r="AB1959" s="1">
        <v>46355.0</v>
      </c>
      <c r="AC1959" s="1">
        <v>66.186454711</v>
      </c>
      <c r="AD1959" s="1">
        <v>61.028416779</v>
      </c>
      <c r="AE1959" s="1">
        <v>17.617343717</v>
      </c>
      <c r="AF1959" s="1">
        <v>35.808168723</v>
      </c>
      <c r="AG1959" s="1">
        <v>0.6079870834</v>
      </c>
      <c r="AH1959" s="1">
        <v>1.6044804359</v>
      </c>
      <c r="AI1959" s="1">
        <v>0.0857741114</v>
      </c>
      <c r="AJ1959" s="1">
        <v>5.6938873332</v>
      </c>
      <c r="AK1959" s="1">
        <v>54.494311158</v>
      </c>
      <c r="AL1959" s="1">
        <v>0.8488092342</v>
      </c>
      <c r="AM1959" s="1">
        <v>51.075960544</v>
      </c>
      <c r="AN1959" s="1">
        <v>41.319692088</v>
      </c>
      <c r="AO1959" s="1">
        <v>22549.0</v>
      </c>
      <c r="AP1959" s="1">
        <v>17.4</v>
      </c>
      <c r="AQ1959" s="1">
        <v>8.5</v>
      </c>
      <c r="AR1959" s="1">
        <v>14.6</v>
      </c>
      <c r="AS1959" s="1">
        <v>15.2</v>
      </c>
      <c r="AT1959" s="1">
        <v>22.0</v>
      </c>
      <c r="AU1959" s="1">
        <v>14.7</v>
      </c>
      <c r="AV1959" s="1">
        <v>45.1</v>
      </c>
      <c r="AW1959" s="1">
        <v>0.6</v>
      </c>
      <c r="AX1959" s="1">
        <v>0.8462</v>
      </c>
      <c r="AY1959" s="1">
        <v>14.3</v>
      </c>
      <c r="AZ1959" s="1">
        <v>15.3</v>
      </c>
      <c r="BA1959" s="1">
        <v>21.3</v>
      </c>
      <c r="BB1959" s="1">
        <v>2.95</v>
      </c>
      <c r="BC1959" s="1" t="s">
        <v>3169</v>
      </c>
      <c r="BD1959" s="1">
        <v>13.0</v>
      </c>
      <c r="BE1959" s="1">
        <v>32.0</v>
      </c>
      <c r="BF1959" s="1">
        <v>32.9</v>
      </c>
      <c r="BG1959" s="1">
        <v>22.1</v>
      </c>
      <c r="BH1959" s="1" t="s">
        <v>3283</v>
      </c>
    </row>
    <row r="1960">
      <c r="A1960" s="1">
        <v>37141.0</v>
      </c>
      <c r="B1960" s="2" t="str">
        <f>IFERROR(__xludf.DUMMYFUNCTION("TO_TEXT(A1960)"),"37141")</f>
        <v>37141</v>
      </c>
      <c r="C1960" s="1">
        <v>56358.0</v>
      </c>
      <c r="D1960" s="1">
        <v>871.295218832768</v>
      </c>
      <c r="E1960" s="1" t="s">
        <v>3284</v>
      </c>
      <c r="F1960" s="1" t="s">
        <v>3285</v>
      </c>
      <c r="G1960" s="1">
        <v>64.6830130383363</v>
      </c>
      <c r="H1960" s="1">
        <v>16.822267046</v>
      </c>
      <c r="I1960" s="1">
        <v>4.1983579761</v>
      </c>
      <c r="J1960" s="1">
        <v>8.7917146145</v>
      </c>
      <c r="K1960" s="1">
        <v>16.318567344</v>
      </c>
      <c r="L1960" s="1">
        <v>30.6</v>
      </c>
      <c r="M1960" s="1">
        <v>7.9</v>
      </c>
      <c r="N1960" s="1">
        <v>25.7</v>
      </c>
      <c r="O1960" s="1">
        <v>60.198785836</v>
      </c>
      <c r="P1960" s="1">
        <v>13.716409725</v>
      </c>
      <c r="Q1960" s="1">
        <v>27.88805</v>
      </c>
      <c r="R1960" s="1">
        <v>89.5</v>
      </c>
      <c r="S1960" s="1">
        <v>21.9</v>
      </c>
      <c r="T1960" s="1">
        <v>13208.0</v>
      </c>
      <c r="U1960" s="1">
        <v>26.506662629</v>
      </c>
      <c r="V1960" s="1">
        <v>149.85014985</v>
      </c>
      <c r="W1960" s="1">
        <v>15.9727294859999</v>
      </c>
      <c r="X1960" s="1">
        <v>14.310776942</v>
      </c>
      <c r="Y1960" s="1">
        <v>76.816486775</v>
      </c>
      <c r="Z1960" s="1">
        <v>17.2</v>
      </c>
      <c r="AA1960" s="1">
        <v>3.1632785166</v>
      </c>
      <c r="AB1960" s="1">
        <v>54900.0</v>
      </c>
      <c r="AC1960" s="1">
        <v>45.67653277</v>
      </c>
      <c r="AD1960" s="1">
        <v>80.492511256</v>
      </c>
      <c r="AE1960" s="1">
        <v>14.7003246279999</v>
      </c>
      <c r="AF1960" s="1">
        <v>14.639168624</v>
      </c>
      <c r="AG1960" s="1">
        <v>0.8992632155</v>
      </c>
      <c r="AH1960" s="1">
        <v>0.677262636299999</v>
      </c>
      <c r="AI1960" s="1">
        <v>0.0868697918</v>
      </c>
      <c r="AJ1960" s="1">
        <v>7.4080628036</v>
      </c>
      <c r="AK1960" s="1">
        <v>75.197065731</v>
      </c>
      <c r="AL1960" s="1">
        <v>1.3633669235</v>
      </c>
      <c r="AM1960" s="1">
        <v>50.11100029</v>
      </c>
      <c r="AN1960" s="1">
        <v>68.7553861769999</v>
      </c>
      <c r="AO1960" s="1">
        <v>24031.0</v>
      </c>
      <c r="AP1960" s="1">
        <v>18.7</v>
      </c>
      <c r="AQ1960" s="1">
        <v>9.9</v>
      </c>
      <c r="AR1960" s="1">
        <v>14.5</v>
      </c>
      <c r="AS1960" s="1">
        <v>17.1</v>
      </c>
      <c r="AT1960" s="1">
        <v>22.4</v>
      </c>
      <c r="AU1960" s="1">
        <v>17.9</v>
      </c>
      <c r="AV1960" s="1">
        <v>25.5</v>
      </c>
      <c r="AW1960" s="1">
        <v>1.3</v>
      </c>
      <c r="AX1960" s="1">
        <v>0.6845</v>
      </c>
      <c r="AY1960" s="1">
        <v>11.5</v>
      </c>
      <c r="AZ1960" s="1">
        <v>13.6</v>
      </c>
      <c r="BA1960" s="1">
        <v>19.4</v>
      </c>
      <c r="BB1960" s="1">
        <v>3.45</v>
      </c>
      <c r="BC1960" s="1" t="s">
        <v>3169</v>
      </c>
      <c r="BD1960" s="1">
        <v>12.2</v>
      </c>
      <c r="BE1960" s="1">
        <v>27.6</v>
      </c>
      <c r="BF1960" s="1">
        <v>32.2</v>
      </c>
      <c r="BG1960" s="1">
        <v>27.9</v>
      </c>
      <c r="BH1960" s="1" t="s">
        <v>3285</v>
      </c>
    </row>
    <row r="1961">
      <c r="A1961" s="1">
        <v>37143.0</v>
      </c>
      <c r="B1961" s="2" t="str">
        <f>IFERROR(__xludf.DUMMYFUNCTION("TO_TEXT(A1961)"),"37143")</f>
        <v>37143</v>
      </c>
      <c r="C1961" s="1">
        <v>13470.0</v>
      </c>
      <c r="D1961" s="1">
        <v>247.143765102952</v>
      </c>
      <c r="E1961" s="1" t="s">
        <v>3286</v>
      </c>
      <c r="F1961" s="1" t="s">
        <v>3287</v>
      </c>
      <c r="G1961" s="1">
        <v>54.502689939958</v>
      </c>
      <c r="H1961" s="1">
        <v>17.82130568</v>
      </c>
      <c r="I1961" s="1">
        <v>4.2757474401</v>
      </c>
      <c r="J1961" s="1">
        <v>6.8886337543</v>
      </c>
      <c r="K1961" s="1">
        <v>16.7889208659999</v>
      </c>
      <c r="L1961" s="1">
        <v>34.3</v>
      </c>
      <c r="M1961" s="1">
        <v>7.5</v>
      </c>
      <c r="N1961" s="1">
        <v>27.3</v>
      </c>
      <c r="O1961" s="1">
        <v>20.671969078</v>
      </c>
      <c r="P1961" s="1">
        <v>12.4008944909999</v>
      </c>
      <c r="Q1961" s="1">
        <v>7.4217</v>
      </c>
      <c r="R1961" s="1">
        <v>89.9</v>
      </c>
      <c r="S1961" s="1">
        <v>27.6</v>
      </c>
      <c r="T1961" s="1">
        <v>2569.0</v>
      </c>
      <c r="U1961" s="1">
        <v>34.877384196</v>
      </c>
      <c r="V1961" s="1">
        <v>150.97188149</v>
      </c>
      <c r="W1961" s="1">
        <v>16.46234676</v>
      </c>
      <c r="X1961" s="1">
        <v>15.630550622</v>
      </c>
      <c r="Y1961" s="1">
        <v>78.072116671</v>
      </c>
      <c r="Z1961" s="1">
        <v>16.8</v>
      </c>
      <c r="AA1961" s="1">
        <v>1.0984891556</v>
      </c>
      <c r="AB1961" s="1">
        <v>48337.0</v>
      </c>
      <c r="AC1961" s="1">
        <v>59.633027523</v>
      </c>
      <c r="AD1961" s="1">
        <v>74.134144281</v>
      </c>
      <c r="AE1961" s="1">
        <v>17.385854969</v>
      </c>
      <c r="AF1961" s="1">
        <v>22.761138429</v>
      </c>
      <c r="AG1961" s="1">
        <v>0.558784085799999</v>
      </c>
      <c r="AH1961" s="1">
        <v>0.5364327224</v>
      </c>
      <c r="AI1961" s="1">
        <v>0.014900909</v>
      </c>
      <c r="AJ1961" s="1">
        <v>2.6374608851</v>
      </c>
      <c r="AK1961" s="1">
        <v>72.239606616</v>
      </c>
      <c r="AL1961" s="1">
        <v>0.9963415583</v>
      </c>
      <c r="AM1961" s="1">
        <v>51.92966771</v>
      </c>
      <c r="AN1961" s="1">
        <v>100.0</v>
      </c>
      <c r="AO1961" s="1">
        <v>25407.0</v>
      </c>
      <c r="AP1961" s="1">
        <v>16.5</v>
      </c>
      <c r="AQ1961" s="1">
        <v>10.6</v>
      </c>
      <c r="AR1961" s="1">
        <v>15.1</v>
      </c>
      <c r="AS1961" s="1">
        <v>24.5</v>
      </c>
      <c r="AT1961" s="1">
        <v>20.2</v>
      </c>
      <c r="AU1961" s="1">
        <v>17.8</v>
      </c>
      <c r="AV1961" s="1">
        <v>28.2</v>
      </c>
      <c r="AW1961" s="1">
        <v>0.8</v>
      </c>
      <c r="AX1961" s="1">
        <v>0.6769</v>
      </c>
      <c r="AY1961" s="1">
        <v>15.0</v>
      </c>
      <c r="AZ1961" s="1">
        <v>14.6</v>
      </c>
      <c r="BA1961" s="1">
        <v>21.8</v>
      </c>
      <c r="BB1961" s="1">
        <v>2.96</v>
      </c>
      <c r="BC1961" s="1" t="s">
        <v>3169</v>
      </c>
      <c r="BD1961" s="1">
        <v>13.1</v>
      </c>
      <c r="BE1961" s="1">
        <v>28.7</v>
      </c>
      <c r="BF1961" s="1">
        <v>38.0</v>
      </c>
      <c r="BG1961" s="1">
        <v>20.2</v>
      </c>
      <c r="BH1961" s="1" t="s">
        <v>3287</v>
      </c>
    </row>
    <row r="1962">
      <c r="A1962" s="1">
        <v>37145.0</v>
      </c>
      <c r="B1962" s="2" t="str">
        <f>IFERROR(__xludf.DUMMYFUNCTION("TO_TEXT(A1962)"),"37145")</f>
        <v>37145</v>
      </c>
      <c r="C1962" s="1">
        <v>39196.0</v>
      </c>
      <c r="D1962" s="1">
        <v>392.334284351998</v>
      </c>
      <c r="E1962" s="1" t="s">
        <v>3288</v>
      </c>
      <c r="F1962" s="1" t="s">
        <v>3289</v>
      </c>
      <c r="G1962" s="1">
        <v>99.9046006513002</v>
      </c>
      <c r="H1962" s="1">
        <v>18.749314576</v>
      </c>
      <c r="I1962" s="1">
        <v>4.3068208053</v>
      </c>
      <c r="J1962" s="1">
        <v>9.4162612926</v>
      </c>
      <c r="K1962" s="1">
        <v>18.1366296659999</v>
      </c>
      <c r="L1962" s="1">
        <v>29.2</v>
      </c>
      <c r="M1962" s="1">
        <v>7.3</v>
      </c>
      <c r="N1962" s="1">
        <v>31.9</v>
      </c>
      <c r="O1962" s="1">
        <v>51.776302453</v>
      </c>
      <c r="P1962" s="1">
        <v>11.6740018359999</v>
      </c>
      <c r="Q1962" s="1">
        <v>38.10008</v>
      </c>
      <c r="R1962" s="1">
        <v>87.3</v>
      </c>
      <c r="S1962" s="1">
        <v>23.4</v>
      </c>
      <c r="T1962" s="1">
        <v>8233.0</v>
      </c>
      <c r="U1962" s="1">
        <v>46.131422325</v>
      </c>
      <c r="V1962" s="1">
        <v>225.33705076</v>
      </c>
      <c r="W1962" s="1">
        <v>16.542810985</v>
      </c>
      <c r="X1962" s="1">
        <v>12.608409987</v>
      </c>
      <c r="Y1962" s="1">
        <v>76.046899845</v>
      </c>
      <c r="Z1962" s="1">
        <v>9.3</v>
      </c>
      <c r="AA1962" s="1">
        <v>4.3331500997</v>
      </c>
      <c r="AB1962" s="1">
        <v>50149.0</v>
      </c>
      <c r="AC1962" s="1">
        <v>63.5</v>
      </c>
      <c r="AD1962" s="1">
        <v>75.165142276</v>
      </c>
      <c r="AE1962" s="1">
        <v>13.455455983</v>
      </c>
      <c r="AF1962" s="1">
        <v>26.726909155</v>
      </c>
      <c r="AG1962" s="1">
        <v>0.8884501481</v>
      </c>
      <c r="AH1962" s="1">
        <v>0.4454906725</v>
      </c>
      <c r="AI1962" s="1">
        <v>0.02531197</v>
      </c>
      <c r="AJ1962" s="1">
        <v>4.4473131344</v>
      </c>
      <c r="AK1962" s="1">
        <v>66.076897765</v>
      </c>
      <c r="AL1962" s="1">
        <v>0.6524190517</v>
      </c>
      <c r="AM1962" s="1">
        <v>51.616169286</v>
      </c>
      <c r="AN1962" s="1">
        <v>75.521994729</v>
      </c>
      <c r="AO1962" s="1">
        <v>22049.0</v>
      </c>
      <c r="AP1962" s="1">
        <v>18.5</v>
      </c>
      <c r="AQ1962" s="1">
        <v>13.1</v>
      </c>
      <c r="AR1962" s="1">
        <v>15.3</v>
      </c>
      <c r="AS1962" s="1">
        <v>17.3</v>
      </c>
      <c r="AT1962" s="1">
        <v>21.9</v>
      </c>
      <c r="AU1962" s="1">
        <v>19.5</v>
      </c>
      <c r="AV1962" s="1">
        <v>33.5</v>
      </c>
      <c r="AW1962" s="1">
        <v>0.8</v>
      </c>
      <c r="AX1962" s="1">
        <v>0.8402</v>
      </c>
      <c r="AY1962" s="1">
        <v>15.4</v>
      </c>
      <c r="AZ1962" s="1">
        <v>15.5</v>
      </c>
      <c r="BA1962" s="1">
        <v>25.2</v>
      </c>
      <c r="BB1962" s="1">
        <v>2.9</v>
      </c>
      <c r="BC1962" s="1" t="s">
        <v>3169</v>
      </c>
      <c r="BD1962" s="1">
        <v>13.5</v>
      </c>
      <c r="BE1962" s="1">
        <v>37.4</v>
      </c>
      <c r="BF1962" s="1">
        <v>33.5</v>
      </c>
      <c r="BG1962" s="1">
        <v>15.6</v>
      </c>
      <c r="BH1962" s="1" t="s">
        <v>3289</v>
      </c>
    </row>
    <row r="1963">
      <c r="A1963" s="1">
        <v>37147.0</v>
      </c>
      <c r="B1963" s="2" t="str">
        <f>IFERROR(__xludf.DUMMYFUNCTION("TO_TEXT(A1963)"),"37147")</f>
        <v>37147</v>
      </c>
      <c r="C1963" s="1">
        <v>175150.0</v>
      </c>
      <c r="D1963" s="1">
        <v>652.365340003136</v>
      </c>
      <c r="E1963" s="1" t="s">
        <v>3290</v>
      </c>
      <c r="F1963" s="1" t="s">
        <v>3291</v>
      </c>
      <c r="G1963" s="1">
        <v>268.484527395582</v>
      </c>
      <c r="H1963" s="1">
        <v>18.371780019</v>
      </c>
      <c r="I1963" s="1">
        <v>4.1449189414</v>
      </c>
      <c r="J1963" s="1">
        <v>9.9082568807</v>
      </c>
      <c r="K1963" s="1">
        <v>17.373690184</v>
      </c>
      <c r="L1963" s="1">
        <v>35.9</v>
      </c>
      <c r="M1963" s="1">
        <v>6.7</v>
      </c>
      <c r="N1963" s="1">
        <v>27.6</v>
      </c>
      <c r="O1963" s="1">
        <v>71.972310108</v>
      </c>
      <c r="P1963" s="1">
        <v>10.7927053709999</v>
      </c>
      <c r="Q1963" s="1">
        <v>106.12035</v>
      </c>
      <c r="R1963" s="1">
        <v>84.7</v>
      </c>
      <c r="S1963" s="1">
        <v>26.5</v>
      </c>
      <c r="T1963" s="1">
        <v>37853.0</v>
      </c>
      <c r="U1963" s="1">
        <v>44.00708002</v>
      </c>
      <c r="V1963" s="1">
        <v>414.16627092</v>
      </c>
      <c r="W1963" s="1">
        <v>21.292057263</v>
      </c>
      <c r="X1963" s="1">
        <v>19.694271297</v>
      </c>
      <c r="Y1963" s="1">
        <v>78.476446162</v>
      </c>
      <c r="Z1963" s="1">
        <v>9.4</v>
      </c>
      <c r="AA1963" s="1">
        <v>3.1562362907</v>
      </c>
      <c r="AB1963" s="1">
        <v>43303.0</v>
      </c>
      <c r="AC1963" s="1">
        <v>62.9641523819999</v>
      </c>
      <c r="AD1963" s="1">
        <v>52.381847359</v>
      </c>
      <c r="AE1963" s="1">
        <v>21.4152979259999</v>
      </c>
      <c r="AF1963" s="1">
        <v>35.009504541</v>
      </c>
      <c r="AG1963" s="1">
        <v>0.5202485632</v>
      </c>
      <c r="AH1963" s="1">
        <v>2.188823549</v>
      </c>
      <c r="AI1963" s="1">
        <v>0.150627522</v>
      </c>
      <c r="AJ1963" s="1">
        <v>6.347477128</v>
      </c>
      <c r="AK1963" s="1">
        <v>54.346521116</v>
      </c>
      <c r="AL1963" s="1">
        <v>1.3280936435</v>
      </c>
      <c r="AM1963" s="1">
        <v>53.043676423</v>
      </c>
      <c r="AN1963" s="1">
        <v>25.435925494</v>
      </c>
      <c r="AO1963" s="1">
        <v>24066.0</v>
      </c>
      <c r="AP1963" s="1">
        <v>24.5</v>
      </c>
      <c r="AQ1963" s="1">
        <v>11.5</v>
      </c>
      <c r="AR1963" s="1">
        <v>11.2</v>
      </c>
      <c r="AS1963" s="1">
        <v>11.4</v>
      </c>
      <c r="AT1963" s="1">
        <v>22.0</v>
      </c>
      <c r="AU1963" s="1">
        <v>12.3</v>
      </c>
      <c r="AV1963" s="1">
        <v>44.5</v>
      </c>
      <c r="AW1963" s="1">
        <v>1.4</v>
      </c>
      <c r="AX1963" s="1">
        <v>0.8004</v>
      </c>
      <c r="AY1963" s="1">
        <v>19.2</v>
      </c>
      <c r="AZ1963" s="1">
        <v>16.1</v>
      </c>
      <c r="BA1963" s="1">
        <v>21.2</v>
      </c>
      <c r="BB1963" s="1">
        <v>2.93</v>
      </c>
      <c r="BC1963" s="1" t="s">
        <v>3169</v>
      </c>
      <c r="BD1963" s="1">
        <v>10.7</v>
      </c>
      <c r="BE1963" s="1">
        <v>23.8</v>
      </c>
      <c r="BF1963" s="1">
        <v>32.8</v>
      </c>
      <c r="BG1963" s="1">
        <v>32.7</v>
      </c>
      <c r="BH1963" s="1" t="s">
        <v>3291</v>
      </c>
    </row>
    <row r="1964">
      <c r="A1964" s="1">
        <v>37149.0</v>
      </c>
      <c r="B1964" s="2" t="str">
        <f>IFERROR(__xludf.DUMMYFUNCTION("TO_TEXT(A1964)"),"37149")</f>
        <v>37149</v>
      </c>
      <c r="C1964" s="1">
        <v>20324.0</v>
      </c>
      <c r="D1964" s="1">
        <v>237.777580006516</v>
      </c>
      <c r="E1964" s="1" t="s">
        <v>381</v>
      </c>
      <c r="F1964" s="1" t="s">
        <v>3292</v>
      </c>
      <c r="G1964" s="1">
        <v>85.4748374486907</v>
      </c>
      <c r="H1964" s="1">
        <v>14.56292343</v>
      </c>
      <c r="I1964" s="1">
        <v>3.9339967714</v>
      </c>
      <c r="J1964" s="1">
        <v>7.3929961089</v>
      </c>
      <c r="K1964" s="1">
        <v>13.802679907</v>
      </c>
      <c r="L1964" s="1">
        <v>33.3</v>
      </c>
      <c r="M1964" s="1">
        <v>8.6</v>
      </c>
      <c r="N1964" s="1">
        <v>27.1</v>
      </c>
      <c r="O1964" s="1">
        <v>67.313505607</v>
      </c>
      <c r="P1964" s="1">
        <v>14.28370193</v>
      </c>
      <c r="Q1964" s="1">
        <v>53.50715</v>
      </c>
      <c r="R1964" s="1">
        <v>92.0</v>
      </c>
      <c r="S1964" s="1">
        <v>20.4</v>
      </c>
      <c r="T1964" s="1">
        <v>3424.0</v>
      </c>
      <c r="U1964" s="1">
        <v>23.130841121</v>
      </c>
      <c r="V1964" s="1">
        <v>63.43245712</v>
      </c>
      <c r="W1964" s="1">
        <v>15.7043879909999</v>
      </c>
      <c r="X1964" s="1">
        <v>12.96625222</v>
      </c>
      <c r="Y1964" s="1">
        <v>79.248801999</v>
      </c>
      <c r="Z1964" s="1">
        <v>15.2</v>
      </c>
      <c r="AA1964" s="1">
        <v>0.106059165</v>
      </c>
      <c r="AB1964" s="1">
        <v>50467.0</v>
      </c>
      <c r="AC1964" s="1">
        <v>70.660036166</v>
      </c>
      <c r="AD1964" s="1">
        <v>73.372388637</v>
      </c>
      <c r="AE1964" s="1">
        <v>10.688448075</v>
      </c>
      <c r="AF1964" s="1">
        <v>4.1676774538</v>
      </c>
      <c r="AG1964" s="1">
        <v>0.6210276066</v>
      </c>
      <c r="AH1964" s="1">
        <v>0.659841832</v>
      </c>
      <c r="AI1964" s="1">
        <v>0.0097035564</v>
      </c>
      <c r="AJ1964" s="1">
        <v>6.0550191645</v>
      </c>
      <c r="AK1964" s="1">
        <v>87.65222454</v>
      </c>
      <c r="AL1964" s="1">
        <v>0.6572295248</v>
      </c>
      <c r="AM1964" s="1">
        <v>52.020765611</v>
      </c>
      <c r="AN1964" s="1">
        <v>92.272062409</v>
      </c>
      <c r="AO1964" s="1">
        <v>28175.0</v>
      </c>
      <c r="AP1964" s="1">
        <v>14.5</v>
      </c>
      <c r="AQ1964" s="1">
        <v>7.8</v>
      </c>
      <c r="AR1964" s="1">
        <v>12.2</v>
      </c>
      <c r="AS1964" s="1">
        <v>27.5</v>
      </c>
      <c r="AT1964" s="1">
        <v>17.4</v>
      </c>
      <c r="AU1964" s="1">
        <v>16.4</v>
      </c>
      <c r="AV1964" s="1">
        <v>11.9</v>
      </c>
      <c r="AW1964" s="1">
        <v>0.8</v>
      </c>
      <c r="AX1964" s="1">
        <v>0.5014</v>
      </c>
      <c r="AY1964" s="1">
        <v>12.1</v>
      </c>
      <c r="AZ1964" s="1">
        <v>12.6</v>
      </c>
      <c r="BA1964" s="1">
        <v>18.1</v>
      </c>
      <c r="BB1964" s="1">
        <v>3.37</v>
      </c>
      <c r="BC1964" s="1" t="s">
        <v>3169</v>
      </c>
      <c r="BD1964" s="1">
        <v>9.2</v>
      </c>
      <c r="BE1964" s="1">
        <v>25.1</v>
      </c>
      <c r="BF1964" s="1">
        <v>36.6</v>
      </c>
      <c r="BG1964" s="1">
        <v>29.1</v>
      </c>
      <c r="BH1964" s="1" t="s">
        <v>3292</v>
      </c>
    </row>
    <row r="1965">
      <c r="A1965" s="1">
        <v>37151.0</v>
      </c>
      <c r="B1965" s="2" t="str">
        <f>IFERROR(__xludf.DUMMYFUNCTION("TO_TEXT(A1965)"),"37151")</f>
        <v>37151</v>
      </c>
      <c r="C1965" s="1">
        <v>142588.0</v>
      </c>
      <c r="D1965" s="1">
        <v>782.309924095868</v>
      </c>
      <c r="E1965" s="1" t="s">
        <v>170</v>
      </c>
      <c r="F1965" s="1" t="s">
        <v>3293</v>
      </c>
      <c r="G1965" s="1">
        <v>182.265360067868</v>
      </c>
      <c r="H1965" s="1">
        <v>18.338246263</v>
      </c>
      <c r="I1965" s="1">
        <v>4.2101746596</v>
      </c>
      <c r="J1965" s="1">
        <v>8.1888768508</v>
      </c>
      <c r="K1965" s="1">
        <v>18.01229409</v>
      </c>
      <c r="L1965" s="1">
        <v>32.2</v>
      </c>
      <c r="M1965" s="1">
        <v>7.6</v>
      </c>
      <c r="N1965" s="1">
        <v>27.2</v>
      </c>
      <c r="O1965" s="1">
        <v>61.306366048</v>
      </c>
      <c r="P1965" s="1">
        <v>15.0145412059999</v>
      </c>
      <c r="Q1965" s="1">
        <v>46.06301</v>
      </c>
      <c r="R1965" s="1">
        <v>90.1403744879999</v>
      </c>
      <c r="S1965" s="1">
        <v>20.6</v>
      </c>
      <c r="T1965" s="1">
        <v>32665.0</v>
      </c>
      <c r="U1965" s="1">
        <v>33.353742538</v>
      </c>
      <c r="V1965" s="1">
        <v>156.13950329</v>
      </c>
      <c r="W1965" s="1">
        <v>12.2164525829999</v>
      </c>
      <c r="X1965" s="1">
        <v>9.2230762108</v>
      </c>
      <c r="Y1965" s="1">
        <v>75.934360063</v>
      </c>
      <c r="Z1965" s="1">
        <v>11.4</v>
      </c>
      <c r="AA1965" s="1">
        <v>8.41680105429999</v>
      </c>
      <c r="AB1965" s="1">
        <v>48372.0</v>
      </c>
      <c r="AC1965" s="1">
        <v>54.1818505019999</v>
      </c>
      <c r="AD1965" s="1">
        <v>71.84025981</v>
      </c>
      <c r="AE1965" s="1">
        <v>9.6931737688</v>
      </c>
      <c r="AF1965" s="1">
        <v>6.1820287267</v>
      </c>
      <c r="AG1965" s="1">
        <v>1.1252101485</v>
      </c>
      <c r="AH1965" s="1">
        <v>1.4844681935</v>
      </c>
      <c r="AI1965" s="1">
        <v>0.1004527349</v>
      </c>
      <c r="AJ1965" s="1">
        <v>11.701348438</v>
      </c>
      <c r="AK1965" s="1">
        <v>78.792613934</v>
      </c>
      <c r="AL1965" s="1">
        <v>3.0579860596</v>
      </c>
      <c r="AM1965" s="1">
        <v>50.678404755</v>
      </c>
      <c r="AN1965" s="1">
        <v>56.242592697</v>
      </c>
      <c r="AO1965" s="1">
        <v>21731.0</v>
      </c>
      <c r="AP1965" s="1">
        <v>16.9</v>
      </c>
      <c r="AQ1965" s="1">
        <v>7.0</v>
      </c>
      <c r="AR1965" s="1">
        <v>20.0</v>
      </c>
      <c r="AS1965" s="1">
        <v>16.1</v>
      </c>
      <c r="AT1965" s="1">
        <v>23.6</v>
      </c>
      <c r="AU1965" s="1">
        <v>14.2</v>
      </c>
      <c r="AV1965" s="1">
        <v>19.8</v>
      </c>
      <c r="AW1965" s="1">
        <v>3.1</v>
      </c>
      <c r="AX1965" s="1">
        <v>0.6784</v>
      </c>
      <c r="AY1965" s="1">
        <v>14.1</v>
      </c>
      <c r="AZ1965" s="1">
        <v>13.8</v>
      </c>
      <c r="BA1965" s="1">
        <v>20.1</v>
      </c>
      <c r="BB1965" s="1">
        <v>2.82</v>
      </c>
      <c r="BC1965" s="1" t="s">
        <v>3169</v>
      </c>
      <c r="BD1965" s="1">
        <v>18.5</v>
      </c>
      <c r="BE1965" s="1">
        <v>33.5</v>
      </c>
      <c r="BF1965" s="1">
        <v>32.3</v>
      </c>
      <c r="BG1965" s="1">
        <v>15.7</v>
      </c>
      <c r="BH1965" s="1" t="s">
        <v>3293</v>
      </c>
    </row>
    <row r="1966">
      <c r="A1966" s="1">
        <v>37153.0</v>
      </c>
      <c r="B1966" s="2" t="str">
        <f>IFERROR(__xludf.DUMMYFUNCTION("TO_TEXT(A1966)"),"37153")</f>
        <v>37153</v>
      </c>
      <c r="C1966" s="1">
        <v>45710.0</v>
      </c>
      <c r="D1966" s="1">
        <v>473.976378510278</v>
      </c>
      <c r="E1966" s="1" t="s">
        <v>995</v>
      </c>
      <c r="F1966" s="1" t="s">
        <v>3294</v>
      </c>
      <c r="G1966" s="1">
        <v>96.4394051527797</v>
      </c>
      <c r="H1966" s="1">
        <v>22.152687639</v>
      </c>
      <c r="I1966" s="1">
        <v>4.5608276825</v>
      </c>
      <c r="J1966" s="1">
        <v>11.908559277</v>
      </c>
      <c r="K1966" s="1">
        <v>20.673412316</v>
      </c>
      <c r="L1966" s="1">
        <v>38.7</v>
      </c>
      <c r="M1966" s="1">
        <v>6.5</v>
      </c>
      <c r="N1966" s="1">
        <v>31.7</v>
      </c>
      <c r="O1966" s="1">
        <v>39.09174725</v>
      </c>
      <c r="P1966" s="1">
        <v>14.638547423</v>
      </c>
      <c r="Q1966" s="1">
        <v>29.01915</v>
      </c>
      <c r="R1966" s="1">
        <v>81.0</v>
      </c>
      <c r="S1966" s="1">
        <v>31.1</v>
      </c>
      <c r="T1966" s="1">
        <v>10273.0</v>
      </c>
      <c r="U1966" s="1">
        <v>55.018008371</v>
      </c>
      <c r="V1966" s="1">
        <v>494.26089993</v>
      </c>
      <c r="W1966" s="1">
        <v>16.30552546</v>
      </c>
      <c r="X1966" s="1">
        <v>15.416551342</v>
      </c>
      <c r="Y1966" s="1">
        <v>73.967584844</v>
      </c>
      <c r="Z1966" s="1">
        <v>19.3</v>
      </c>
      <c r="AA1966" s="1">
        <v>6.0162190082</v>
      </c>
      <c r="AB1966" s="1">
        <v>38514.0</v>
      </c>
      <c r="AC1966" s="1">
        <v>98.534201954</v>
      </c>
      <c r="AD1966" s="1">
        <v>66.105898846</v>
      </c>
      <c r="AE1966" s="1">
        <v>15.718341851</v>
      </c>
      <c r="AF1966" s="1">
        <v>31.3052776969999</v>
      </c>
      <c r="AG1966" s="1">
        <v>3.2169670506</v>
      </c>
      <c r="AH1966" s="1">
        <v>0.9156325885</v>
      </c>
      <c r="AI1966" s="1">
        <v>0.1537193397</v>
      </c>
      <c r="AJ1966" s="1">
        <v>6.6990442667</v>
      </c>
      <c r="AK1966" s="1">
        <v>56.6333236789999</v>
      </c>
      <c r="AL1966" s="1">
        <v>2.1504362179</v>
      </c>
      <c r="AM1966" s="1">
        <v>51.01031479</v>
      </c>
      <c r="AN1966" s="1">
        <v>45.530564549</v>
      </c>
      <c r="AO1966" s="1">
        <v>19411.0</v>
      </c>
      <c r="AP1966" s="1">
        <v>25.8</v>
      </c>
      <c r="AQ1966" s="1">
        <v>11.6</v>
      </c>
      <c r="AR1966" s="1">
        <v>19.7</v>
      </c>
      <c r="AS1966" s="1">
        <v>16.1</v>
      </c>
      <c r="AT1966" s="1">
        <v>23.5</v>
      </c>
      <c r="AU1966" s="1">
        <v>18.9</v>
      </c>
      <c r="AV1966" s="1">
        <v>42.2</v>
      </c>
      <c r="AW1966" s="1">
        <v>2.2</v>
      </c>
      <c r="AX1966" s="1">
        <v>0.9624</v>
      </c>
      <c r="AY1966" s="1">
        <v>25.8</v>
      </c>
      <c r="AZ1966" s="1">
        <v>18.4</v>
      </c>
      <c r="BA1966" s="1">
        <v>27.7</v>
      </c>
      <c r="BB1966" s="1">
        <v>2.62</v>
      </c>
      <c r="BC1966" s="1" t="s">
        <v>3169</v>
      </c>
      <c r="BD1966" s="1">
        <v>19.1</v>
      </c>
      <c r="BE1966" s="1">
        <v>32.2</v>
      </c>
      <c r="BF1966" s="1">
        <v>33.0</v>
      </c>
      <c r="BG1966" s="1">
        <v>15.7</v>
      </c>
      <c r="BH1966" s="1" t="s">
        <v>3294</v>
      </c>
    </row>
    <row r="1967">
      <c r="A1967" s="1">
        <v>37155.0</v>
      </c>
      <c r="B1967" s="2" t="str">
        <f>IFERROR(__xludf.DUMMYFUNCTION("TO_TEXT(A1967)"),"37155")</f>
        <v>37155</v>
      </c>
      <c r="C1967" s="1">
        <v>134576.0</v>
      </c>
      <c r="D1967" s="1">
        <v>948.010137955388</v>
      </c>
      <c r="E1967" s="1" t="s">
        <v>3295</v>
      </c>
      <c r="F1967" s="1" t="s">
        <v>3296</v>
      </c>
      <c r="G1967" s="1">
        <v>141.956287820133</v>
      </c>
      <c r="H1967" s="1">
        <v>30.037626404</v>
      </c>
      <c r="I1967" s="1">
        <v>5.2095052356</v>
      </c>
      <c r="J1967" s="1">
        <v>11.936507937</v>
      </c>
      <c r="K1967" s="1">
        <v>24.057594215</v>
      </c>
      <c r="L1967" s="1">
        <v>39.0</v>
      </c>
      <c r="M1967" s="1">
        <v>6.5</v>
      </c>
      <c r="N1967" s="1">
        <v>35.2</v>
      </c>
      <c r="O1967" s="1">
        <v>44.835579274</v>
      </c>
      <c r="P1967" s="1">
        <v>18.59677061</v>
      </c>
      <c r="Q1967" s="1">
        <v>38.4598</v>
      </c>
      <c r="R1967" s="1">
        <v>86.1</v>
      </c>
      <c r="S1967" s="1">
        <v>35.6</v>
      </c>
      <c r="T1967" s="1">
        <v>33602.0</v>
      </c>
      <c r="U1967" s="1">
        <v>49.72323076</v>
      </c>
      <c r="V1967" s="1">
        <v>461.3814325</v>
      </c>
      <c r="W1967" s="1">
        <v>16.944353697</v>
      </c>
      <c r="X1967" s="1">
        <v>13.948986563</v>
      </c>
      <c r="Y1967" s="1">
        <v>73.152140766</v>
      </c>
      <c r="Z1967" s="1">
        <v>16.5</v>
      </c>
      <c r="AA1967" s="1">
        <v>5.9414017098</v>
      </c>
      <c r="AB1967" s="1">
        <v>35407.0</v>
      </c>
      <c r="AC1967" s="1">
        <v>97.699763084</v>
      </c>
      <c r="AD1967" s="1">
        <v>64.99380017</v>
      </c>
      <c r="AE1967" s="1">
        <v>14.143530644</v>
      </c>
      <c r="AF1967" s="1">
        <v>23.230499655</v>
      </c>
      <c r="AG1967" s="1">
        <v>41.6980831519999</v>
      </c>
      <c r="AH1967" s="1">
        <v>0.6652456554</v>
      </c>
      <c r="AI1967" s="1">
        <v>0.1547435732</v>
      </c>
      <c r="AJ1967" s="1">
        <v>9.0069862172</v>
      </c>
      <c r="AK1967" s="1">
        <v>25.0494951869999</v>
      </c>
      <c r="AL1967" s="1">
        <v>2.1574695551</v>
      </c>
      <c r="AM1967" s="1">
        <v>51.770827802</v>
      </c>
      <c r="AN1967" s="1">
        <v>62.6132908</v>
      </c>
      <c r="AO1967" s="1">
        <v>16221.0</v>
      </c>
      <c r="AP1967" s="1">
        <v>30.8</v>
      </c>
      <c r="AQ1967" s="1">
        <v>10.8</v>
      </c>
      <c r="AR1967" s="1">
        <v>23.6</v>
      </c>
      <c r="AS1967" s="1">
        <v>13.0</v>
      </c>
      <c r="AT1967" s="1">
        <v>26.0</v>
      </c>
      <c r="AU1967" s="1">
        <v>16.6</v>
      </c>
      <c r="AV1967" s="1">
        <v>74.0</v>
      </c>
      <c r="AW1967" s="1">
        <v>2.6</v>
      </c>
      <c r="AX1967" s="1">
        <v>0.994</v>
      </c>
      <c r="AY1967" s="1">
        <v>31.5</v>
      </c>
      <c r="AZ1967" s="1">
        <v>19.4</v>
      </c>
      <c r="BA1967" s="1">
        <v>28.0</v>
      </c>
      <c r="BB1967" s="1">
        <v>2.69</v>
      </c>
      <c r="BC1967" s="1" t="s">
        <v>3169</v>
      </c>
      <c r="BD1967" s="1">
        <v>22.7</v>
      </c>
      <c r="BE1967" s="1">
        <v>33.4</v>
      </c>
      <c r="BF1967" s="1">
        <v>30.2</v>
      </c>
      <c r="BG1967" s="1">
        <v>13.7</v>
      </c>
      <c r="BH1967" s="1" t="s">
        <v>3296</v>
      </c>
    </row>
    <row r="1968">
      <c r="A1968" s="1">
        <v>37157.0</v>
      </c>
      <c r="B1968" s="2" t="str">
        <f>IFERROR(__xludf.DUMMYFUNCTION("TO_TEXT(A1968)"),"37157")</f>
        <v>37157</v>
      </c>
      <c r="C1968" s="1">
        <v>91898.0</v>
      </c>
      <c r="D1968" s="1">
        <v>565.629537294555</v>
      </c>
      <c r="E1968" s="1" t="s">
        <v>2977</v>
      </c>
      <c r="F1968" s="1" t="s">
        <v>3297</v>
      </c>
      <c r="G1968" s="1">
        <v>162.470298916061</v>
      </c>
      <c r="H1968" s="1">
        <v>17.972562268</v>
      </c>
      <c r="I1968" s="1">
        <v>4.36829537089999</v>
      </c>
      <c r="J1968" s="1">
        <v>9.4488188976</v>
      </c>
      <c r="K1968" s="1">
        <v>17.673989504</v>
      </c>
      <c r="L1968" s="1">
        <v>36.3</v>
      </c>
      <c r="M1968" s="1">
        <v>6.7</v>
      </c>
      <c r="N1968" s="1">
        <v>29.6</v>
      </c>
      <c r="O1968" s="1">
        <v>65.399442564</v>
      </c>
      <c r="P1968" s="1">
        <v>12.9586184879999</v>
      </c>
      <c r="Q1968" s="1">
        <v>37.38359</v>
      </c>
      <c r="R1968" s="1">
        <v>85.7</v>
      </c>
      <c r="S1968" s="1">
        <v>26.0</v>
      </c>
      <c r="T1968" s="1">
        <v>18720.0</v>
      </c>
      <c r="U1968" s="1">
        <v>41.346153846</v>
      </c>
      <c r="V1968" s="1">
        <v>245.34995524</v>
      </c>
      <c r="W1968" s="1">
        <v>14.011465138</v>
      </c>
      <c r="X1968" s="1">
        <v>12.055871983</v>
      </c>
      <c r="Y1968" s="1">
        <v>75.657315094</v>
      </c>
      <c r="Z1968" s="1">
        <v>14.3</v>
      </c>
      <c r="AA1968" s="1">
        <v>11.602784038</v>
      </c>
      <c r="AB1968" s="1">
        <v>41869.0</v>
      </c>
      <c r="AC1968" s="1">
        <v>60.970178926</v>
      </c>
      <c r="AD1968" s="1">
        <v>69.070723905</v>
      </c>
      <c r="AE1968" s="1">
        <v>11.355631322</v>
      </c>
      <c r="AF1968" s="1">
        <v>18.562134745</v>
      </c>
      <c r="AG1968" s="1">
        <v>0.605358915</v>
      </c>
      <c r="AH1968" s="1">
        <v>0.6715183592</v>
      </c>
      <c r="AI1968" s="1">
        <v>0.1058551108</v>
      </c>
      <c r="AJ1968" s="1">
        <v>6.242143566</v>
      </c>
      <c r="AK1968" s="1">
        <v>72.342044327</v>
      </c>
      <c r="AL1968" s="1">
        <v>1.1251660602</v>
      </c>
      <c r="AM1968" s="1">
        <v>51.816076745</v>
      </c>
      <c r="AN1968" s="1">
        <v>61.944833036</v>
      </c>
      <c r="AO1968" s="1">
        <v>21298.0</v>
      </c>
      <c r="AP1968" s="1">
        <v>19.4</v>
      </c>
      <c r="AQ1968" s="1">
        <v>9.5</v>
      </c>
      <c r="AR1968" s="1">
        <v>18.9</v>
      </c>
      <c r="AS1968" s="1">
        <v>18.3</v>
      </c>
      <c r="AT1968" s="1">
        <v>21.0</v>
      </c>
      <c r="AU1968" s="1">
        <v>16.7</v>
      </c>
      <c r="AV1968" s="1">
        <v>27.1</v>
      </c>
      <c r="AW1968" s="1">
        <v>1.0</v>
      </c>
      <c r="AX1968" s="1">
        <v>0.8236</v>
      </c>
      <c r="AY1968" s="1">
        <v>18.4</v>
      </c>
      <c r="AZ1968" s="1">
        <v>15.2</v>
      </c>
      <c r="BA1968" s="1">
        <v>22.4</v>
      </c>
      <c r="BB1968" s="1">
        <v>2.87</v>
      </c>
      <c r="BC1968" s="1" t="s">
        <v>3169</v>
      </c>
      <c r="BD1968" s="1">
        <v>17.3</v>
      </c>
      <c r="BE1968" s="1">
        <v>34.9</v>
      </c>
      <c r="BF1968" s="1">
        <v>32.7</v>
      </c>
      <c r="BG1968" s="1">
        <v>15.1</v>
      </c>
      <c r="BH1968" s="1" t="s">
        <v>3297</v>
      </c>
    </row>
    <row r="1969">
      <c r="A1969" s="1">
        <v>37159.0</v>
      </c>
      <c r="B1969" s="2" t="str">
        <f>IFERROR(__xludf.DUMMYFUNCTION("TO_TEXT(A1969)"),"37159")</f>
        <v>37159</v>
      </c>
      <c r="C1969" s="1">
        <v>138694.0</v>
      </c>
      <c r="D1969" s="1">
        <v>511.477858817934</v>
      </c>
      <c r="E1969" s="1" t="s">
        <v>1912</v>
      </c>
      <c r="F1969" s="1" t="s">
        <v>3298</v>
      </c>
      <c r="G1969" s="1">
        <v>271.163252932459</v>
      </c>
      <c r="H1969" s="1">
        <v>18.166850161</v>
      </c>
      <c r="I1969" s="1">
        <v>4.28380255399999</v>
      </c>
      <c r="J1969" s="1">
        <v>9.57235655</v>
      </c>
      <c r="K1969" s="1">
        <v>17.125582841</v>
      </c>
      <c r="L1969" s="1">
        <v>37.5</v>
      </c>
      <c r="M1969" s="1">
        <v>7.1</v>
      </c>
      <c r="N1969" s="1">
        <v>25.6</v>
      </c>
      <c r="O1969" s="1">
        <v>79.28453781</v>
      </c>
      <c r="P1969" s="1">
        <v>13.771683492</v>
      </c>
      <c r="Q1969" s="1">
        <v>41.23887</v>
      </c>
      <c r="R1969" s="1">
        <v>84.5</v>
      </c>
      <c r="S1969" s="1">
        <v>25.2</v>
      </c>
      <c r="T1969" s="1">
        <v>31102.0</v>
      </c>
      <c r="U1969" s="1">
        <v>37.698540287</v>
      </c>
      <c r="V1969" s="1">
        <v>390.51458665</v>
      </c>
      <c r="W1969" s="1">
        <v>14.896511515</v>
      </c>
      <c r="X1969" s="1">
        <v>12.306317044</v>
      </c>
      <c r="Y1969" s="1">
        <v>75.22584619</v>
      </c>
      <c r="Z1969" s="1">
        <v>14.0</v>
      </c>
      <c r="AA1969" s="1">
        <v>10.500733411</v>
      </c>
      <c r="AB1969" s="1">
        <v>46864.0</v>
      </c>
      <c r="AC1969" s="1">
        <v>65.993812446</v>
      </c>
      <c r="AD1969" s="1">
        <v>69.067513049</v>
      </c>
      <c r="AE1969" s="1">
        <v>11.493109817</v>
      </c>
      <c r="AF1969" s="1">
        <v>16.125355722</v>
      </c>
      <c r="AG1969" s="1">
        <v>0.6349903017</v>
      </c>
      <c r="AH1969" s="1">
        <v>1.2671489856</v>
      </c>
      <c r="AI1969" s="1">
        <v>0.082824822</v>
      </c>
      <c r="AJ1969" s="1">
        <v>9.2006342824</v>
      </c>
      <c r="AK1969" s="1">
        <v>71.656921182</v>
      </c>
      <c r="AL1969" s="1">
        <v>2.0936764594</v>
      </c>
      <c r="AM1969" s="1">
        <v>50.63782192</v>
      </c>
      <c r="AN1969" s="1">
        <v>38.82234808</v>
      </c>
      <c r="AO1969" s="1">
        <v>22463.0</v>
      </c>
      <c r="AP1969" s="1">
        <v>18.0</v>
      </c>
      <c r="AQ1969" s="1">
        <v>10.6</v>
      </c>
      <c r="AR1969" s="1">
        <v>16.1</v>
      </c>
      <c r="AS1969" s="1">
        <v>16.3</v>
      </c>
      <c r="AT1969" s="1">
        <v>22.7</v>
      </c>
      <c r="AU1969" s="1">
        <v>15.9</v>
      </c>
      <c r="AV1969" s="1">
        <v>26.9</v>
      </c>
      <c r="AW1969" s="1">
        <v>2.6</v>
      </c>
      <c r="AX1969" s="1">
        <v>0.8599</v>
      </c>
      <c r="AY1969" s="1">
        <v>13.9</v>
      </c>
      <c r="AZ1969" s="1">
        <v>14.3</v>
      </c>
      <c r="BA1969" s="1">
        <v>21.3</v>
      </c>
      <c r="BB1969" s="1">
        <v>2.75</v>
      </c>
      <c r="BC1969" s="1" t="s">
        <v>3169</v>
      </c>
      <c r="BD1969" s="1">
        <v>14.4</v>
      </c>
      <c r="BE1969" s="1">
        <v>32.6</v>
      </c>
      <c r="BF1969" s="1">
        <v>34.5</v>
      </c>
      <c r="BG1969" s="1">
        <v>18.5</v>
      </c>
      <c r="BH1969" s="1" t="s">
        <v>3298</v>
      </c>
    </row>
    <row r="1970">
      <c r="A1970" s="1">
        <v>37161.0</v>
      </c>
      <c r="B1970" s="2" t="str">
        <f>IFERROR(__xludf.DUMMYFUNCTION("TO_TEXT(A1970)"),"37161")</f>
        <v>37161</v>
      </c>
      <c r="C1970" s="1">
        <v>66701.0</v>
      </c>
      <c r="D1970" s="1">
        <v>565.38941351092</v>
      </c>
      <c r="E1970" s="1" t="s">
        <v>3299</v>
      </c>
      <c r="F1970" s="1" t="s">
        <v>3300</v>
      </c>
      <c r="G1970" s="1">
        <v>117.973556642675</v>
      </c>
      <c r="H1970" s="1">
        <v>18.822772262</v>
      </c>
      <c r="I1970" s="1">
        <v>4.4874834507</v>
      </c>
      <c r="J1970" s="1">
        <v>8.5769148709</v>
      </c>
      <c r="K1970" s="1">
        <v>19.415269925</v>
      </c>
      <c r="L1970" s="1">
        <v>28.5</v>
      </c>
      <c r="M1970" s="1">
        <v>6.9</v>
      </c>
      <c r="N1970" s="1">
        <v>24.5</v>
      </c>
      <c r="O1970" s="1">
        <v>56.882465713</v>
      </c>
      <c r="P1970" s="1">
        <v>13.597860009</v>
      </c>
      <c r="Q1970" s="1">
        <v>42.073</v>
      </c>
      <c r="R1970" s="1">
        <v>84.1</v>
      </c>
      <c r="S1970" s="1">
        <v>28.3</v>
      </c>
      <c r="T1970" s="1">
        <v>13791.0</v>
      </c>
      <c r="U1970" s="1">
        <v>36.82111522</v>
      </c>
      <c r="V1970" s="1">
        <v>195.9965299</v>
      </c>
      <c r="W1970" s="1">
        <v>14.590411476</v>
      </c>
      <c r="X1970" s="1">
        <v>11.553923463</v>
      </c>
      <c r="Y1970" s="1">
        <v>75.734430755</v>
      </c>
      <c r="Z1970" s="1">
        <v>13.2</v>
      </c>
      <c r="AA1970" s="1">
        <v>10.1470221189999</v>
      </c>
      <c r="AB1970" s="1">
        <v>42831.0</v>
      </c>
      <c r="AC1970" s="1">
        <v>83.967255665</v>
      </c>
      <c r="AD1970" s="1">
        <v>71.311444297</v>
      </c>
      <c r="AE1970" s="1">
        <v>12.705310158</v>
      </c>
      <c r="AF1970" s="1">
        <v>9.61302487059999</v>
      </c>
      <c r="AG1970" s="1">
        <v>0.3785951576</v>
      </c>
      <c r="AH1970" s="1">
        <v>0.7063119145</v>
      </c>
      <c r="AI1970" s="1">
        <v>0.0643462126</v>
      </c>
      <c r="AJ1970" s="1">
        <v>4.562595397</v>
      </c>
      <c r="AK1970" s="1">
        <v>83.011103463</v>
      </c>
      <c r="AL1970" s="1">
        <v>0.6287714408</v>
      </c>
      <c r="AM1970" s="1">
        <v>51.76727621</v>
      </c>
      <c r="AN1970" s="1">
        <v>61.041144374</v>
      </c>
      <c r="AO1970" s="1">
        <v>19688.0</v>
      </c>
      <c r="AP1970" s="1">
        <v>19.3</v>
      </c>
      <c r="AQ1970" s="1">
        <v>10.1</v>
      </c>
      <c r="AR1970" s="1">
        <v>19.0</v>
      </c>
      <c r="AS1970" s="1">
        <v>19.5</v>
      </c>
      <c r="AT1970" s="1">
        <v>21.3</v>
      </c>
      <c r="AU1970" s="1">
        <v>21.1</v>
      </c>
      <c r="AV1970" s="1">
        <v>16.3</v>
      </c>
      <c r="AW1970" s="1">
        <v>0.9</v>
      </c>
      <c r="AX1970" s="1">
        <v>0.822</v>
      </c>
      <c r="AY1970" s="1">
        <v>18.5</v>
      </c>
      <c r="AZ1970" s="1">
        <v>16.4</v>
      </c>
      <c r="BA1970" s="1">
        <v>23.7</v>
      </c>
      <c r="BB1970" s="1">
        <v>2.66</v>
      </c>
      <c r="BC1970" s="1" t="s">
        <v>3169</v>
      </c>
      <c r="BD1970" s="1">
        <v>16.2</v>
      </c>
      <c r="BE1970" s="1">
        <v>32.5</v>
      </c>
      <c r="BF1970" s="1">
        <v>33.5</v>
      </c>
      <c r="BG1970" s="1">
        <v>17.8</v>
      </c>
      <c r="BH1970" s="1" t="s">
        <v>3300</v>
      </c>
    </row>
    <row r="1971">
      <c r="A1971" s="1">
        <v>37163.0</v>
      </c>
      <c r="B1971" s="2" t="str">
        <f>IFERROR(__xludf.DUMMYFUNCTION("TO_TEXT(A1971)"),"37163")</f>
        <v>37163</v>
      </c>
      <c r="C1971" s="1">
        <v>63713.0</v>
      </c>
      <c r="D1971" s="1">
        <v>945.701802051757</v>
      </c>
      <c r="E1971" s="1" t="s">
        <v>3301</v>
      </c>
      <c r="F1971" s="1" t="s">
        <v>3302</v>
      </c>
      <c r="G1971" s="1">
        <v>67.3711310074389</v>
      </c>
      <c r="H1971" s="1">
        <v>22.7353468719999</v>
      </c>
      <c r="I1971" s="1">
        <v>4.3700376976</v>
      </c>
      <c r="J1971" s="1">
        <v>8.9145968016</v>
      </c>
      <c r="K1971" s="1">
        <v>19.070204933</v>
      </c>
      <c r="L1971" s="1">
        <v>35.3</v>
      </c>
      <c r="M1971" s="1">
        <v>7.5</v>
      </c>
      <c r="N1971" s="1">
        <v>30.6</v>
      </c>
      <c r="O1971" s="1">
        <v>47.41372515</v>
      </c>
      <c r="P1971" s="1">
        <v>18.698821552</v>
      </c>
      <c r="Q1971" s="1">
        <v>45.71969</v>
      </c>
      <c r="R1971" s="1">
        <v>83.4688102889999</v>
      </c>
      <c r="S1971" s="1">
        <v>33.0</v>
      </c>
      <c r="T1971" s="1">
        <v>15588.0</v>
      </c>
      <c r="U1971" s="1">
        <v>39.241724403</v>
      </c>
      <c r="V1971" s="1">
        <v>227.46726691</v>
      </c>
      <c r="W1971" s="1">
        <v>17.846481876</v>
      </c>
      <c r="X1971" s="1">
        <v>14.350551113</v>
      </c>
      <c r="Y1971" s="1">
        <v>75.6854975769999</v>
      </c>
      <c r="Z1971" s="1">
        <v>15.1</v>
      </c>
      <c r="AA1971" s="1">
        <v>2.3223160609</v>
      </c>
      <c r="AB1971" s="1">
        <v>42807.0</v>
      </c>
      <c r="AC1971" s="1">
        <v>98.616395711</v>
      </c>
      <c r="AD1971" s="1">
        <v>68.789565365</v>
      </c>
      <c r="AE1971" s="1">
        <v>15.259667013</v>
      </c>
      <c r="AF1971" s="1">
        <v>25.189387986</v>
      </c>
      <c r="AG1971" s="1">
        <v>3.5944425235</v>
      </c>
      <c r="AH1971" s="1">
        <v>0.7056863546</v>
      </c>
      <c r="AI1971" s="1">
        <v>0.2939050074</v>
      </c>
      <c r="AJ1971" s="1">
        <v>20.420897118</v>
      </c>
      <c r="AK1971" s="1">
        <v>50.331625436</v>
      </c>
      <c r="AL1971" s="1">
        <v>6.3897763578</v>
      </c>
      <c r="AM1971" s="1">
        <v>50.625530444</v>
      </c>
      <c r="AN1971" s="1">
        <v>84.963188346</v>
      </c>
      <c r="AO1971" s="1">
        <v>19871.0</v>
      </c>
      <c r="AP1971" s="1">
        <v>24.2</v>
      </c>
      <c r="AQ1971" s="1">
        <v>9.4</v>
      </c>
      <c r="AR1971" s="1">
        <v>24.3</v>
      </c>
      <c r="AS1971" s="1">
        <v>16.2</v>
      </c>
      <c r="AT1971" s="1">
        <v>24.8</v>
      </c>
      <c r="AU1971" s="1">
        <v>19.6</v>
      </c>
      <c r="AV1971" s="1">
        <v>47.9</v>
      </c>
      <c r="AW1971" s="1">
        <v>6.1</v>
      </c>
      <c r="AX1971" s="1">
        <v>0.9577</v>
      </c>
      <c r="AY1971" s="1">
        <v>16.8</v>
      </c>
      <c r="AZ1971" s="1">
        <v>16.9</v>
      </c>
      <c r="BA1971" s="1">
        <v>24.1</v>
      </c>
      <c r="BB1971" s="1">
        <v>2.8</v>
      </c>
      <c r="BC1971" s="1" t="s">
        <v>3169</v>
      </c>
      <c r="BD1971" s="1">
        <v>20.7</v>
      </c>
      <c r="BE1971" s="1">
        <v>34.2</v>
      </c>
      <c r="BF1971" s="1">
        <v>31.4</v>
      </c>
      <c r="BG1971" s="1">
        <v>13.7</v>
      </c>
      <c r="BH1971" s="1" t="s">
        <v>3302</v>
      </c>
    </row>
    <row r="1972">
      <c r="A1972" s="1">
        <v>37165.0</v>
      </c>
      <c r="B1972" s="2" t="str">
        <f>IFERROR(__xludf.DUMMYFUNCTION("TO_TEXT(A1972)"),"37165")</f>
        <v>37165</v>
      </c>
      <c r="C1972" s="1">
        <v>35711.0</v>
      </c>
      <c r="D1972" s="1">
        <v>318.906598661076</v>
      </c>
      <c r="E1972" s="1" t="s">
        <v>2685</v>
      </c>
      <c r="F1972" s="1" t="s">
        <v>3303</v>
      </c>
      <c r="G1972" s="1">
        <v>111.979495406906</v>
      </c>
      <c r="H1972" s="1">
        <v>24.397278139</v>
      </c>
      <c r="I1972" s="1">
        <v>4.7568595199</v>
      </c>
      <c r="J1972" s="1">
        <v>13.416188655</v>
      </c>
      <c r="K1972" s="1">
        <v>22.866670167</v>
      </c>
      <c r="L1972" s="1">
        <v>39.5</v>
      </c>
      <c r="M1972" s="1">
        <v>5.6</v>
      </c>
      <c r="N1972" s="1">
        <v>26.1</v>
      </c>
      <c r="O1972" s="1">
        <v>66.258262577</v>
      </c>
      <c r="P1972" s="1">
        <v>14.1875644109999</v>
      </c>
      <c r="Q1972" s="1">
        <v>62.69057</v>
      </c>
      <c r="R1972" s="1">
        <v>87.1</v>
      </c>
      <c r="S1972" s="1">
        <v>41.8</v>
      </c>
      <c r="T1972" s="1">
        <v>8030.0</v>
      </c>
      <c r="U1972" s="1">
        <v>54.557907846</v>
      </c>
      <c r="V1972" s="1">
        <v>694.28538708</v>
      </c>
      <c r="W1972" s="1">
        <v>21.036585366</v>
      </c>
      <c r="X1972" s="1">
        <v>19.072164948</v>
      </c>
      <c r="Y1972" s="1">
        <v>74.114778903</v>
      </c>
      <c r="Z1972" s="1">
        <v>18.5</v>
      </c>
      <c r="AA1972" s="1">
        <v>7.7486983609</v>
      </c>
      <c r="AB1972" s="1">
        <v>36730.0</v>
      </c>
      <c r="AC1972" s="1">
        <v>98.4861370979999</v>
      </c>
      <c r="AD1972" s="1">
        <v>61.267444521</v>
      </c>
      <c r="AE1972" s="1">
        <v>18.396534815</v>
      </c>
      <c r="AF1972" s="1">
        <v>38.623958633</v>
      </c>
      <c r="AG1972" s="1">
        <v>12.361390405</v>
      </c>
      <c r="AH1972" s="1">
        <v>0.8962941683</v>
      </c>
      <c r="AI1972" s="1">
        <v>0.0488365412</v>
      </c>
      <c r="AJ1972" s="1">
        <v>3.0680838839</v>
      </c>
      <c r="AK1972" s="1">
        <v>43.182993393</v>
      </c>
      <c r="AL1972" s="1">
        <v>0.6200846945</v>
      </c>
      <c r="AM1972" s="1">
        <v>50.3533467389999</v>
      </c>
      <c r="AN1972" s="1">
        <v>48.39173604</v>
      </c>
      <c r="AO1972" s="1">
        <v>16192.0</v>
      </c>
      <c r="AP1972" s="1">
        <v>31.5</v>
      </c>
      <c r="AQ1972" s="1">
        <v>13.4</v>
      </c>
      <c r="AR1972" s="1">
        <v>21.4</v>
      </c>
      <c r="AS1972" s="1">
        <v>15.9</v>
      </c>
      <c r="AT1972" s="1">
        <v>23.5</v>
      </c>
      <c r="AU1972" s="1">
        <v>20.6</v>
      </c>
      <c r="AV1972" s="1">
        <v>55.6</v>
      </c>
      <c r="AW1972" s="1">
        <v>0.6</v>
      </c>
      <c r="AX1972" s="1">
        <v>0.9933</v>
      </c>
      <c r="AY1972" s="1">
        <v>28.5</v>
      </c>
      <c r="AZ1972" s="1">
        <v>20.9</v>
      </c>
      <c r="BA1972" s="1">
        <v>31.1</v>
      </c>
      <c r="BB1972" s="1">
        <v>2.84</v>
      </c>
      <c r="BC1972" s="1" t="s">
        <v>3169</v>
      </c>
      <c r="BD1972" s="1">
        <v>19.8</v>
      </c>
      <c r="BE1972" s="1">
        <v>33.9</v>
      </c>
      <c r="BF1972" s="1">
        <v>30.8</v>
      </c>
      <c r="BG1972" s="1">
        <v>15.5</v>
      </c>
      <c r="BH1972" s="1" t="s">
        <v>3303</v>
      </c>
    </row>
    <row r="1973">
      <c r="A1973" s="1">
        <v>37167.0</v>
      </c>
      <c r="B1973" s="2" t="str">
        <f>IFERROR(__xludf.DUMMYFUNCTION("TO_TEXT(A1973)"),"37167")</f>
        <v>37167</v>
      </c>
      <c r="C1973" s="1">
        <v>60610.0</v>
      </c>
      <c r="D1973" s="1">
        <v>395.12537941641</v>
      </c>
      <c r="E1973" s="1" t="s">
        <v>3304</v>
      </c>
      <c r="F1973" s="1" t="s">
        <v>3305</v>
      </c>
      <c r="G1973" s="1">
        <v>153.394348116842</v>
      </c>
      <c r="H1973" s="1">
        <v>16.468114249</v>
      </c>
      <c r="I1973" s="1">
        <v>4.0355329275</v>
      </c>
      <c r="J1973" s="1">
        <v>9.7120033635</v>
      </c>
      <c r="K1973" s="1">
        <v>16.708050684</v>
      </c>
      <c r="L1973" s="1">
        <v>28.4</v>
      </c>
      <c r="M1973" s="1">
        <v>8.0</v>
      </c>
      <c r="N1973" s="1">
        <v>24.3</v>
      </c>
      <c r="O1973" s="1">
        <v>69.225055707</v>
      </c>
      <c r="P1973" s="1">
        <v>12.923807557</v>
      </c>
      <c r="Q1973" s="1">
        <v>37.40932</v>
      </c>
      <c r="R1973" s="1">
        <v>88.7</v>
      </c>
      <c r="S1973" s="1">
        <v>19.2</v>
      </c>
      <c r="T1973" s="1">
        <v>13224.0</v>
      </c>
      <c r="U1973" s="1">
        <v>32.902298851</v>
      </c>
      <c r="V1973" s="1">
        <v>266.12098424</v>
      </c>
      <c r="W1973" s="1">
        <v>16.10852056</v>
      </c>
      <c r="X1973" s="1">
        <v>12.974479949</v>
      </c>
      <c r="Y1973" s="1">
        <v>75.806001719</v>
      </c>
      <c r="Z1973" s="1">
        <v>9.6</v>
      </c>
      <c r="AA1973" s="1">
        <v>2.2297564435</v>
      </c>
      <c r="AB1973" s="1">
        <v>51491.0</v>
      </c>
      <c r="AC1973" s="1">
        <v>47.9496992889999</v>
      </c>
      <c r="AD1973" s="1">
        <v>73.512670237</v>
      </c>
      <c r="AE1973" s="1">
        <v>11.547566857</v>
      </c>
      <c r="AF1973" s="1">
        <v>11.2235199359999</v>
      </c>
      <c r="AG1973" s="1">
        <v>0.4575110753</v>
      </c>
      <c r="AH1973" s="1">
        <v>2.1715666532</v>
      </c>
      <c r="AI1973" s="1">
        <v>0.2641965364</v>
      </c>
      <c r="AJ1973" s="1">
        <v>4.3656866694</v>
      </c>
      <c r="AK1973" s="1">
        <v>80.623439388</v>
      </c>
      <c r="AL1973" s="1">
        <v>0.981361075</v>
      </c>
      <c r="AM1973" s="1">
        <v>50.094240838</v>
      </c>
      <c r="AN1973" s="1">
        <v>67.713130313</v>
      </c>
      <c r="AO1973" s="1">
        <v>22103.0</v>
      </c>
      <c r="AP1973" s="1">
        <v>17.1</v>
      </c>
      <c r="AQ1973" s="1">
        <v>10.3</v>
      </c>
      <c r="AR1973" s="1">
        <v>15.3</v>
      </c>
      <c r="AS1973" s="1">
        <v>17.5</v>
      </c>
      <c r="AT1973" s="1">
        <v>21.9</v>
      </c>
      <c r="AU1973" s="1">
        <v>15.9</v>
      </c>
      <c r="AV1973" s="1">
        <v>18.5</v>
      </c>
      <c r="AW1973" s="1">
        <v>1.1</v>
      </c>
      <c r="AX1973" s="1">
        <v>0.7526</v>
      </c>
      <c r="AY1973" s="1">
        <v>10.7</v>
      </c>
      <c r="AZ1973" s="1">
        <v>13.4</v>
      </c>
      <c r="BA1973" s="1">
        <v>19.8</v>
      </c>
      <c r="BB1973" s="1">
        <v>2.81</v>
      </c>
      <c r="BC1973" s="1" t="s">
        <v>3169</v>
      </c>
      <c r="BD1973" s="1">
        <v>14.7</v>
      </c>
      <c r="BE1973" s="1">
        <v>33.3</v>
      </c>
      <c r="BF1973" s="1">
        <v>34.7</v>
      </c>
      <c r="BG1973" s="1">
        <v>17.3</v>
      </c>
      <c r="BH1973" s="1" t="s">
        <v>3305</v>
      </c>
    </row>
    <row r="1974">
      <c r="A1974" s="1">
        <v>37169.0</v>
      </c>
      <c r="B1974" s="2" t="str">
        <f>IFERROR(__xludf.DUMMYFUNCTION("TO_TEXT(A1974)"),"37169")</f>
        <v>37169</v>
      </c>
      <c r="C1974" s="1">
        <v>46453.0</v>
      </c>
      <c r="D1974" s="1">
        <v>449.007228579822</v>
      </c>
      <c r="E1974" s="1" t="s">
        <v>3306</v>
      </c>
      <c r="F1974" s="1" t="s">
        <v>3307</v>
      </c>
      <c r="G1974" s="1">
        <v>103.457131741348</v>
      </c>
      <c r="H1974" s="1">
        <v>14.949750544</v>
      </c>
      <c r="I1974" s="1">
        <v>4.1079247455</v>
      </c>
      <c r="J1974" s="1">
        <v>8.7927927928</v>
      </c>
      <c r="K1974" s="1">
        <v>15.9069361159999</v>
      </c>
      <c r="L1974" s="1">
        <v>32.8</v>
      </c>
      <c r="M1974" s="1">
        <v>7.9</v>
      </c>
      <c r="N1974" s="1">
        <v>27.3</v>
      </c>
      <c r="O1974" s="1">
        <v>56.393325035</v>
      </c>
      <c r="P1974" s="1">
        <v>13.291787841</v>
      </c>
      <c r="Q1974" s="1">
        <v>21.8737</v>
      </c>
      <c r="R1974" s="1">
        <v>83.3</v>
      </c>
      <c r="S1974" s="1">
        <v>18.2</v>
      </c>
      <c r="T1974" s="1">
        <v>8892.0</v>
      </c>
      <c r="U1974" s="1">
        <v>37.7080521819999</v>
      </c>
      <c r="V1974" s="1">
        <v>216.91739872</v>
      </c>
      <c r="W1974" s="1">
        <v>12.871287129</v>
      </c>
      <c r="X1974" s="1">
        <v>10.112359551</v>
      </c>
      <c r="Y1974" s="1">
        <v>75.991569099</v>
      </c>
      <c r="Z1974" s="1">
        <v>13.5</v>
      </c>
      <c r="AA1974" s="1">
        <v>6.1266344725</v>
      </c>
      <c r="AB1974" s="1">
        <v>50826.0</v>
      </c>
      <c r="AC1974" s="1">
        <v>49.567962778</v>
      </c>
      <c r="AD1974" s="1">
        <v>77.69661175</v>
      </c>
      <c r="AE1974" s="1">
        <v>10.44946881</v>
      </c>
      <c r="AF1974" s="1">
        <v>3.8357490048</v>
      </c>
      <c r="AG1974" s="1">
        <v>0.481668023</v>
      </c>
      <c r="AH1974" s="1">
        <v>0.4134867046</v>
      </c>
      <c r="AI1974" s="1">
        <v>0.0329909605</v>
      </c>
      <c r="AJ1974" s="1">
        <v>3.0703587217</v>
      </c>
      <c r="AK1974" s="1">
        <v>91.1738183739999</v>
      </c>
      <c r="AL1974" s="1">
        <v>0.107173804</v>
      </c>
      <c r="AM1974" s="1">
        <v>50.812677326</v>
      </c>
      <c r="AN1974" s="1">
        <v>75.696715259</v>
      </c>
      <c r="AO1974" s="1">
        <v>22013.0</v>
      </c>
      <c r="AP1974" s="1">
        <v>15.4</v>
      </c>
      <c r="AQ1974" s="1">
        <v>7.5</v>
      </c>
      <c r="AR1974" s="1">
        <v>17.8</v>
      </c>
      <c r="AS1974" s="1">
        <v>18.9</v>
      </c>
      <c r="AT1974" s="1">
        <v>20.1</v>
      </c>
      <c r="AU1974" s="1">
        <v>15.4</v>
      </c>
      <c r="AV1974" s="1">
        <v>8.5</v>
      </c>
      <c r="AW1974" s="1">
        <v>0.5</v>
      </c>
      <c r="AX1974" s="1">
        <v>0.4129</v>
      </c>
      <c r="AY1974" s="1">
        <v>13.0</v>
      </c>
      <c r="AZ1974" s="1">
        <v>13.0</v>
      </c>
      <c r="BA1974" s="1">
        <v>20.1</v>
      </c>
      <c r="BB1974" s="1">
        <v>3.05</v>
      </c>
      <c r="BC1974" s="1" t="s">
        <v>3169</v>
      </c>
      <c r="BD1974" s="1">
        <v>16.2</v>
      </c>
      <c r="BE1974" s="1">
        <v>40.0</v>
      </c>
      <c r="BF1974" s="1">
        <v>29.7</v>
      </c>
      <c r="BG1974" s="1">
        <v>14.1</v>
      </c>
      <c r="BH1974" s="1" t="s">
        <v>3307</v>
      </c>
    </row>
    <row r="1975">
      <c r="A1975" s="1">
        <v>37171.0</v>
      </c>
      <c r="B1975" s="2" t="str">
        <f>IFERROR(__xludf.DUMMYFUNCTION("TO_TEXT(A1975)"),"37171")</f>
        <v>37171</v>
      </c>
      <c r="C1975" s="1">
        <v>72767.0</v>
      </c>
      <c r="D1975" s="1">
        <v>533.764585952898</v>
      </c>
      <c r="E1975" s="1" t="s">
        <v>3308</v>
      </c>
      <c r="F1975" s="1" t="s">
        <v>3309</v>
      </c>
      <c r="G1975" s="1">
        <v>136.327890450232</v>
      </c>
      <c r="H1975" s="1">
        <v>18.945609764</v>
      </c>
      <c r="I1975" s="1">
        <v>4.5196172977</v>
      </c>
      <c r="J1975" s="1">
        <v>8.7089381207</v>
      </c>
      <c r="K1975" s="1">
        <v>17.195156723</v>
      </c>
      <c r="L1975" s="1">
        <v>30.5</v>
      </c>
      <c r="M1975" s="1">
        <v>8.1</v>
      </c>
      <c r="N1975" s="1">
        <v>32.4</v>
      </c>
      <c r="O1975" s="1">
        <v>48.78585099</v>
      </c>
      <c r="P1975" s="1">
        <v>14.69812145</v>
      </c>
      <c r="Q1975" s="1">
        <v>53.99867</v>
      </c>
      <c r="R1975" s="1">
        <v>91.3550328229999</v>
      </c>
      <c r="S1975" s="1">
        <v>23.6</v>
      </c>
      <c r="T1975" s="1">
        <v>15218.0</v>
      </c>
      <c r="U1975" s="1">
        <v>28.459718754</v>
      </c>
      <c r="V1975" s="1">
        <v>173.0781118</v>
      </c>
      <c r="W1975" s="1">
        <v>13.698630137</v>
      </c>
      <c r="X1975" s="1">
        <v>10.964630225</v>
      </c>
      <c r="Y1975" s="1">
        <v>75.177122213</v>
      </c>
      <c r="Z1975" s="1">
        <v>14.7</v>
      </c>
      <c r="AA1975" s="1">
        <v>3.4149574934</v>
      </c>
      <c r="AB1975" s="1">
        <v>46342.0</v>
      </c>
      <c r="AC1975" s="1">
        <v>55.236630788</v>
      </c>
      <c r="AD1975" s="1">
        <v>72.220113852</v>
      </c>
      <c r="AE1975" s="1">
        <v>11.14425662</v>
      </c>
      <c r="AF1975" s="1">
        <v>3.6581975871</v>
      </c>
      <c r="AG1975" s="1">
        <v>0.6560293545</v>
      </c>
      <c r="AH1975" s="1">
        <v>0.7255239895</v>
      </c>
      <c r="AI1975" s="1">
        <v>0.0875632401</v>
      </c>
      <c r="AJ1975" s="1">
        <v>10.791126925</v>
      </c>
      <c r="AK1975" s="1">
        <v>83.620114527</v>
      </c>
      <c r="AL1975" s="1">
        <v>1.9696149966</v>
      </c>
      <c r="AM1975" s="1">
        <v>51.3523655969999</v>
      </c>
      <c r="AN1975" s="1">
        <v>68.805396821</v>
      </c>
      <c r="AO1975" s="1">
        <v>21411.0</v>
      </c>
      <c r="AP1975" s="1">
        <v>17.9</v>
      </c>
      <c r="AQ1975" s="1">
        <v>6.1</v>
      </c>
      <c r="AR1975" s="1">
        <v>22.4</v>
      </c>
      <c r="AS1975" s="1">
        <v>18.9</v>
      </c>
      <c r="AT1975" s="1">
        <v>22.2</v>
      </c>
      <c r="AU1975" s="1">
        <v>19.8</v>
      </c>
      <c r="AV1975" s="1">
        <v>15.3</v>
      </c>
      <c r="AW1975" s="1">
        <v>2.2</v>
      </c>
      <c r="AX1975" s="1">
        <v>0.7641</v>
      </c>
      <c r="AY1975" s="1">
        <v>16.0</v>
      </c>
      <c r="AZ1975" s="1">
        <v>15.0</v>
      </c>
      <c r="BA1975" s="1">
        <v>21.3</v>
      </c>
      <c r="BB1975" s="1">
        <v>2.76</v>
      </c>
      <c r="BC1975" s="1" t="s">
        <v>3169</v>
      </c>
      <c r="BD1975" s="1">
        <v>20.5</v>
      </c>
      <c r="BE1975" s="1">
        <v>28.9</v>
      </c>
      <c r="BF1975" s="1">
        <v>32.5</v>
      </c>
      <c r="BG1975" s="1">
        <v>18.0</v>
      </c>
      <c r="BH1975" s="1" t="s">
        <v>3309</v>
      </c>
    </row>
    <row r="1976">
      <c r="A1976" s="1">
        <v>37173.0</v>
      </c>
      <c r="B1976" s="2" t="str">
        <f>IFERROR(__xludf.DUMMYFUNCTION("TO_TEXT(A1976)"),"37173")</f>
        <v>37173</v>
      </c>
      <c r="C1976" s="1">
        <v>14234.0</v>
      </c>
      <c r="D1976" s="1">
        <v>527.994554112258</v>
      </c>
      <c r="E1976" s="1" t="s">
        <v>3310</v>
      </c>
      <c r="F1976" s="1" t="s">
        <v>3311</v>
      </c>
      <c r="G1976" s="1">
        <v>26.9586113893395</v>
      </c>
      <c r="H1976" s="1">
        <v>21.405758274</v>
      </c>
      <c r="I1976" s="1">
        <v>4.7550984842</v>
      </c>
      <c r="J1976" s="1">
        <v>8.0531665364</v>
      </c>
      <c r="K1976" s="1">
        <v>21.858117803</v>
      </c>
      <c r="L1976" s="1">
        <v>31.1</v>
      </c>
      <c r="M1976" s="1">
        <v>8.0</v>
      </c>
      <c r="N1976" s="1">
        <v>24.9</v>
      </c>
      <c r="O1976" s="1">
        <v>97.0459909879999</v>
      </c>
      <c r="P1976" s="1">
        <v>18.324470404</v>
      </c>
      <c r="Q1976" s="1">
        <v>83.9513099999999</v>
      </c>
      <c r="R1976" s="1">
        <v>79.3</v>
      </c>
      <c r="S1976" s="1">
        <v>22.9</v>
      </c>
      <c r="T1976" s="1">
        <v>3090.0</v>
      </c>
      <c r="U1976" s="1">
        <v>37.055016181</v>
      </c>
      <c r="V1976" s="1">
        <v>195.11835953</v>
      </c>
      <c r="W1976" s="1">
        <v>11.7972350229999</v>
      </c>
      <c r="X1976" s="1">
        <v>9.0737240076</v>
      </c>
      <c r="Y1976" s="1">
        <v>73.270509705</v>
      </c>
      <c r="Z1976" s="1">
        <v>13.0</v>
      </c>
      <c r="AA1976" s="1">
        <v>0.6503453093</v>
      </c>
      <c r="AB1976" s="1">
        <v>43121.0</v>
      </c>
      <c r="AC1976" s="1">
        <v>57.625611383</v>
      </c>
      <c r="AD1976" s="1">
        <v>71.41282381</v>
      </c>
      <c r="AE1976" s="1">
        <v>9.931918302</v>
      </c>
      <c r="AF1976" s="1">
        <v>1.067041067</v>
      </c>
      <c r="AG1976" s="1">
        <v>29.8420498419999</v>
      </c>
      <c r="AH1976" s="1">
        <v>0.702000702</v>
      </c>
      <c r="AI1976" s="1">
        <v>0.0351000351</v>
      </c>
      <c r="AJ1976" s="1">
        <v>5.5458055458</v>
      </c>
      <c r="AK1976" s="1">
        <v>61.326781327</v>
      </c>
      <c r="AL1976" s="1">
        <v>0.2620545073</v>
      </c>
      <c r="AM1976" s="1">
        <v>51.814671815</v>
      </c>
      <c r="AN1976" s="1">
        <v>100.0</v>
      </c>
      <c r="AO1976" s="1">
        <v>20256.0</v>
      </c>
      <c r="AP1976" s="1">
        <v>23.4</v>
      </c>
      <c r="AQ1976" s="1">
        <v>7.0</v>
      </c>
      <c r="AR1976" s="1">
        <v>19.7</v>
      </c>
      <c r="AS1976" s="1">
        <v>18.8</v>
      </c>
      <c r="AT1976" s="1">
        <v>23.1</v>
      </c>
      <c r="AU1976" s="1">
        <v>15.2</v>
      </c>
      <c r="AV1976" s="1">
        <v>36.6</v>
      </c>
      <c r="AW1976" s="1">
        <v>0.2</v>
      </c>
      <c r="AX1976" s="1">
        <v>0.7211</v>
      </c>
      <c r="AY1976" s="1">
        <v>16.1</v>
      </c>
      <c r="AZ1976" s="1">
        <v>15.5</v>
      </c>
      <c r="BA1976" s="1">
        <v>22.8</v>
      </c>
      <c r="BB1976" s="1">
        <v>3.13</v>
      </c>
      <c r="BC1976" s="1" t="s">
        <v>3169</v>
      </c>
      <c r="BD1976" s="1">
        <v>20.2</v>
      </c>
      <c r="BE1976" s="1">
        <v>30.6</v>
      </c>
      <c r="BF1976" s="1">
        <v>31.0</v>
      </c>
      <c r="BG1976" s="1">
        <v>18.2</v>
      </c>
      <c r="BH1976" s="1" t="s">
        <v>3311</v>
      </c>
    </row>
    <row r="1977">
      <c r="A1977" s="1">
        <v>37175.0</v>
      </c>
      <c r="B1977" s="2" t="str">
        <f>IFERROR(__xludf.DUMMYFUNCTION("TO_TEXT(A1977)"),"37175")</f>
        <v>37175</v>
      </c>
      <c r="C1977" s="1">
        <v>33062.0</v>
      </c>
      <c r="D1977" s="1">
        <v>378.478162340986</v>
      </c>
      <c r="E1977" s="1" t="s">
        <v>3312</v>
      </c>
      <c r="F1977" s="1" t="s">
        <v>3313</v>
      </c>
      <c r="G1977" s="1">
        <v>87.3551060264691</v>
      </c>
      <c r="H1977" s="1">
        <v>16.32592321</v>
      </c>
      <c r="I1977" s="1">
        <v>4.0807201637</v>
      </c>
      <c r="J1977" s="1">
        <v>8.9124668435</v>
      </c>
      <c r="K1977" s="1">
        <v>15.696345978</v>
      </c>
      <c r="L1977" s="1">
        <v>26.8</v>
      </c>
      <c r="M1977" s="1">
        <v>8.1</v>
      </c>
      <c r="N1977" s="1">
        <v>24.9</v>
      </c>
      <c r="O1977" s="1">
        <v>89.715926262</v>
      </c>
      <c r="P1977" s="1">
        <v>15.309446254</v>
      </c>
      <c r="Q1977" s="1">
        <v>79.51467</v>
      </c>
      <c r="R1977" s="1">
        <v>85.7</v>
      </c>
      <c r="S1977" s="1">
        <v>22.6</v>
      </c>
      <c r="T1977" s="1">
        <v>5314.0</v>
      </c>
      <c r="U1977" s="1">
        <v>36.394429808</v>
      </c>
      <c r="V1977" s="1">
        <v>131.47356172</v>
      </c>
      <c r="W1977" s="1">
        <v>12.969653179</v>
      </c>
      <c r="X1977" s="1">
        <v>10.98540146</v>
      </c>
      <c r="Y1977" s="1">
        <v>80.215375093</v>
      </c>
      <c r="Z1977" s="1">
        <v>9.7</v>
      </c>
      <c r="AA1977" s="1">
        <v>2.40526205</v>
      </c>
      <c r="AB1977" s="1">
        <v>51398.0</v>
      </c>
      <c r="AC1977" s="1">
        <v>48.437910213</v>
      </c>
      <c r="AD1977" s="1">
        <v>76.796714579</v>
      </c>
      <c r="AE1977" s="1">
        <v>11.1750811929999</v>
      </c>
      <c r="AF1977" s="1">
        <v>3.50138828</v>
      </c>
      <c r="AG1977" s="1">
        <v>0.435481514</v>
      </c>
      <c r="AH1977" s="1">
        <v>0.6751424814</v>
      </c>
      <c r="AI1977" s="1">
        <v>0.0555311998</v>
      </c>
      <c r="AJ1977" s="1">
        <v>3.4604705539</v>
      </c>
      <c r="AK1977" s="1">
        <v>90.23819962</v>
      </c>
      <c r="AL1977" s="1">
        <v>0.9843316824</v>
      </c>
      <c r="AM1977" s="1">
        <v>51.661551951</v>
      </c>
      <c r="AN1977" s="1">
        <v>59.637352675</v>
      </c>
      <c r="AO1977" s="1">
        <v>25394.0</v>
      </c>
      <c r="AP1977" s="1">
        <v>14.4</v>
      </c>
      <c r="AQ1977" s="1">
        <v>6.7</v>
      </c>
      <c r="AR1977" s="1">
        <v>11.8</v>
      </c>
      <c r="AS1977" s="1">
        <v>27.9</v>
      </c>
      <c r="AT1977" s="1">
        <v>16.6</v>
      </c>
      <c r="AU1977" s="1">
        <v>16.0</v>
      </c>
      <c r="AV1977" s="1">
        <v>10.7</v>
      </c>
      <c r="AW1977" s="1">
        <v>1.2</v>
      </c>
      <c r="AX1977" s="1">
        <v>0.3451</v>
      </c>
      <c r="AY1977" s="1">
        <v>13.1</v>
      </c>
      <c r="AZ1977" s="1">
        <v>13.6</v>
      </c>
      <c r="BA1977" s="1">
        <v>23.3</v>
      </c>
      <c r="BB1977" s="1">
        <v>3.43</v>
      </c>
      <c r="BC1977" s="1" t="s">
        <v>3169</v>
      </c>
      <c r="BD1977" s="1">
        <v>11.0</v>
      </c>
      <c r="BE1977" s="1">
        <v>26.8</v>
      </c>
      <c r="BF1977" s="1">
        <v>29.6</v>
      </c>
      <c r="BG1977" s="1">
        <v>32.6</v>
      </c>
      <c r="BH1977" s="1" t="s">
        <v>3313</v>
      </c>
    </row>
    <row r="1978">
      <c r="A1978" s="1">
        <v>37177.0</v>
      </c>
      <c r="B1978" s="2" t="str">
        <f>IFERROR(__xludf.DUMMYFUNCTION("TO_TEXT(A1978)"),"37177")</f>
        <v>37177</v>
      </c>
      <c r="C1978" s="1">
        <v>4128.0</v>
      </c>
      <c r="D1978" s="1">
        <v>390.778037692473</v>
      </c>
      <c r="E1978" s="1" t="s">
        <v>3314</v>
      </c>
      <c r="F1978" s="1" t="s">
        <v>3315</v>
      </c>
      <c r="G1978" s="1">
        <v>10.5635414527788</v>
      </c>
      <c r="H1978" s="1">
        <v>23.023572917</v>
      </c>
      <c r="I1978" s="1">
        <v>4.4057244485</v>
      </c>
      <c r="J1978" s="1">
        <v>8.0985915493</v>
      </c>
      <c r="K1978" s="1">
        <v>20.827439448</v>
      </c>
      <c r="L1978" s="1">
        <v>43.3</v>
      </c>
      <c r="M1978" s="1">
        <v>6.3</v>
      </c>
      <c r="N1978" s="1">
        <v>27.4</v>
      </c>
      <c r="O1978" s="1">
        <v>59.2239618789999</v>
      </c>
      <c r="P1978" s="1">
        <v>17.0095518</v>
      </c>
      <c r="Q1978" s="1">
        <v>48.31939</v>
      </c>
      <c r="R1978" s="1">
        <v>89.4</v>
      </c>
      <c r="S1978" s="1">
        <v>35.1</v>
      </c>
      <c r="T1978" s="1">
        <v>530.0</v>
      </c>
      <c r="U1978" s="1">
        <v>53.396226415</v>
      </c>
      <c r="V1978" s="1">
        <v>211.18012422</v>
      </c>
      <c r="W1978" s="1">
        <v>16.494845361</v>
      </c>
      <c r="X1978" s="1">
        <v>13.87925052</v>
      </c>
      <c r="Y1978" s="1">
        <v>78.270262736</v>
      </c>
      <c r="Z1978" s="1">
        <v>12.9</v>
      </c>
      <c r="AA1978" s="1">
        <v>6.1444129486</v>
      </c>
      <c r="AB1978" s="1">
        <v>36765.0</v>
      </c>
      <c r="AC1978" s="1">
        <v>97.893030794</v>
      </c>
      <c r="AD1978" s="1">
        <v>71.796443899</v>
      </c>
      <c r="AE1978" s="1">
        <v>15.0370869859999</v>
      </c>
      <c r="AF1978" s="1">
        <v>37.279109175</v>
      </c>
      <c r="AG1978" s="1">
        <v>1.0409101912</v>
      </c>
      <c r="AH1978" s="1">
        <v>2.1786492375</v>
      </c>
      <c r="AI1978" s="1">
        <v>0.0242072137</v>
      </c>
      <c r="AJ1978" s="1">
        <v>9.0050835149</v>
      </c>
      <c r="AK1978" s="1">
        <v>49.4795449039999</v>
      </c>
      <c r="AL1978" s="1">
        <v>0.8245877061</v>
      </c>
      <c r="AM1978" s="1">
        <v>44.541273299</v>
      </c>
      <c r="AN1978" s="1">
        <v>100.0</v>
      </c>
      <c r="AO1978" s="1">
        <v>17042.0</v>
      </c>
      <c r="AP1978" s="1">
        <v>25.3</v>
      </c>
      <c r="AQ1978" s="1">
        <v>12.9</v>
      </c>
      <c r="AR1978" s="1">
        <v>27.0</v>
      </c>
      <c r="AS1978" s="1">
        <v>20.1</v>
      </c>
      <c r="AT1978" s="1">
        <v>17.4</v>
      </c>
      <c r="AU1978" s="1">
        <v>20.5</v>
      </c>
      <c r="AV1978" s="1">
        <v>48.0</v>
      </c>
      <c r="AW1978" s="1">
        <v>2.0</v>
      </c>
      <c r="AX1978" s="1">
        <v>0.9573</v>
      </c>
      <c r="AY1978" s="1">
        <v>25.4</v>
      </c>
      <c r="AZ1978" s="1">
        <v>20.3</v>
      </c>
      <c r="BA1978" s="1">
        <v>31.2</v>
      </c>
      <c r="BB1978" s="1">
        <v>3.36</v>
      </c>
      <c r="BC1978" s="1" t="s">
        <v>3169</v>
      </c>
      <c r="BD1978" s="1">
        <v>26.0</v>
      </c>
      <c r="BE1978" s="1">
        <v>36.5</v>
      </c>
      <c r="BF1978" s="1">
        <v>27.0</v>
      </c>
      <c r="BG1978" s="1">
        <v>10.6</v>
      </c>
      <c r="BH1978" s="1" t="s">
        <v>3315</v>
      </c>
    </row>
    <row r="1979">
      <c r="A1979" s="1">
        <v>37179.0</v>
      </c>
      <c r="B1979" s="2" t="str">
        <f>IFERROR(__xludf.DUMMYFUNCTION("TO_TEXT(A1979)"),"37179")</f>
        <v>37179</v>
      </c>
      <c r="C1979" s="1">
        <v>217614.0</v>
      </c>
      <c r="D1979" s="1">
        <v>631.699664431784</v>
      </c>
      <c r="E1979" s="1" t="s">
        <v>406</v>
      </c>
      <c r="F1979" s="1" t="s">
        <v>3316</v>
      </c>
      <c r="G1979" s="1">
        <v>344.489655848946</v>
      </c>
      <c r="H1979" s="1">
        <v>13.910283688</v>
      </c>
      <c r="I1979" s="1">
        <v>3.7338203996</v>
      </c>
      <c r="J1979" s="1">
        <v>7.6867643526</v>
      </c>
      <c r="K1979" s="1">
        <v>14.670660455</v>
      </c>
      <c r="L1979" s="1">
        <v>32.1</v>
      </c>
      <c r="M1979" s="1">
        <v>8.6</v>
      </c>
      <c r="N1979" s="1">
        <v>21.5</v>
      </c>
      <c r="O1979" s="1">
        <v>65.00804801</v>
      </c>
      <c r="P1979" s="1">
        <v>10.467217729</v>
      </c>
      <c r="Q1979" s="1">
        <v>65.69677</v>
      </c>
      <c r="R1979" s="1">
        <v>92.6</v>
      </c>
      <c r="S1979" s="1">
        <v>9.4</v>
      </c>
      <c r="T1979" s="1">
        <v>62211.0</v>
      </c>
      <c r="U1979" s="1">
        <v>21.467264632</v>
      </c>
      <c r="V1979" s="1">
        <v>188.22616028</v>
      </c>
      <c r="W1979" s="1">
        <v>12.799944679</v>
      </c>
      <c r="X1979" s="1">
        <v>10.729253982</v>
      </c>
      <c r="Y1979" s="1">
        <v>79.692419786</v>
      </c>
      <c r="Z1979" s="1">
        <v>9.0</v>
      </c>
      <c r="AA1979" s="1">
        <v>3.8152833374</v>
      </c>
      <c r="AB1979" s="1">
        <v>80428.0</v>
      </c>
      <c r="AC1979" s="1">
        <v>30.303574636</v>
      </c>
      <c r="AD1979" s="1">
        <v>80.510876073</v>
      </c>
      <c r="AE1979" s="1">
        <v>9.4827468398</v>
      </c>
      <c r="AF1979" s="1">
        <v>11.673618529</v>
      </c>
      <c r="AG1979" s="1">
        <v>0.642199501499999</v>
      </c>
      <c r="AH1979" s="1">
        <v>3.3500347593</v>
      </c>
      <c r="AI1979" s="1">
        <v>0.0729097784</v>
      </c>
      <c r="AJ1979" s="1">
        <v>11.42733608</v>
      </c>
      <c r="AK1979" s="1">
        <v>71.624107703</v>
      </c>
      <c r="AL1979" s="1">
        <v>2.6302841157</v>
      </c>
      <c r="AM1979" s="1">
        <v>50.831680146</v>
      </c>
      <c r="AN1979" s="1">
        <v>27.289211692</v>
      </c>
      <c r="AO1979" s="1">
        <v>31185.0</v>
      </c>
      <c r="AP1979" s="1">
        <v>9.7</v>
      </c>
      <c r="AQ1979" s="1">
        <v>6.8</v>
      </c>
      <c r="AR1979" s="1">
        <v>10.8</v>
      </c>
      <c r="AS1979" s="1">
        <v>11.3</v>
      </c>
      <c r="AT1979" s="1">
        <v>28.5</v>
      </c>
      <c r="AU1979" s="1">
        <v>9.4</v>
      </c>
      <c r="AV1979" s="1">
        <v>26.6</v>
      </c>
      <c r="AW1979" s="1">
        <v>3.0</v>
      </c>
      <c r="AX1979" s="1">
        <v>0.1824</v>
      </c>
      <c r="AY1979" s="1">
        <v>7.3</v>
      </c>
      <c r="AZ1979" s="1">
        <v>9.5</v>
      </c>
      <c r="BA1979" s="1">
        <v>13.4</v>
      </c>
      <c r="BB1979" s="1">
        <v>3.19</v>
      </c>
      <c r="BC1979" s="1" t="s">
        <v>3169</v>
      </c>
      <c r="BD1979" s="1">
        <v>10.4</v>
      </c>
      <c r="BE1979" s="1">
        <v>24.6</v>
      </c>
      <c r="BF1979" s="1">
        <v>29.7</v>
      </c>
      <c r="BG1979" s="1">
        <v>35.4</v>
      </c>
      <c r="BH1979" s="1" t="s">
        <v>3316</v>
      </c>
    </row>
    <row r="1980">
      <c r="A1980" s="1">
        <v>37181.0</v>
      </c>
      <c r="B1980" s="2" t="str">
        <f>IFERROR(__xludf.DUMMYFUNCTION("TO_TEXT(A1980)"),"37181")</f>
        <v>37181</v>
      </c>
      <c r="C1980" s="1">
        <v>44508.0</v>
      </c>
      <c r="D1980" s="1">
        <v>252.397111386171</v>
      </c>
      <c r="E1980" s="1" t="s">
        <v>3317</v>
      </c>
      <c r="F1980" s="1" t="s">
        <v>3318</v>
      </c>
      <c r="G1980" s="1">
        <v>176.341162367354</v>
      </c>
      <c r="H1980" s="1">
        <v>23.880031144</v>
      </c>
      <c r="I1980" s="1">
        <v>4.5744838895</v>
      </c>
      <c r="J1980" s="1">
        <v>12.541338082</v>
      </c>
      <c r="K1980" s="1">
        <v>20.209525704</v>
      </c>
      <c r="L1980" s="1">
        <v>34.3</v>
      </c>
      <c r="M1980" s="1">
        <v>6.2</v>
      </c>
      <c r="N1980" s="1">
        <v>37.2</v>
      </c>
      <c r="O1980" s="1">
        <v>74.783144732</v>
      </c>
      <c r="P1980" s="1">
        <v>12.145154918</v>
      </c>
      <c r="Q1980" s="1">
        <v>36.19009</v>
      </c>
      <c r="R1980" s="1">
        <v>82.1</v>
      </c>
      <c r="S1980" s="1">
        <v>35.8</v>
      </c>
      <c r="T1980" s="1">
        <v>10234.0</v>
      </c>
      <c r="U1980" s="1">
        <v>54.787961696</v>
      </c>
      <c r="V1980" s="1">
        <v>580.75004204</v>
      </c>
      <c r="W1980" s="1">
        <v>19.483638547</v>
      </c>
      <c r="X1980" s="1">
        <v>16.289288984</v>
      </c>
      <c r="Y1980" s="1">
        <v>73.383002476</v>
      </c>
      <c r="Z1980" s="1">
        <v>9.8</v>
      </c>
      <c r="AA1980" s="1">
        <v>5.090544701</v>
      </c>
      <c r="AB1980" s="1">
        <v>40263.0</v>
      </c>
      <c r="AC1980" s="1">
        <v>89.807474519</v>
      </c>
      <c r="AD1980" s="1">
        <v>59.6950278869999</v>
      </c>
      <c r="AE1980" s="1">
        <v>17.586529467</v>
      </c>
      <c r="AF1980" s="1">
        <v>50.520389395</v>
      </c>
      <c r="AG1980" s="1">
        <v>0.8994661523</v>
      </c>
      <c r="AH1980" s="1">
        <v>0.8075007851</v>
      </c>
      <c r="AI1980" s="1">
        <v>0.0583195011</v>
      </c>
      <c r="AJ1980" s="1">
        <v>7.9740702526</v>
      </c>
      <c r="AK1980" s="1">
        <v>39.199677</v>
      </c>
      <c r="AL1980" s="1">
        <v>1.3447432763</v>
      </c>
      <c r="AM1980" s="1">
        <v>53.256919833</v>
      </c>
      <c r="AN1980" s="1">
        <v>54.079520937</v>
      </c>
      <c r="AO1980" s="1">
        <v>18703.0</v>
      </c>
      <c r="AP1980" s="1">
        <v>25.6</v>
      </c>
      <c r="AQ1980" s="1">
        <v>11.1</v>
      </c>
      <c r="AR1980" s="1">
        <v>23.7</v>
      </c>
      <c r="AS1980" s="1">
        <v>16.3</v>
      </c>
      <c r="AT1980" s="1">
        <v>24.1</v>
      </c>
      <c r="AU1980" s="1">
        <v>20.7</v>
      </c>
      <c r="AV1980" s="1">
        <v>59.2</v>
      </c>
      <c r="AW1980" s="1">
        <v>1.2</v>
      </c>
      <c r="AX1980" s="1">
        <v>0.993</v>
      </c>
      <c r="AY1980" s="1">
        <v>18.5</v>
      </c>
      <c r="AZ1980" s="1">
        <v>19.0</v>
      </c>
      <c r="BA1980" s="1">
        <v>27.0</v>
      </c>
      <c r="BB1980" s="1">
        <v>2.76</v>
      </c>
      <c r="BC1980" s="1" t="s">
        <v>3169</v>
      </c>
      <c r="BD1980" s="1">
        <v>19.6</v>
      </c>
      <c r="BE1980" s="1">
        <v>37.0</v>
      </c>
      <c r="BF1980" s="1">
        <v>28.5</v>
      </c>
      <c r="BG1980" s="1">
        <v>14.8</v>
      </c>
      <c r="BH1980" s="1" t="s">
        <v>3318</v>
      </c>
    </row>
    <row r="1981">
      <c r="A1981" s="1">
        <v>37183.0</v>
      </c>
      <c r="B1981" s="2" t="str">
        <f>IFERROR(__xludf.DUMMYFUNCTION("TO_TEXT(A1981)"),"37183")</f>
        <v>37183</v>
      </c>
      <c r="C1981" s="1">
        <v>998576.0</v>
      </c>
      <c r="D1981" s="1">
        <v>834.810328102624</v>
      </c>
      <c r="E1981" s="1" t="s">
        <v>3319</v>
      </c>
      <c r="F1981" s="1" t="s">
        <v>3320</v>
      </c>
      <c r="G1981" s="1">
        <v>1196.17111382604</v>
      </c>
      <c r="H1981" s="1">
        <v>13.391759885</v>
      </c>
      <c r="I1981" s="1">
        <v>3.463126103</v>
      </c>
      <c r="J1981" s="1">
        <v>7.8736775477</v>
      </c>
      <c r="K1981" s="1">
        <v>12.194937751</v>
      </c>
      <c r="L1981" s="1">
        <v>25.1</v>
      </c>
      <c r="M1981" s="1">
        <v>8.0</v>
      </c>
      <c r="N1981" s="1">
        <v>16.4</v>
      </c>
      <c r="O1981" s="1">
        <v>90.056193555</v>
      </c>
      <c r="P1981" s="1">
        <v>10.00219295</v>
      </c>
      <c r="Q1981" s="1">
        <v>84.6854599999999</v>
      </c>
      <c r="R1981" s="1">
        <v>89.1</v>
      </c>
      <c r="S1981" s="1">
        <v>10.4</v>
      </c>
      <c r="T1981" s="1">
        <v>254053.0</v>
      </c>
      <c r="U1981" s="1">
        <v>26.872739153</v>
      </c>
      <c r="V1981" s="1">
        <v>114.89266517</v>
      </c>
      <c r="W1981" s="1">
        <v>13.953301451</v>
      </c>
      <c r="X1981" s="1">
        <v>11.5813758959999</v>
      </c>
      <c r="Y1981" s="1">
        <v>81.623908609</v>
      </c>
      <c r="Z1981" s="1">
        <v>8.5</v>
      </c>
      <c r="AA1981" s="1">
        <v>4.9094212886</v>
      </c>
      <c r="AB1981" s="1">
        <v>80169.0</v>
      </c>
      <c r="AC1981" s="1">
        <v>31.575689848</v>
      </c>
      <c r="AD1981" s="1">
        <v>63.9076256469999</v>
      </c>
      <c r="AE1981" s="1">
        <v>10.863043744</v>
      </c>
      <c r="AF1981" s="1">
        <v>19.965119632</v>
      </c>
      <c r="AG1981" s="1">
        <v>0.7937343508</v>
      </c>
      <c r="AH1981" s="1">
        <v>7.5421242235</v>
      </c>
      <c r="AI1981" s="1">
        <v>0.0843171092</v>
      </c>
      <c r="AJ1981" s="1">
        <v>10.326511368</v>
      </c>
      <c r="AK1981" s="1">
        <v>59.826239008</v>
      </c>
      <c r="AL1981" s="1">
        <v>2.5304819883</v>
      </c>
      <c r="AM1981" s="1">
        <v>51.337218085</v>
      </c>
      <c r="AN1981" s="1">
        <v>6.101379256</v>
      </c>
      <c r="AO1981" s="1">
        <v>35752.0</v>
      </c>
      <c r="AP1981" s="1">
        <v>10.8</v>
      </c>
      <c r="AQ1981" s="1">
        <v>5.7</v>
      </c>
      <c r="AR1981" s="1">
        <v>7.7</v>
      </c>
      <c r="AS1981" s="1">
        <v>10.0</v>
      </c>
      <c r="AT1981" s="1">
        <v>25.0</v>
      </c>
      <c r="AU1981" s="1">
        <v>8.2</v>
      </c>
      <c r="AV1981" s="1">
        <v>39.1</v>
      </c>
      <c r="AW1981" s="1">
        <v>2.8</v>
      </c>
      <c r="AX1981" s="1">
        <v>0.3168</v>
      </c>
      <c r="AY1981" s="1">
        <v>8.0</v>
      </c>
      <c r="AZ1981" s="1">
        <v>10.4</v>
      </c>
      <c r="BA1981" s="1">
        <v>13.1</v>
      </c>
      <c r="BB1981" s="1">
        <v>3.34</v>
      </c>
      <c r="BC1981" s="1" t="s">
        <v>3169</v>
      </c>
      <c r="BD1981" s="1">
        <v>7.0</v>
      </c>
      <c r="BE1981" s="1">
        <v>15.1</v>
      </c>
      <c r="BF1981" s="1">
        <v>25.1</v>
      </c>
      <c r="BG1981" s="1">
        <v>52.8</v>
      </c>
      <c r="BH1981" s="1" t="s">
        <v>3320</v>
      </c>
    </row>
    <row r="1982">
      <c r="A1982" s="1">
        <v>37185.0</v>
      </c>
      <c r="B1982" s="2" t="str">
        <f>IFERROR(__xludf.DUMMYFUNCTION("TO_TEXT(A1982)"),"37185")</f>
        <v>37185</v>
      </c>
      <c r="C1982" s="1">
        <v>20324.0</v>
      </c>
      <c r="D1982" s="1">
        <v>429.085149939086</v>
      </c>
      <c r="E1982" s="1" t="s">
        <v>1045</v>
      </c>
      <c r="F1982" s="1" t="s">
        <v>3321</v>
      </c>
      <c r="G1982" s="1">
        <v>47.3658899705227</v>
      </c>
      <c r="H1982" s="1">
        <v>22.941932206</v>
      </c>
      <c r="I1982" s="1">
        <v>4.4180294966</v>
      </c>
      <c r="J1982" s="1">
        <v>11.68</v>
      </c>
      <c r="K1982" s="1">
        <v>19.044592732</v>
      </c>
      <c r="L1982" s="1">
        <v>41.0</v>
      </c>
      <c r="M1982" s="1">
        <v>6.4</v>
      </c>
      <c r="N1982" s="1">
        <v>39.0</v>
      </c>
      <c r="O1982" s="1">
        <v>38.231928285</v>
      </c>
      <c r="P1982" s="1">
        <v>16.369955316</v>
      </c>
      <c r="Q1982" s="1">
        <v>5.02942</v>
      </c>
      <c r="R1982" s="1">
        <v>71.3</v>
      </c>
      <c r="S1982" s="1">
        <v>30.1</v>
      </c>
      <c r="T1982" s="1">
        <v>3600.0</v>
      </c>
      <c r="U1982" s="1">
        <v>44.6388888889999</v>
      </c>
      <c r="V1982" s="1">
        <v>210.53753698</v>
      </c>
      <c r="W1982" s="1">
        <v>18.439716312</v>
      </c>
      <c r="X1982" s="1">
        <v>17.026315789</v>
      </c>
      <c r="Y1982" s="1">
        <v>76.965757055</v>
      </c>
      <c r="Z1982" s="1">
        <v>7.1</v>
      </c>
      <c r="AA1982" s="1">
        <v>4.2555961425</v>
      </c>
      <c r="AB1982" s="1">
        <v>38430.0</v>
      </c>
      <c r="AC1982" s="1">
        <v>98.713968958</v>
      </c>
      <c r="AD1982" s="1">
        <v>72.532133676</v>
      </c>
      <c r="AE1982" s="1">
        <v>14.4112723209999</v>
      </c>
      <c r="AF1982" s="1">
        <v>50.6336143789999</v>
      </c>
      <c r="AG1982" s="1">
        <v>5.6141768062</v>
      </c>
      <c r="AH1982" s="1">
        <v>0.3837027314</v>
      </c>
      <c r="AI1982" s="1">
        <v>0.0252436007</v>
      </c>
      <c r="AJ1982" s="1">
        <v>3.8016862725</v>
      </c>
      <c r="AK1982" s="1">
        <v>38.244055132</v>
      </c>
      <c r="AL1982" s="1">
        <v>0.7717980809</v>
      </c>
      <c r="AM1982" s="1">
        <v>50.6487605389999</v>
      </c>
      <c r="AN1982" s="1">
        <v>100.0</v>
      </c>
      <c r="AO1982" s="1">
        <v>19563.0</v>
      </c>
      <c r="AP1982" s="1">
        <v>24.2</v>
      </c>
      <c r="AQ1982" s="1">
        <v>9.9</v>
      </c>
      <c r="AR1982" s="1">
        <v>20.8</v>
      </c>
      <c r="AS1982" s="1">
        <v>21.7</v>
      </c>
      <c r="AT1982" s="1">
        <v>19.0</v>
      </c>
      <c r="AU1982" s="1">
        <v>21.2</v>
      </c>
      <c r="AV1982" s="1">
        <v>62.0</v>
      </c>
      <c r="AW1982" s="1">
        <v>1.4</v>
      </c>
      <c r="AX1982" s="1">
        <v>0.9144</v>
      </c>
      <c r="AY1982" s="1">
        <v>21.7</v>
      </c>
      <c r="AZ1982" s="1">
        <v>17.6</v>
      </c>
      <c r="BA1982" s="1">
        <v>24.9</v>
      </c>
      <c r="BB1982" s="1">
        <v>3.13</v>
      </c>
      <c r="BC1982" s="1" t="s">
        <v>3169</v>
      </c>
      <c r="BD1982" s="1">
        <v>18.4</v>
      </c>
      <c r="BE1982" s="1">
        <v>36.7</v>
      </c>
      <c r="BF1982" s="1">
        <v>29.1</v>
      </c>
      <c r="BG1982" s="1">
        <v>15.8</v>
      </c>
      <c r="BH1982" s="1" t="s">
        <v>3321</v>
      </c>
    </row>
    <row r="1983">
      <c r="A1983" s="1">
        <v>37187.0</v>
      </c>
      <c r="B1983" s="2" t="str">
        <f>IFERROR(__xludf.DUMMYFUNCTION("TO_TEXT(A1983)"),"37187")</f>
        <v>37187</v>
      </c>
      <c r="C1983" s="1">
        <v>12503.0</v>
      </c>
      <c r="D1983" s="1">
        <v>346.5096337324</v>
      </c>
      <c r="E1983" s="1" t="s">
        <v>188</v>
      </c>
      <c r="F1983" s="1" t="s">
        <v>3322</v>
      </c>
      <c r="G1983" s="1">
        <v>36.082690877379</v>
      </c>
      <c r="H1983" s="1">
        <v>23.914689554</v>
      </c>
      <c r="I1983" s="1">
        <v>4.54142224</v>
      </c>
      <c r="J1983" s="1">
        <v>10.88664422</v>
      </c>
      <c r="K1983" s="1">
        <v>18.811718772</v>
      </c>
      <c r="L1983" s="1">
        <v>42.2</v>
      </c>
      <c r="M1983" s="1">
        <v>5.4</v>
      </c>
      <c r="N1983" s="1">
        <v>31.2</v>
      </c>
      <c r="O1983" s="1">
        <v>67.984578168</v>
      </c>
      <c r="P1983" s="1">
        <v>13.059908859</v>
      </c>
      <c r="Q1983" s="1">
        <v>33.30003</v>
      </c>
      <c r="R1983" s="1">
        <v>72.5</v>
      </c>
      <c r="S1983" s="1">
        <v>38.7</v>
      </c>
      <c r="T1983" s="1">
        <v>2396.0</v>
      </c>
      <c r="U1983" s="1">
        <v>62.4373956589999</v>
      </c>
      <c r="V1983" s="1">
        <v>284.83266081</v>
      </c>
      <c r="W1983" s="1">
        <v>15.850144092</v>
      </c>
      <c r="X1983" s="1">
        <v>13.972055888</v>
      </c>
      <c r="Y1983" s="1">
        <v>76.204897246</v>
      </c>
      <c r="Z1983" s="1">
        <v>17.5</v>
      </c>
      <c r="AA1983" s="1">
        <v>12.945299443</v>
      </c>
      <c r="AB1983" s="1">
        <v>36042.0</v>
      </c>
      <c r="AC1983" s="1">
        <v>97.3930481279999</v>
      </c>
      <c r="AD1983" s="1">
        <v>63.236743544</v>
      </c>
      <c r="AE1983" s="1">
        <v>20.9951711109999</v>
      </c>
      <c r="AF1983" s="1">
        <v>47.929842314</v>
      </c>
      <c r="AG1983" s="1">
        <v>0.969727633</v>
      </c>
      <c r="AH1983" s="1">
        <v>0.379458639</v>
      </c>
      <c r="AI1983" s="1">
        <v>0.0252972426</v>
      </c>
      <c r="AJ1983" s="1">
        <v>5.8436630407</v>
      </c>
      <c r="AK1983" s="1">
        <v>44.32920145</v>
      </c>
      <c r="AL1983" s="1">
        <v>0.1041666667</v>
      </c>
      <c r="AM1983" s="1">
        <v>52.525508053</v>
      </c>
      <c r="AN1983" s="1">
        <v>67.757786513</v>
      </c>
      <c r="AO1983" s="1">
        <v>20423.0</v>
      </c>
      <c r="AP1983" s="1">
        <v>23.6</v>
      </c>
      <c r="AQ1983" s="1">
        <v>16.0</v>
      </c>
      <c r="AR1983" s="1">
        <v>20.7</v>
      </c>
      <c r="AS1983" s="1">
        <v>21.2</v>
      </c>
      <c r="AT1983" s="1">
        <v>22.0</v>
      </c>
      <c r="AU1983" s="1">
        <v>22.5</v>
      </c>
      <c r="AV1983" s="1">
        <v>55.0</v>
      </c>
      <c r="AW1983" s="1">
        <v>0.6</v>
      </c>
      <c r="AX1983" s="1">
        <v>0.9338</v>
      </c>
      <c r="AY1983" s="1">
        <v>21.3</v>
      </c>
      <c r="AZ1983" s="1">
        <v>19.5</v>
      </c>
      <c r="BA1983" s="1">
        <v>32.9</v>
      </c>
      <c r="BB1983" s="1">
        <v>2.92</v>
      </c>
      <c r="BC1983" s="1" t="s">
        <v>3169</v>
      </c>
      <c r="BD1983" s="1">
        <v>16.3</v>
      </c>
      <c r="BE1983" s="1">
        <v>37.4</v>
      </c>
      <c r="BF1983" s="1">
        <v>34.8</v>
      </c>
      <c r="BG1983" s="1">
        <v>11.5</v>
      </c>
      <c r="BH1983" s="1" t="s">
        <v>3322</v>
      </c>
    </row>
    <row r="1984">
      <c r="A1984" s="1">
        <v>37189.0</v>
      </c>
      <c r="B1984" s="2" t="str">
        <f>IFERROR(__xludf.DUMMYFUNCTION("TO_TEXT(A1984)"),"37189")</f>
        <v>37189</v>
      </c>
      <c r="C1984" s="1">
        <v>52745.0</v>
      </c>
      <c r="D1984" s="1">
        <v>312.418490459816</v>
      </c>
      <c r="E1984" s="1" t="s">
        <v>3323</v>
      </c>
      <c r="F1984" s="1" t="s">
        <v>3324</v>
      </c>
      <c r="G1984" s="1">
        <v>168.828035505742</v>
      </c>
      <c r="H1984" s="1">
        <v>18.0057192409999</v>
      </c>
      <c r="I1984" s="1">
        <v>4.5564770338</v>
      </c>
      <c r="J1984" s="1">
        <v>7.628458498</v>
      </c>
      <c r="K1984" s="1">
        <v>18.012060815</v>
      </c>
      <c r="L1984" s="1">
        <v>16.7</v>
      </c>
      <c r="M1984" s="1">
        <v>7.3</v>
      </c>
      <c r="N1984" s="1">
        <v>19.3</v>
      </c>
      <c r="O1984" s="1">
        <v>92.008457487</v>
      </c>
      <c r="P1984" s="1">
        <v>14.221743705</v>
      </c>
      <c r="Q1984" s="1">
        <v>74.38181</v>
      </c>
      <c r="R1984" s="1">
        <v>89.6</v>
      </c>
      <c r="S1984" s="1">
        <v>15.3</v>
      </c>
      <c r="T1984" s="1">
        <v>6982.0</v>
      </c>
      <c r="U1984" s="1">
        <v>22.90174735</v>
      </c>
      <c r="V1984" s="1">
        <v>120.79574195</v>
      </c>
      <c r="W1984" s="1">
        <v>25.787401575</v>
      </c>
      <c r="X1984" s="1">
        <v>24.180225282</v>
      </c>
      <c r="Y1984" s="1">
        <v>82.048460486</v>
      </c>
      <c r="Z1984" s="1">
        <v>7.0</v>
      </c>
      <c r="AA1984" s="1">
        <v>2.6323990135</v>
      </c>
      <c r="AB1984" s="1">
        <v>48489.0</v>
      </c>
      <c r="AC1984" s="1">
        <v>34.241730809</v>
      </c>
      <c r="AD1984" s="1">
        <v>60.648489315</v>
      </c>
      <c r="AE1984" s="1">
        <v>19.902213073</v>
      </c>
      <c r="AF1984" s="1">
        <v>1.7231209223</v>
      </c>
      <c r="AG1984" s="1">
        <v>0.403968183</v>
      </c>
      <c r="AH1984" s="1">
        <v>1.1886674412</v>
      </c>
      <c r="AI1984" s="1">
        <v>0.0357493967</v>
      </c>
      <c r="AJ1984" s="1">
        <v>3.748324247</v>
      </c>
      <c r="AK1984" s="1">
        <v>91.631066226</v>
      </c>
      <c r="AL1984" s="1">
        <v>0.5771178505</v>
      </c>
      <c r="AM1984" s="1">
        <v>50.065242649</v>
      </c>
      <c r="AN1984" s="1">
        <v>55.435697645</v>
      </c>
      <c r="AO1984" s="1">
        <v>22892.0</v>
      </c>
      <c r="AP1984" s="1">
        <v>31.3</v>
      </c>
      <c r="AQ1984" s="1">
        <v>8.8</v>
      </c>
      <c r="AR1984" s="1">
        <v>12.0</v>
      </c>
      <c r="AS1984" s="1">
        <v>14.1</v>
      </c>
      <c r="AT1984" s="1">
        <v>13.1</v>
      </c>
      <c r="AU1984" s="1">
        <v>10.7</v>
      </c>
      <c r="AV1984" s="1">
        <v>7.9</v>
      </c>
      <c r="AW1984" s="1">
        <v>0.7</v>
      </c>
      <c r="AX1984" s="1">
        <v>0.4123</v>
      </c>
      <c r="AY1984" s="1">
        <v>21.4</v>
      </c>
      <c r="AZ1984" s="1">
        <v>13.8</v>
      </c>
      <c r="BA1984" s="1">
        <v>17.9</v>
      </c>
      <c r="BB1984" s="1">
        <v>3.71</v>
      </c>
      <c r="BC1984" s="1" t="s">
        <v>3169</v>
      </c>
      <c r="BD1984" s="1">
        <v>9.2</v>
      </c>
      <c r="BE1984" s="1">
        <v>20.7</v>
      </c>
      <c r="BF1984" s="1">
        <v>27.8</v>
      </c>
      <c r="BG1984" s="1">
        <v>42.2</v>
      </c>
      <c r="BH1984" s="1" t="s">
        <v>3324</v>
      </c>
    </row>
    <row r="1985">
      <c r="A1985" s="1">
        <v>37191.0</v>
      </c>
      <c r="B1985" s="2" t="str">
        <f>IFERROR(__xludf.DUMMYFUNCTION("TO_TEXT(A1985)"),"37191")</f>
        <v>37191</v>
      </c>
      <c r="C1985" s="1">
        <v>124447.0</v>
      </c>
      <c r="D1985" s="1">
        <v>553.909167068092</v>
      </c>
      <c r="E1985" s="1" t="s">
        <v>1048</v>
      </c>
      <c r="F1985" s="1" t="s">
        <v>3325</v>
      </c>
      <c r="G1985" s="1">
        <v>224.670410599472</v>
      </c>
      <c r="H1985" s="1">
        <v>20.7574487029999</v>
      </c>
      <c r="I1985" s="1">
        <v>4.4574759231</v>
      </c>
      <c r="J1985" s="1">
        <v>8.6637673744</v>
      </c>
      <c r="K1985" s="1">
        <v>17.654392519</v>
      </c>
      <c r="L1985" s="1">
        <v>38.1</v>
      </c>
      <c r="M1985" s="1">
        <v>6.6</v>
      </c>
      <c r="N1985" s="1">
        <v>28.3</v>
      </c>
      <c r="O1985" s="1">
        <v>45.162816111</v>
      </c>
      <c r="P1985" s="1">
        <v>14.9985079079999</v>
      </c>
      <c r="Q1985" s="1">
        <v>46.7094</v>
      </c>
      <c r="R1985" s="1">
        <v>82.5</v>
      </c>
      <c r="S1985" s="1">
        <v>31.5</v>
      </c>
      <c r="T1985" s="1">
        <v>29336.0</v>
      </c>
      <c r="U1985" s="1">
        <v>43.011998909</v>
      </c>
      <c r="V1985" s="1">
        <v>407.01725622</v>
      </c>
      <c r="W1985" s="1">
        <v>16.165053706</v>
      </c>
      <c r="X1985" s="1">
        <v>13.536178905</v>
      </c>
      <c r="Y1985" s="1">
        <v>76.143496714</v>
      </c>
      <c r="Z1985" s="1">
        <v>16.7</v>
      </c>
      <c r="AA1985" s="1">
        <v>8.6494508875</v>
      </c>
      <c r="AB1985" s="1">
        <v>41572.0</v>
      </c>
      <c r="AC1985" s="1">
        <v>83.037404697</v>
      </c>
      <c r="AD1985" s="1">
        <v>61.524723278</v>
      </c>
      <c r="AE1985" s="1">
        <v>13.890404382</v>
      </c>
      <c r="AF1985" s="1">
        <v>30.995229132</v>
      </c>
      <c r="AG1985" s="1">
        <v>0.8405815916</v>
      </c>
      <c r="AH1985" s="1">
        <v>1.3468778398</v>
      </c>
      <c r="AI1985" s="1">
        <v>0.159840321999999</v>
      </c>
      <c r="AJ1985" s="1">
        <v>12.342593795</v>
      </c>
      <c r="AK1985" s="1">
        <v>53.097819032</v>
      </c>
      <c r="AL1985" s="1">
        <v>4.2268986028</v>
      </c>
      <c r="AM1985" s="1">
        <v>51.3744644939999</v>
      </c>
      <c r="AN1985" s="1">
        <v>46.404018822</v>
      </c>
      <c r="AO1985" s="1">
        <v>21674.0</v>
      </c>
      <c r="AP1985" s="1">
        <v>21.8</v>
      </c>
      <c r="AQ1985" s="1">
        <v>11.8</v>
      </c>
      <c r="AR1985" s="1">
        <v>17.0</v>
      </c>
      <c r="AS1985" s="1">
        <v>14.4</v>
      </c>
      <c r="AT1985" s="1">
        <v>24.1</v>
      </c>
      <c r="AU1985" s="1">
        <v>17.1</v>
      </c>
      <c r="AV1985" s="1">
        <v>45.7</v>
      </c>
      <c r="AW1985" s="1">
        <v>4.6</v>
      </c>
      <c r="AX1985" s="1">
        <v>0.9621</v>
      </c>
      <c r="AY1985" s="1">
        <v>18.6</v>
      </c>
      <c r="AZ1985" s="1">
        <v>16.6</v>
      </c>
      <c r="BA1985" s="1">
        <v>24.4</v>
      </c>
      <c r="BB1985" s="1">
        <v>2.79</v>
      </c>
      <c r="BC1985" s="1" t="s">
        <v>3169</v>
      </c>
      <c r="BD1985" s="1">
        <v>15.5</v>
      </c>
      <c r="BE1985" s="1">
        <v>30.5</v>
      </c>
      <c r="BF1985" s="1">
        <v>35.0</v>
      </c>
      <c r="BG1985" s="1">
        <v>19.0</v>
      </c>
      <c r="BH1985" s="1" t="s">
        <v>3325</v>
      </c>
    </row>
    <row r="1986">
      <c r="A1986" s="1">
        <v>37193.0</v>
      </c>
      <c r="B1986" s="2" t="str">
        <f>IFERROR(__xludf.DUMMYFUNCTION("TO_TEXT(A1986)"),"37193")</f>
        <v>37193</v>
      </c>
      <c r="C1986" s="1">
        <v>68888.0</v>
      </c>
      <c r="D1986" s="1">
        <v>754.539737360602</v>
      </c>
      <c r="E1986" s="1" t="s">
        <v>1058</v>
      </c>
      <c r="F1986" s="1" t="s">
        <v>3326</v>
      </c>
      <c r="G1986" s="1">
        <v>91.2980411621154</v>
      </c>
      <c r="H1986" s="1">
        <v>17.578168147</v>
      </c>
      <c r="I1986" s="1">
        <v>4.2954937235</v>
      </c>
      <c r="J1986" s="1">
        <v>9.4560669456</v>
      </c>
      <c r="K1986" s="1">
        <v>17.855462044</v>
      </c>
      <c r="L1986" s="1">
        <v>42.6</v>
      </c>
      <c r="M1986" s="1">
        <v>7.6</v>
      </c>
      <c r="N1986" s="1">
        <v>31.8</v>
      </c>
      <c r="O1986" s="1">
        <v>73.994808192</v>
      </c>
      <c r="P1986" s="1">
        <v>15.705784069</v>
      </c>
      <c r="Q1986" s="1">
        <v>40.83061</v>
      </c>
      <c r="R1986" s="1">
        <v>87.9</v>
      </c>
      <c r="S1986" s="1">
        <v>31.6</v>
      </c>
      <c r="T1986" s="1">
        <v>13894.0</v>
      </c>
      <c r="U1986" s="1">
        <v>29.7754426369999</v>
      </c>
      <c r="V1986" s="1">
        <v>209.48653976</v>
      </c>
      <c r="W1986" s="1">
        <v>14.065615371</v>
      </c>
      <c r="X1986" s="1">
        <v>12.4907612709999</v>
      </c>
      <c r="Y1986" s="1">
        <v>76.4538351039999</v>
      </c>
      <c r="Z1986" s="1">
        <v>14.0</v>
      </c>
      <c r="AA1986" s="1">
        <v>6.0246248971</v>
      </c>
      <c r="AB1986" s="1">
        <v>44080.0</v>
      </c>
      <c r="AC1986" s="1">
        <v>81.129421222</v>
      </c>
      <c r="AD1986" s="1">
        <v>74.187973902</v>
      </c>
      <c r="AE1986" s="1">
        <v>11.851137249</v>
      </c>
      <c r="AF1986" s="1">
        <v>4.3350788395</v>
      </c>
      <c r="AG1986" s="1">
        <v>0.3982087898</v>
      </c>
      <c r="AH1986" s="1">
        <v>0.5892906632</v>
      </c>
      <c r="AI1986" s="1">
        <v>0.0889770556</v>
      </c>
      <c r="AJ1986" s="1">
        <v>6.763714865</v>
      </c>
      <c r="AK1986" s="1">
        <v>86.937876512</v>
      </c>
      <c r="AL1986" s="1">
        <v>1.4049650296</v>
      </c>
      <c r="AM1986" s="1">
        <v>50.80152282</v>
      </c>
      <c r="AN1986" s="1">
        <v>72.790597058</v>
      </c>
      <c r="AO1986" s="1">
        <v>20145.0</v>
      </c>
      <c r="AP1986" s="1">
        <v>21.1</v>
      </c>
      <c r="AQ1986" s="1">
        <v>9.7</v>
      </c>
      <c r="AR1986" s="1">
        <v>23.1</v>
      </c>
      <c r="AS1986" s="1">
        <v>19.8</v>
      </c>
      <c r="AT1986" s="1">
        <v>21.3</v>
      </c>
      <c r="AU1986" s="1">
        <v>18.1</v>
      </c>
      <c r="AV1986" s="1">
        <v>11.8</v>
      </c>
      <c r="AW1986" s="1">
        <v>1.8</v>
      </c>
      <c r="AX1986" s="1">
        <v>0.8083</v>
      </c>
      <c r="AY1986" s="1">
        <v>15.2</v>
      </c>
      <c r="AZ1986" s="1">
        <v>15.8</v>
      </c>
      <c r="BA1986" s="1">
        <v>23.8</v>
      </c>
      <c r="BB1986" s="1">
        <v>2.71</v>
      </c>
      <c r="BC1986" s="1" t="s">
        <v>3169</v>
      </c>
      <c r="BD1986" s="1">
        <v>19.9</v>
      </c>
      <c r="BE1986" s="1">
        <v>31.7</v>
      </c>
      <c r="BF1986" s="1">
        <v>32.6</v>
      </c>
      <c r="BG1986" s="1">
        <v>15.8</v>
      </c>
      <c r="BH1986" s="1" t="s">
        <v>3326</v>
      </c>
    </row>
    <row r="1987">
      <c r="A1987" s="1">
        <v>37195.0</v>
      </c>
      <c r="B1987" s="2" t="str">
        <f>IFERROR(__xludf.DUMMYFUNCTION("TO_TEXT(A1987)"),"37195")</f>
        <v>37195</v>
      </c>
      <c r="C1987" s="1">
        <v>81617.0</v>
      </c>
      <c r="D1987" s="1">
        <v>367.573330272492</v>
      </c>
      <c r="E1987" s="1" t="s">
        <v>1754</v>
      </c>
      <c r="F1987" s="1" t="s">
        <v>3327</v>
      </c>
      <c r="G1987" s="1">
        <v>222.04276882519</v>
      </c>
      <c r="H1987" s="1">
        <v>21.263677217</v>
      </c>
      <c r="I1987" s="1">
        <v>4.3726535038</v>
      </c>
      <c r="J1987" s="1">
        <v>11.33383572</v>
      </c>
      <c r="K1987" s="1">
        <v>18.060110062</v>
      </c>
      <c r="L1987" s="1">
        <v>32.3</v>
      </c>
      <c r="M1987" s="1">
        <v>6.9</v>
      </c>
      <c r="N1987" s="1">
        <v>31.0</v>
      </c>
      <c r="O1987" s="1">
        <v>65.679395327</v>
      </c>
      <c r="P1987" s="1">
        <v>13.8461538459999</v>
      </c>
      <c r="Q1987" s="1">
        <v>45.30372</v>
      </c>
      <c r="R1987" s="1">
        <v>78.5</v>
      </c>
      <c r="S1987" s="1">
        <v>31.1</v>
      </c>
      <c r="T1987" s="1">
        <v>18779.0</v>
      </c>
      <c r="U1987" s="1">
        <v>49.763033175</v>
      </c>
      <c r="V1987" s="1">
        <v>403.24606804</v>
      </c>
      <c r="W1987" s="1">
        <v>18.2060112709999</v>
      </c>
      <c r="X1987" s="1">
        <v>15.599682288</v>
      </c>
      <c r="Y1987" s="1">
        <v>75.854356566</v>
      </c>
      <c r="Z1987" s="1">
        <v>14.3</v>
      </c>
      <c r="AA1987" s="1">
        <v>1.1086579167</v>
      </c>
      <c r="AB1987" s="1">
        <v>44015.0</v>
      </c>
      <c r="AC1987" s="1">
        <v>74.471423235</v>
      </c>
      <c r="AD1987" s="1">
        <v>59.0263944219999</v>
      </c>
      <c r="AE1987" s="1">
        <v>15.3428201809999</v>
      </c>
      <c r="AF1987" s="1">
        <v>39.473328832</v>
      </c>
      <c r="AG1987" s="1">
        <v>0.615063532</v>
      </c>
      <c r="AH1987" s="1">
        <v>1.2117119882</v>
      </c>
      <c r="AI1987" s="1">
        <v>0.1399545761</v>
      </c>
      <c r="AJ1987" s="1">
        <v>10.794917439</v>
      </c>
      <c r="AK1987" s="1">
        <v>46.99281812</v>
      </c>
      <c r="AL1987" s="1">
        <v>1.9657304178</v>
      </c>
      <c r="AM1987" s="1">
        <v>52.68675956</v>
      </c>
      <c r="AN1987" s="1">
        <v>38.661151734</v>
      </c>
      <c r="AO1987" s="1">
        <v>22519.0</v>
      </c>
      <c r="AP1987" s="1">
        <v>22.5</v>
      </c>
      <c r="AQ1987" s="1">
        <v>8.4</v>
      </c>
      <c r="AR1987" s="1">
        <v>19.8</v>
      </c>
      <c r="AS1987" s="1">
        <v>16.4</v>
      </c>
      <c r="AT1987" s="1">
        <v>23.6</v>
      </c>
      <c r="AU1987" s="1">
        <v>15.1</v>
      </c>
      <c r="AV1987" s="1">
        <v>52.0</v>
      </c>
      <c r="AW1987" s="1">
        <v>2.6</v>
      </c>
      <c r="AX1987" s="1">
        <v>0.928</v>
      </c>
      <c r="AY1987" s="1">
        <v>21.5</v>
      </c>
      <c r="AZ1987" s="1">
        <v>17.8</v>
      </c>
      <c r="BA1987" s="1">
        <v>26.0</v>
      </c>
      <c r="BB1987" s="1">
        <v>2.66</v>
      </c>
      <c r="BC1987" s="1" t="s">
        <v>3169</v>
      </c>
      <c r="BD1987" s="1">
        <v>19.7</v>
      </c>
      <c r="BE1987" s="1">
        <v>31.5</v>
      </c>
      <c r="BF1987" s="1">
        <v>29.2</v>
      </c>
      <c r="BG1987" s="1">
        <v>19.6</v>
      </c>
      <c r="BH1987" s="1" t="s">
        <v>3327</v>
      </c>
    </row>
    <row r="1988">
      <c r="A1988" s="1">
        <v>37197.0</v>
      </c>
      <c r="B1988" s="2" t="str">
        <f>IFERROR(__xludf.DUMMYFUNCTION("TO_TEXT(A1988)"),"37197")</f>
        <v>37197</v>
      </c>
      <c r="C1988" s="1">
        <v>37819.0</v>
      </c>
      <c r="D1988" s="1">
        <v>334.93855833848</v>
      </c>
      <c r="E1988" s="1" t="s">
        <v>3328</v>
      </c>
      <c r="F1988" s="1" t="s">
        <v>3329</v>
      </c>
      <c r="G1988" s="1">
        <v>112.913246499918</v>
      </c>
      <c r="H1988" s="1">
        <v>17.355597654</v>
      </c>
      <c r="I1988" s="1">
        <v>4.2476568086</v>
      </c>
      <c r="J1988" s="1">
        <v>9.7915115413</v>
      </c>
      <c r="K1988" s="1">
        <v>17.897245399</v>
      </c>
      <c r="L1988" s="1">
        <v>38.6</v>
      </c>
      <c r="M1988" s="1">
        <v>8.4</v>
      </c>
      <c r="N1988" s="1">
        <v>21.3</v>
      </c>
      <c r="O1988" s="1">
        <v>32.960995678</v>
      </c>
      <c r="P1988" s="1">
        <v>14.0602677829999</v>
      </c>
      <c r="Q1988" s="1">
        <v>29.12056</v>
      </c>
      <c r="R1988" s="1">
        <v>87.6</v>
      </c>
      <c r="S1988" s="1">
        <v>20.5</v>
      </c>
      <c r="T1988" s="1">
        <v>7987.0</v>
      </c>
      <c r="U1988" s="1">
        <v>30.537122825</v>
      </c>
      <c r="V1988" s="1">
        <v>254.81431973</v>
      </c>
      <c r="W1988" s="1">
        <v>12.561334642</v>
      </c>
      <c r="X1988" s="1">
        <v>9.4680851064</v>
      </c>
      <c r="Y1988" s="1">
        <v>77.026845765</v>
      </c>
      <c r="Z1988" s="1">
        <v>11.0</v>
      </c>
      <c r="AA1988" s="1">
        <v>0.913846034</v>
      </c>
      <c r="AB1988" s="1">
        <v>49070.0</v>
      </c>
      <c r="AC1988" s="1">
        <v>57.509627728</v>
      </c>
      <c r="AD1988" s="1">
        <v>76.6960124289999</v>
      </c>
      <c r="AE1988" s="1">
        <v>9.826706072</v>
      </c>
      <c r="AF1988" s="1">
        <v>3.0791359241</v>
      </c>
      <c r="AG1988" s="1">
        <v>0.6845483845</v>
      </c>
      <c r="AH1988" s="1">
        <v>0.4794502304</v>
      </c>
      <c r="AI1988" s="1">
        <v>0.1251897824</v>
      </c>
      <c r="AJ1988" s="1">
        <v>11.165863144</v>
      </c>
      <c r="AK1988" s="1">
        <v>84.124870149</v>
      </c>
      <c r="AL1988" s="1">
        <v>2.7406473308</v>
      </c>
      <c r="AM1988" s="1">
        <v>50.7791066239999</v>
      </c>
      <c r="AN1988" s="1">
        <v>84.676873405</v>
      </c>
      <c r="AO1988" s="1">
        <v>21820.0</v>
      </c>
      <c r="AP1988" s="1">
        <v>19.0</v>
      </c>
      <c r="AQ1988" s="1">
        <v>6.8</v>
      </c>
      <c r="AR1988" s="1">
        <v>21.9</v>
      </c>
      <c r="AS1988" s="1">
        <v>18.2</v>
      </c>
      <c r="AT1988" s="1">
        <v>21.9</v>
      </c>
      <c r="AU1988" s="1">
        <v>17.0</v>
      </c>
      <c r="AV1988" s="1">
        <v>15.1</v>
      </c>
      <c r="AW1988" s="1">
        <v>2.5</v>
      </c>
      <c r="AX1988" s="1">
        <v>0.7275</v>
      </c>
      <c r="AY1988" s="1">
        <v>13.9</v>
      </c>
      <c r="AZ1988" s="1">
        <v>13.4</v>
      </c>
      <c r="BA1988" s="1">
        <v>20.4</v>
      </c>
      <c r="BB1988" s="1">
        <v>3.14</v>
      </c>
      <c r="BC1988" s="1" t="s">
        <v>3169</v>
      </c>
      <c r="BD1988" s="1">
        <v>17.7</v>
      </c>
      <c r="BE1988" s="1">
        <v>33.8</v>
      </c>
      <c r="BF1988" s="1">
        <v>36.9</v>
      </c>
      <c r="BG1988" s="1">
        <v>11.6</v>
      </c>
      <c r="BH1988" s="1" t="s">
        <v>3329</v>
      </c>
    </row>
    <row r="1989">
      <c r="A1989" s="1">
        <v>37199.0</v>
      </c>
      <c r="B1989" s="2" t="str">
        <f>IFERROR(__xludf.DUMMYFUNCTION("TO_TEXT(A1989)"),"37199")</f>
        <v>37199</v>
      </c>
      <c r="C1989" s="1">
        <v>17599.0</v>
      </c>
      <c r="D1989" s="1">
        <v>312.589332486674</v>
      </c>
      <c r="E1989" s="1" t="s">
        <v>3330</v>
      </c>
      <c r="F1989" s="1" t="s">
        <v>3331</v>
      </c>
      <c r="G1989" s="1">
        <v>56.3007056574788</v>
      </c>
      <c r="H1989" s="1">
        <v>18.178353644</v>
      </c>
      <c r="I1989" s="1">
        <v>4.3946948051</v>
      </c>
      <c r="J1989" s="1">
        <v>8.8926174497</v>
      </c>
      <c r="K1989" s="1">
        <v>16.81119175</v>
      </c>
      <c r="L1989" s="1">
        <v>29.9</v>
      </c>
      <c r="M1989" s="1">
        <v>8.1</v>
      </c>
      <c r="N1989" s="1">
        <v>30.6</v>
      </c>
      <c r="O1989" s="1">
        <v>100.0</v>
      </c>
      <c r="P1989" s="1">
        <v>14.6951219509999</v>
      </c>
      <c r="Q1989" s="1">
        <v>67.62849</v>
      </c>
      <c r="R1989" s="1">
        <v>92.0</v>
      </c>
      <c r="S1989" s="1">
        <v>26.3</v>
      </c>
      <c r="T1989" s="1">
        <v>3294.0</v>
      </c>
      <c r="U1989" s="1">
        <v>23.436551305</v>
      </c>
      <c r="V1989" s="1">
        <v>42.744785136</v>
      </c>
      <c r="W1989" s="1">
        <v>13.302139037</v>
      </c>
      <c r="X1989" s="1">
        <v>10.816326531</v>
      </c>
      <c r="Y1989" s="1">
        <v>78.362972878</v>
      </c>
      <c r="Z1989" s="1">
        <v>18.1</v>
      </c>
      <c r="AA1989" s="1">
        <v>0.4780375254</v>
      </c>
      <c r="AB1989" s="1">
        <v>44756.0</v>
      </c>
      <c r="AC1989" s="1">
        <v>51.151241535</v>
      </c>
      <c r="AD1989" s="1">
        <v>74.250202648</v>
      </c>
      <c r="AE1989" s="1">
        <v>11.23141331</v>
      </c>
      <c r="AF1989" s="1">
        <v>0.849019717399999</v>
      </c>
      <c r="AG1989" s="1">
        <v>0.7764061889</v>
      </c>
      <c r="AH1989" s="1">
        <v>0.32396805</v>
      </c>
      <c r="AI1989" s="1">
        <v>0.2792828018</v>
      </c>
      <c r="AJ1989" s="1">
        <v>5.45160029049999</v>
      </c>
      <c r="AK1989" s="1">
        <v>92.15215327</v>
      </c>
      <c r="AL1989" s="1">
        <v>1.4013419631</v>
      </c>
      <c r="AM1989" s="1">
        <v>50.8462268889999</v>
      </c>
      <c r="AN1989" s="1">
        <v>100.0</v>
      </c>
      <c r="AO1989" s="1">
        <v>21508.0</v>
      </c>
      <c r="AP1989" s="1">
        <v>21.3</v>
      </c>
      <c r="AQ1989" s="1">
        <v>9.5</v>
      </c>
      <c r="AR1989" s="1">
        <v>16.6</v>
      </c>
      <c r="AS1989" s="1">
        <v>23.3</v>
      </c>
      <c r="AT1989" s="1">
        <v>19.2</v>
      </c>
      <c r="AU1989" s="1">
        <v>20.4</v>
      </c>
      <c r="AV1989" s="1">
        <v>7.1</v>
      </c>
      <c r="AW1989" s="1">
        <v>1.3</v>
      </c>
      <c r="AX1989" s="1">
        <v>0.7077</v>
      </c>
      <c r="AY1989" s="1">
        <v>14.2</v>
      </c>
      <c r="AZ1989" s="1">
        <v>15.4</v>
      </c>
      <c r="BA1989" s="1">
        <v>21.8</v>
      </c>
      <c r="BB1989" s="1">
        <v>3.08</v>
      </c>
      <c r="BC1989" s="1" t="s">
        <v>3169</v>
      </c>
      <c r="BD1989" s="1">
        <v>15.5</v>
      </c>
      <c r="BE1989" s="1">
        <v>33.2</v>
      </c>
      <c r="BF1989" s="1">
        <v>31.0</v>
      </c>
      <c r="BG1989" s="1">
        <v>20.3</v>
      </c>
      <c r="BH1989" s="1" t="s">
        <v>3331</v>
      </c>
    </row>
    <row r="1990">
      <c r="A1990" s="1">
        <v>38001.0</v>
      </c>
      <c r="B1990" s="2" t="str">
        <f>IFERROR(__xludf.DUMMYFUNCTION("TO_TEXT(A1990)"),"38001")</f>
        <v>38001</v>
      </c>
      <c r="C1990" s="1">
        <v>2348.0</v>
      </c>
      <c r="D1990" s="1">
        <v>987.633706283914</v>
      </c>
      <c r="E1990" s="1" t="s">
        <v>532</v>
      </c>
      <c r="F1990" s="1" t="s">
        <v>3332</v>
      </c>
      <c r="G1990" s="1">
        <v>2.37739962200624</v>
      </c>
      <c r="H1990" s="1">
        <v>13.143315448</v>
      </c>
      <c r="I1990" s="1">
        <v>3.151357533</v>
      </c>
      <c r="J1990" s="1">
        <v>7.80443539465</v>
      </c>
      <c r="K1990" s="1">
        <v>14.965797739</v>
      </c>
      <c r="L1990" s="1">
        <v>30.2</v>
      </c>
      <c r="M1990" s="1">
        <v>8.9</v>
      </c>
      <c r="N1990" s="1">
        <v>27.3</v>
      </c>
      <c r="O1990" s="1">
        <v>42.125480154</v>
      </c>
      <c r="P1990" s="1">
        <v>10.0591715979999</v>
      </c>
      <c r="Q1990" s="1">
        <v>431.40638</v>
      </c>
      <c r="R1990" s="1">
        <v>89.912280702</v>
      </c>
      <c r="S1990" s="1">
        <v>12.8</v>
      </c>
      <c r="T1990" s="1">
        <v>502.0</v>
      </c>
      <c r="U1990" s="1">
        <v>12.151394422</v>
      </c>
      <c r="V1990" s="1">
        <v>64.116264159</v>
      </c>
      <c r="W1990" s="1">
        <v>7.2815533981</v>
      </c>
      <c r="X1990" s="1">
        <v>7.1850393701</v>
      </c>
      <c r="Y1990" s="1">
        <v>78.282361746</v>
      </c>
      <c r="Z1990" s="1">
        <v>12.5</v>
      </c>
      <c r="AA1990" s="1">
        <v>6.8820448472</v>
      </c>
      <c r="AB1990" s="1">
        <v>53162.0</v>
      </c>
      <c r="AC1990" s="1">
        <v>18.789808917</v>
      </c>
      <c r="AD1990" s="1">
        <v>72.466539197</v>
      </c>
      <c r="AE1990" s="1">
        <v>10.509885536</v>
      </c>
      <c r="AF1990" s="1">
        <v>0.8282476024</v>
      </c>
      <c r="AG1990" s="1">
        <v>0.6102877071</v>
      </c>
      <c r="AH1990" s="1">
        <v>3.1822144725</v>
      </c>
      <c r="AI1990" s="1">
        <v>0.0435919791</v>
      </c>
      <c r="AJ1990" s="1">
        <v>1.4385353095</v>
      </c>
      <c r="AK1990" s="1">
        <v>92.153443766</v>
      </c>
      <c r="AL1990" s="1">
        <v>0.0</v>
      </c>
      <c r="AM1990" s="1">
        <v>50.5231037489999</v>
      </c>
      <c r="AN1990" s="1">
        <v>100.0</v>
      </c>
      <c r="AO1990" s="1">
        <v>32594.0</v>
      </c>
      <c r="AP1990" s="1">
        <v>10.5</v>
      </c>
      <c r="AQ1990" s="1">
        <v>2.0</v>
      </c>
      <c r="AR1990" s="1">
        <v>4.0</v>
      </c>
      <c r="AS1990" s="1">
        <v>22.3</v>
      </c>
      <c r="AT1990" s="1">
        <v>20.4</v>
      </c>
      <c r="AU1990" s="1">
        <v>11.1</v>
      </c>
      <c r="AV1990" s="1">
        <v>6.9</v>
      </c>
      <c r="AW1990" s="1">
        <v>0.0</v>
      </c>
      <c r="AX1990" s="1">
        <v>0.0172</v>
      </c>
      <c r="AY1990" s="1">
        <v>10.7</v>
      </c>
      <c r="AZ1990" s="1">
        <v>4.9</v>
      </c>
      <c r="BA1990" s="1">
        <v>7.3</v>
      </c>
      <c r="BB1990" s="1">
        <v>3.34</v>
      </c>
      <c r="BC1990" s="1" t="s">
        <v>3333</v>
      </c>
      <c r="BD1990" s="1">
        <v>5.5</v>
      </c>
      <c r="BE1990" s="1">
        <v>34.3</v>
      </c>
      <c r="BF1990" s="1">
        <v>34.6</v>
      </c>
      <c r="BG1990" s="1">
        <v>25.6</v>
      </c>
      <c r="BH1990" s="1" t="s">
        <v>3332</v>
      </c>
    </row>
    <row r="1991">
      <c r="A1991" s="1">
        <v>38003.0</v>
      </c>
      <c r="B1991" s="2" t="str">
        <f>IFERROR(__xludf.DUMMYFUNCTION("TO_TEXT(A1991)"),"38003")</f>
        <v>38003</v>
      </c>
      <c r="C1991" s="1">
        <v>11033.0</v>
      </c>
      <c r="D1991" s="1">
        <v>1491.55261921987</v>
      </c>
      <c r="E1991" s="1" t="s">
        <v>3334</v>
      </c>
      <c r="F1991" s="1" t="s">
        <v>3335</v>
      </c>
      <c r="G1991" s="1">
        <v>7.39699012815961</v>
      </c>
      <c r="H1991" s="1">
        <v>11.999716577</v>
      </c>
      <c r="I1991" s="1">
        <v>3.1533901958</v>
      </c>
      <c r="J1991" s="1">
        <v>5.905511811</v>
      </c>
      <c r="K1991" s="1">
        <v>15.68860574</v>
      </c>
      <c r="L1991" s="1">
        <v>36.0</v>
      </c>
      <c r="M1991" s="1">
        <v>8.8</v>
      </c>
      <c r="N1991" s="1">
        <v>22.9</v>
      </c>
      <c r="O1991" s="1">
        <v>63.889390927</v>
      </c>
      <c r="P1991" s="1">
        <v>7.9595151818</v>
      </c>
      <c r="Q1991" s="1">
        <v>93.16192</v>
      </c>
      <c r="R1991" s="1">
        <v>88.131868132</v>
      </c>
      <c r="S1991" s="1">
        <v>12.7</v>
      </c>
      <c r="T1991" s="1">
        <v>2055.0</v>
      </c>
      <c r="U1991" s="1">
        <v>16.593673966</v>
      </c>
      <c r="V1991" s="1">
        <v>180.92179655</v>
      </c>
      <c r="W1991" s="1">
        <v>8.1854043393</v>
      </c>
      <c r="X1991" s="1">
        <v>6.5</v>
      </c>
      <c r="Y1991" s="1">
        <v>79.486362884</v>
      </c>
      <c r="Z1991" s="1">
        <v>8.8</v>
      </c>
      <c r="AA1991" s="1">
        <v>6.38781318149999</v>
      </c>
      <c r="AB1991" s="1">
        <v>54984.0</v>
      </c>
      <c r="AC1991" s="1">
        <v>37.074829932</v>
      </c>
      <c r="AD1991" s="1">
        <v>68.829891839</v>
      </c>
      <c r="AE1991" s="1">
        <v>9.5199349064</v>
      </c>
      <c r="AF1991" s="1">
        <v>1.5461961677</v>
      </c>
      <c r="AG1991" s="1">
        <v>1.1762473914</v>
      </c>
      <c r="AH1991" s="1">
        <v>0.9201290078</v>
      </c>
      <c r="AI1991" s="1">
        <v>0.0664010624</v>
      </c>
      <c r="AJ1991" s="1">
        <v>2.1248339973</v>
      </c>
      <c r="AK1991" s="1">
        <v>92.895086321</v>
      </c>
      <c r="AL1991" s="1">
        <v>0.0</v>
      </c>
      <c r="AM1991" s="1">
        <v>49.582621893</v>
      </c>
      <c r="AN1991" s="1">
        <v>39.553587566</v>
      </c>
      <c r="AO1991" s="1">
        <v>34244.0</v>
      </c>
      <c r="AP1991" s="1">
        <v>9.8</v>
      </c>
      <c r="AQ1991" s="1">
        <v>2.8</v>
      </c>
      <c r="AR1991" s="1">
        <v>9.1</v>
      </c>
      <c r="AS1991" s="1">
        <v>20.4</v>
      </c>
      <c r="AT1991" s="1">
        <v>20.5</v>
      </c>
      <c r="AU1991" s="1">
        <v>13.3</v>
      </c>
      <c r="AV1991" s="1">
        <v>6.7</v>
      </c>
      <c r="AW1991" s="1">
        <v>0.2</v>
      </c>
      <c r="AX1991" s="1">
        <v>0.1309</v>
      </c>
      <c r="AY1991" s="1">
        <v>9.9</v>
      </c>
      <c r="AZ1991" s="1">
        <v>6.6</v>
      </c>
      <c r="BA1991" s="1">
        <v>10.8</v>
      </c>
      <c r="BB1991" s="1">
        <v>3.29</v>
      </c>
      <c r="BC1991" s="1" t="s">
        <v>3333</v>
      </c>
      <c r="BD1991" s="1">
        <v>7.7</v>
      </c>
      <c r="BE1991" s="1">
        <v>31.5</v>
      </c>
      <c r="BF1991" s="1">
        <v>31.4</v>
      </c>
      <c r="BG1991" s="1">
        <v>29.4</v>
      </c>
      <c r="BH1991" s="1" t="s">
        <v>3335</v>
      </c>
    </row>
    <row r="1992">
      <c r="A1992" s="1">
        <v>38005.0</v>
      </c>
      <c r="B1992" s="2" t="str">
        <f>IFERROR(__xludf.DUMMYFUNCTION("TO_TEXT(A1992)"),"38005")</f>
        <v>38005</v>
      </c>
      <c r="C1992" s="1">
        <v>6802.0</v>
      </c>
      <c r="D1992" s="1">
        <v>1388.70602523024</v>
      </c>
      <c r="E1992" s="1" t="s">
        <v>3336</v>
      </c>
      <c r="F1992" s="1" t="s">
        <v>3337</v>
      </c>
      <c r="G1992" s="1">
        <v>4.89808489084093</v>
      </c>
      <c r="H1992" s="1">
        <v>24.39876786</v>
      </c>
      <c r="I1992" s="1">
        <v>4.6714227303</v>
      </c>
      <c r="J1992" s="1">
        <v>6.1580882353</v>
      </c>
      <c r="K1992" s="1">
        <v>30.242595383</v>
      </c>
      <c r="L1992" s="1">
        <v>38.0</v>
      </c>
      <c r="M1992" s="1">
        <v>6.6</v>
      </c>
      <c r="N1992" s="1">
        <v>32.0</v>
      </c>
      <c r="O1992" s="1">
        <v>62.597597598</v>
      </c>
      <c r="P1992" s="1">
        <v>13.570577218</v>
      </c>
      <c r="Q1992" s="1">
        <v>48.31939</v>
      </c>
      <c r="R1992" s="1">
        <v>89.912280702</v>
      </c>
      <c r="S1992" s="1">
        <v>40.4</v>
      </c>
      <c r="T1992" s="1">
        <v>2363.0</v>
      </c>
      <c r="U1992" s="1">
        <v>61.8705035969999</v>
      </c>
      <c r="V1992" s="1">
        <v>29.483305078</v>
      </c>
      <c r="W1992" s="1">
        <v>17.073170732</v>
      </c>
      <c r="X1992" s="1">
        <v>7.7727272727</v>
      </c>
      <c r="Y1992" s="1">
        <v>72.536267328</v>
      </c>
      <c r="Z1992" s="1">
        <v>11.3</v>
      </c>
      <c r="AA1992" s="1">
        <v>17.288386388</v>
      </c>
      <c r="AB1992" s="1">
        <v>42407.0</v>
      </c>
      <c r="AC1992" s="1">
        <v>79.00990099</v>
      </c>
      <c r="AD1992" s="1">
        <v>65.295404814</v>
      </c>
      <c r="AE1992" s="1">
        <v>7.7664974619</v>
      </c>
      <c r="AF1992" s="1">
        <v>0.3734559035</v>
      </c>
      <c r="AG1992" s="1">
        <v>55.2714737139999</v>
      </c>
      <c r="AH1992" s="1">
        <v>0.2441827061</v>
      </c>
      <c r="AI1992" s="1">
        <v>0.0143636886</v>
      </c>
      <c r="AJ1992" s="1">
        <v>3.4903763286</v>
      </c>
      <c r="AK1992" s="1">
        <v>41.10887676</v>
      </c>
      <c r="AL1992" s="1">
        <v>0.3899902502</v>
      </c>
      <c r="AM1992" s="1">
        <v>48.9370870439999</v>
      </c>
      <c r="AN1992" s="1">
        <v>100.0</v>
      </c>
      <c r="AO1992" s="1">
        <v>20561.0</v>
      </c>
      <c r="AP1992" s="1">
        <v>33.5</v>
      </c>
      <c r="AQ1992" s="1">
        <v>6.1</v>
      </c>
      <c r="AR1992" s="1">
        <v>15.0</v>
      </c>
      <c r="AS1992" s="1">
        <v>12.3</v>
      </c>
      <c r="AT1992" s="1">
        <v>34.1</v>
      </c>
      <c r="AU1992" s="1">
        <v>10.1</v>
      </c>
      <c r="AV1992" s="1">
        <v>58.5</v>
      </c>
      <c r="AW1992" s="1">
        <v>0.1</v>
      </c>
      <c r="AX1992" s="1">
        <v>0.6991</v>
      </c>
      <c r="AY1992" s="1">
        <v>23.3</v>
      </c>
      <c r="AZ1992" s="1">
        <v>15.0</v>
      </c>
      <c r="BA1992" s="1">
        <v>26.1</v>
      </c>
      <c r="BB1992" s="1">
        <v>3.18</v>
      </c>
      <c r="BC1992" s="1" t="s">
        <v>3333</v>
      </c>
      <c r="BD1992" s="1">
        <v>13.7</v>
      </c>
      <c r="BE1992" s="1">
        <v>29.5</v>
      </c>
      <c r="BF1992" s="1">
        <v>40.7</v>
      </c>
      <c r="BG1992" s="1">
        <v>16.2</v>
      </c>
      <c r="BH1992" s="1" t="s">
        <v>3337</v>
      </c>
    </row>
    <row r="1993">
      <c r="A1993" s="1">
        <v>38007.0</v>
      </c>
      <c r="B1993" s="2" t="str">
        <f>IFERROR(__xludf.DUMMYFUNCTION("TO_TEXT(A1993)"),"38007")</f>
        <v>38007</v>
      </c>
      <c r="C1993" s="1">
        <v>936.0</v>
      </c>
      <c r="D1993" s="1">
        <v>1148.83932645264</v>
      </c>
      <c r="E1993" s="1" t="s">
        <v>3338</v>
      </c>
      <c r="F1993" s="1" t="s">
        <v>3339</v>
      </c>
      <c r="G1993" s="1">
        <v>0.814735340659132</v>
      </c>
      <c r="H1993" s="1">
        <v>12.1196847679999</v>
      </c>
      <c r="I1993" s="1">
        <v>2.8339545325</v>
      </c>
      <c r="J1993" s="1">
        <v>7.80443539465</v>
      </c>
      <c r="K1993" s="1">
        <v>14.925474665</v>
      </c>
      <c r="L1993" s="1">
        <v>29.5</v>
      </c>
      <c r="M1993" s="1">
        <v>7.4</v>
      </c>
      <c r="N1993" s="1">
        <v>29.0</v>
      </c>
      <c r="O1993" s="1">
        <v>67.049808429</v>
      </c>
      <c r="P1993" s="1">
        <v>13.484646195</v>
      </c>
      <c r="Q1993" s="1">
        <v>0.0</v>
      </c>
      <c r="R1993" s="1">
        <v>89.912280702</v>
      </c>
      <c r="S1993" s="1">
        <v>11.5</v>
      </c>
      <c r="T1993" s="1">
        <v>219.0</v>
      </c>
      <c r="U1993" s="1">
        <v>9.5890410959</v>
      </c>
      <c r="V1993" s="1">
        <v>53.850296177</v>
      </c>
      <c r="W1993" s="1">
        <v>9.8765432099</v>
      </c>
      <c r="X1993" s="1">
        <v>9.9750623441</v>
      </c>
      <c r="Y1993" s="1">
        <v>77.482572377</v>
      </c>
      <c r="Z1993" s="1">
        <v>2.5</v>
      </c>
      <c r="AA1993" s="1">
        <v>26.315789405</v>
      </c>
      <c r="AB1993" s="1">
        <v>76235.0</v>
      </c>
      <c r="AC1993" s="1">
        <v>5.2631578947</v>
      </c>
      <c r="AD1993" s="1">
        <v>73.246753247</v>
      </c>
      <c r="AE1993" s="1">
        <v>8.4985835694</v>
      </c>
      <c r="AF1993" s="1">
        <v>0.3264417845</v>
      </c>
      <c r="AG1993" s="1">
        <v>0.3264417845</v>
      </c>
      <c r="AH1993" s="1">
        <v>4.4613710555</v>
      </c>
      <c r="AI1993" s="1">
        <v>0.0</v>
      </c>
      <c r="AJ1993" s="1">
        <v>1.9586507073</v>
      </c>
      <c r="AK1993" s="1">
        <v>92.383025027</v>
      </c>
      <c r="AL1993" s="1">
        <v>0.0</v>
      </c>
      <c r="AM1993" s="1">
        <v>45.48422198</v>
      </c>
      <c r="AN1993" s="1">
        <v>100.0</v>
      </c>
      <c r="AO1993" s="1">
        <v>40549.0</v>
      </c>
      <c r="AP1993" s="1">
        <v>11.0</v>
      </c>
      <c r="AQ1993" s="1">
        <v>3.0</v>
      </c>
      <c r="AR1993" s="1">
        <v>9.9</v>
      </c>
      <c r="AS1993" s="1">
        <v>17.2</v>
      </c>
      <c r="AT1993" s="1">
        <v>18.3</v>
      </c>
      <c r="AU1993" s="1">
        <v>9.3</v>
      </c>
      <c r="AV1993" s="1">
        <v>5.2</v>
      </c>
      <c r="AW1993" s="1">
        <v>0.0</v>
      </c>
      <c r="AX1993" s="1">
        <v>0.0051</v>
      </c>
      <c r="AY1993" s="1">
        <v>9.7</v>
      </c>
      <c r="AZ1993" s="1">
        <v>5.3</v>
      </c>
      <c r="BA1993" s="1">
        <v>9.6</v>
      </c>
      <c r="BB1993" s="1">
        <v>3.59</v>
      </c>
      <c r="BC1993" s="1" t="s">
        <v>3333</v>
      </c>
      <c r="BD1993" s="1">
        <v>10.5</v>
      </c>
      <c r="BE1993" s="1">
        <v>33.0</v>
      </c>
      <c r="BF1993" s="1">
        <v>30.2</v>
      </c>
      <c r="BG1993" s="1">
        <v>26.3</v>
      </c>
      <c r="BH1993" s="1" t="s">
        <v>3339</v>
      </c>
    </row>
    <row r="1994">
      <c r="A1994" s="1">
        <v>38009.0</v>
      </c>
      <c r="B1994" s="2" t="str">
        <f>IFERROR(__xludf.DUMMYFUNCTION("TO_TEXT(A1994)"),"38009")</f>
        <v>38009</v>
      </c>
      <c r="C1994" s="1">
        <v>6650.0</v>
      </c>
      <c r="D1994" s="1">
        <v>1668.41601062931</v>
      </c>
      <c r="E1994" s="1" t="s">
        <v>3340</v>
      </c>
      <c r="F1994" s="1" t="s">
        <v>3341</v>
      </c>
      <c r="G1994" s="1">
        <v>3.98581646162199</v>
      </c>
      <c r="H1994" s="1">
        <v>14.743380564</v>
      </c>
      <c r="I1994" s="1">
        <v>3.0990232657</v>
      </c>
      <c r="J1994" s="1">
        <v>4.6218487395</v>
      </c>
      <c r="K1994" s="1">
        <v>15.7287209999999</v>
      </c>
      <c r="L1994" s="1">
        <v>33.8</v>
      </c>
      <c r="M1994" s="1">
        <v>8.5</v>
      </c>
      <c r="N1994" s="1">
        <v>28.8</v>
      </c>
      <c r="O1994" s="1">
        <v>56.462902473</v>
      </c>
      <c r="P1994" s="1">
        <v>10.439447081</v>
      </c>
      <c r="Q1994" s="1">
        <v>30.62787</v>
      </c>
      <c r="R1994" s="1">
        <v>89.912280702</v>
      </c>
      <c r="S1994" s="1">
        <v>15.2</v>
      </c>
      <c r="T1994" s="1">
        <v>1329.0</v>
      </c>
      <c r="U1994" s="1">
        <v>18.660647103</v>
      </c>
      <c r="V1994" s="1">
        <v>81.7296976</v>
      </c>
      <c r="W1994" s="1">
        <v>7.71756978649999</v>
      </c>
      <c r="X1994" s="1">
        <v>6.8874172185</v>
      </c>
      <c r="Y1994" s="1">
        <v>75.575911143</v>
      </c>
      <c r="Z1994" s="1">
        <v>9.4</v>
      </c>
      <c r="AA1994" s="1">
        <v>12.084145114</v>
      </c>
      <c r="AB1994" s="1">
        <v>59161.0</v>
      </c>
      <c r="AC1994" s="1">
        <v>36.7117117119999</v>
      </c>
      <c r="AD1994" s="1">
        <v>78.303425775</v>
      </c>
      <c r="AE1994" s="1">
        <v>7.4873524452</v>
      </c>
      <c r="AF1994" s="1">
        <v>0.7019185774</v>
      </c>
      <c r="AG1994" s="1">
        <v>3.1352363126</v>
      </c>
      <c r="AH1994" s="1">
        <v>0.6863203868</v>
      </c>
      <c r="AI1994" s="1">
        <v>0.0</v>
      </c>
      <c r="AJ1994" s="1">
        <v>2.2305412572</v>
      </c>
      <c r="AK1994" s="1">
        <v>91.467789736</v>
      </c>
      <c r="AL1994" s="1">
        <v>0.0</v>
      </c>
      <c r="AM1994" s="1">
        <v>48.323194509</v>
      </c>
      <c r="AN1994" s="1">
        <v>100.0</v>
      </c>
      <c r="AO1994" s="1">
        <v>32661.0</v>
      </c>
      <c r="AP1994" s="1">
        <v>9.0</v>
      </c>
      <c r="AQ1994" s="1">
        <v>2.3</v>
      </c>
      <c r="AR1994" s="1">
        <v>9.2</v>
      </c>
      <c r="AS1994" s="1">
        <v>21.3</v>
      </c>
      <c r="AT1994" s="1">
        <v>20.5</v>
      </c>
      <c r="AU1994" s="1">
        <v>13.8</v>
      </c>
      <c r="AV1994" s="1">
        <v>7.6</v>
      </c>
      <c r="AW1994" s="1">
        <v>0.0</v>
      </c>
      <c r="AX1994" s="1">
        <v>0.0341</v>
      </c>
      <c r="AY1994" s="1">
        <v>9.7</v>
      </c>
      <c r="AZ1994" s="1">
        <v>7.0</v>
      </c>
      <c r="BA1994" s="1">
        <v>13.1</v>
      </c>
      <c r="BB1994" s="1">
        <v>3.23</v>
      </c>
      <c r="BC1994" s="1" t="s">
        <v>3333</v>
      </c>
      <c r="BD1994" s="1">
        <v>8.3</v>
      </c>
      <c r="BE1994" s="1">
        <v>27.8</v>
      </c>
      <c r="BF1994" s="1">
        <v>39.9</v>
      </c>
      <c r="BG1994" s="1">
        <v>24.0</v>
      </c>
      <c r="BH1994" s="1" t="s">
        <v>3341</v>
      </c>
    </row>
    <row r="1995">
      <c r="A1995" s="1">
        <v>38011.0</v>
      </c>
      <c r="B1995" s="2" t="str">
        <f>IFERROR(__xludf.DUMMYFUNCTION("TO_TEXT(A1995)"),"38011")</f>
        <v>38011</v>
      </c>
      <c r="C1995" s="1">
        <v>3238.0</v>
      </c>
      <c r="D1995" s="1">
        <v>1161.89919841719</v>
      </c>
      <c r="E1995" s="1" t="s">
        <v>3342</v>
      </c>
      <c r="F1995" s="1" t="s">
        <v>3343</v>
      </c>
      <c r="G1995" s="1">
        <v>2.78681662265625</v>
      </c>
      <c r="H1995" s="1">
        <v>11.553699706</v>
      </c>
      <c r="I1995" s="1">
        <v>2.9522508899</v>
      </c>
      <c r="J1995" s="1">
        <v>6.2283737024</v>
      </c>
      <c r="K1995" s="1">
        <v>13.804040115</v>
      </c>
      <c r="L1995" s="1">
        <v>23.2</v>
      </c>
      <c r="M1995" s="1">
        <v>9.5</v>
      </c>
      <c r="N1995" s="1">
        <v>32.1</v>
      </c>
      <c r="O1995" s="1">
        <v>73.849571565</v>
      </c>
      <c r="P1995" s="1">
        <v>11.787974684</v>
      </c>
      <c r="Q1995" s="1">
        <v>48.31939</v>
      </c>
      <c r="R1995" s="1">
        <v>89.912280702</v>
      </c>
      <c r="S1995" s="1">
        <v>9.9</v>
      </c>
      <c r="T1995" s="1">
        <v>767.0</v>
      </c>
      <c r="U1995" s="1">
        <v>17.601043025</v>
      </c>
      <c r="V1995" s="1">
        <v>107.80840906</v>
      </c>
      <c r="W1995" s="1">
        <v>6.0498220641</v>
      </c>
      <c r="X1995" s="1">
        <v>4.8745519713</v>
      </c>
      <c r="Y1995" s="1">
        <v>82.228203773</v>
      </c>
      <c r="Z1995" s="1">
        <v>10.0</v>
      </c>
      <c r="AA1995" s="1">
        <v>4.028110656</v>
      </c>
      <c r="AB1995" s="1">
        <v>62270.0</v>
      </c>
      <c r="AC1995" s="1">
        <v>17.069243156</v>
      </c>
      <c r="AD1995" s="1">
        <v>74.60658083</v>
      </c>
      <c r="AE1995" s="1">
        <v>6.8702290076</v>
      </c>
      <c r="AF1995" s="1">
        <v>0.1950585176</v>
      </c>
      <c r="AG1995" s="1">
        <v>2.5032509753</v>
      </c>
      <c r="AH1995" s="1">
        <v>0.2275682705</v>
      </c>
      <c r="AI1995" s="1">
        <v>0.1300390117</v>
      </c>
      <c r="AJ1995" s="1">
        <v>5.3966189857</v>
      </c>
      <c r="AK1995" s="1">
        <v>92.327698309</v>
      </c>
      <c r="AL1995" s="1">
        <v>0.7372654155</v>
      </c>
      <c r="AM1995" s="1">
        <v>49.674902471</v>
      </c>
      <c r="AN1995" s="1">
        <v>100.0</v>
      </c>
      <c r="AO1995" s="1">
        <v>34388.0</v>
      </c>
      <c r="AP1995" s="1">
        <v>7.6</v>
      </c>
      <c r="AQ1995" s="1">
        <v>2.2</v>
      </c>
      <c r="AR1995" s="1">
        <v>10.2</v>
      </c>
      <c r="AS1995" s="1">
        <v>19.9</v>
      </c>
      <c r="AT1995" s="1">
        <v>24.2</v>
      </c>
      <c r="AU1995" s="1">
        <v>10.5</v>
      </c>
      <c r="AV1995" s="1">
        <v>7.0</v>
      </c>
      <c r="AW1995" s="1">
        <v>0.0</v>
      </c>
      <c r="AX1995" s="1">
        <v>0.0974</v>
      </c>
      <c r="AY1995" s="1">
        <v>8.0</v>
      </c>
      <c r="AZ1995" s="1">
        <v>4.4</v>
      </c>
      <c r="BA1995" s="1">
        <v>6.2</v>
      </c>
      <c r="BB1995" s="1">
        <v>3.4</v>
      </c>
      <c r="BC1995" s="1" t="s">
        <v>3333</v>
      </c>
      <c r="BD1995" s="1">
        <v>10.9</v>
      </c>
      <c r="BE1995" s="1">
        <v>34.6</v>
      </c>
      <c r="BF1995" s="1">
        <v>30.2</v>
      </c>
      <c r="BG1995" s="1">
        <v>24.2</v>
      </c>
      <c r="BH1995" s="1" t="s">
        <v>3343</v>
      </c>
    </row>
    <row r="1996">
      <c r="A1996" s="1">
        <v>38013.0</v>
      </c>
      <c r="B1996" s="2" t="str">
        <f>IFERROR(__xludf.DUMMYFUNCTION("TO_TEXT(A1996)"),"38013")</f>
        <v>38013</v>
      </c>
      <c r="C1996" s="1">
        <v>2239.0</v>
      </c>
      <c r="D1996" s="1">
        <v>1103.58218901604</v>
      </c>
      <c r="E1996" s="1" t="s">
        <v>826</v>
      </c>
      <c r="F1996" s="1" t="s">
        <v>3344</v>
      </c>
      <c r="G1996" s="1">
        <v>2.02884753150674</v>
      </c>
      <c r="H1996" s="1">
        <v>12.6260238209999</v>
      </c>
      <c r="I1996" s="1">
        <v>3.1461506634</v>
      </c>
      <c r="J1996" s="1">
        <v>5.5118110236</v>
      </c>
      <c r="K1996" s="1">
        <v>16.357965266</v>
      </c>
      <c r="L1996" s="1">
        <v>37.8</v>
      </c>
      <c r="M1996" s="1">
        <v>6.9</v>
      </c>
      <c r="N1996" s="1">
        <v>27.2</v>
      </c>
      <c r="O1996" s="1">
        <v>44.4613821139999</v>
      </c>
      <c r="P1996" s="1">
        <v>12.009373169</v>
      </c>
      <c r="Q1996" s="1">
        <v>48.31939</v>
      </c>
      <c r="R1996" s="1">
        <v>89.912280702</v>
      </c>
      <c r="S1996" s="1">
        <v>10.3</v>
      </c>
      <c r="T1996" s="1">
        <v>669.0</v>
      </c>
      <c r="U1996" s="1">
        <v>23.019431988</v>
      </c>
      <c r="V1996" s="1">
        <v>63.291139241</v>
      </c>
      <c r="W1996" s="1">
        <v>7.0</v>
      </c>
      <c r="X1996" s="1">
        <v>5.1724137931</v>
      </c>
      <c r="Y1996" s="1">
        <v>81.6231099439999</v>
      </c>
      <c r="Z1996" s="1">
        <v>6.1</v>
      </c>
      <c r="AA1996" s="1">
        <v>31.431708403</v>
      </c>
      <c r="AB1996" s="1">
        <v>63261.0</v>
      </c>
      <c r="AC1996" s="1">
        <v>21.388888889</v>
      </c>
      <c r="AD1996" s="1">
        <v>79.13340935</v>
      </c>
      <c r="AE1996" s="1">
        <v>5.2878965922</v>
      </c>
      <c r="AF1996" s="1">
        <v>0.5238095238</v>
      </c>
      <c r="AG1996" s="1">
        <v>1.0952380952</v>
      </c>
      <c r="AH1996" s="1">
        <v>0.5714285714</v>
      </c>
      <c r="AI1996" s="1">
        <v>0.0476190476</v>
      </c>
      <c r="AJ1996" s="1">
        <v>2.5238095238</v>
      </c>
      <c r="AK1996" s="1">
        <v>93.380952381</v>
      </c>
      <c r="AL1996" s="1">
        <v>0.0</v>
      </c>
      <c r="AM1996" s="1">
        <v>47.857142857</v>
      </c>
      <c r="AN1996" s="1">
        <v>100.0</v>
      </c>
      <c r="AO1996" s="1">
        <v>35857.0</v>
      </c>
      <c r="AP1996" s="1">
        <v>11.8</v>
      </c>
      <c r="AQ1996" s="1">
        <v>1.9</v>
      </c>
      <c r="AR1996" s="1">
        <v>11.1</v>
      </c>
      <c r="AS1996" s="1">
        <v>17.6</v>
      </c>
      <c r="AT1996" s="1">
        <v>24.5</v>
      </c>
      <c r="AU1996" s="1">
        <v>9.2</v>
      </c>
      <c r="AV1996" s="1">
        <v>6.5</v>
      </c>
      <c r="AW1996" s="1">
        <v>0.8</v>
      </c>
      <c r="AX1996" s="1">
        <v>0.0707</v>
      </c>
      <c r="AY1996" s="1">
        <v>8.8</v>
      </c>
      <c r="AZ1996" s="1">
        <v>3.6</v>
      </c>
      <c r="BA1996" s="1">
        <v>7.5</v>
      </c>
      <c r="BB1996" s="1">
        <v>3.45</v>
      </c>
      <c r="BC1996" s="1" t="s">
        <v>3333</v>
      </c>
      <c r="BD1996" s="1">
        <v>7.4</v>
      </c>
      <c r="BE1996" s="1">
        <v>27.8</v>
      </c>
      <c r="BF1996" s="1">
        <v>42.1</v>
      </c>
      <c r="BG1996" s="1">
        <v>22.8</v>
      </c>
      <c r="BH1996" s="1" t="s">
        <v>3344</v>
      </c>
    </row>
    <row r="1997">
      <c r="A1997" s="1">
        <v>38015.0</v>
      </c>
      <c r="B1997" s="2" t="str">
        <f>IFERROR(__xludf.DUMMYFUNCTION("TO_TEXT(A1997)"),"38015")</f>
        <v>38015</v>
      </c>
      <c r="C1997" s="1">
        <v>90560.0</v>
      </c>
      <c r="D1997" s="1">
        <v>1632.64173715525</v>
      </c>
      <c r="E1997" s="1" t="s">
        <v>3345</v>
      </c>
      <c r="F1997" s="1" t="s">
        <v>3346</v>
      </c>
      <c r="G1997" s="1">
        <v>55.4683847282954</v>
      </c>
      <c r="H1997" s="1">
        <v>12.026789862</v>
      </c>
      <c r="I1997" s="1">
        <v>2.895344082</v>
      </c>
      <c r="J1997" s="1">
        <v>6.4609557759</v>
      </c>
      <c r="K1997" s="1">
        <v>15.558588939</v>
      </c>
      <c r="L1997" s="1">
        <v>30.7</v>
      </c>
      <c r="M1997" s="1">
        <v>9.2</v>
      </c>
      <c r="N1997" s="1">
        <v>20.7</v>
      </c>
      <c r="O1997" s="1">
        <v>85.297879667</v>
      </c>
      <c r="P1997" s="1">
        <v>6.5136811758</v>
      </c>
      <c r="Q1997" s="1">
        <v>105.22993</v>
      </c>
      <c r="R1997" s="1">
        <v>87.8552338529999</v>
      </c>
      <c r="S1997" s="1">
        <v>7.2</v>
      </c>
      <c r="T1997" s="1">
        <v>21288.0</v>
      </c>
      <c r="U1997" s="1">
        <v>28.368094701</v>
      </c>
      <c r="V1997" s="1">
        <v>250.31561534</v>
      </c>
      <c r="W1997" s="1">
        <v>10.1565583479999</v>
      </c>
      <c r="X1997" s="1">
        <v>7.9290254237</v>
      </c>
      <c r="Y1997" s="1">
        <v>81.464319034</v>
      </c>
      <c r="Z1997" s="1">
        <v>8.8</v>
      </c>
      <c r="AA1997" s="1">
        <v>4.4634539644</v>
      </c>
      <c r="AB1997" s="1">
        <v>72277.0</v>
      </c>
      <c r="AC1997" s="1">
        <v>21.4877277519999</v>
      </c>
      <c r="AD1997" s="1">
        <v>68.461830611</v>
      </c>
      <c r="AE1997" s="1">
        <v>9.1003640146</v>
      </c>
      <c r="AF1997" s="1">
        <v>2.3227986943</v>
      </c>
      <c r="AG1997" s="1">
        <v>4.1764193423</v>
      </c>
      <c r="AH1997" s="1">
        <v>0.8281464843</v>
      </c>
      <c r="AI1997" s="1">
        <v>0.0692746109</v>
      </c>
      <c r="AJ1997" s="1">
        <v>2.5915002152</v>
      </c>
      <c r="AK1997" s="1">
        <v>88.636864589</v>
      </c>
      <c r="AL1997" s="1">
        <v>0.3722198044</v>
      </c>
      <c r="AM1997" s="1">
        <v>49.885067123</v>
      </c>
      <c r="AN1997" s="1">
        <v>18.547990358</v>
      </c>
      <c r="AO1997" s="1">
        <v>36093.0</v>
      </c>
      <c r="AP1997" s="1">
        <v>7.7</v>
      </c>
      <c r="AQ1997" s="1">
        <v>2.2</v>
      </c>
      <c r="AR1997" s="1">
        <v>6.6</v>
      </c>
      <c r="AS1997" s="1">
        <v>14.3</v>
      </c>
      <c r="AT1997" s="1">
        <v>22.8</v>
      </c>
      <c r="AU1997" s="1">
        <v>10.4</v>
      </c>
      <c r="AV1997" s="1">
        <v>9.5</v>
      </c>
      <c r="AW1997" s="1">
        <v>0.3</v>
      </c>
      <c r="AX1997" s="1">
        <v>0.1318</v>
      </c>
      <c r="AY1997" s="1">
        <v>6.9</v>
      </c>
      <c r="AZ1997" s="1">
        <v>5.1</v>
      </c>
      <c r="BA1997" s="1">
        <v>8.4</v>
      </c>
      <c r="BB1997" s="1">
        <v>3.26</v>
      </c>
      <c r="BC1997" s="1" t="s">
        <v>3333</v>
      </c>
      <c r="BD1997" s="1">
        <v>5.7</v>
      </c>
      <c r="BE1997" s="1">
        <v>22.7</v>
      </c>
      <c r="BF1997" s="1">
        <v>35.8</v>
      </c>
      <c r="BG1997" s="1">
        <v>35.8</v>
      </c>
      <c r="BH1997" s="1" t="s">
        <v>3346</v>
      </c>
    </row>
    <row r="1998">
      <c r="A1998" s="1">
        <v>38017.0</v>
      </c>
      <c r="B1998" s="2" t="str">
        <f>IFERROR(__xludf.DUMMYFUNCTION("TO_TEXT(A1998)"),"38017")</f>
        <v>38017</v>
      </c>
      <c r="C1998" s="1">
        <v>166852.0</v>
      </c>
      <c r="D1998" s="1">
        <v>1764.93106270918</v>
      </c>
      <c r="E1998" s="1" t="s">
        <v>1164</v>
      </c>
      <c r="F1998" s="1" t="s">
        <v>3347</v>
      </c>
      <c r="G1998" s="1">
        <v>94.5374034858224</v>
      </c>
      <c r="H1998" s="1">
        <v>13.46947229</v>
      </c>
      <c r="I1998" s="1">
        <v>3.11027551899999</v>
      </c>
      <c r="J1998" s="1">
        <v>6.5563516434</v>
      </c>
      <c r="K1998" s="1">
        <v>16.244143425</v>
      </c>
      <c r="L1998" s="1">
        <v>31.2</v>
      </c>
      <c r="M1998" s="1">
        <v>8.9</v>
      </c>
      <c r="N1998" s="1">
        <v>19.2</v>
      </c>
      <c r="O1998" s="1">
        <v>86.714337219</v>
      </c>
      <c r="P1998" s="1">
        <v>7.0768243659</v>
      </c>
      <c r="Q1998" s="1">
        <v>101.24475</v>
      </c>
      <c r="R1998" s="1">
        <v>85.920644761</v>
      </c>
      <c r="S1998" s="1">
        <v>9.1</v>
      </c>
      <c r="T1998" s="1">
        <v>38439.0</v>
      </c>
      <c r="U1998" s="1">
        <v>27.152111137</v>
      </c>
      <c r="V1998" s="1">
        <v>309.37726018</v>
      </c>
      <c r="W1998" s="1">
        <v>12.803500847</v>
      </c>
      <c r="X1998" s="1">
        <v>10.866018867</v>
      </c>
      <c r="Y1998" s="1">
        <v>81.058517941</v>
      </c>
      <c r="Z1998" s="1">
        <v>7.2</v>
      </c>
      <c r="AA1998" s="1">
        <v>2.6793614587</v>
      </c>
      <c r="AB1998" s="1">
        <v>63885.0</v>
      </c>
      <c r="AC1998" s="1">
        <v>28.912832145</v>
      </c>
      <c r="AD1998" s="1">
        <v>52.83606226</v>
      </c>
      <c r="AE1998" s="1">
        <v>10.959202868</v>
      </c>
      <c r="AF1998" s="1">
        <v>6.2231428634</v>
      </c>
      <c r="AG1998" s="1">
        <v>1.4411952665</v>
      </c>
      <c r="AH1998" s="1">
        <v>3.6371449349</v>
      </c>
      <c r="AI1998" s="1">
        <v>0.0561933934</v>
      </c>
      <c r="AJ1998" s="1">
        <v>2.7589854338</v>
      </c>
      <c r="AK1998" s="1">
        <v>84.28127548</v>
      </c>
      <c r="AL1998" s="1">
        <v>1.1248802497</v>
      </c>
      <c r="AM1998" s="1">
        <v>49.420436766</v>
      </c>
      <c r="AN1998" s="1">
        <v>10.434776803</v>
      </c>
      <c r="AO1998" s="1">
        <v>32485.0</v>
      </c>
      <c r="AP1998" s="1">
        <v>11.8</v>
      </c>
      <c r="AQ1998" s="1">
        <v>2.9</v>
      </c>
      <c r="AR1998" s="1">
        <v>5.5</v>
      </c>
      <c r="AS1998" s="1">
        <v>10.7</v>
      </c>
      <c r="AT1998" s="1">
        <v>22.1</v>
      </c>
      <c r="AU1998" s="1">
        <v>10.2</v>
      </c>
      <c r="AV1998" s="1">
        <v>12.1</v>
      </c>
      <c r="AW1998" s="1">
        <v>1.3</v>
      </c>
      <c r="AX1998" s="1">
        <v>0.1722</v>
      </c>
      <c r="AY1998" s="1">
        <v>11.4</v>
      </c>
      <c r="AZ1998" s="1">
        <v>6.1</v>
      </c>
      <c r="BA1998" s="1">
        <v>8.9</v>
      </c>
      <c r="BB1998" s="1">
        <v>3.29</v>
      </c>
      <c r="BC1998" s="1" t="s">
        <v>3333</v>
      </c>
      <c r="BD1998" s="1">
        <v>5.2</v>
      </c>
      <c r="BE1998" s="1">
        <v>20.1</v>
      </c>
      <c r="BF1998" s="1">
        <v>34.6</v>
      </c>
      <c r="BG1998" s="1">
        <v>40.2</v>
      </c>
      <c r="BH1998" s="1" t="s">
        <v>3347</v>
      </c>
    </row>
    <row r="1999">
      <c r="A1999" s="1">
        <v>38019.0</v>
      </c>
      <c r="B1999" s="2" t="str">
        <f>IFERROR(__xludf.DUMMYFUNCTION("TO_TEXT(A1999)"),"38019")</f>
        <v>38019</v>
      </c>
      <c r="C1999" s="1">
        <v>3867.0</v>
      </c>
      <c r="D1999" s="1">
        <v>1488.7499105934</v>
      </c>
      <c r="E1999" s="1" t="s">
        <v>3348</v>
      </c>
      <c r="F1999" s="1" t="s">
        <v>3349</v>
      </c>
      <c r="G1999" s="1">
        <v>2.59748126430359</v>
      </c>
      <c r="H1999" s="1">
        <v>13.362086106</v>
      </c>
      <c r="I1999" s="1">
        <v>3.1051047997</v>
      </c>
      <c r="J1999" s="1">
        <v>9.2814371257</v>
      </c>
      <c r="K1999" s="1">
        <v>14.362808079</v>
      </c>
      <c r="L1999" s="1">
        <v>34.8</v>
      </c>
      <c r="M1999" s="1">
        <v>9.0</v>
      </c>
      <c r="N1999" s="1">
        <v>32.7</v>
      </c>
      <c r="O1999" s="1">
        <v>66.4162284</v>
      </c>
      <c r="P1999" s="1">
        <v>8.8905216752</v>
      </c>
      <c r="Q1999" s="1">
        <v>26.58161</v>
      </c>
      <c r="R1999" s="1">
        <v>89.912280702</v>
      </c>
      <c r="S1999" s="1">
        <v>13.5</v>
      </c>
      <c r="T1999" s="1">
        <v>810.0</v>
      </c>
      <c r="U1999" s="1">
        <v>16.2962962959999</v>
      </c>
      <c r="V1999" s="1">
        <v>78.9577576</v>
      </c>
      <c r="W1999" s="1">
        <v>4.748603352</v>
      </c>
      <c r="X1999" s="1">
        <v>3.9281705948</v>
      </c>
      <c r="Y1999" s="1">
        <v>80.438453334</v>
      </c>
      <c r="Z1999" s="1">
        <v>10.2</v>
      </c>
      <c r="AA1999" s="1">
        <v>8.1279967389</v>
      </c>
      <c r="AB1999" s="1">
        <v>60314.0</v>
      </c>
      <c r="AC1999" s="1">
        <v>20.44534413</v>
      </c>
      <c r="AD1999" s="1">
        <v>80.713874496</v>
      </c>
      <c r="AE1999" s="1">
        <v>5.4611650485</v>
      </c>
      <c r="AF1999" s="1">
        <v>0.365630713</v>
      </c>
      <c r="AG1999" s="1">
        <v>1.6192217289</v>
      </c>
      <c r="AH1999" s="1">
        <v>0.470096631</v>
      </c>
      <c r="AI1999" s="1">
        <v>0.052232959</v>
      </c>
      <c r="AJ1999" s="1">
        <v>1.8020370854</v>
      </c>
      <c r="AK1999" s="1">
        <v>94.306607469</v>
      </c>
      <c r="AL1999" s="1">
        <v>0.5893909627</v>
      </c>
      <c r="AM1999" s="1">
        <v>48.863933142</v>
      </c>
      <c r="AN1999" s="1">
        <v>100.0</v>
      </c>
      <c r="AO1999" s="1">
        <v>39779.0</v>
      </c>
      <c r="AP1999" s="1">
        <v>5.3</v>
      </c>
      <c r="AQ1999" s="1">
        <v>1.1</v>
      </c>
      <c r="AR1999" s="1">
        <v>9.0</v>
      </c>
      <c r="AS1999" s="1">
        <v>26.3</v>
      </c>
      <c r="AT1999" s="1">
        <v>20.1</v>
      </c>
      <c r="AU1999" s="1">
        <v>11.3</v>
      </c>
      <c r="AV1999" s="1">
        <v>4.1</v>
      </c>
      <c r="AW1999" s="1">
        <v>0.5</v>
      </c>
      <c r="AX1999" s="1">
        <v>0.0162</v>
      </c>
      <c r="AY1999" s="1">
        <v>9.1</v>
      </c>
      <c r="AZ1999" s="1">
        <v>5.0</v>
      </c>
      <c r="BA1999" s="1">
        <v>10.7</v>
      </c>
      <c r="BB1999" s="1">
        <v>3.15</v>
      </c>
      <c r="BC1999" s="1" t="s">
        <v>3333</v>
      </c>
      <c r="BD1999" s="1">
        <v>8.1</v>
      </c>
      <c r="BE1999" s="1">
        <v>31.5</v>
      </c>
      <c r="BF1999" s="1">
        <v>40.9</v>
      </c>
      <c r="BG1999" s="1">
        <v>19.5</v>
      </c>
      <c r="BH1999" s="1" t="s">
        <v>3349</v>
      </c>
    </row>
    <row r="2000">
      <c r="A2000" s="1">
        <v>38021.0</v>
      </c>
      <c r="B2000" s="2" t="str">
        <f>IFERROR(__xludf.DUMMYFUNCTION("TO_TEXT(A2000)"),"38021")</f>
        <v>38021</v>
      </c>
      <c r="C2000" s="1">
        <v>5160.0</v>
      </c>
      <c r="D2000" s="1">
        <v>1131.46993994929</v>
      </c>
      <c r="E2000" s="1" t="s">
        <v>3350</v>
      </c>
      <c r="F2000" s="1" t="s">
        <v>3351</v>
      </c>
      <c r="G2000" s="1">
        <v>4.56043931686887</v>
      </c>
      <c r="H2000" s="1">
        <v>11.4548232709999</v>
      </c>
      <c r="I2000" s="1">
        <v>2.9944065592</v>
      </c>
      <c r="J2000" s="1">
        <v>5.0772626932</v>
      </c>
      <c r="K2000" s="1">
        <v>14.073114279</v>
      </c>
      <c r="L2000" s="1">
        <v>35.7</v>
      </c>
      <c r="M2000" s="1">
        <v>9.5</v>
      </c>
      <c r="N2000" s="1">
        <v>27.7</v>
      </c>
      <c r="O2000" s="1">
        <v>71.866137266</v>
      </c>
      <c r="P2000" s="1">
        <v>9.26121372029999</v>
      </c>
      <c r="Q2000" s="1">
        <v>82.2876</v>
      </c>
      <c r="R2000" s="1">
        <v>89.912280702</v>
      </c>
      <c r="S2000" s="1">
        <v>10.9</v>
      </c>
      <c r="T2000" s="1">
        <v>1142.0</v>
      </c>
      <c r="U2000" s="1">
        <v>6.7425569177</v>
      </c>
      <c r="V2000" s="1">
        <v>68.560235064</v>
      </c>
      <c r="W2000" s="1">
        <v>6.16438356159999</v>
      </c>
      <c r="X2000" s="1">
        <v>4.1666666667</v>
      </c>
      <c r="Y2000" s="1">
        <v>78.465907957</v>
      </c>
      <c r="Z2000" s="1">
        <v>12.3</v>
      </c>
      <c r="AA2000" s="1">
        <v>3.2097808741</v>
      </c>
      <c r="AB2000" s="1">
        <v>53286.0</v>
      </c>
      <c r="AC2000" s="1">
        <v>25.059382423</v>
      </c>
      <c r="AD2000" s="1">
        <v>71.935483871</v>
      </c>
      <c r="AE2000" s="1">
        <v>6.1463414634</v>
      </c>
      <c r="AF2000" s="1">
        <v>0.6322659596</v>
      </c>
      <c r="AG2000" s="1">
        <v>0.9585967775</v>
      </c>
      <c r="AH2000" s="1">
        <v>0.5710789313</v>
      </c>
      <c r="AI2000" s="1">
        <v>0.0203956761</v>
      </c>
      <c r="AJ2000" s="1">
        <v>3.4876606159</v>
      </c>
      <c r="AK2000" s="1">
        <v>93.147052825</v>
      </c>
      <c r="AL2000" s="1">
        <v>0.2131741633</v>
      </c>
      <c r="AM2000" s="1">
        <v>50.336528656</v>
      </c>
      <c r="AN2000" s="1">
        <v>100.0</v>
      </c>
      <c r="AO2000" s="1">
        <v>28843.0</v>
      </c>
      <c r="AP2000" s="1">
        <v>8.6</v>
      </c>
      <c r="AQ2000" s="1">
        <v>2.5</v>
      </c>
      <c r="AR2000" s="1">
        <v>12.3</v>
      </c>
      <c r="AS2000" s="1">
        <v>21.7</v>
      </c>
      <c r="AT2000" s="1">
        <v>22.3</v>
      </c>
      <c r="AU2000" s="1">
        <v>9.8</v>
      </c>
      <c r="AV2000" s="1">
        <v>6.3</v>
      </c>
      <c r="AW2000" s="1">
        <v>0.1</v>
      </c>
      <c r="AX2000" s="1">
        <v>0.1315</v>
      </c>
      <c r="AY2000" s="1">
        <v>10.6</v>
      </c>
      <c r="AZ2000" s="1">
        <v>4.1</v>
      </c>
      <c r="BA2000" s="1">
        <v>6.2</v>
      </c>
      <c r="BB2000" s="1">
        <v>3.13</v>
      </c>
      <c r="BC2000" s="1" t="s">
        <v>3333</v>
      </c>
      <c r="BD2000" s="1">
        <v>8.7</v>
      </c>
      <c r="BE2000" s="1">
        <v>27.8</v>
      </c>
      <c r="BF2000" s="1">
        <v>34.8</v>
      </c>
      <c r="BG2000" s="1">
        <v>28.8</v>
      </c>
      <c r="BH2000" s="1" t="s">
        <v>3351</v>
      </c>
    </row>
    <row r="2001">
      <c r="A2001" s="1">
        <v>38023.0</v>
      </c>
      <c r="B2001" s="2" t="str">
        <f>IFERROR(__xludf.DUMMYFUNCTION("TO_TEXT(A2001)"),"38023")</f>
        <v>38023</v>
      </c>
      <c r="C2001" s="1">
        <v>2369.0</v>
      </c>
      <c r="D2001" s="1">
        <v>1260.7446714351</v>
      </c>
      <c r="E2001" s="1" t="s">
        <v>3352</v>
      </c>
      <c r="F2001" s="1" t="s">
        <v>3353</v>
      </c>
      <c r="G2001" s="1">
        <v>1.87904819562186</v>
      </c>
      <c r="H2001" s="1">
        <v>13.630187929</v>
      </c>
      <c r="I2001" s="1">
        <v>3.1788782359</v>
      </c>
      <c r="J2001" s="1">
        <v>7.80443539465</v>
      </c>
      <c r="K2001" s="1">
        <v>16.557121683</v>
      </c>
      <c r="L2001" s="1">
        <v>34.8</v>
      </c>
      <c r="M2001" s="1">
        <v>8.6</v>
      </c>
      <c r="N2001" s="1">
        <v>28.1</v>
      </c>
      <c r="O2001" s="1">
        <v>54.852728151</v>
      </c>
      <c r="P2001" s="1">
        <v>11.11757858</v>
      </c>
      <c r="Q2001" s="1">
        <v>48.31939</v>
      </c>
      <c r="R2001" s="1">
        <v>89.912280702</v>
      </c>
      <c r="S2001" s="1">
        <v>13.6</v>
      </c>
      <c r="T2001" s="1">
        <v>389.0</v>
      </c>
      <c r="U2001" s="1">
        <v>27.506426735</v>
      </c>
      <c r="V2001" s="1">
        <v>0.0</v>
      </c>
      <c r="W2001" s="1">
        <v>7.5471698113</v>
      </c>
      <c r="X2001" s="1">
        <v>7.4810606061</v>
      </c>
      <c r="Y2001" s="1">
        <v>80.78069934</v>
      </c>
      <c r="Z2001" s="1">
        <v>10.5</v>
      </c>
      <c r="AA2001" s="1">
        <v>9.8660808567</v>
      </c>
      <c r="AB2001" s="1">
        <v>58715.0</v>
      </c>
      <c r="AC2001" s="1">
        <v>36.290322581</v>
      </c>
      <c r="AD2001" s="1">
        <v>75.513851653</v>
      </c>
      <c r="AE2001" s="1">
        <v>11.111111111</v>
      </c>
      <c r="AF2001" s="1">
        <v>1.9710906702</v>
      </c>
      <c r="AG2001" s="1">
        <v>0.8760402979</v>
      </c>
      <c r="AH2001" s="1">
        <v>2.4091108191</v>
      </c>
      <c r="AI2001" s="1">
        <v>0.0438020149</v>
      </c>
      <c r="AJ2001" s="1">
        <v>2.5843188787</v>
      </c>
      <c r="AK2001" s="1">
        <v>90.7577748579999</v>
      </c>
      <c r="AL2001" s="1">
        <v>0.0</v>
      </c>
      <c r="AM2001" s="1">
        <v>47.700394218</v>
      </c>
      <c r="AN2001" s="1">
        <v>100.0</v>
      </c>
      <c r="AO2001" s="1">
        <v>41063.0</v>
      </c>
      <c r="AP2001" s="1">
        <v>9.4</v>
      </c>
      <c r="AQ2001" s="1">
        <v>1.6</v>
      </c>
      <c r="AR2001" s="1">
        <v>11.8</v>
      </c>
      <c r="AS2001" s="1">
        <v>23.8</v>
      </c>
      <c r="AT2001" s="1">
        <v>19.8</v>
      </c>
      <c r="AU2001" s="1">
        <v>16.0</v>
      </c>
      <c r="AV2001" s="1">
        <v>5.8</v>
      </c>
      <c r="AW2001" s="1">
        <v>0.0</v>
      </c>
      <c r="AX2001" s="1">
        <v>0.0312</v>
      </c>
      <c r="AY2001" s="1">
        <v>10.8</v>
      </c>
      <c r="AZ2001" s="1">
        <v>6.7</v>
      </c>
      <c r="BA2001" s="1">
        <v>10.9</v>
      </c>
      <c r="BB2001" s="1">
        <v>3.65</v>
      </c>
      <c r="BC2001" s="1" t="s">
        <v>3333</v>
      </c>
      <c r="BD2001" s="1">
        <v>6.7</v>
      </c>
      <c r="BE2001" s="1">
        <v>34.0</v>
      </c>
      <c r="BF2001" s="1">
        <v>40.8</v>
      </c>
      <c r="BG2001" s="1">
        <v>18.5</v>
      </c>
      <c r="BH2001" s="1" t="s">
        <v>3353</v>
      </c>
    </row>
    <row r="2002">
      <c r="A2002" s="1">
        <v>38025.0</v>
      </c>
      <c r="B2002" s="2" t="str">
        <f>IFERROR(__xludf.DUMMYFUNCTION("TO_TEXT(A2002)"),"38025")</f>
        <v>38025</v>
      </c>
      <c r="C2002" s="1">
        <v>4284.0</v>
      </c>
      <c r="D2002" s="1">
        <v>2008.45960073144</v>
      </c>
      <c r="E2002" s="1" t="s">
        <v>3354</v>
      </c>
      <c r="F2002" s="1" t="s">
        <v>3355</v>
      </c>
      <c r="G2002" s="1">
        <v>2.1329779291751</v>
      </c>
      <c r="H2002" s="1">
        <v>12.987279059</v>
      </c>
      <c r="I2002" s="1">
        <v>3.0522412165</v>
      </c>
      <c r="J2002" s="1">
        <v>5.0438596491</v>
      </c>
      <c r="K2002" s="1">
        <v>17.3950582029999</v>
      </c>
      <c r="L2002" s="1">
        <v>33.0</v>
      </c>
      <c r="M2002" s="1">
        <v>8.5</v>
      </c>
      <c r="N2002" s="1">
        <v>20.6</v>
      </c>
      <c r="O2002" s="1">
        <v>37.075791855</v>
      </c>
      <c r="P2002" s="1">
        <v>14.399779736</v>
      </c>
      <c r="Q2002" s="1">
        <v>48.31939</v>
      </c>
      <c r="R2002" s="1">
        <v>89.912280702</v>
      </c>
      <c r="S2002" s="1">
        <v>12.7</v>
      </c>
      <c r="T2002" s="1">
        <v>1040.0</v>
      </c>
      <c r="U2002" s="1">
        <v>25.673076923</v>
      </c>
      <c r="V2002" s="1">
        <v>185.95493327</v>
      </c>
      <c r="W2002" s="1">
        <v>8.3870967742</v>
      </c>
      <c r="X2002" s="1">
        <v>5.9602649007</v>
      </c>
      <c r="Y2002" s="1">
        <v>78.8755473339999</v>
      </c>
      <c r="Z2002" s="1">
        <v>12.2</v>
      </c>
      <c r="AA2002" s="1">
        <v>12.913645212</v>
      </c>
      <c r="AB2002" s="1">
        <v>66383.0</v>
      </c>
      <c r="AC2002" s="1">
        <v>24.632352941</v>
      </c>
      <c r="AD2002" s="1">
        <v>77.730582524</v>
      </c>
      <c r="AE2002" s="1">
        <v>5.5876685934</v>
      </c>
      <c r="AF2002" s="1">
        <v>1.3388734995</v>
      </c>
      <c r="AG2002" s="1">
        <v>9.6952908587</v>
      </c>
      <c r="AH2002" s="1">
        <v>1.2003693444</v>
      </c>
      <c r="AI2002" s="1">
        <v>0.0</v>
      </c>
      <c r="AJ2002" s="1">
        <v>5.4709141274</v>
      </c>
      <c r="AK2002" s="1">
        <v>81.278855032</v>
      </c>
      <c r="AL2002" s="1">
        <v>1.7870257038</v>
      </c>
      <c r="AM2002" s="1">
        <v>46.76823638</v>
      </c>
      <c r="AN2002" s="1">
        <v>100.0</v>
      </c>
      <c r="AO2002" s="1">
        <v>40102.0</v>
      </c>
      <c r="AP2002" s="1">
        <v>11.7</v>
      </c>
      <c r="AQ2002" s="1">
        <v>3.8</v>
      </c>
      <c r="AR2002" s="1">
        <v>9.0</v>
      </c>
      <c r="AS2002" s="1">
        <v>16.4</v>
      </c>
      <c r="AT2002" s="1">
        <v>23.1</v>
      </c>
      <c r="AU2002" s="1">
        <v>13.5</v>
      </c>
      <c r="AV2002" s="1">
        <v>16.1</v>
      </c>
      <c r="AW2002" s="1">
        <v>2.0</v>
      </c>
      <c r="AX2002" s="1">
        <v>0.2299</v>
      </c>
      <c r="AY2002" s="1">
        <v>9.8</v>
      </c>
      <c r="AZ2002" s="1">
        <v>5.3</v>
      </c>
      <c r="BA2002" s="1">
        <v>8.7</v>
      </c>
      <c r="BB2002" s="1">
        <v>3.57</v>
      </c>
      <c r="BC2002" s="1" t="s">
        <v>3333</v>
      </c>
      <c r="BD2002" s="1">
        <v>8.9</v>
      </c>
      <c r="BE2002" s="1">
        <v>33.7</v>
      </c>
      <c r="BF2002" s="1">
        <v>36.1</v>
      </c>
      <c r="BG2002" s="1">
        <v>21.3</v>
      </c>
      <c r="BH2002" s="1" t="s">
        <v>3355</v>
      </c>
    </row>
    <row r="2003">
      <c r="A2003" s="1">
        <v>38027.0</v>
      </c>
      <c r="B2003" s="2" t="str">
        <f>IFERROR(__xludf.DUMMYFUNCTION("TO_TEXT(A2003)"),"38027")</f>
        <v>38027</v>
      </c>
      <c r="C2003" s="1">
        <v>2370.0</v>
      </c>
      <c r="D2003" s="1">
        <v>630.170310934866</v>
      </c>
      <c r="E2003" s="1" t="s">
        <v>3031</v>
      </c>
      <c r="F2003" s="1" t="s">
        <v>3356</v>
      </c>
      <c r="G2003" s="1">
        <v>3.76088806291758</v>
      </c>
      <c r="H2003" s="1">
        <v>15.295332739</v>
      </c>
      <c r="I2003" s="1">
        <v>3.2711890738</v>
      </c>
      <c r="J2003" s="1">
        <v>6.3636363636</v>
      </c>
      <c r="K2003" s="1">
        <v>16.862558235</v>
      </c>
      <c r="L2003" s="1">
        <v>31.4</v>
      </c>
      <c r="M2003" s="1">
        <v>8.3</v>
      </c>
      <c r="N2003" s="1">
        <v>33.4</v>
      </c>
      <c r="O2003" s="1">
        <v>70.062893082</v>
      </c>
      <c r="P2003" s="1">
        <v>10.212053571</v>
      </c>
      <c r="Q2003" s="1">
        <v>48.31939</v>
      </c>
      <c r="R2003" s="1">
        <v>89.912280702</v>
      </c>
      <c r="S2003" s="1">
        <v>14.2</v>
      </c>
      <c r="T2003" s="1">
        <v>506.0</v>
      </c>
      <c r="U2003" s="1">
        <v>26.679841897</v>
      </c>
      <c r="V2003" s="1">
        <v>169.31216931</v>
      </c>
      <c r="W2003" s="1">
        <v>8.6124401914</v>
      </c>
      <c r="X2003" s="1">
        <v>8.5824493732</v>
      </c>
      <c r="Y2003" s="1">
        <v>77.23761352</v>
      </c>
      <c r="Z2003" s="1">
        <v>11.8</v>
      </c>
      <c r="AA2003" s="1">
        <v>9.8257410984</v>
      </c>
      <c r="AB2003" s="1">
        <v>51327.0</v>
      </c>
      <c r="AC2003" s="1">
        <v>28.617363344</v>
      </c>
      <c r="AD2003" s="1">
        <v>68.91634981</v>
      </c>
      <c r="AE2003" s="1">
        <v>11.42578125</v>
      </c>
      <c r="AF2003" s="1">
        <v>0.345871163</v>
      </c>
      <c r="AG2003" s="1">
        <v>4.1504539559</v>
      </c>
      <c r="AH2003" s="1">
        <v>0.3026372676</v>
      </c>
      <c r="AI2003" s="1">
        <v>0.1297016861</v>
      </c>
      <c r="AJ2003" s="1">
        <v>3.8478166883</v>
      </c>
      <c r="AK2003" s="1">
        <v>89.710332901</v>
      </c>
      <c r="AL2003" s="1">
        <v>0.234741784</v>
      </c>
      <c r="AM2003" s="1">
        <v>50.367488111</v>
      </c>
      <c r="AN2003" s="1">
        <v>100.0</v>
      </c>
      <c r="AO2003" s="1">
        <v>33785.0</v>
      </c>
      <c r="AP2003" s="1">
        <v>13.4</v>
      </c>
      <c r="AQ2003" s="1">
        <v>2.1</v>
      </c>
      <c r="AR2003" s="1">
        <v>10.9</v>
      </c>
      <c r="AS2003" s="1">
        <v>20.9</v>
      </c>
      <c r="AT2003" s="1">
        <v>22.9</v>
      </c>
      <c r="AU2003" s="1">
        <v>12.8</v>
      </c>
      <c r="AV2003" s="1">
        <v>9.8</v>
      </c>
      <c r="AW2003" s="1">
        <v>0.1</v>
      </c>
      <c r="AX2003" s="1">
        <v>0.1152</v>
      </c>
      <c r="AY2003" s="1">
        <v>10.0</v>
      </c>
      <c r="AZ2003" s="1">
        <v>9.8</v>
      </c>
      <c r="BA2003" s="1">
        <v>18.4</v>
      </c>
      <c r="BB2003" s="1">
        <v>3.17</v>
      </c>
      <c r="BC2003" s="1" t="s">
        <v>3333</v>
      </c>
      <c r="BD2003" s="1">
        <v>10.6</v>
      </c>
      <c r="BE2003" s="1">
        <v>29.3</v>
      </c>
      <c r="BF2003" s="1">
        <v>34.0</v>
      </c>
      <c r="BG2003" s="1">
        <v>26.2</v>
      </c>
      <c r="BH2003" s="1" t="s">
        <v>3356</v>
      </c>
    </row>
    <row r="2004">
      <c r="A2004" s="1">
        <v>38029.0</v>
      </c>
      <c r="B2004" s="2" t="str">
        <f>IFERROR(__xludf.DUMMYFUNCTION("TO_TEXT(A2004)"),"38029")</f>
        <v>38029</v>
      </c>
      <c r="C2004" s="1">
        <v>3426.0</v>
      </c>
      <c r="D2004" s="1">
        <v>1510.434074978</v>
      </c>
      <c r="E2004" s="1" t="s">
        <v>3357</v>
      </c>
      <c r="F2004" s="1" t="s">
        <v>3358</v>
      </c>
      <c r="G2004" s="1">
        <v>2.2682221334618</v>
      </c>
      <c r="H2004" s="1">
        <v>14.76883751</v>
      </c>
      <c r="I2004" s="1">
        <v>3.20060467279999</v>
      </c>
      <c r="J2004" s="1">
        <v>7.80443539465</v>
      </c>
      <c r="K2004" s="1">
        <v>15.323739283</v>
      </c>
      <c r="L2004" s="1">
        <v>26.7</v>
      </c>
      <c r="M2004" s="1">
        <v>8.0</v>
      </c>
      <c r="N2004" s="1">
        <v>24.4</v>
      </c>
      <c r="O2004" s="1">
        <v>2.8450704225</v>
      </c>
      <c r="P2004" s="1">
        <v>12.133891213</v>
      </c>
      <c r="Q2004" s="1">
        <v>30.29385</v>
      </c>
      <c r="R2004" s="1">
        <v>89.912280702</v>
      </c>
      <c r="S2004" s="1">
        <v>16.8</v>
      </c>
      <c r="T2004" s="1">
        <v>649.0</v>
      </c>
      <c r="U2004" s="1">
        <v>20.493066256</v>
      </c>
      <c r="V2004" s="1">
        <v>58.9970501469999</v>
      </c>
      <c r="W2004" s="1">
        <v>7.5657894737</v>
      </c>
      <c r="X2004" s="1">
        <v>6.8620919387</v>
      </c>
      <c r="Y2004" s="1">
        <v>80.830443155</v>
      </c>
      <c r="Z2004" s="1">
        <v>8.7</v>
      </c>
      <c r="AA2004" s="1">
        <v>15.368547957</v>
      </c>
      <c r="AB2004" s="1">
        <v>47976.0</v>
      </c>
      <c r="AC2004" s="1">
        <v>31.488549618</v>
      </c>
      <c r="AD2004" s="1">
        <v>83.161953728</v>
      </c>
      <c r="AE2004" s="1">
        <v>8.6685159501</v>
      </c>
      <c r="AF2004" s="1">
        <v>0.2427921093</v>
      </c>
      <c r="AG2004" s="1">
        <v>1.1836115326</v>
      </c>
      <c r="AH2004" s="1">
        <v>0.971168437</v>
      </c>
      <c r="AI2004" s="1">
        <v>0.0</v>
      </c>
      <c r="AJ2004" s="1">
        <v>1.0925644917</v>
      </c>
      <c r="AK2004" s="1">
        <v>95.326251897</v>
      </c>
      <c r="AL2004" s="1">
        <v>0.1261431725</v>
      </c>
      <c r="AM2004" s="1">
        <v>49.256449165</v>
      </c>
      <c r="AN2004" s="1">
        <v>100.0</v>
      </c>
      <c r="AO2004" s="1">
        <v>29467.0</v>
      </c>
      <c r="AP2004" s="1">
        <v>12.0</v>
      </c>
      <c r="AQ2004" s="1">
        <v>3.4</v>
      </c>
      <c r="AR2004" s="1">
        <v>15.2</v>
      </c>
      <c r="AS2004" s="1">
        <v>27.1</v>
      </c>
      <c r="AT2004" s="1">
        <v>21.9</v>
      </c>
      <c r="AU2004" s="1">
        <v>15.1</v>
      </c>
      <c r="AV2004" s="1">
        <v>3.4</v>
      </c>
      <c r="AW2004" s="1">
        <v>0.1</v>
      </c>
      <c r="AX2004" s="1">
        <v>0.1095</v>
      </c>
      <c r="AY2004" s="1">
        <v>13.7</v>
      </c>
      <c r="AZ2004" s="1">
        <v>7.7</v>
      </c>
      <c r="BA2004" s="1">
        <v>11.6</v>
      </c>
      <c r="BB2004" s="1">
        <v>3.24</v>
      </c>
      <c r="BC2004" s="1" t="s">
        <v>3333</v>
      </c>
      <c r="BD2004" s="1">
        <v>12.7</v>
      </c>
      <c r="BE2004" s="1">
        <v>35.2</v>
      </c>
      <c r="BF2004" s="1">
        <v>33.9</v>
      </c>
      <c r="BG2004" s="1">
        <v>18.2</v>
      </c>
      <c r="BH2004" s="1" t="s">
        <v>3358</v>
      </c>
    </row>
    <row r="2005">
      <c r="A2005" s="1">
        <v>38031.0</v>
      </c>
      <c r="B2005" s="2" t="str">
        <f>IFERROR(__xludf.DUMMYFUNCTION("TO_TEXT(A2005)"),"38031")</f>
        <v>38031</v>
      </c>
      <c r="C2005" s="1">
        <v>3345.0</v>
      </c>
      <c r="D2005" s="1">
        <v>635.450699802166</v>
      </c>
      <c r="E2005" s="1" t="s">
        <v>3359</v>
      </c>
      <c r="F2005" s="1" t="s">
        <v>3360</v>
      </c>
      <c r="G2005" s="1">
        <v>5.2639803544813</v>
      </c>
      <c r="H2005" s="1">
        <v>12.37610558</v>
      </c>
      <c r="I2005" s="1">
        <v>3.0898821352</v>
      </c>
      <c r="J2005" s="1">
        <v>5.2434456929</v>
      </c>
      <c r="K2005" s="1">
        <v>15.56353399</v>
      </c>
      <c r="L2005" s="1">
        <v>36.1</v>
      </c>
      <c r="M2005" s="1">
        <v>9.3</v>
      </c>
      <c r="N2005" s="1">
        <v>29.6</v>
      </c>
      <c r="O2005" s="1">
        <v>69.039784625</v>
      </c>
      <c r="P2005" s="1">
        <v>7.7105575326</v>
      </c>
      <c r="Q2005" s="1">
        <v>92.1093</v>
      </c>
      <c r="R2005" s="1">
        <v>89.912280702</v>
      </c>
      <c r="S2005" s="1">
        <v>10.4</v>
      </c>
      <c r="T2005" s="1">
        <v>722.0</v>
      </c>
      <c r="U2005" s="1">
        <v>15.789473684</v>
      </c>
      <c r="V2005" s="1">
        <v>18.663680478</v>
      </c>
      <c r="W2005" s="1">
        <v>8.0</v>
      </c>
      <c r="X2005" s="1">
        <v>7.08980418639999</v>
      </c>
      <c r="Y2005" s="1">
        <v>79.692667631</v>
      </c>
      <c r="Z2005" s="1">
        <v>9.1</v>
      </c>
      <c r="AA2005" s="1">
        <v>4.7612798057</v>
      </c>
      <c r="AB2005" s="1">
        <v>58096.0</v>
      </c>
      <c r="AC2005" s="1">
        <v>26.655052265</v>
      </c>
      <c r="AD2005" s="1">
        <v>76.666666667</v>
      </c>
      <c r="AE2005" s="1">
        <v>4.3639053254</v>
      </c>
      <c r="AF2005" s="1">
        <v>0.3109452736</v>
      </c>
      <c r="AG2005" s="1">
        <v>1.1504975124</v>
      </c>
      <c r="AH2005" s="1">
        <v>0.8395522388</v>
      </c>
      <c r="AI2005" s="1">
        <v>0.0</v>
      </c>
      <c r="AJ2005" s="1">
        <v>2.0833333333</v>
      </c>
      <c r="AK2005" s="1">
        <v>94.6517412939999</v>
      </c>
      <c r="AL2005" s="1">
        <v>0.0967741935</v>
      </c>
      <c r="AM2005" s="1">
        <v>50.435323383</v>
      </c>
      <c r="AN2005" s="1">
        <v>100.0</v>
      </c>
      <c r="AO2005" s="1">
        <v>30310.0</v>
      </c>
      <c r="AP2005" s="1">
        <v>9.4</v>
      </c>
      <c r="AQ2005" s="1">
        <v>1.2</v>
      </c>
      <c r="AR2005" s="1">
        <v>11.3</v>
      </c>
      <c r="AS2005" s="1">
        <v>22.2</v>
      </c>
      <c r="AT2005" s="1">
        <v>21.4</v>
      </c>
      <c r="AU2005" s="1">
        <v>11.5</v>
      </c>
      <c r="AV2005" s="1">
        <v>3.7</v>
      </c>
      <c r="AW2005" s="1">
        <v>0.0</v>
      </c>
      <c r="AX2005" s="1">
        <v>0.0443</v>
      </c>
      <c r="AY2005" s="1">
        <v>8.8</v>
      </c>
      <c r="AZ2005" s="1">
        <v>4.6</v>
      </c>
      <c r="BA2005" s="1">
        <v>9.1</v>
      </c>
      <c r="BB2005" s="1">
        <v>3.23</v>
      </c>
      <c r="BC2005" s="1" t="s">
        <v>3333</v>
      </c>
      <c r="BD2005" s="1">
        <v>9.7</v>
      </c>
      <c r="BE2005" s="1">
        <v>26.0</v>
      </c>
      <c r="BF2005" s="1">
        <v>37.6</v>
      </c>
      <c r="BG2005" s="1">
        <v>26.7</v>
      </c>
      <c r="BH2005" s="1" t="s">
        <v>3360</v>
      </c>
    </row>
    <row r="2006">
      <c r="A2006" s="1">
        <v>38033.0</v>
      </c>
      <c r="B2006" s="2" t="str">
        <f>IFERROR(__xludf.DUMMYFUNCTION("TO_TEXT(A2006)"),"38033")</f>
        <v>38033</v>
      </c>
      <c r="C2006" s="1">
        <v>1895.0</v>
      </c>
      <c r="D2006" s="1">
        <v>1001.5077967098</v>
      </c>
      <c r="E2006" s="1" t="s">
        <v>2739</v>
      </c>
      <c r="F2006" s="1" t="s">
        <v>3361</v>
      </c>
      <c r="G2006" s="1">
        <v>1.89214702693832</v>
      </c>
      <c r="H2006" s="1">
        <v>14.935036024</v>
      </c>
      <c r="I2006" s="1">
        <v>3.3147484365</v>
      </c>
      <c r="J2006" s="1">
        <v>7.80443539465</v>
      </c>
      <c r="K2006" s="1">
        <v>17.114630447</v>
      </c>
      <c r="L2006" s="1">
        <v>32.9</v>
      </c>
      <c r="M2006" s="1">
        <v>6.2</v>
      </c>
      <c r="N2006" s="1">
        <v>24.2</v>
      </c>
      <c r="O2006" s="1">
        <v>38.75</v>
      </c>
      <c r="P2006" s="1">
        <v>9.6504559271</v>
      </c>
      <c r="Q2006" s="1">
        <v>0.0</v>
      </c>
      <c r="R2006" s="1">
        <v>89.912280702</v>
      </c>
      <c r="S2006" s="1">
        <v>16.3</v>
      </c>
      <c r="T2006" s="1">
        <v>383.0</v>
      </c>
      <c r="U2006" s="1">
        <v>22.7154047</v>
      </c>
      <c r="V2006" s="1">
        <v>81.015392925</v>
      </c>
      <c r="W2006" s="1">
        <v>9.5808383234</v>
      </c>
      <c r="X2006" s="1">
        <v>6.892382104</v>
      </c>
      <c r="Y2006" s="1">
        <v>87.577061317</v>
      </c>
      <c r="Z2006" s="1">
        <v>12.4</v>
      </c>
      <c r="AA2006" s="1">
        <v>36.3750112409999</v>
      </c>
      <c r="AB2006" s="1">
        <v>58075.0</v>
      </c>
      <c r="AC2006" s="1">
        <v>32.934131737</v>
      </c>
      <c r="AD2006" s="1">
        <v>67.640186916</v>
      </c>
      <c r="AE2006" s="1">
        <v>10.93951094</v>
      </c>
      <c r="AF2006" s="1">
        <v>0.5087620124</v>
      </c>
      <c r="AG2006" s="1">
        <v>1.52628603729999</v>
      </c>
      <c r="AH2006" s="1">
        <v>0.1695873375</v>
      </c>
      <c r="AI2006" s="1">
        <v>0.113058225</v>
      </c>
      <c r="AJ2006" s="1">
        <v>2.9395138496</v>
      </c>
      <c r="AK2006" s="1">
        <v>94.064443188</v>
      </c>
      <c r="AL2006" s="1">
        <v>0.0</v>
      </c>
      <c r="AM2006" s="1">
        <v>50.254381006</v>
      </c>
      <c r="AN2006" s="1">
        <v>100.0</v>
      </c>
      <c r="AO2006" s="1">
        <v>26536.0</v>
      </c>
      <c r="AP2006" s="1">
        <v>9.5</v>
      </c>
      <c r="AQ2006" s="1">
        <v>0.4</v>
      </c>
      <c r="AR2006" s="1">
        <v>7.6</v>
      </c>
      <c r="AS2006" s="1">
        <v>17.4</v>
      </c>
      <c r="AT2006" s="1">
        <v>26.1</v>
      </c>
      <c r="AU2006" s="1">
        <v>14.4</v>
      </c>
      <c r="AV2006" s="1">
        <v>5.7</v>
      </c>
      <c r="AW2006" s="1">
        <v>0.0</v>
      </c>
      <c r="AX2006" s="1">
        <v>0.1006</v>
      </c>
      <c r="AY2006" s="1">
        <v>12.1</v>
      </c>
      <c r="AZ2006" s="1">
        <v>5.8</v>
      </c>
      <c r="BA2006" s="1">
        <v>8.6</v>
      </c>
      <c r="BB2006" s="1">
        <v>3.59</v>
      </c>
      <c r="BC2006" s="1" t="s">
        <v>3333</v>
      </c>
      <c r="BD2006" s="1">
        <v>7.1</v>
      </c>
      <c r="BE2006" s="1">
        <v>25.3</v>
      </c>
      <c r="BF2006" s="1">
        <v>40.7</v>
      </c>
      <c r="BG2006" s="1">
        <v>26.9</v>
      </c>
      <c r="BH2006" s="1" t="s">
        <v>3361</v>
      </c>
    </row>
    <row r="2007">
      <c r="A2007" s="1">
        <v>38035.0</v>
      </c>
      <c r="B2007" s="2" t="str">
        <f>IFERROR(__xludf.DUMMYFUNCTION("TO_TEXT(A2007)"),"38035")</f>
        <v>38035</v>
      </c>
      <c r="C2007" s="1">
        <v>69793.0</v>
      </c>
      <c r="D2007" s="1">
        <v>1436.37529282672</v>
      </c>
      <c r="E2007" s="1" t="s">
        <v>3362</v>
      </c>
      <c r="F2007" s="1" t="s">
        <v>3363</v>
      </c>
      <c r="G2007" s="1">
        <v>48.5896689733854</v>
      </c>
      <c r="H2007" s="1">
        <v>14.857103953</v>
      </c>
      <c r="I2007" s="1">
        <v>3.6613244861</v>
      </c>
      <c r="J2007" s="1">
        <v>6.91618044679999</v>
      </c>
      <c r="K2007" s="1">
        <v>16.162835152</v>
      </c>
      <c r="L2007" s="1">
        <v>30.9</v>
      </c>
      <c r="M2007" s="1">
        <v>8.0</v>
      </c>
      <c r="N2007" s="1">
        <v>22.8</v>
      </c>
      <c r="O2007" s="1">
        <v>82.294611208</v>
      </c>
      <c r="P2007" s="1">
        <v>7.9417365793</v>
      </c>
      <c r="Q2007" s="1">
        <v>128.54015</v>
      </c>
      <c r="R2007" s="1">
        <v>85.644508671</v>
      </c>
      <c r="S2007" s="1">
        <v>10.6</v>
      </c>
      <c r="T2007" s="1">
        <v>14380.0</v>
      </c>
      <c r="U2007" s="1">
        <v>33.26147427</v>
      </c>
      <c r="V2007" s="1">
        <v>242.74270701</v>
      </c>
      <c r="W2007" s="1">
        <v>16.574680924</v>
      </c>
      <c r="X2007" s="1">
        <v>14.7007943509999</v>
      </c>
      <c r="Y2007" s="1">
        <v>79.117817573</v>
      </c>
      <c r="Z2007" s="1">
        <v>8.9</v>
      </c>
      <c r="AA2007" s="1">
        <v>8.791677983</v>
      </c>
      <c r="AB2007" s="1">
        <v>54311.0</v>
      </c>
      <c r="AC2007" s="1">
        <v>32.834051724</v>
      </c>
      <c r="AD2007" s="1">
        <v>48.5685917589999</v>
      </c>
      <c r="AE2007" s="1">
        <v>15.60220234</v>
      </c>
      <c r="AF2007" s="1">
        <v>4.6163628656</v>
      </c>
      <c r="AG2007" s="1">
        <v>2.8006217324</v>
      </c>
      <c r="AH2007" s="1">
        <v>3.1001836937</v>
      </c>
      <c r="AI2007" s="1">
        <v>0.0748904903</v>
      </c>
      <c r="AJ2007" s="1">
        <v>4.3803871697</v>
      </c>
      <c r="AK2007" s="1">
        <v>82.957467854</v>
      </c>
      <c r="AL2007" s="1">
        <v>0.5700263675</v>
      </c>
      <c r="AM2007" s="1">
        <v>48.360887382</v>
      </c>
      <c r="AN2007" s="1">
        <v>16.769118021</v>
      </c>
      <c r="AO2007" s="1">
        <v>29376.0</v>
      </c>
      <c r="AP2007" s="1">
        <v>17.7</v>
      </c>
      <c r="AQ2007" s="1">
        <v>3.5</v>
      </c>
      <c r="AR2007" s="1">
        <v>6.3</v>
      </c>
      <c r="AS2007" s="1">
        <v>11.3</v>
      </c>
      <c r="AT2007" s="1">
        <v>20.3</v>
      </c>
      <c r="AU2007" s="1">
        <v>10.3</v>
      </c>
      <c r="AV2007" s="1">
        <v>14.3</v>
      </c>
      <c r="AW2007" s="1">
        <v>0.6</v>
      </c>
      <c r="AX2007" s="1">
        <v>0.2439</v>
      </c>
      <c r="AY2007" s="1">
        <v>13.2</v>
      </c>
      <c r="AZ2007" s="1">
        <v>8.1</v>
      </c>
      <c r="BA2007" s="1">
        <v>10.9</v>
      </c>
      <c r="BB2007" s="1">
        <v>3.16</v>
      </c>
      <c r="BC2007" s="1" t="s">
        <v>3333</v>
      </c>
      <c r="BD2007" s="1">
        <v>4.9</v>
      </c>
      <c r="BE2007" s="1">
        <v>22.2</v>
      </c>
      <c r="BF2007" s="1">
        <v>37.3</v>
      </c>
      <c r="BG2007" s="1">
        <v>35.6</v>
      </c>
      <c r="BH2007" s="1" t="s">
        <v>3363</v>
      </c>
    </row>
    <row r="2008">
      <c r="A2008" s="1">
        <v>38037.0</v>
      </c>
      <c r="B2008" s="2" t="str">
        <f>IFERROR(__xludf.DUMMYFUNCTION("TO_TEXT(A2008)"),"38037")</f>
        <v>38037</v>
      </c>
      <c r="C2008" s="1">
        <v>2369.0</v>
      </c>
      <c r="D2008" s="1">
        <v>1659.14986417496</v>
      </c>
      <c r="E2008" s="1" t="s">
        <v>332</v>
      </c>
      <c r="F2008" s="1" t="s">
        <v>3364</v>
      </c>
      <c r="G2008" s="1">
        <v>1.42783967328835</v>
      </c>
      <c r="H2008" s="1">
        <v>14.319466838</v>
      </c>
      <c r="I2008" s="1">
        <v>3.1766194711</v>
      </c>
      <c r="J2008" s="1">
        <v>5.8201058201</v>
      </c>
      <c r="K2008" s="1">
        <v>14.663613102</v>
      </c>
      <c r="L2008" s="1">
        <v>28.4</v>
      </c>
      <c r="M2008" s="1">
        <v>8.1</v>
      </c>
      <c r="N2008" s="1">
        <v>37.4</v>
      </c>
      <c r="O2008" s="1">
        <v>31.537176274</v>
      </c>
      <c r="P2008" s="1">
        <v>18.414779499</v>
      </c>
      <c r="Q2008" s="1">
        <v>48.31939</v>
      </c>
      <c r="R2008" s="1">
        <v>89.912280702</v>
      </c>
      <c r="S2008" s="1">
        <v>20.9</v>
      </c>
      <c r="T2008" s="1">
        <v>481.0</v>
      </c>
      <c r="U2008" s="1">
        <v>5.8212058212</v>
      </c>
      <c r="V2008" s="1">
        <v>84.835630965</v>
      </c>
      <c r="W2008" s="1">
        <v>13.063063063</v>
      </c>
      <c r="X2008" s="1">
        <v>10.497237569</v>
      </c>
      <c r="Y2008" s="1">
        <v>81.325016866</v>
      </c>
      <c r="Z2008" s="1">
        <v>13.2</v>
      </c>
      <c r="AA2008" s="1">
        <v>16.359642659</v>
      </c>
      <c r="AB2008" s="1">
        <v>41295.0</v>
      </c>
      <c r="AC2008" s="1">
        <v>43.043478261</v>
      </c>
      <c r="AD2008" s="1">
        <v>86.197440585</v>
      </c>
      <c r="AE2008" s="1">
        <v>8.1133919844</v>
      </c>
      <c r="AF2008" s="1">
        <v>0.1684919966</v>
      </c>
      <c r="AG2008" s="1">
        <v>2.0640269587</v>
      </c>
      <c r="AH2008" s="1">
        <v>0.1684919966</v>
      </c>
      <c r="AI2008" s="1">
        <v>0.0</v>
      </c>
      <c r="AJ2008" s="1">
        <v>1.600673968</v>
      </c>
      <c r="AK2008" s="1">
        <v>94.439764111</v>
      </c>
      <c r="AL2008" s="1">
        <v>0.1785714286</v>
      </c>
      <c r="AM2008" s="1">
        <v>50.084245998</v>
      </c>
      <c r="AN2008" s="1">
        <v>100.0</v>
      </c>
      <c r="AO2008" s="1">
        <v>32200.0</v>
      </c>
      <c r="AP2008" s="1">
        <v>13.6</v>
      </c>
      <c r="AQ2008" s="1">
        <v>2.7</v>
      </c>
      <c r="AR2008" s="1">
        <v>11.3</v>
      </c>
      <c r="AS2008" s="1">
        <v>27.1</v>
      </c>
      <c r="AT2008" s="1">
        <v>18.2</v>
      </c>
      <c r="AU2008" s="1">
        <v>13.2</v>
      </c>
      <c r="AV2008" s="1">
        <v>3.4</v>
      </c>
      <c r="AW2008" s="1">
        <v>0.4</v>
      </c>
      <c r="AX2008" s="1">
        <v>0.0697</v>
      </c>
      <c r="AY2008" s="1">
        <v>14.9</v>
      </c>
      <c r="AZ2008" s="1">
        <v>6.8</v>
      </c>
      <c r="BA2008" s="1">
        <v>11.0</v>
      </c>
      <c r="BB2008" s="1">
        <v>3.29</v>
      </c>
      <c r="BC2008" s="1" t="s">
        <v>3333</v>
      </c>
      <c r="BD2008" s="1">
        <v>9.9</v>
      </c>
      <c r="BE2008" s="1">
        <v>36.1</v>
      </c>
      <c r="BF2008" s="1">
        <v>35.9</v>
      </c>
      <c r="BG2008" s="1">
        <v>18.1</v>
      </c>
      <c r="BH2008" s="1" t="s">
        <v>3364</v>
      </c>
    </row>
    <row r="2009">
      <c r="A2009" s="1">
        <v>38039.0</v>
      </c>
      <c r="B2009" s="2" t="str">
        <f>IFERROR(__xludf.DUMMYFUNCTION("TO_TEXT(A2009)"),"38039")</f>
        <v>38039</v>
      </c>
      <c r="C2009" s="1">
        <v>2311.0</v>
      </c>
      <c r="D2009" s="1">
        <v>708.816421913618</v>
      </c>
      <c r="E2009" s="1" t="s">
        <v>3365</v>
      </c>
      <c r="F2009" s="1" t="s">
        <v>3366</v>
      </c>
      <c r="G2009" s="1">
        <v>3.26036464245694</v>
      </c>
      <c r="H2009" s="1">
        <v>13.233903569</v>
      </c>
      <c r="I2009" s="1">
        <v>3.0777876857</v>
      </c>
      <c r="J2009" s="1">
        <v>7.80443539465</v>
      </c>
      <c r="K2009" s="1">
        <v>14.906311594</v>
      </c>
      <c r="L2009" s="1">
        <v>30.4</v>
      </c>
      <c r="M2009" s="1">
        <v>8.9</v>
      </c>
      <c r="N2009" s="1">
        <v>25.1</v>
      </c>
      <c r="O2009" s="1">
        <v>44.421487603</v>
      </c>
      <c r="P2009" s="1">
        <v>9.43635212159999</v>
      </c>
      <c r="Q2009" s="1">
        <v>44.28698</v>
      </c>
      <c r="R2009" s="1">
        <v>89.912280702</v>
      </c>
      <c r="S2009" s="1">
        <v>12.5</v>
      </c>
      <c r="T2009" s="1">
        <v>438.0</v>
      </c>
      <c r="U2009" s="1">
        <v>27.397260274</v>
      </c>
      <c r="V2009" s="1">
        <v>44.25757911</v>
      </c>
      <c r="W2009" s="1">
        <v>3.8277511962</v>
      </c>
      <c r="X2009" s="1">
        <v>4.2430086789</v>
      </c>
      <c r="Y2009" s="1">
        <v>79.671744867</v>
      </c>
      <c r="Z2009" s="1">
        <v>12.3</v>
      </c>
      <c r="AA2009" s="1">
        <v>6.3228612896</v>
      </c>
      <c r="AB2009" s="1">
        <v>54250.0</v>
      </c>
      <c r="AC2009" s="1">
        <v>35.243553009</v>
      </c>
      <c r="AD2009" s="1">
        <v>72.632575758</v>
      </c>
      <c r="AE2009" s="1">
        <v>6.4239828694</v>
      </c>
      <c r="AF2009" s="1">
        <v>0.4480286738</v>
      </c>
      <c r="AG2009" s="1">
        <v>0.7616487455</v>
      </c>
      <c r="AH2009" s="1">
        <v>0.1792114695</v>
      </c>
      <c r="AI2009" s="1">
        <v>0.0</v>
      </c>
      <c r="AJ2009" s="1">
        <v>1.3888888889</v>
      </c>
      <c r="AK2009" s="1">
        <v>97.08781362</v>
      </c>
      <c r="AL2009" s="1">
        <v>0.3309692671</v>
      </c>
      <c r="AM2009" s="1">
        <v>48.521505376</v>
      </c>
      <c r="AN2009" s="1">
        <v>100.0</v>
      </c>
      <c r="AO2009" s="1">
        <v>31866.0</v>
      </c>
      <c r="AP2009" s="1">
        <v>7.3</v>
      </c>
      <c r="AQ2009" s="1">
        <v>1.6</v>
      </c>
      <c r="AR2009" s="1">
        <v>12.4</v>
      </c>
      <c r="AS2009" s="1">
        <v>29.5</v>
      </c>
      <c r="AT2009" s="1">
        <v>18.6</v>
      </c>
      <c r="AU2009" s="1">
        <v>15.1</v>
      </c>
      <c r="AV2009" s="1">
        <v>3.8</v>
      </c>
      <c r="AW2009" s="1">
        <v>0.2</v>
      </c>
      <c r="AX2009" s="1">
        <v>0.0497</v>
      </c>
      <c r="AY2009" s="1">
        <v>9.5</v>
      </c>
      <c r="AZ2009" s="1">
        <v>6.2</v>
      </c>
      <c r="BA2009" s="1">
        <v>11.1</v>
      </c>
      <c r="BB2009" s="1">
        <v>3.16</v>
      </c>
      <c r="BC2009" s="1" t="s">
        <v>3333</v>
      </c>
      <c r="BD2009" s="1">
        <v>10.7</v>
      </c>
      <c r="BE2009" s="1">
        <v>33.4</v>
      </c>
      <c r="BF2009" s="1">
        <v>30.1</v>
      </c>
      <c r="BG2009" s="1">
        <v>25.8</v>
      </c>
      <c r="BH2009" s="1" t="s">
        <v>3366</v>
      </c>
    </row>
    <row r="2010">
      <c r="A2010" s="1">
        <v>38041.0</v>
      </c>
      <c r="B2010" s="2" t="str">
        <f>IFERROR(__xludf.DUMMYFUNCTION("TO_TEXT(A2010)"),"38041")</f>
        <v>38041</v>
      </c>
      <c r="C2010" s="1">
        <v>2639.0</v>
      </c>
      <c r="D2010" s="1">
        <v>1132.20999323575</v>
      </c>
      <c r="E2010" s="1" t="s">
        <v>3367</v>
      </c>
      <c r="F2010" s="1" t="s">
        <v>3368</v>
      </c>
      <c r="G2010" s="1">
        <v>2.33083969914272</v>
      </c>
      <c r="H2010" s="1">
        <v>12.787293722</v>
      </c>
      <c r="I2010" s="1">
        <v>3.0941330074</v>
      </c>
      <c r="J2010" s="1">
        <v>7.5313807531</v>
      </c>
      <c r="K2010" s="1">
        <v>15.779303787</v>
      </c>
      <c r="L2010" s="1">
        <v>32.4</v>
      </c>
      <c r="M2010" s="1">
        <v>7.5</v>
      </c>
      <c r="N2010" s="1">
        <v>27.1</v>
      </c>
      <c r="O2010" s="1">
        <v>35.930561163</v>
      </c>
      <c r="P2010" s="1">
        <v>11.30386122</v>
      </c>
      <c r="Q2010" s="1">
        <v>48.31939</v>
      </c>
      <c r="R2010" s="1">
        <v>89.912280702</v>
      </c>
      <c r="S2010" s="1">
        <v>15.4</v>
      </c>
      <c r="T2010" s="1">
        <v>543.0</v>
      </c>
      <c r="U2010" s="1">
        <v>22.283609576</v>
      </c>
      <c r="V2010" s="1">
        <v>36.982248521</v>
      </c>
      <c r="W2010" s="1">
        <v>6.7567567568</v>
      </c>
      <c r="X2010" s="1">
        <v>4.6279491833</v>
      </c>
      <c r="Y2010" s="1">
        <v>82.199526232</v>
      </c>
      <c r="Z2010" s="1">
        <v>7.2</v>
      </c>
      <c r="AA2010" s="1">
        <v>26.278091242</v>
      </c>
      <c r="AB2010" s="1">
        <v>51455.0</v>
      </c>
      <c r="AC2010" s="1">
        <v>37.598425197</v>
      </c>
      <c r="AD2010" s="1">
        <v>80.5375347539999</v>
      </c>
      <c r="AE2010" s="1">
        <v>8.6870681145</v>
      </c>
      <c r="AF2010" s="1">
        <v>0.7557677009</v>
      </c>
      <c r="AG2010" s="1">
        <v>3.6197295147</v>
      </c>
      <c r="AH2010" s="1">
        <v>0.477326969</v>
      </c>
      <c r="AI2010" s="1">
        <v>0.3182179793</v>
      </c>
      <c r="AJ2010" s="1">
        <v>2.4264120923</v>
      </c>
      <c r="AK2010" s="1">
        <v>90.891010342</v>
      </c>
      <c r="AL2010" s="1">
        <v>0.0413736036</v>
      </c>
      <c r="AM2010" s="1">
        <v>51.5513126489999</v>
      </c>
      <c r="AN2010" s="1">
        <v>100.0</v>
      </c>
      <c r="AO2010" s="1">
        <v>31074.0</v>
      </c>
      <c r="AP2010" s="1">
        <v>8.3</v>
      </c>
      <c r="AQ2010" s="1">
        <v>2.5</v>
      </c>
      <c r="AR2010" s="1">
        <v>12.1</v>
      </c>
      <c r="AS2010" s="1">
        <v>26.4</v>
      </c>
      <c r="AT2010" s="1">
        <v>20.9</v>
      </c>
      <c r="AU2010" s="1">
        <v>13.2</v>
      </c>
      <c r="AV2010" s="1">
        <v>7.5</v>
      </c>
      <c r="AW2010" s="1">
        <v>0.1</v>
      </c>
      <c r="AX2010" s="1">
        <v>0.099</v>
      </c>
      <c r="AY2010" s="1">
        <v>12.5</v>
      </c>
      <c r="AZ2010" s="1">
        <v>5.0</v>
      </c>
      <c r="BA2010" s="1">
        <v>11.0</v>
      </c>
      <c r="BB2010" s="1">
        <v>3.39</v>
      </c>
      <c r="BC2010" s="1" t="s">
        <v>3333</v>
      </c>
      <c r="BD2010" s="1">
        <v>12.9</v>
      </c>
      <c r="BE2010" s="1">
        <v>33.8</v>
      </c>
      <c r="BF2010" s="1">
        <v>40.3</v>
      </c>
      <c r="BG2010" s="1">
        <v>13.0</v>
      </c>
      <c r="BH2010" s="1" t="s">
        <v>3368</v>
      </c>
    </row>
    <row r="2011">
      <c r="A2011" s="1">
        <v>38043.0</v>
      </c>
      <c r="B2011" s="2" t="str">
        <f>IFERROR(__xludf.DUMMYFUNCTION("TO_TEXT(A2011)"),"38043")</f>
        <v>38043</v>
      </c>
      <c r="C2011" s="1">
        <v>2419.0</v>
      </c>
      <c r="D2011" s="1">
        <v>1351.16690074979</v>
      </c>
      <c r="E2011" s="1" t="s">
        <v>3369</v>
      </c>
      <c r="F2011" s="1" t="s">
        <v>3370</v>
      </c>
      <c r="G2011" s="1">
        <v>1.79030436481062</v>
      </c>
      <c r="H2011" s="1">
        <v>13.966322194</v>
      </c>
      <c r="I2011" s="1">
        <v>3.2095524122</v>
      </c>
      <c r="J2011" s="1">
        <v>7.8048780488</v>
      </c>
      <c r="K2011" s="1">
        <v>15.925429386</v>
      </c>
      <c r="L2011" s="1">
        <v>38.2</v>
      </c>
      <c r="M2011" s="1">
        <v>7.3</v>
      </c>
      <c r="N2011" s="1">
        <v>32.9</v>
      </c>
      <c r="O2011" s="1">
        <v>15.0718685829999</v>
      </c>
      <c r="P2011" s="1">
        <v>12.5330512959999</v>
      </c>
      <c r="Q2011" s="1">
        <v>48.31939</v>
      </c>
      <c r="R2011" s="1">
        <v>89.912280702</v>
      </c>
      <c r="S2011" s="1">
        <v>16.5</v>
      </c>
      <c r="T2011" s="1">
        <v>511.0</v>
      </c>
      <c r="U2011" s="1">
        <v>16.438356164</v>
      </c>
      <c r="V2011" s="1">
        <v>62.617407639</v>
      </c>
      <c r="W2011" s="1">
        <v>5.5299539171</v>
      </c>
      <c r="X2011" s="1">
        <v>4.8103607771</v>
      </c>
      <c r="Y2011" s="1">
        <v>86.5976107389999</v>
      </c>
      <c r="Z2011" s="1">
        <v>10.6</v>
      </c>
      <c r="AA2011" s="1">
        <v>27.44661422</v>
      </c>
      <c r="AB2011" s="1">
        <v>45401.0</v>
      </c>
      <c r="AC2011" s="1">
        <v>32.8125</v>
      </c>
      <c r="AD2011" s="1">
        <v>73.6492890999999</v>
      </c>
      <c r="AE2011" s="1">
        <v>4.1972717733</v>
      </c>
      <c r="AF2011" s="1">
        <v>0.3265306122</v>
      </c>
      <c r="AG2011" s="1">
        <v>0.7346938776</v>
      </c>
      <c r="AH2011" s="1">
        <v>0.693877550999999</v>
      </c>
      <c r="AI2011" s="1">
        <v>0.0</v>
      </c>
      <c r="AJ2011" s="1">
        <v>4.0408163265</v>
      </c>
      <c r="AK2011" s="1">
        <v>94.244897959</v>
      </c>
      <c r="AL2011" s="1">
        <v>0.0</v>
      </c>
      <c r="AM2011" s="1">
        <v>48.244897959</v>
      </c>
      <c r="AN2011" s="1">
        <v>100.0</v>
      </c>
      <c r="AO2011" s="1">
        <v>36779.0</v>
      </c>
      <c r="AP2011" s="1">
        <v>7.0</v>
      </c>
      <c r="AQ2011" s="1">
        <v>1.6</v>
      </c>
      <c r="AR2011" s="1">
        <v>9.0</v>
      </c>
      <c r="AS2011" s="1">
        <v>20.8</v>
      </c>
      <c r="AT2011" s="1">
        <v>17.5</v>
      </c>
      <c r="AU2011" s="1">
        <v>12.8</v>
      </c>
      <c r="AV2011" s="1">
        <v>5.6</v>
      </c>
      <c r="AW2011" s="1">
        <v>0.0</v>
      </c>
      <c r="AX2011" s="1">
        <v>0.0019</v>
      </c>
      <c r="AY2011" s="1">
        <v>14.1</v>
      </c>
      <c r="AZ2011" s="1">
        <v>7.0</v>
      </c>
      <c r="BA2011" s="1">
        <v>12.8</v>
      </c>
      <c r="BB2011" s="1">
        <v>3.25</v>
      </c>
      <c r="BC2011" s="1" t="s">
        <v>3333</v>
      </c>
      <c r="BD2011" s="1">
        <v>9.2</v>
      </c>
      <c r="BE2011" s="1">
        <v>33.8</v>
      </c>
      <c r="BF2011" s="1">
        <v>39.3</v>
      </c>
      <c r="BG2011" s="1">
        <v>17.7</v>
      </c>
      <c r="BH2011" s="1" t="s">
        <v>3370</v>
      </c>
    </row>
    <row r="2012">
      <c r="A2012" s="1">
        <v>38045.0</v>
      </c>
      <c r="B2012" s="2" t="str">
        <f>IFERROR(__xludf.DUMMYFUNCTION("TO_TEXT(A2012)"),"38045")</f>
        <v>38045</v>
      </c>
      <c r="C2012" s="1">
        <v>4111.0</v>
      </c>
      <c r="D2012" s="1">
        <v>1145.94242013511</v>
      </c>
      <c r="E2012" s="1" t="s">
        <v>3371</v>
      </c>
      <c r="F2012" s="1" t="s">
        <v>3372</v>
      </c>
      <c r="G2012" s="1">
        <v>3.58744028300764</v>
      </c>
      <c r="H2012" s="1">
        <v>13.612315852</v>
      </c>
      <c r="I2012" s="1">
        <v>3.0911389482</v>
      </c>
      <c r="J2012" s="1">
        <v>4.9707602339</v>
      </c>
      <c r="K2012" s="1">
        <v>15.9229580779999</v>
      </c>
      <c r="L2012" s="1">
        <v>31.5</v>
      </c>
      <c r="M2012" s="1">
        <v>8.8</v>
      </c>
      <c r="N2012" s="1">
        <v>29.2</v>
      </c>
      <c r="O2012" s="1">
        <v>43.1263590239999</v>
      </c>
      <c r="P2012" s="1">
        <v>11.947194719</v>
      </c>
      <c r="Q2012" s="1">
        <v>24.46782</v>
      </c>
      <c r="R2012" s="1">
        <v>89.912280702</v>
      </c>
      <c r="S2012" s="1">
        <v>13.5</v>
      </c>
      <c r="T2012" s="1">
        <v>842.0</v>
      </c>
      <c r="U2012" s="1">
        <v>4.8693586698</v>
      </c>
      <c r="V2012" s="1">
        <v>48.667721134</v>
      </c>
      <c r="W2012" s="1">
        <v>9.9447513812</v>
      </c>
      <c r="X2012" s="1">
        <v>7.481853713</v>
      </c>
      <c r="Y2012" s="1">
        <v>82.261329836</v>
      </c>
      <c r="Z2012" s="1">
        <v>8.4</v>
      </c>
      <c r="AA2012" s="1">
        <v>9.0197199545</v>
      </c>
      <c r="AB2012" s="1">
        <v>54514.0</v>
      </c>
      <c r="AC2012" s="1">
        <v>32.6896551719999</v>
      </c>
      <c r="AD2012" s="1">
        <v>74.848317705</v>
      </c>
      <c r="AE2012" s="1">
        <v>6.5391733498</v>
      </c>
      <c r="AF2012" s="1">
        <v>0.2708025603</v>
      </c>
      <c r="AG2012" s="1">
        <v>0.5662235352</v>
      </c>
      <c r="AH2012" s="1">
        <v>0.1230920729</v>
      </c>
      <c r="AI2012" s="1">
        <v>0.0</v>
      </c>
      <c r="AJ2012" s="1">
        <v>1.4771048744</v>
      </c>
      <c r="AK2012" s="1">
        <v>96.774987691</v>
      </c>
      <c r="AL2012" s="1">
        <v>0.9708737864</v>
      </c>
      <c r="AM2012" s="1">
        <v>48.399803053</v>
      </c>
      <c r="AN2012" s="1">
        <v>100.0</v>
      </c>
      <c r="AO2012" s="1">
        <v>36493.0</v>
      </c>
      <c r="AP2012" s="1">
        <v>9.6</v>
      </c>
      <c r="AQ2012" s="1">
        <v>1.8</v>
      </c>
      <c r="AR2012" s="1">
        <v>13.7</v>
      </c>
      <c r="AS2012" s="1">
        <v>24.4</v>
      </c>
      <c r="AT2012" s="1">
        <v>21.3</v>
      </c>
      <c r="AU2012" s="1">
        <v>11.8</v>
      </c>
      <c r="AV2012" s="1">
        <v>2.5</v>
      </c>
      <c r="AW2012" s="1">
        <v>0.3</v>
      </c>
      <c r="AX2012" s="1">
        <v>0.0204</v>
      </c>
      <c r="AY2012" s="1">
        <v>12.2</v>
      </c>
      <c r="AZ2012" s="1">
        <v>6.2</v>
      </c>
      <c r="BA2012" s="1">
        <v>11.9</v>
      </c>
      <c r="BB2012" s="1">
        <v>3.23</v>
      </c>
      <c r="BC2012" s="1" t="s">
        <v>3333</v>
      </c>
      <c r="BD2012" s="1">
        <v>13.8</v>
      </c>
      <c r="BE2012" s="1">
        <v>28.9</v>
      </c>
      <c r="BF2012" s="1">
        <v>32.7</v>
      </c>
      <c r="BG2012" s="1">
        <v>24.6</v>
      </c>
      <c r="BH2012" s="1" t="s">
        <v>3372</v>
      </c>
    </row>
    <row r="2013">
      <c r="A2013" s="1">
        <v>38047.0</v>
      </c>
      <c r="B2013" s="2" t="str">
        <f>IFERROR(__xludf.DUMMYFUNCTION("TO_TEXT(A2013)"),"38047")</f>
        <v>38047</v>
      </c>
      <c r="C2013" s="1">
        <v>1939.0</v>
      </c>
      <c r="D2013" s="1">
        <v>992.811348003586</v>
      </c>
      <c r="E2013" s="1" t="s">
        <v>357</v>
      </c>
      <c r="F2013" s="1" t="s">
        <v>3373</v>
      </c>
      <c r="G2013" s="1">
        <v>1.95303972290312</v>
      </c>
      <c r="H2013" s="1">
        <v>12.252986667</v>
      </c>
      <c r="I2013" s="1">
        <v>3.0729099512</v>
      </c>
      <c r="J2013" s="1">
        <v>7.80443539465</v>
      </c>
      <c r="K2013" s="1">
        <v>14.173260393</v>
      </c>
      <c r="L2013" s="1">
        <v>28.9</v>
      </c>
      <c r="M2013" s="1">
        <v>8.6</v>
      </c>
      <c r="N2013" s="1">
        <v>32.5</v>
      </c>
      <c r="O2013" s="1">
        <v>19.1457286429999</v>
      </c>
      <c r="P2013" s="1">
        <v>18.776978417</v>
      </c>
      <c r="Q2013" s="1">
        <v>52.13764</v>
      </c>
      <c r="R2013" s="1">
        <v>89.912280702</v>
      </c>
      <c r="S2013" s="1">
        <v>17.9</v>
      </c>
      <c r="T2013" s="1">
        <v>372.0</v>
      </c>
      <c r="U2013" s="1">
        <v>12.096774194</v>
      </c>
      <c r="V2013" s="1">
        <v>26.191723415</v>
      </c>
      <c r="W2013" s="1">
        <v>8.5227272727</v>
      </c>
      <c r="X2013" s="1">
        <v>6.5040650407</v>
      </c>
      <c r="Y2013" s="1">
        <v>80.755856649</v>
      </c>
      <c r="Z2013" s="1">
        <v>10.1</v>
      </c>
      <c r="AA2013" s="1">
        <v>13.62741989</v>
      </c>
      <c r="AB2013" s="1">
        <v>50141.0</v>
      </c>
      <c r="AC2013" s="1">
        <v>32.303370787</v>
      </c>
      <c r="AD2013" s="1">
        <v>84.1449603619999</v>
      </c>
      <c r="AE2013" s="1">
        <v>6.25</v>
      </c>
      <c r="AF2013" s="1">
        <v>0.1576458224</v>
      </c>
      <c r="AG2013" s="1">
        <v>0.7882291119</v>
      </c>
      <c r="AH2013" s="1">
        <v>0.4203888597</v>
      </c>
      <c r="AI2013" s="1">
        <v>0.0</v>
      </c>
      <c r="AJ2013" s="1">
        <v>2.3646873358</v>
      </c>
      <c r="AK2013" s="1">
        <v>94.902785076</v>
      </c>
      <c r="AL2013" s="1">
        <v>0.3333333333</v>
      </c>
      <c r="AM2013" s="1">
        <v>48.344718865</v>
      </c>
      <c r="AN2013" s="1">
        <v>100.0</v>
      </c>
      <c r="AO2013" s="1">
        <v>33272.0</v>
      </c>
      <c r="AP2013" s="1">
        <v>7.0</v>
      </c>
      <c r="AQ2013" s="1">
        <v>1.8</v>
      </c>
      <c r="AR2013" s="1">
        <v>15.6</v>
      </c>
      <c r="AS2013" s="1">
        <v>28.6</v>
      </c>
      <c r="AT2013" s="1">
        <v>19.3</v>
      </c>
      <c r="AU2013" s="1">
        <v>12.4</v>
      </c>
      <c r="AV2013" s="1">
        <v>3.2</v>
      </c>
      <c r="AW2013" s="1">
        <v>0.0</v>
      </c>
      <c r="AX2013" s="1">
        <v>0.0401</v>
      </c>
      <c r="AY2013" s="1">
        <v>13.2</v>
      </c>
      <c r="AZ2013" s="1">
        <v>4.8</v>
      </c>
      <c r="BA2013" s="1">
        <v>8.2</v>
      </c>
      <c r="BB2013" s="1">
        <v>3.25</v>
      </c>
      <c r="BC2013" s="1" t="s">
        <v>3333</v>
      </c>
      <c r="BD2013" s="1">
        <v>12.0</v>
      </c>
      <c r="BE2013" s="1">
        <v>33.2</v>
      </c>
      <c r="BF2013" s="1">
        <v>35.1</v>
      </c>
      <c r="BG2013" s="1">
        <v>19.6</v>
      </c>
      <c r="BH2013" s="1" t="s">
        <v>3373</v>
      </c>
    </row>
    <row r="2014">
      <c r="A2014" s="1">
        <v>38049.0</v>
      </c>
      <c r="B2014" s="2" t="str">
        <f>IFERROR(__xludf.DUMMYFUNCTION("TO_TEXT(A2014)"),"38049")</f>
        <v>38049</v>
      </c>
      <c r="C2014" s="1">
        <v>5912.0</v>
      </c>
      <c r="D2014" s="1">
        <v>1873.97089494166</v>
      </c>
      <c r="E2014" s="1" t="s">
        <v>1236</v>
      </c>
      <c r="F2014" s="1" t="s">
        <v>3374</v>
      </c>
      <c r="G2014" s="1">
        <v>3.15479819668387</v>
      </c>
      <c r="H2014" s="1">
        <v>12.808113867</v>
      </c>
      <c r="I2014" s="1">
        <v>2.9581943162</v>
      </c>
      <c r="J2014" s="1">
        <v>5.5888223553</v>
      </c>
      <c r="K2014" s="1">
        <v>16.140353636</v>
      </c>
      <c r="L2014" s="1">
        <v>32.0</v>
      </c>
      <c r="M2014" s="1">
        <v>7.8</v>
      </c>
      <c r="N2014" s="1">
        <v>30.4</v>
      </c>
      <c r="O2014" s="1">
        <v>27.673772011</v>
      </c>
      <c r="P2014" s="1">
        <v>9.18780643789999</v>
      </c>
      <c r="Q2014" s="1">
        <v>48.31939</v>
      </c>
      <c r="R2014" s="1">
        <v>89.912280702</v>
      </c>
      <c r="S2014" s="1">
        <v>12.4</v>
      </c>
      <c r="T2014" s="1">
        <v>1394.0</v>
      </c>
      <c r="U2014" s="1">
        <v>22.883787661</v>
      </c>
      <c r="V2014" s="1">
        <v>49.862877088</v>
      </c>
      <c r="W2014" s="1">
        <v>5.7361376673</v>
      </c>
      <c r="X2014" s="1">
        <v>4.7655947307</v>
      </c>
      <c r="Y2014" s="1">
        <v>78.471918649</v>
      </c>
      <c r="Z2014" s="1">
        <v>8.3</v>
      </c>
      <c r="AA2014" s="1">
        <v>21.598809608</v>
      </c>
      <c r="AB2014" s="1">
        <v>54795.0</v>
      </c>
      <c r="AC2014" s="1">
        <v>32.795156408</v>
      </c>
      <c r="AD2014" s="1">
        <v>84.627092846</v>
      </c>
      <c r="AE2014" s="1">
        <v>6.3643595863</v>
      </c>
      <c r="AF2014" s="1">
        <v>0.3954607978</v>
      </c>
      <c r="AG2014" s="1">
        <v>1.083218707</v>
      </c>
      <c r="AH2014" s="1">
        <v>0.3094910591</v>
      </c>
      <c r="AI2014" s="1">
        <v>0.0</v>
      </c>
      <c r="AJ2014" s="1">
        <v>2.0976616231</v>
      </c>
      <c r="AK2014" s="1">
        <v>95.2028885829999</v>
      </c>
      <c r="AL2014" s="1">
        <v>0.0715819613</v>
      </c>
      <c r="AM2014" s="1">
        <v>48.211829436</v>
      </c>
      <c r="AN2014" s="1">
        <v>100.0</v>
      </c>
      <c r="AO2014" s="1">
        <v>36072.0</v>
      </c>
      <c r="AP2014" s="1">
        <v>10.0</v>
      </c>
      <c r="AQ2014" s="1">
        <v>2.6</v>
      </c>
      <c r="AR2014" s="1">
        <v>10.0</v>
      </c>
      <c r="AS2014" s="1">
        <v>19.3</v>
      </c>
      <c r="AT2014" s="1">
        <v>23.4</v>
      </c>
      <c r="AU2014" s="1">
        <v>11.7</v>
      </c>
      <c r="AV2014" s="1">
        <v>5.0</v>
      </c>
      <c r="AW2014" s="1">
        <v>0.4</v>
      </c>
      <c r="AX2014" s="1">
        <v>0.0474</v>
      </c>
      <c r="AY2014" s="1">
        <v>12.1</v>
      </c>
      <c r="AZ2014" s="1">
        <v>5.9</v>
      </c>
      <c r="BA2014" s="1">
        <v>11.0</v>
      </c>
      <c r="BB2014" s="1">
        <v>3.24</v>
      </c>
      <c r="BC2014" s="1" t="s">
        <v>3333</v>
      </c>
      <c r="BD2014" s="1">
        <v>9.2</v>
      </c>
      <c r="BE2014" s="1">
        <v>33.6</v>
      </c>
      <c r="BF2014" s="1">
        <v>35.7</v>
      </c>
      <c r="BG2014" s="1">
        <v>21.4</v>
      </c>
      <c r="BH2014" s="1" t="s">
        <v>3374</v>
      </c>
    </row>
    <row r="2015">
      <c r="A2015" s="1">
        <v>38051.0</v>
      </c>
      <c r="B2015" s="2" t="str">
        <f>IFERROR(__xludf.DUMMYFUNCTION("TO_TEXT(A2015)"),"38051")</f>
        <v>38051</v>
      </c>
      <c r="C2015" s="1">
        <v>2737.0</v>
      </c>
      <c r="D2015" s="1">
        <v>974.732449268082</v>
      </c>
      <c r="E2015" s="1" t="s">
        <v>957</v>
      </c>
      <c r="F2015" s="1" t="s">
        <v>3375</v>
      </c>
      <c r="G2015" s="1">
        <v>2.80795001957223</v>
      </c>
      <c r="H2015" s="1">
        <v>13.8494449709999</v>
      </c>
      <c r="I2015" s="1">
        <v>3.1499939994</v>
      </c>
      <c r="J2015" s="1">
        <v>6.55737704919999</v>
      </c>
      <c r="K2015" s="1">
        <v>14.345952201</v>
      </c>
      <c r="L2015" s="1">
        <v>26.6</v>
      </c>
      <c r="M2015" s="1">
        <v>9.0</v>
      </c>
      <c r="N2015" s="1">
        <v>30.9</v>
      </c>
      <c r="O2015" s="1">
        <v>72.979708081</v>
      </c>
      <c r="P2015" s="1">
        <v>14.4524735959999</v>
      </c>
      <c r="Q2015" s="1">
        <v>76.74597</v>
      </c>
      <c r="R2015" s="1">
        <v>89.912280702</v>
      </c>
      <c r="S2015" s="1">
        <v>16.8</v>
      </c>
      <c r="T2015" s="1">
        <v>466.0</v>
      </c>
      <c r="U2015" s="1">
        <v>29.1845493559999</v>
      </c>
      <c r="V2015" s="1">
        <v>73.569983447</v>
      </c>
      <c r="W2015" s="1">
        <v>10.344827586</v>
      </c>
      <c r="X2015" s="1">
        <v>8.4040092521</v>
      </c>
      <c r="Y2015" s="1">
        <v>80.0554928769999</v>
      </c>
      <c r="Z2015" s="1">
        <v>5.5</v>
      </c>
      <c r="AA2015" s="1">
        <v>6.6326207825</v>
      </c>
      <c r="AB2015" s="1">
        <v>47288.0</v>
      </c>
      <c r="AC2015" s="1">
        <v>40.211640212</v>
      </c>
      <c r="AD2015" s="1">
        <v>76.1579347</v>
      </c>
      <c r="AE2015" s="1">
        <v>9.7738287561</v>
      </c>
      <c r="AF2015" s="1">
        <v>0.502901354</v>
      </c>
      <c r="AG2015" s="1">
        <v>0.7350096712</v>
      </c>
      <c r="AH2015" s="1">
        <v>1.54738878139999</v>
      </c>
      <c r="AI2015" s="1">
        <v>0.0</v>
      </c>
      <c r="AJ2015" s="1">
        <v>2.3984526112</v>
      </c>
      <c r="AK2015" s="1">
        <v>94.081237911</v>
      </c>
      <c r="AL2015" s="1">
        <v>0.2377179081</v>
      </c>
      <c r="AM2015" s="1">
        <v>51.218568665</v>
      </c>
      <c r="AN2015" s="1">
        <v>100.0</v>
      </c>
      <c r="AO2015" s="1">
        <v>30620.0</v>
      </c>
      <c r="AP2015" s="1">
        <v>9.6</v>
      </c>
      <c r="AQ2015" s="1">
        <v>1.1</v>
      </c>
      <c r="AR2015" s="1">
        <v>18.4</v>
      </c>
      <c r="AS2015" s="1">
        <v>32.1</v>
      </c>
      <c r="AT2015" s="1">
        <v>18.0</v>
      </c>
      <c r="AU2015" s="1">
        <v>16.9</v>
      </c>
      <c r="AV2015" s="1">
        <v>4.9</v>
      </c>
      <c r="AW2015" s="1">
        <v>0.5</v>
      </c>
      <c r="AX2015" s="1">
        <v>0.1687</v>
      </c>
      <c r="AY2015" s="1">
        <v>13.9</v>
      </c>
      <c r="AZ2015" s="1">
        <v>5.9</v>
      </c>
      <c r="BA2015" s="1">
        <v>10.9</v>
      </c>
      <c r="BB2015" s="1">
        <v>3.13</v>
      </c>
      <c r="BC2015" s="1" t="s">
        <v>3333</v>
      </c>
      <c r="BD2015" s="1">
        <v>18.2</v>
      </c>
      <c r="BE2015" s="1">
        <v>33.0</v>
      </c>
      <c r="BF2015" s="1">
        <v>33.2</v>
      </c>
      <c r="BG2015" s="1">
        <v>15.6</v>
      </c>
      <c r="BH2015" s="1" t="s">
        <v>3375</v>
      </c>
    </row>
    <row r="2016">
      <c r="A2016" s="1">
        <v>38053.0</v>
      </c>
      <c r="B2016" s="2" t="str">
        <f>IFERROR(__xludf.DUMMYFUNCTION("TO_TEXT(A2016)"),"38053")</f>
        <v>38053</v>
      </c>
      <c r="C2016" s="1">
        <v>10718.0</v>
      </c>
      <c r="D2016" s="1">
        <v>2760.45604444953</v>
      </c>
      <c r="E2016" s="1" t="s">
        <v>3376</v>
      </c>
      <c r="F2016" s="1" t="s">
        <v>3377</v>
      </c>
      <c r="G2016" s="1">
        <v>3.88269178259539</v>
      </c>
      <c r="H2016" s="1">
        <v>13.9295237209999</v>
      </c>
      <c r="I2016" s="1">
        <v>2.9713075239</v>
      </c>
      <c r="J2016" s="1">
        <v>6.6621803499</v>
      </c>
      <c r="K2016" s="1">
        <v>19.14847239</v>
      </c>
      <c r="L2016" s="1">
        <v>29.1</v>
      </c>
      <c r="M2016" s="1">
        <v>8.4</v>
      </c>
      <c r="N2016" s="1">
        <v>27.0</v>
      </c>
      <c r="O2016" s="1">
        <v>66.5723270439999</v>
      </c>
      <c r="P2016" s="1">
        <v>12.845458459</v>
      </c>
      <c r="Q2016" s="1">
        <v>7.85916</v>
      </c>
      <c r="R2016" s="1">
        <v>82.039473684</v>
      </c>
      <c r="S2016" s="1">
        <v>10.4</v>
      </c>
      <c r="T2016" s="1">
        <v>3809.0</v>
      </c>
      <c r="U2016" s="1">
        <v>33.499606196</v>
      </c>
      <c r="V2016" s="1">
        <v>368.62999271</v>
      </c>
      <c r="W2016" s="1">
        <v>8.0221300138</v>
      </c>
      <c r="X2016" s="1">
        <v>3.3286318759</v>
      </c>
      <c r="Y2016" s="1">
        <v>79.663654542</v>
      </c>
      <c r="Z2016" s="1">
        <v>8.9</v>
      </c>
      <c r="AA2016" s="1">
        <v>12.442792134</v>
      </c>
      <c r="AB2016" s="1">
        <v>76224.0</v>
      </c>
      <c r="AC2016" s="1">
        <v>25.6329113919999</v>
      </c>
      <c r="AD2016" s="1">
        <v>55.65529623</v>
      </c>
      <c r="AE2016" s="1">
        <v>5.7702776266</v>
      </c>
      <c r="AF2016" s="1">
        <v>1.5184859155</v>
      </c>
      <c r="AG2016" s="1">
        <v>10.042546948</v>
      </c>
      <c r="AH2016" s="1">
        <v>1.0269953052</v>
      </c>
      <c r="AI2016" s="1">
        <v>0.1026995305</v>
      </c>
      <c r="AJ2016" s="1">
        <v>8.6781103286</v>
      </c>
      <c r="AK2016" s="1">
        <v>77.420774648</v>
      </c>
      <c r="AL2016" s="1">
        <v>1.8205921343</v>
      </c>
      <c r="AM2016" s="1">
        <v>46.6182511739999</v>
      </c>
      <c r="AN2016" s="1">
        <v>100.0</v>
      </c>
      <c r="AO2016" s="1">
        <v>37938.0</v>
      </c>
      <c r="AP2016" s="1">
        <v>12.8</v>
      </c>
      <c r="AQ2016" s="1">
        <v>3.7</v>
      </c>
      <c r="AR2016" s="1">
        <v>7.6</v>
      </c>
      <c r="AS2016" s="1">
        <v>8.7</v>
      </c>
      <c r="AT2016" s="1">
        <v>29.5</v>
      </c>
      <c r="AU2016" s="1">
        <v>8.1</v>
      </c>
      <c r="AV2016" s="1">
        <v>22.3</v>
      </c>
      <c r="AW2016" s="1">
        <v>1.8</v>
      </c>
      <c r="AX2016" s="1">
        <v>0.3241</v>
      </c>
      <c r="AY2016" s="1">
        <v>7.4</v>
      </c>
      <c r="AZ2016" s="1">
        <v>6.3</v>
      </c>
      <c r="BA2016" s="1">
        <v>10.6</v>
      </c>
      <c r="BB2016" s="1">
        <v>3.57</v>
      </c>
      <c r="BC2016" s="1" t="s">
        <v>3333</v>
      </c>
      <c r="BD2016" s="1">
        <v>9.3</v>
      </c>
      <c r="BE2016" s="1">
        <v>28.4</v>
      </c>
      <c r="BF2016" s="1">
        <v>36.6</v>
      </c>
      <c r="BG2016" s="1">
        <v>25.8</v>
      </c>
      <c r="BH2016" s="1" t="s">
        <v>3377</v>
      </c>
    </row>
    <row r="2017">
      <c r="A2017" s="1">
        <v>38055.0</v>
      </c>
      <c r="B2017" s="2" t="str">
        <f>IFERROR(__xludf.DUMMYFUNCTION("TO_TEXT(A2017)"),"38055")</f>
        <v>38055</v>
      </c>
      <c r="C2017" s="1">
        <v>9576.0</v>
      </c>
      <c r="D2017" s="1">
        <v>2110.59889485338</v>
      </c>
      <c r="E2017" s="1" t="s">
        <v>1238</v>
      </c>
      <c r="F2017" s="1" t="s">
        <v>3378</v>
      </c>
      <c r="G2017" s="1">
        <v>4.53710083111989</v>
      </c>
      <c r="H2017" s="1">
        <v>14.420308043</v>
      </c>
      <c r="I2017" s="1">
        <v>3.2922064677</v>
      </c>
      <c r="J2017" s="1">
        <v>6.1594202899</v>
      </c>
      <c r="K2017" s="1">
        <v>15.9648095129999</v>
      </c>
      <c r="L2017" s="1">
        <v>34.1</v>
      </c>
      <c r="M2017" s="1">
        <v>8.4</v>
      </c>
      <c r="N2017" s="1">
        <v>27.3</v>
      </c>
      <c r="O2017" s="1">
        <v>29.35728632</v>
      </c>
      <c r="P2017" s="1">
        <v>9.8351869221</v>
      </c>
      <c r="Q2017" s="1">
        <v>20.65049</v>
      </c>
      <c r="R2017" s="1">
        <v>89.912280702</v>
      </c>
      <c r="S2017" s="1">
        <v>11.0</v>
      </c>
      <c r="T2017" s="1">
        <v>2054.0</v>
      </c>
      <c r="U2017" s="1">
        <v>22.297955209</v>
      </c>
      <c r="V2017" s="1">
        <v>103.30578512</v>
      </c>
      <c r="W2017" s="1">
        <v>8.2750582751</v>
      </c>
      <c r="X2017" s="1">
        <v>6.1899179367</v>
      </c>
      <c r="Y2017" s="1">
        <v>78.06997098</v>
      </c>
      <c r="Z2017" s="1">
        <v>10.7</v>
      </c>
      <c r="AA2017" s="1">
        <v>14.874944558</v>
      </c>
      <c r="AB2017" s="1">
        <v>64524.0</v>
      </c>
      <c r="AC2017" s="1">
        <v>23.115577889</v>
      </c>
      <c r="AD2017" s="1">
        <v>80.70620817</v>
      </c>
      <c r="AE2017" s="1">
        <v>6.5191243685</v>
      </c>
      <c r="AF2017" s="1">
        <v>0.3353946127</v>
      </c>
      <c r="AG2017" s="1">
        <v>7.2319463369</v>
      </c>
      <c r="AH2017" s="1">
        <v>0.3144324494</v>
      </c>
      <c r="AI2017" s="1">
        <v>0.0628864899</v>
      </c>
      <c r="AJ2017" s="1">
        <v>2.4630541872</v>
      </c>
      <c r="AK2017" s="1">
        <v>88.973902107</v>
      </c>
      <c r="AL2017" s="1">
        <v>0.4859193816</v>
      </c>
      <c r="AM2017" s="1">
        <v>48.988575621</v>
      </c>
      <c r="AN2017" s="1">
        <v>100.0</v>
      </c>
      <c r="AO2017" s="1">
        <v>34218.0</v>
      </c>
      <c r="AP2017" s="1">
        <v>9.8</v>
      </c>
      <c r="AQ2017" s="1">
        <v>1.5</v>
      </c>
      <c r="AR2017" s="1">
        <v>8.5</v>
      </c>
      <c r="AS2017" s="1">
        <v>21.7</v>
      </c>
      <c r="AT2017" s="1">
        <v>21.4</v>
      </c>
      <c r="AU2017" s="1">
        <v>10.4</v>
      </c>
      <c r="AV2017" s="1">
        <v>10.3</v>
      </c>
      <c r="AW2017" s="1">
        <v>0.1</v>
      </c>
      <c r="AX2017" s="1">
        <v>0.0627</v>
      </c>
      <c r="AY2017" s="1">
        <v>9.4</v>
      </c>
      <c r="AZ2017" s="1">
        <v>5.1</v>
      </c>
      <c r="BA2017" s="1">
        <v>9.9</v>
      </c>
      <c r="BB2017" s="1">
        <v>3.27</v>
      </c>
      <c r="BC2017" s="1" t="s">
        <v>3333</v>
      </c>
      <c r="BD2017" s="1">
        <v>7.6</v>
      </c>
      <c r="BE2017" s="1">
        <v>33.8</v>
      </c>
      <c r="BF2017" s="1">
        <v>37.9</v>
      </c>
      <c r="BG2017" s="1">
        <v>20.8</v>
      </c>
      <c r="BH2017" s="1" t="s">
        <v>3378</v>
      </c>
    </row>
    <row r="2018">
      <c r="A2018" s="1">
        <v>38057.0</v>
      </c>
      <c r="B2018" s="2" t="str">
        <f>IFERROR(__xludf.DUMMYFUNCTION("TO_TEXT(A2018)"),"38057")</f>
        <v>38057</v>
      </c>
      <c r="C2018" s="1">
        <v>8671.0</v>
      </c>
      <c r="D2018" s="1">
        <v>1042.95382169091</v>
      </c>
      <c r="E2018" s="1" t="s">
        <v>1252</v>
      </c>
      <c r="F2018" s="1" t="s">
        <v>3379</v>
      </c>
      <c r="G2018" s="1">
        <v>8.31388678929424</v>
      </c>
      <c r="H2018" s="1">
        <v>12.259199349</v>
      </c>
      <c r="I2018" s="1">
        <v>2.8500207026</v>
      </c>
      <c r="J2018" s="1">
        <v>7.3654390935</v>
      </c>
      <c r="K2018" s="1">
        <v>16.456127749</v>
      </c>
      <c r="L2018" s="1">
        <v>31.4</v>
      </c>
      <c r="M2018" s="1">
        <v>9.4</v>
      </c>
      <c r="N2018" s="1">
        <v>25.4</v>
      </c>
      <c r="O2018" s="1">
        <v>77.291073124</v>
      </c>
      <c r="P2018" s="1">
        <v>7.1811206023</v>
      </c>
      <c r="Q2018" s="1">
        <v>70.88009</v>
      </c>
      <c r="R2018" s="1">
        <v>89.912280702</v>
      </c>
      <c r="S2018" s="1">
        <v>6.8</v>
      </c>
      <c r="T2018" s="1">
        <v>1919.0</v>
      </c>
      <c r="U2018" s="1">
        <v>13.392391871</v>
      </c>
      <c r="V2018" s="1">
        <v>126.42225032</v>
      </c>
      <c r="W2018" s="1">
        <v>7.4829931973</v>
      </c>
      <c r="X2018" s="1">
        <v>5.5934515689</v>
      </c>
      <c r="Y2018" s="1">
        <v>80.510476648</v>
      </c>
      <c r="Z2018" s="1">
        <v>10.6</v>
      </c>
      <c r="AA2018" s="1">
        <v>3.9212600854</v>
      </c>
      <c r="AB2018" s="1">
        <v>82303.0</v>
      </c>
      <c r="AC2018" s="1">
        <v>16.692073171</v>
      </c>
      <c r="AD2018" s="1">
        <v>82.65802269</v>
      </c>
      <c r="AE2018" s="1">
        <v>5.26170036</v>
      </c>
      <c r="AF2018" s="1">
        <v>0.5564291762</v>
      </c>
      <c r="AG2018" s="1">
        <v>2.6248941575</v>
      </c>
      <c r="AH2018" s="1">
        <v>0.604814322</v>
      </c>
      <c r="AI2018" s="1">
        <v>0.0846740050999999</v>
      </c>
      <c r="AJ2018" s="1">
        <v>3.0119753236</v>
      </c>
      <c r="AK2018" s="1">
        <v>92.391435829</v>
      </c>
      <c r="AL2018" s="1">
        <v>1.3245033113</v>
      </c>
      <c r="AM2018" s="1">
        <v>48.360953187</v>
      </c>
      <c r="AN2018" s="1">
        <v>64.992877493</v>
      </c>
      <c r="AO2018" s="1">
        <v>34194.0</v>
      </c>
      <c r="AP2018" s="1">
        <v>7.5</v>
      </c>
      <c r="AQ2018" s="1">
        <v>2.6</v>
      </c>
      <c r="AR2018" s="1">
        <v>9.4</v>
      </c>
      <c r="AS2018" s="1">
        <v>17.1</v>
      </c>
      <c r="AT2018" s="1">
        <v>22.1</v>
      </c>
      <c r="AU2018" s="1">
        <v>11.6</v>
      </c>
      <c r="AV2018" s="1">
        <v>6.5</v>
      </c>
      <c r="AW2018" s="1">
        <v>0.8</v>
      </c>
      <c r="AX2018" s="1">
        <v>0.0971</v>
      </c>
      <c r="AY2018" s="1">
        <v>7.7</v>
      </c>
      <c r="AZ2018" s="1">
        <v>4.7</v>
      </c>
      <c r="BA2018" s="1">
        <v>9.6</v>
      </c>
      <c r="BB2018" s="1">
        <v>3.28</v>
      </c>
      <c r="BC2018" s="1" t="s">
        <v>3333</v>
      </c>
      <c r="BD2018" s="1">
        <v>8.6</v>
      </c>
      <c r="BE2018" s="1">
        <v>27.0</v>
      </c>
      <c r="BF2018" s="1">
        <v>42.7</v>
      </c>
      <c r="BG2018" s="1">
        <v>21.7</v>
      </c>
      <c r="BH2018" s="1" t="s">
        <v>3379</v>
      </c>
    </row>
    <row r="2019">
      <c r="A2019" s="1">
        <v>38059.0</v>
      </c>
      <c r="B2019" s="2" t="str">
        <f>IFERROR(__xludf.DUMMYFUNCTION("TO_TEXT(A2019)"),"38059")</f>
        <v>38059</v>
      </c>
      <c r="C2019" s="1">
        <v>29633.0</v>
      </c>
      <c r="D2019" s="1">
        <v>1926.2604833954</v>
      </c>
      <c r="E2019" s="1" t="s">
        <v>1686</v>
      </c>
      <c r="F2019" s="1" t="s">
        <v>3380</v>
      </c>
      <c r="G2019" s="1">
        <v>15.3836930443417</v>
      </c>
      <c r="H2019" s="1">
        <v>13.5599214479999</v>
      </c>
      <c r="I2019" s="1">
        <v>3.0907138476</v>
      </c>
      <c r="J2019" s="1">
        <v>6.5777226187</v>
      </c>
      <c r="K2019" s="1">
        <v>17.992186384</v>
      </c>
      <c r="L2019" s="1">
        <v>33.9</v>
      </c>
      <c r="M2019" s="1">
        <v>9.0</v>
      </c>
      <c r="N2019" s="1">
        <v>24.0</v>
      </c>
      <c r="O2019" s="1">
        <v>74.30017109</v>
      </c>
      <c r="P2019" s="1">
        <v>6.9856087126</v>
      </c>
      <c r="Q2019" s="1">
        <v>48.70762</v>
      </c>
      <c r="R2019" s="1">
        <v>82.429752066</v>
      </c>
      <c r="S2019" s="1">
        <v>9.7</v>
      </c>
      <c r="T2019" s="1">
        <v>6764.0</v>
      </c>
      <c r="U2019" s="1">
        <v>23.9059727969999</v>
      </c>
      <c r="V2019" s="1">
        <v>223.01965256</v>
      </c>
      <c r="W2019" s="1">
        <v>10.216962525</v>
      </c>
      <c r="X2019" s="1">
        <v>9.0434782609</v>
      </c>
      <c r="Y2019" s="1">
        <v>78.4840003119999</v>
      </c>
      <c r="Z2019" s="1">
        <v>7.9</v>
      </c>
      <c r="AA2019" s="1">
        <v>7.2631575807</v>
      </c>
      <c r="AB2019" s="1">
        <v>68043.0</v>
      </c>
      <c r="AC2019" s="1">
        <v>26.435559336</v>
      </c>
      <c r="AD2019" s="1">
        <v>70.478723404</v>
      </c>
      <c r="AE2019" s="1">
        <v>8.7080979284</v>
      </c>
      <c r="AF2019" s="1">
        <v>1.0548319666</v>
      </c>
      <c r="AG2019" s="1">
        <v>3.6275928606</v>
      </c>
      <c r="AH2019" s="1">
        <v>0.4534491076</v>
      </c>
      <c r="AI2019" s="1">
        <v>0.0707509246</v>
      </c>
      <c r="AJ2019" s="1">
        <v>3.7272873452</v>
      </c>
      <c r="AK2019" s="1">
        <v>89.602830037</v>
      </c>
      <c r="AL2019" s="1">
        <v>0.7506721134</v>
      </c>
      <c r="AM2019" s="1">
        <v>49.40987297</v>
      </c>
      <c r="AN2019" s="1">
        <v>31.855411161</v>
      </c>
      <c r="AO2019" s="1">
        <v>34715.0</v>
      </c>
      <c r="AP2019" s="1">
        <v>8.7</v>
      </c>
      <c r="AQ2019" s="1">
        <v>2.2</v>
      </c>
      <c r="AR2019" s="1">
        <v>7.9</v>
      </c>
      <c r="AS2019" s="1">
        <v>15.0</v>
      </c>
      <c r="AT2019" s="1">
        <v>22.2</v>
      </c>
      <c r="AU2019" s="1">
        <v>9.6</v>
      </c>
      <c r="AV2019" s="1">
        <v>8.8</v>
      </c>
      <c r="AW2019" s="1">
        <v>0.5</v>
      </c>
      <c r="AX2019" s="1">
        <v>0.0535</v>
      </c>
      <c r="AY2019" s="1">
        <v>7.9</v>
      </c>
      <c r="AZ2019" s="1">
        <v>5.3</v>
      </c>
      <c r="BA2019" s="1">
        <v>9.0</v>
      </c>
      <c r="BB2019" s="1">
        <v>3.2</v>
      </c>
      <c r="BC2019" s="1" t="s">
        <v>3333</v>
      </c>
      <c r="BD2019" s="1">
        <v>8.1</v>
      </c>
      <c r="BE2019" s="1">
        <v>29.4</v>
      </c>
      <c r="BF2019" s="1">
        <v>35.7</v>
      </c>
      <c r="BG2019" s="1">
        <v>26.9</v>
      </c>
      <c r="BH2019" s="1" t="s">
        <v>3380</v>
      </c>
    </row>
    <row r="2020">
      <c r="A2020" s="1">
        <v>38061.0</v>
      </c>
      <c r="B2020" s="2" t="str">
        <f>IFERROR(__xludf.DUMMYFUNCTION("TO_TEXT(A2020)"),"38061")</f>
        <v>38061</v>
      </c>
      <c r="C2020" s="1">
        <v>9675.0</v>
      </c>
      <c r="D2020" s="1">
        <v>1825.28551267313</v>
      </c>
      <c r="E2020" s="1" t="s">
        <v>3381</v>
      </c>
      <c r="F2020" s="1" t="s">
        <v>3382</v>
      </c>
      <c r="G2020" s="1">
        <v>5.30054061834466</v>
      </c>
      <c r="H2020" s="1">
        <v>16.440654308</v>
      </c>
      <c r="I2020" s="1">
        <v>3.4295729227</v>
      </c>
      <c r="J2020" s="1">
        <v>5.6572379368</v>
      </c>
      <c r="K2020" s="1">
        <v>21.537588346</v>
      </c>
      <c r="L2020" s="1">
        <v>38.7</v>
      </c>
      <c r="M2020" s="1">
        <v>9.4</v>
      </c>
      <c r="N2020" s="1">
        <v>30.2</v>
      </c>
      <c r="O2020" s="1">
        <v>44.89769321</v>
      </c>
      <c r="P2020" s="1">
        <v>15.413164502</v>
      </c>
      <c r="Q2020" s="1">
        <v>29.22552</v>
      </c>
      <c r="R2020" s="1">
        <v>89.912280702</v>
      </c>
      <c r="S2020" s="1">
        <v>13.4</v>
      </c>
      <c r="T2020" s="1">
        <v>2674.0</v>
      </c>
      <c r="U2020" s="1">
        <v>36.836200449</v>
      </c>
      <c r="V2020" s="1">
        <v>165.22499757</v>
      </c>
      <c r="W2020" s="1">
        <v>10.1265822779999</v>
      </c>
      <c r="X2020" s="1">
        <v>4.2880523732</v>
      </c>
      <c r="Y2020" s="1">
        <v>73.56773812</v>
      </c>
      <c r="Z2020" s="1">
        <v>9.9</v>
      </c>
      <c r="AA2020" s="1">
        <v>2.3746815282</v>
      </c>
      <c r="AB2020" s="1">
        <v>67162.0</v>
      </c>
      <c r="AC2020" s="1">
        <v>37.6933895919999</v>
      </c>
      <c r="AD2020" s="1">
        <v>67.913446677</v>
      </c>
      <c r="AE2020" s="1">
        <v>4.3847722638</v>
      </c>
      <c r="AF2020" s="1">
        <v>1.0275983558</v>
      </c>
      <c r="AG2020" s="1">
        <v>30.260324917</v>
      </c>
      <c r="AH2020" s="1">
        <v>0.3033861812</v>
      </c>
      <c r="AI2020" s="1">
        <v>0.039146604</v>
      </c>
      <c r="AJ2020" s="1">
        <v>8.0544137796</v>
      </c>
      <c r="AK2020" s="1">
        <v>60.09982384</v>
      </c>
      <c r="AL2020" s="1">
        <v>0.9433962264</v>
      </c>
      <c r="AM2020" s="1">
        <v>46.349579174</v>
      </c>
      <c r="AN2020" s="1">
        <v>100.0</v>
      </c>
      <c r="AO2020" s="1">
        <v>39285.0</v>
      </c>
      <c r="AP2020" s="1">
        <v>11.8</v>
      </c>
      <c r="AQ2020" s="1">
        <v>4.2</v>
      </c>
      <c r="AR2020" s="1">
        <v>8.1</v>
      </c>
      <c r="AS2020" s="1">
        <v>11.1</v>
      </c>
      <c r="AT2020" s="1">
        <v>26.6</v>
      </c>
      <c r="AU2020" s="1">
        <v>7.6</v>
      </c>
      <c r="AV2020" s="1">
        <v>36.3</v>
      </c>
      <c r="AW2020" s="1">
        <v>0.7</v>
      </c>
      <c r="AX2020" s="1">
        <v>0.3741</v>
      </c>
      <c r="AY2020" s="1">
        <v>9.5</v>
      </c>
      <c r="AZ2020" s="1">
        <v>5.3</v>
      </c>
      <c r="BA2020" s="1">
        <v>8.6</v>
      </c>
      <c r="BB2020" s="1">
        <v>3.46</v>
      </c>
      <c r="BC2020" s="1" t="s">
        <v>3333</v>
      </c>
      <c r="BD2020" s="1">
        <v>7.6</v>
      </c>
      <c r="BE2020" s="1">
        <v>33.9</v>
      </c>
      <c r="BF2020" s="1">
        <v>38.1</v>
      </c>
      <c r="BG2020" s="1">
        <v>20.4</v>
      </c>
      <c r="BH2020" s="1" t="s">
        <v>3382</v>
      </c>
    </row>
    <row r="2021">
      <c r="A2021" s="1">
        <v>38063.0</v>
      </c>
      <c r="B2021" s="2" t="str">
        <f>IFERROR(__xludf.DUMMYFUNCTION("TO_TEXT(A2021)"),"38063")</f>
        <v>38063</v>
      </c>
      <c r="C2021" s="1">
        <v>3032.0</v>
      </c>
      <c r="D2021" s="1">
        <v>981.774163258307</v>
      </c>
      <c r="E2021" s="1" t="s">
        <v>1891</v>
      </c>
      <c r="F2021" s="1" t="s">
        <v>3383</v>
      </c>
      <c r="G2021" s="1">
        <v>3.08828660752022</v>
      </c>
      <c r="H2021" s="1">
        <v>12.923705708</v>
      </c>
      <c r="I2021" s="1">
        <v>3.1338375404</v>
      </c>
      <c r="J2021" s="1">
        <v>7.80443539465</v>
      </c>
      <c r="K2021" s="1">
        <v>15.110544419</v>
      </c>
      <c r="L2021" s="1">
        <v>38.3</v>
      </c>
      <c r="M2021" s="1">
        <v>7.3</v>
      </c>
      <c r="N2021" s="1">
        <v>32.8</v>
      </c>
      <c r="O2021" s="1">
        <v>33.941138836</v>
      </c>
      <c r="P2021" s="1">
        <v>10.4918032789999</v>
      </c>
      <c r="Q2021" s="1">
        <v>34.04835</v>
      </c>
      <c r="R2021" s="1">
        <v>89.912280702</v>
      </c>
      <c r="S2021" s="1">
        <v>11.2</v>
      </c>
      <c r="T2021" s="1">
        <v>531.0</v>
      </c>
      <c r="U2021" s="1">
        <v>24.105461394</v>
      </c>
      <c r="V2021" s="1">
        <v>133.98090772</v>
      </c>
      <c r="W2021" s="1">
        <v>4.9504950495</v>
      </c>
      <c r="X2021" s="1">
        <v>3.6764705882</v>
      </c>
      <c r="Y2021" s="1">
        <v>78.380431802</v>
      </c>
      <c r="Z2021" s="1">
        <v>11.6</v>
      </c>
      <c r="AA2021" s="1">
        <v>25.915202801</v>
      </c>
      <c r="AB2021" s="1">
        <v>50093.0</v>
      </c>
      <c r="AC2021" s="1">
        <v>33.481152993</v>
      </c>
      <c r="AD2021" s="1">
        <v>72.075726842</v>
      </c>
      <c r="AE2021" s="1">
        <v>6.3134978229</v>
      </c>
      <c r="AF2021" s="1">
        <v>0.8016730568</v>
      </c>
      <c r="AG2021" s="1">
        <v>1.8124782154</v>
      </c>
      <c r="AH2021" s="1">
        <v>0.2439874521</v>
      </c>
      <c r="AI2021" s="1">
        <v>0.0348553503</v>
      </c>
      <c r="AJ2021" s="1">
        <v>2.6838619728</v>
      </c>
      <c r="AK2021" s="1">
        <v>93.203206692</v>
      </c>
      <c r="AL2021" s="1">
        <v>0.0</v>
      </c>
      <c r="AM2021" s="1">
        <v>48.692924364</v>
      </c>
      <c r="AN2021" s="1">
        <v>100.0</v>
      </c>
      <c r="AO2021" s="1">
        <v>33895.0</v>
      </c>
      <c r="AP2021" s="1">
        <v>8.6</v>
      </c>
      <c r="AQ2021" s="1">
        <v>0.8</v>
      </c>
      <c r="AR2021" s="1">
        <v>8.3</v>
      </c>
      <c r="AS2021" s="1">
        <v>28.0</v>
      </c>
      <c r="AT2021" s="1">
        <v>18.0</v>
      </c>
      <c r="AU2021" s="1">
        <v>12.7</v>
      </c>
      <c r="AV2021" s="1">
        <v>3.8</v>
      </c>
      <c r="AW2021" s="1">
        <v>0.0</v>
      </c>
      <c r="AX2021" s="1">
        <v>0.015</v>
      </c>
      <c r="AY2021" s="1">
        <v>11.2</v>
      </c>
      <c r="AZ2021" s="1">
        <v>7.4</v>
      </c>
      <c r="BA2021" s="1">
        <v>13.6</v>
      </c>
      <c r="BB2021" s="1">
        <v>3.16</v>
      </c>
      <c r="BC2021" s="1" t="s">
        <v>3333</v>
      </c>
      <c r="BD2021" s="1">
        <v>8.2</v>
      </c>
      <c r="BE2021" s="1">
        <v>29.2</v>
      </c>
      <c r="BF2021" s="1">
        <v>37.7</v>
      </c>
      <c r="BG2021" s="1">
        <v>25.0</v>
      </c>
      <c r="BH2021" s="1" t="s">
        <v>3383</v>
      </c>
    </row>
    <row r="2022">
      <c r="A2022" s="1">
        <v>38065.0</v>
      </c>
      <c r="B2022" s="2" t="str">
        <f>IFERROR(__xludf.DUMMYFUNCTION("TO_TEXT(A2022)"),"38065")</f>
        <v>38065</v>
      </c>
      <c r="C2022" s="1">
        <v>1768.0</v>
      </c>
      <c r="D2022" s="1">
        <v>722.511178771362</v>
      </c>
      <c r="E2022" s="1" t="s">
        <v>3384</v>
      </c>
      <c r="F2022" s="1" t="s">
        <v>3385</v>
      </c>
      <c r="G2022" s="1">
        <v>2.44702096236975</v>
      </c>
      <c r="H2022" s="1">
        <v>11.147928675</v>
      </c>
      <c r="I2022" s="1">
        <v>2.8413977027</v>
      </c>
      <c r="J2022" s="1">
        <v>6.79012345679999</v>
      </c>
      <c r="K2022" s="1">
        <v>14.210930092</v>
      </c>
      <c r="L2022" s="1">
        <v>28.4</v>
      </c>
      <c r="M2022" s="1">
        <v>8.4</v>
      </c>
      <c r="N2022" s="1">
        <v>30.7</v>
      </c>
      <c r="O2022" s="1">
        <v>40.032502709</v>
      </c>
      <c r="P2022" s="1">
        <v>8.9356110381</v>
      </c>
      <c r="Q2022" s="1">
        <v>0.0</v>
      </c>
      <c r="R2022" s="1">
        <v>89.912280702</v>
      </c>
      <c r="S2022" s="1">
        <v>12.9</v>
      </c>
      <c r="T2022" s="1">
        <v>438.0</v>
      </c>
      <c r="U2022" s="1">
        <v>35.159817352</v>
      </c>
      <c r="V2022" s="1">
        <v>54.112554113</v>
      </c>
      <c r="W2022" s="1">
        <v>5.7894736842</v>
      </c>
      <c r="X2022" s="1">
        <v>5.0264550265</v>
      </c>
      <c r="Y2022" s="1">
        <v>89.107140491</v>
      </c>
      <c r="Z2022" s="1">
        <v>9.3</v>
      </c>
      <c r="AA2022" s="1">
        <v>18.0434907679999</v>
      </c>
      <c r="AB2022" s="1">
        <v>68243.0</v>
      </c>
      <c r="AC2022" s="1">
        <v>24.47257384</v>
      </c>
      <c r="AD2022" s="1">
        <v>87.6</v>
      </c>
      <c r="AE2022" s="1">
        <v>9.3256814921</v>
      </c>
      <c r="AF2022" s="1">
        <v>0.4098360656</v>
      </c>
      <c r="AG2022" s="1">
        <v>2.7663934426</v>
      </c>
      <c r="AH2022" s="1">
        <v>0.256147541</v>
      </c>
      <c r="AI2022" s="1">
        <v>0.0512295082</v>
      </c>
      <c r="AJ2022" s="1">
        <v>1.9979508197</v>
      </c>
      <c r="AK2022" s="1">
        <v>93.18647541</v>
      </c>
      <c r="AL2022" s="1">
        <v>1.51338766009999</v>
      </c>
      <c r="AM2022" s="1">
        <v>47.7459016389999</v>
      </c>
      <c r="AN2022" s="1">
        <v>100.0</v>
      </c>
      <c r="AO2022" s="1">
        <v>35524.0</v>
      </c>
      <c r="AP2022" s="1">
        <v>4.1</v>
      </c>
      <c r="AQ2022" s="1">
        <v>2.2</v>
      </c>
      <c r="AR2022" s="1">
        <v>12.1</v>
      </c>
      <c r="AS2022" s="1">
        <v>22.3</v>
      </c>
      <c r="AT2022" s="1">
        <v>21.9</v>
      </c>
      <c r="AU2022" s="1">
        <v>10.3</v>
      </c>
      <c r="AV2022" s="1">
        <v>8.3</v>
      </c>
      <c r="AW2022" s="1">
        <v>0.4</v>
      </c>
      <c r="AX2022" s="1">
        <v>0.0302</v>
      </c>
      <c r="AY2022" s="1">
        <v>10.6</v>
      </c>
      <c r="AZ2022" s="1">
        <v>6.1</v>
      </c>
      <c r="BA2022" s="1">
        <v>12.6</v>
      </c>
      <c r="BB2022" s="1">
        <v>3.26</v>
      </c>
      <c r="BC2022" s="1" t="s">
        <v>3333</v>
      </c>
      <c r="BD2022" s="1">
        <v>8.7</v>
      </c>
      <c r="BE2022" s="1">
        <v>30.8</v>
      </c>
      <c r="BF2022" s="1">
        <v>39.4</v>
      </c>
      <c r="BG2022" s="1">
        <v>21.1</v>
      </c>
      <c r="BH2022" s="1" t="s">
        <v>3385</v>
      </c>
    </row>
    <row r="2023">
      <c r="A2023" s="1">
        <v>38067.0</v>
      </c>
      <c r="B2023" s="2" t="str">
        <f>IFERROR(__xludf.DUMMYFUNCTION("TO_TEXT(A2023)"),"38067")</f>
        <v>38067</v>
      </c>
      <c r="C2023" s="1">
        <v>7136.0</v>
      </c>
      <c r="D2023" s="1">
        <v>1118.69356762536</v>
      </c>
      <c r="E2023" s="1" t="s">
        <v>3386</v>
      </c>
      <c r="F2023" s="1" t="s">
        <v>3387</v>
      </c>
      <c r="G2023" s="1">
        <v>6.37886925116367</v>
      </c>
      <c r="H2023" s="1">
        <v>12.831515635</v>
      </c>
      <c r="I2023" s="1">
        <v>2.9511018264</v>
      </c>
      <c r="J2023" s="1">
        <v>7.1428571429</v>
      </c>
      <c r="K2023" s="1">
        <v>16.065499644</v>
      </c>
      <c r="L2023" s="1">
        <v>38.5</v>
      </c>
      <c r="M2023" s="1">
        <v>8.8</v>
      </c>
      <c r="N2023" s="1">
        <v>32.3</v>
      </c>
      <c r="O2023" s="1">
        <v>74.679616889</v>
      </c>
      <c r="P2023" s="1">
        <v>9.9588169225</v>
      </c>
      <c r="Q2023" s="1">
        <v>28.68617</v>
      </c>
      <c r="R2023" s="1">
        <v>89.912280702</v>
      </c>
      <c r="S2023" s="1">
        <v>11.2</v>
      </c>
      <c r="T2023" s="1">
        <v>1423.0</v>
      </c>
      <c r="U2023" s="1">
        <v>16.936050597</v>
      </c>
      <c r="V2023" s="1">
        <v>85.579803166</v>
      </c>
      <c r="W2023" s="1">
        <v>4.7328244275</v>
      </c>
      <c r="X2023" s="1">
        <v>3.5265256056</v>
      </c>
      <c r="Y2023" s="1">
        <v>80.443192494</v>
      </c>
      <c r="Z2023" s="1">
        <v>14.0</v>
      </c>
      <c r="AA2023" s="1">
        <v>10.824210483</v>
      </c>
      <c r="AB2023" s="1">
        <v>58766.0</v>
      </c>
      <c r="AC2023" s="1">
        <v>36.996336996</v>
      </c>
      <c r="AD2023" s="1">
        <v>76.949685535</v>
      </c>
      <c r="AE2023" s="1">
        <v>4.1443850267</v>
      </c>
      <c r="AF2023" s="1">
        <v>0.6477616237</v>
      </c>
      <c r="AG2023" s="1">
        <v>2.1448107097</v>
      </c>
      <c r="AH2023" s="1">
        <v>0.4318410825</v>
      </c>
      <c r="AI2023" s="1">
        <v>0.0143947027</v>
      </c>
      <c r="AJ2023" s="1">
        <v>3.3827551461</v>
      </c>
      <c r="AK2023" s="1">
        <v>90.168418022</v>
      </c>
      <c r="AL2023" s="1">
        <v>0.0301613633</v>
      </c>
      <c r="AM2023" s="1">
        <v>47.185835612</v>
      </c>
      <c r="AN2023" s="1">
        <v>100.0</v>
      </c>
      <c r="AO2023" s="1">
        <v>32779.0</v>
      </c>
      <c r="AP2023" s="1">
        <v>6.0</v>
      </c>
      <c r="AQ2023" s="1">
        <v>3.1</v>
      </c>
      <c r="AR2023" s="1">
        <v>11.1</v>
      </c>
      <c r="AS2023" s="1">
        <v>21.5</v>
      </c>
      <c r="AT2023" s="1">
        <v>20.9</v>
      </c>
      <c r="AU2023" s="1">
        <v>12.8</v>
      </c>
      <c r="AV2023" s="1">
        <v>7.7</v>
      </c>
      <c r="AW2023" s="1">
        <v>0.0</v>
      </c>
      <c r="AX2023" s="1">
        <v>0.0436</v>
      </c>
      <c r="AY2023" s="1">
        <v>8.8</v>
      </c>
      <c r="AZ2023" s="1">
        <v>5.5</v>
      </c>
      <c r="BA2023" s="1">
        <v>9.7</v>
      </c>
      <c r="BB2023" s="1">
        <v>3.51</v>
      </c>
      <c r="BC2023" s="1" t="s">
        <v>3333</v>
      </c>
      <c r="BD2023" s="1">
        <v>10.4</v>
      </c>
      <c r="BE2023" s="1">
        <v>31.8</v>
      </c>
      <c r="BF2023" s="1">
        <v>37.1</v>
      </c>
      <c r="BG2023" s="1">
        <v>20.6</v>
      </c>
      <c r="BH2023" s="1" t="s">
        <v>3387</v>
      </c>
    </row>
    <row r="2024">
      <c r="A2024" s="1">
        <v>38069.0</v>
      </c>
      <c r="B2024" s="2" t="str">
        <f>IFERROR(__xludf.DUMMYFUNCTION("TO_TEXT(A2024)"),"38069")</f>
        <v>38069</v>
      </c>
      <c r="C2024" s="1">
        <v>4373.0</v>
      </c>
      <c r="D2024" s="1">
        <v>1018.59984151331</v>
      </c>
      <c r="E2024" s="1" t="s">
        <v>984</v>
      </c>
      <c r="F2024" s="1" t="s">
        <v>3388</v>
      </c>
      <c r="G2024" s="1">
        <v>4.29314812527665</v>
      </c>
      <c r="H2024" s="1">
        <v>15.027716465</v>
      </c>
      <c r="I2024" s="1">
        <v>3.373347048</v>
      </c>
      <c r="J2024" s="1">
        <v>12.307692308</v>
      </c>
      <c r="K2024" s="1">
        <v>17.020993205</v>
      </c>
      <c r="L2024" s="1">
        <v>36.2</v>
      </c>
      <c r="M2024" s="1">
        <v>8.5</v>
      </c>
      <c r="N2024" s="1">
        <v>29.1</v>
      </c>
      <c r="O2024" s="1">
        <v>71.677759927</v>
      </c>
      <c r="P2024" s="1">
        <v>10.272606383</v>
      </c>
      <c r="Q2024" s="1">
        <v>97.58478</v>
      </c>
      <c r="R2024" s="1">
        <v>89.912280702</v>
      </c>
      <c r="S2024" s="1">
        <v>14.8</v>
      </c>
      <c r="T2024" s="1">
        <v>892.0</v>
      </c>
      <c r="U2024" s="1">
        <v>23.542600897</v>
      </c>
      <c r="V2024" s="1">
        <v>138.02622498</v>
      </c>
      <c r="W2024" s="1">
        <v>17.24137931</v>
      </c>
      <c r="X2024" s="1">
        <v>15.3731343279999</v>
      </c>
      <c r="Y2024" s="1">
        <v>81.88669365</v>
      </c>
      <c r="Z2024" s="1">
        <v>10.6</v>
      </c>
      <c r="AA2024" s="1">
        <v>5.8562282825</v>
      </c>
      <c r="AB2024" s="1">
        <v>47360.0</v>
      </c>
      <c r="AC2024" s="1">
        <v>29.969879518</v>
      </c>
      <c r="AD2024" s="1">
        <v>72.018585441</v>
      </c>
      <c r="AE2024" s="1">
        <v>14.926189174</v>
      </c>
      <c r="AF2024" s="1">
        <v>0.808625336899999</v>
      </c>
      <c r="AG2024" s="1">
        <v>4.7782406273</v>
      </c>
      <c r="AH2024" s="1">
        <v>0.0980151924</v>
      </c>
      <c r="AI2024" s="1">
        <v>0.0</v>
      </c>
      <c r="AJ2024" s="1">
        <v>1.9603038471</v>
      </c>
      <c r="AK2024" s="1">
        <v>91.6197010539999</v>
      </c>
      <c r="AL2024" s="1">
        <v>0.1018589254</v>
      </c>
      <c r="AM2024" s="1">
        <v>48.811565793</v>
      </c>
      <c r="AN2024" s="1">
        <v>35.1847601559999</v>
      </c>
      <c r="AO2024" s="1">
        <v>27926.0</v>
      </c>
      <c r="AP2024" s="1">
        <v>18.3</v>
      </c>
      <c r="AQ2024" s="1">
        <v>1.6</v>
      </c>
      <c r="AR2024" s="1">
        <v>11.7</v>
      </c>
      <c r="AS2024" s="1">
        <v>23.0</v>
      </c>
      <c r="AT2024" s="1">
        <v>19.6</v>
      </c>
      <c r="AU2024" s="1">
        <v>10.8</v>
      </c>
      <c r="AV2024" s="1">
        <v>3.4</v>
      </c>
      <c r="AW2024" s="1">
        <v>0.2</v>
      </c>
      <c r="AX2024" s="1">
        <v>0.1557</v>
      </c>
      <c r="AY2024" s="1">
        <v>11.6</v>
      </c>
      <c r="AZ2024" s="1">
        <v>8.3</v>
      </c>
      <c r="BA2024" s="1">
        <v>15.6</v>
      </c>
      <c r="BB2024" s="1">
        <v>3.22</v>
      </c>
      <c r="BC2024" s="1" t="s">
        <v>3333</v>
      </c>
      <c r="BD2024" s="1">
        <v>6.7</v>
      </c>
      <c r="BE2024" s="1">
        <v>35.2</v>
      </c>
      <c r="BF2024" s="1">
        <v>37.2</v>
      </c>
      <c r="BG2024" s="1">
        <v>21.0</v>
      </c>
      <c r="BH2024" s="1" t="s">
        <v>3388</v>
      </c>
    </row>
    <row r="2025">
      <c r="A2025" s="1">
        <v>38071.0</v>
      </c>
      <c r="B2025" s="2" t="str">
        <f>IFERROR(__xludf.DUMMYFUNCTION("TO_TEXT(A2025)"),"38071")</f>
        <v>38071</v>
      </c>
      <c r="C2025" s="1">
        <v>11578.0</v>
      </c>
      <c r="D2025" s="1">
        <v>1186.94379576725</v>
      </c>
      <c r="E2025" s="1" t="s">
        <v>2390</v>
      </c>
      <c r="F2025" s="1" t="s">
        <v>3389</v>
      </c>
      <c r="G2025" s="1">
        <v>9.754463556984</v>
      </c>
      <c r="H2025" s="1">
        <v>14.320022829</v>
      </c>
      <c r="I2025" s="1">
        <v>3.2109047427</v>
      </c>
      <c r="J2025" s="1">
        <v>8.1468218442</v>
      </c>
      <c r="K2025" s="1">
        <v>17.037443002</v>
      </c>
      <c r="L2025" s="1">
        <v>30.4</v>
      </c>
      <c r="M2025" s="1">
        <v>8.9</v>
      </c>
      <c r="N2025" s="1">
        <v>25.4</v>
      </c>
      <c r="O2025" s="1">
        <v>76.76185486</v>
      </c>
      <c r="P2025" s="1">
        <v>9.1575091575</v>
      </c>
      <c r="Q2025" s="1">
        <v>95.4944</v>
      </c>
      <c r="R2025" s="1">
        <v>87.5</v>
      </c>
      <c r="S2025" s="1">
        <v>16.0</v>
      </c>
      <c r="T2025" s="1">
        <v>2648.0</v>
      </c>
      <c r="U2025" s="1">
        <v>30.5513595169999</v>
      </c>
      <c r="V2025" s="1">
        <v>143.36606134</v>
      </c>
      <c r="W2025" s="1">
        <v>10.38961039</v>
      </c>
      <c r="X2025" s="1">
        <v>7.6411290323</v>
      </c>
      <c r="Y2025" s="1">
        <v>78.952825098</v>
      </c>
      <c r="Z2025" s="1">
        <v>10.2</v>
      </c>
      <c r="AA2025" s="1">
        <v>3.9771685094</v>
      </c>
      <c r="AB2025" s="1">
        <v>54814.0</v>
      </c>
      <c r="AC2025" s="1">
        <v>44.094922737</v>
      </c>
      <c r="AD2025" s="1">
        <v>60.503697781</v>
      </c>
      <c r="AE2025" s="1">
        <v>8.453050177</v>
      </c>
      <c r="AF2025" s="1">
        <v>0.8187440118</v>
      </c>
      <c r="AG2025" s="1">
        <v>10.373660831</v>
      </c>
      <c r="AH2025" s="1">
        <v>0.6358331156</v>
      </c>
      <c r="AI2025" s="1">
        <v>0.026130128</v>
      </c>
      <c r="AJ2025" s="1">
        <v>2.6826931452</v>
      </c>
      <c r="AK2025" s="1">
        <v>82.989286648</v>
      </c>
      <c r="AL2025" s="1">
        <v>0.0</v>
      </c>
      <c r="AM2025" s="1">
        <v>49.629823186</v>
      </c>
      <c r="AN2025" s="1">
        <v>34.992577068</v>
      </c>
      <c r="AO2025" s="1">
        <v>30372.0</v>
      </c>
      <c r="AP2025" s="1">
        <v>11.0</v>
      </c>
      <c r="AQ2025" s="1">
        <v>1.1</v>
      </c>
      <c r="AR2025" s="1">
        <v>9.1</v>
      </c>
      <c r="AS2025" s="1">
        <v>18.2</v>
      </c>
      <c r="AT2025" s="1">
        <v>22.7</v>
      </c>
      <c r="AU2025" s="1">
        <v>15.1</v>
      </c>
      <c r="AV2025" s="1">
        <v>14.8</v>
      </c>
      <c r="AW2025" s="1">
        <v>0.0</v>
      </c>
      <c r="AX2025" s="1">
        <v>0.4569</v>
      </c>
      <c r="AY2025" s="1">
        <v>12.3</v>
      </c>
      <c r="AZ2025" s="1">
        <v>8.0</v>
      </c>
      <c r="BA2025" s="1">
        <v>11.8</v>
      </c>
      <c r="BB2025" s="1">
        <v>3.18</v>
      </c>
      <c r="BC2025" s="1" t="s">
        <v>3333</v>
      </c>
      <c r="BD2025" s="1">
        <v>8.1</v>
      </c>
      <c r="BE2025" s="1">
        <v>28.8</v>
      </c>
      <c r="BF2025" s="1">
        <v>36.8</v>
      </c>
      <c r="BG2025" s="1">
        <v>26.4</v>
      </c>
      <c r="BH2025" s="1" t="s">
        <v>3389</v>
      </c>
    </row>
    <row r="2026">
      <c r="A2026" s="1">
        <v>38073.0</v>
      </c>
      <c r="B2026" s="2" t="str">
        <f>IFERROR(__xludf.DUMMYFUNCTION("TO_TEXT(A2026)"),"38073")</f>
        <v>38073</v>
      </c>
      <c r="C2026" s="1">
        <v>5457.0</v>
      </c>
      <c r="D2026" s="1">
        <v>862.356568728054</v>
      </c>
      <c r="E2026" s="1" t="s">
        <v>3390</v>
      </c>
      <c r="F2026" s="1" t="s">
        <v>3391</v>
      </c>
      <c r="G2026" s="1">
        <v>6.32800885143008</v>
      </c>
      <c r="H2026" s="1">
        <v>13.58940585</v>
      </c>
      <c r="I2026" s="1">
        <v>3.2005286226</v>
      </c>
      <c r="J2026" s="1">
        <v>5.3012048193</v>
      </c>
      <c r="K2026" s="1">
        <v>14.627159989</v>
      </c>
      <c r="L2026" s="1">
        <v>33.0</v>
      </c>
      <c r="M2026" s="1">
        <v>9.4</v>
      </c>
      <c r="N2026" s="1">
        <v>27.6</v>
      </c>
      <c r="O2026" s="1">
        <v>70.753161078</v>
      </c>
      <c r="P2026" s="1">
        <v>8.3173996176</v>
      </c>
      <c r="Q2026" s="1">
        <v>56.63583</v>
      </c>
      <c r="R2026" s="1">
        <v>89.912280702</v>
      </c>
      <c r="S2026" s="1">
        <v>9.0</v>
      </c>
      <c r="T2026" s="1">
        <v>1155.0</v>
      </c>
      <c r="U2026" s="1">
        <v>25.0216450219999</v>
      </c>
      <c r="V2026" s="1">
        <v>128.64099972</v>
      </c>
      <c r="W2026" s="1">
        <v>5.9574468085</v>
      </c>
      <c r="X2026" s="1">
        <v>5.3017241379</v>
      </c>
      <c r="Y2026" s="1">
        <v>76.749027996</v>
      </c>
      <c r="Z2026" s="1">
        <v>15.2</v>
      </c>
      <c r="AA2026" s="1">
        <v>3.7204266676</v>
      </c>
      <c r="AB2026" s="1">
        <v>61634.0</v>
      </c>
      <c r="AC2026" s="1">
        <v>28.452751817</v>
      </c>
      <c r="AD2026" s="1">
        <v>70.468948035</v>
      </c>
      <c r="AE2026" s="1">
        <v>5.8015943313</v>
      </c>
      <c r="AF2026" s="1">
        <v>0.6492266565</v>
      </c>
      <c r="AG2026" s="1">
        <v>0.8974603781</v>
      </c>
      <c r="AH2026" s="1">
        <v>1.0311246897</v>
      </c>
      <c r="AI2026" s="1">
        <v>0.0190949017</v>
      </c>
      <c r="AJ2026" s="1">
        <v>1.9476799694</v>
      </c>
      <c r="AK2026" s="1">
        <v>94.214244797</v>
      </c>
      <c r="AL2026" s="1">
        <v>0.0</v>
      </c>
      <c r="AM2026" s="1">
        <v>48.004582776</v>
      </c>
      <c r="AN2026" s="1">
        <v>100.0</v>
      </c>
      <c r="AO2026" s="1">
        <v>30822.0</v>
      </c>
      <c r="AP2026" s="1">
        <v>9.2</v>
      </c>
      <c r="AQ2026" s="1">
        <v>2.3</v>
      </c>
      <c r="AR2026" s="1">
        <v>10.0</v>
      </c>
      <c r="AS2026" s="1">
        <v>20.9</v>
      </c>
      <c r="AT2026" s="1">
        <v>22.6</v>
      </c>
      <c r="AU2026" s="1">
        <v>13.1</v>
      </c>
      <c r="AV2026" s="1">
        <v>4.6</v>
      </c>
      <c r="AW2026" s="1">
        <v>0.3</v>
      </c>
      <c r="AX2026" s="1">
        <v>0.1089</v>
      </c>
      <c r="AY2026" s="1">
        <v>8.7</v>
      </c>
      <c r="AZ2026" s="1">
        <v>5.4</v>
      </c>
      <c r="BA2026" s="1">
        <v>8.4</v>
      </c>
      <c r="BB2026" s="1">
        <v>3.29</v>
      </c>
      <c r="BC2026" s="1" t="s">
        <v>3333</v>
      </c>
      <c r="BD2026" s="1">
        <v>9.0</v>
      </c>
      <c r="BE2026" s="1">
        <v>35.4</v>
      </c>
      <c r="BF2026" s="1">
        <v>36.5</v>
      </c>
      <c r="BG2026" s="1">
        <v>19.1</v>
      </c>
      <c r="BH2026" s="1" t="s">
        <v>3391</v>
      </c>
    </row>
    <row r="2027">
      <c r="A2027" s="1">
        <v>38075.0</v>
      </c>
      <c r="B2027" s="2" t="str">
        <f>IFERROR(__xludf.DUMMYFUNCTION("TO_TEXT(A2027)"),"38075")</f>
        <v>38075</v>
      </c>
      <c r="C2027" s="1">
        <v>2573.0</v>
      </c>
      <c r="D2027" s="1">
        <v>877.052601971888</v>
      </c>
      <c r="E2027" s="1" t="s">
        <v>2396</v>
      </c>
      <c r="F2027" s="1" t="s">
        <v>3392</v>
      </c>
      <c r="G2027" s="1">
        <v>2.93368948933632</v>
      </c>
      <c r="H2027" s="1">
        <v>12.319786704</v>
      </c>
      <c r="I2027" s="1">
        <v>2.9602804827</v>
      </c>
      <c r="J2027" s="1">
        <v>7.80443539465</v>
      </c>
      <c r="K2027" s="1">
        <v>15.888193945</v>
      </c>
      <c r="L2027" s="1">
        <v>29.7</v>
      </c>
      <c r="M2027" s="1">
        <v>8.9</v>
      </c>
      <c r="N2027" s="1">
        <v>28.4</v>
      </c>
      <c r="O2027" s="1">
        <v>49.63562753</v>
      </c>
      <c r="P2027" s="1">
        <v>8.026249369</v>
      </c>
      <c r="Q2027" s="1">
        <v>48.31939</v>
      </c>
      <c r="R2027" s="1">
        <v>89.912280702</v>
      </c>
      <c r="S2027" s="1">
        <v>7.8</v>
      </c>
      <c r="T2027" s="1">
        <v>570.0</v>
      </c>
      <c r="U2027" s="1">
        <v>13.50877193</v>
      </c>
      <c r="V2027" s="1">
        <v>77.175381053</v>
      </c>
      <c r="W2027" s="1">
        <v>10.396039604</v>
      </c>
      <c r="X2027" s="1">
        <v>6.8588469185</v>
      </c>
      <c r="Y2027" s="1">
        <v>78.535208684</v>
      </c>
      <c r="Z2027" s="1">
        <v>7.2</v>
      </c>
      <c r="AA2027" s="1">
        <v>12.1029691159999</v>
      </c>
      <c r="AB2027" s="1">
        <v>60205.0</v>
      </c>
      <c r="AC2027" s="1">
        <v>28.929765886</v>
      </c>
      <c r="AD2027" s="1">
        <v>81.017612524</v>
      </c>
      <c r="AE2027" s="1">
        <v>6.3200815494</v>
      </c>
      <c r="AF2027" s="1">
        <v>0.3791069924</v>
      </c>
      <c r="AG2027" s="1">
        <v>0.5897219882</v>
      </c>
      <c r="AH2027" s="1">
        <v>0.3791069924</v>
      </c>
      <c r="AI2027" s="1">
        <v>0.2948609941</v>
      </c>
      <c r="AJ2027" s="1">
        <v>2.2746419545</v>
      </c>
      <c r="AK2027" s="1">
        <v>94.903117102</v>
      </c>
      <c r="AL2027" s="1">
        <v>0.5219660722</v>
      </c>
      <c r="AM2027" s="1">
        <v>47.725358045</v>
      </c>
      <c r="AN2027" s="1">
        <v>100.0</v>
      </c>
      <c r="AO2027" s="1">
        <v>31646.0</v>
      </c>
      <c r="AP2027" s="1">
        <v>6.7</v>
      </c>
      <c r="AQ2027" s="1">
        <v>0.9</v>
      </c>
      <c r="AR2027" s="1">
        <v>7.8</v>
      </c>
      <c r="AS2027" s="1">
        <v>16.5</v>
      </c>
      <c r="AT2027" s="1">
        <v>25.5</v>
      </c>
      <c r="AU2027" s="1">
        <v>11.1</v>
      </c>
      <c r="AV2027" s="1">
        <v>6.6</v>
      </c>
      <c r="AW2027" s="1">
        <v>0.4</v>
      </c>
      <c r="AX2027" s="1">
        <v>0.0166</v>
      </c>
      <c r="AY2027" s="1">
        <v>8.9</v>
      </c>
      <c r="AZ2027" s="1">
        <v>4.3</v>
      </c>
      <c r="BA2027" s="1">
        <v>7.8</v>
      </c>
      <c r="BB2027" s="1">
        <v>3.28</v>
      </c>
      <c r="BC2027" s="1" t="s">
        <v>3333</v>
      </c>
      <c r="BD2027" s="1">
        <v>4.7</v>
      </c>
      <c r="BE2027" s="1">
        <v>34.1</v>
      </c>
      <c r="BF2027" s="1">
        <v>41.1</v>
      </c>
      <c r="BG2027" s="1">
        <v>20.1</v>
      </c>
      <c r="BH2027" s="1" t="s">
        <v>3392</v>
      </c>
    </row>
    <row r="2028">
      <c r="A2028" s="1">
        <v>38077.0</v>
      </c>
      <c r="B2028" s="2" t="str">
        <f>IFERROR(__xludf.DUMMYFUNCTION("TO_TEXT(A2028)"),"38077")</f>
        <v>38077</v>
      </c>
      <c r="C2028" s="1">
        <v>16329.0</v>
      </c>
      <c r="D2028" s="1">
        <v>1435.77814901792</v>
      </c>
      <c r="E2028" s="1" t="s">
        <v>1271</v>
      </c>
      <c r="F2028" s="1" t="s">
        <v>3393</v>
      </c>
      <c r="G2028" s="1">
        <v>11.3729269463873</v>
      </c>
      <c r="H2028" s="1">
        <v>12.659016875</v>
      </c>
      <c r="I2028" s="1">
        <v>2.9600848891</v>
      </c>
      <c r="J2028" s="1">
        <v>5.5677655678</v>
      </c>
      <c r="K2028" s="1">
        <v>15.582153845</v>
      </c>
      <c r="L2028" s="1">
        <v>35.8</v>
      </c>
      <c r="M2028" s="1">
        <v>8.8</v>
      </c>
      <c r="N2028" s="1">
        <v>29.1</v>
      </c>
      <c r="O2028" s="1">
        <v>57.551620611</v>
      </c>
      <c r="P2028" s="1">
        <v>8.0640075674</v>
      </c>
      <c r="Q2028" s="1">
        <v>48.92667</v>
      </c>
      <c r="R2028" s="1">
        <v>80.375722543</v>
      </c>
      <c r="S2028" s="1">
        <v>11.1</v>
      </c>
      <c r="T2028" s="1">
        <v>3450.0</v>
      </c>
      <c r="U2028" s="1">
        <v>23.5072463769999</v>
      </c>
      <c r="V2028" s="1">
        <v>129.47378156</v>
      </c>
      <c r="W2028" s="1">
        <v>8.6891385768</v>
      </c>
      <c r="X2028" s="1">
        <v>6.9277108434</v>
      </c>
      <c r="Y2028" s="1">
        <v>81.167095361</v>
      </c>
      <c r="Z2028" s="1">
        <v>8.8</v>
      </c>
      <c r="AA2028" s="1">
        <v>8.1880439736</v>
      </c>
      <c r="AB2028" s="1">
        <v>61174.0</v>
      </c>
      <c r="AC2028" s="1">
        <v>34.579439252</v>
      </c>
      <c r="AD2028" s="1">
        <v>71.538461538</v>
      </c>
      <c r="AE2028" s="1">
        <v>7.32381391059999</v>
      </c>
      <c r="AF2028" s="1">
        <v>1.0037563889</v>
      </c>
      <c r="AG2028" s="1">
        <v>2.7957386539</v>
      </c>
      <c r="AH2028" s="1">
        <v>0.609643451</v>
      </c>
      <c r="AI2028" s="1">
        <v>0.0492641172</v>
      </c>
      <c r="AJ2028" s="1">
        <v>3.3807500462</v>
      </c>
      <c r="AK2028" s="1">
        <v>91.163248969</v>
      </c>
      <c r="AL2028" s="1">
        <v>0.338079448699999</v>
      </c>
      <c r="AM2028" s="1">
        <v>48.463575343</v>
      </c>
      <c r="AN2028" s="1">
        <v>52.000490166</v>
      </c>
      <c r="AO2028" s="1">
        <v>28534.0</v>
      </c>
      <c r="AP2028" s="1">
        <v>9.9</v>
      </c>
      <c r="AQ2028" s="1">
        <v>2.8</v>
      </c>
      <c r="AR2028" s="1">
        <v>8.6</v>
      </c>
      <c r="AS2028" s="1">
        <v>15.7</v>
      </c>
      <c r="AT2028" s="1">
        <v>21.3</v>
      </c>
      <c r="AU2028" s="1">
        <v>9.7</v>
      </c>
      <c r="AV2028" s="1">
        <v>7.8</v>
      </c>
      <c r="AW2028" s="1">
        <v>0.3</v>
      </c>
      <c r="AX2028" s="1">
        <v>0.0879</v>
      </c>
      <c r="AY2028" s="1">
        <v>12.4</v>
      </c>
      <c r="AZ2028" s="1">
        <v>5.4</v>
      </c>
      <c r="BA2028" s="1">
        <v>9.1</v>
      </c>
      <c r="BB2028" s="1">
        <v>3.19</v>
      </c>
      <c r="BC2028" s="1" t="s">
        <v>3333</v>
      </c>
      <c r="BD2028" s="1">
        <v>9.3</v>
      </c>
      <c r="BE2028" s="1">
        <v>27.1</v>
      </c>
      <c r="BF2028" s="1">
        <v>42.4</v>
      </c>
      <c r="BG2028" s="1">
        <v>21.3</v>
      </c>
      <c r="BH2028" s="1" t="s">
        <v>3393</v>
      </c>
    </row>
    <row r="2029">
      <c r="A2029" s="1">
        <v>38079.0</v>
      </c>
      <c r="B2029" s="2" t="str">
        <f>IFERROR(__xludf.DUMMYFUNCTION("TO_TEXT(A2029)"),"38079")</f>
        <v>38079</v>
      </c>
      <c r="C2029" s="1">
        <v>14607.0</v>
      </c>
      <c r="D2029" s="1">
        <v>903.074735454376</v>
      </c>
      <c r="E2029" s="1" t="s">
        <v>3394</v>
      </c>
      <c r="F2029" s="1" t="s">
        <v>3395</v>
      </c>
      <c r="G2029" s="1">
        <v>16.1747410557893</v>
      </c>
      <c r="H2029" s="1">
        <v>29.800744065</v>
      </c>
      <c r="I2029" s="1">
        <v>4.643982917</v>
      </c>
      <c r="J2029" s="1">
        <v>8.4237726098</v>
      </c>
      <c r="K2029" s="1">
        <v>37.579005224</v>
      </c>
      <c r="L2029" s="1">
        <v>43.0</v>
      </c>
      <c r="M2029" s="1">
        <v>7.2</v>
      </c>
      <c r="N2029" s="1">
        <v>33.2</v>
      </c>
      <c r="O2029" s="1">
        <v>64.0094711919999</v>
      </c>
      <c r="P2029" s="1">
        <v>18.240427707</v>
      </c>
      <c r="Q2029" s="1">
        <v>48.17287</v>
      </c>
      <c r="R2029" s="1">
        <v>73.971036585</v>
      </c>
      <c r="S2029" s="1">
        <v>27.7</v>
      </c>
      <c r="T2029" s="1">
        <v>4881.0</v>
      </c>
      <c r="U2029" s="1">
        <v>63.122311002</v>
      </c>
      <c r="V2029" s="1">
        <v>41.063545837</v>
      </c>
      <c r="W2029" s="1">
        <v>14.21107628</v>
      </c>
      <c r="X2029" s="1">
        <v>8.7868852459</v>
      </c>
      <c r="Y2029" s="1">
        <v>71.914708196</v>
      </c>
      <c r="Z2029" s="1">
        <v>14.9</v>
      </c>
      <c r="AA2029" s="1">
        <v>3.8646783589</v>
      </c>
      <c r="AB2029" s="1">
        <v>42021.0</v>
      </c>
      <c r="AC2029" s="1">
        <v>77.745241581</v>
      </c>
      <c r="AD2029" s="1">
        <v>70.763260026</v>
      </c>
      <c r="AE2029" s="1">
        <v>9.7633815759</v>
      </c>
      <c r="AF2029" s="1">
        <v>0.4125585623</v>
      </c>
      <c r="AG2029" s="1">
        <v>78.071463534</v>
      </c>
      <c r="AH2029" s="1">
        <v>0.1818054681</v>
      </c>
      <c r="AI2029" s="1">
        <v>0.006992518</v>
      </c>
      <c r="AJ2029" s="1">
        <v>2.0068526676</v>
      </c>
      <c r="AK2029" s="1">
        <v>17.935808685</v>
      </c>
      <c r="AL2029" s="1">
        <v>0.0</v>
      </c>
      <c r="AM2029" s="1">
        <v>50.206279281</v>
      </c>
      <c r="AN2029" s="1">
        <v>100.0</v>
      </c>
      <c r="AO2029" s="1">
        <v>17744.0</v>
      </c>
      <c r="AP2029" s="1">
        <v>31.6</v>
      </c>
      <c r="AQ2029" s="1">
        <v>5.1</v>
      </c>
      <c r="AR2029" s="1">
        <v>16.0</v>
      </c>
      <c r="AS2029" s="1">
        <v>10.3</v>
      </c>
      <c r="AT2029" s="1">
        <v>33.9</v>
      </c>
      <c r="AU2029" s="1">
        <v>13.6</v>
      </c>
      <c r="AV2029" s="1">
        <v>80.9</v>
      </c>
      <c r="AW2029" s="1">
        <v>0.0</v>
      </c>
      <c r="AX2029" s="1">
        <v>0.8239</v>
      </c>
      <c r="AY2029" s="1">
        <v>25.9</v>
      </c>
      <c r="AZ2029" s="1">
        <v>16.3</v>
      </c>
      <c r="BA2029" s="1">
        <v>28.7</v>
      </c>
      <c r="BB2029" s="1">
        <v>3.08</v>
      </c>
      <c r="BC2029" s="1" t="s">
        <v>3333</v>
      </c>
      <c r="BD2029" s="1">
        <v>12.5</v>
      </c>
      <c r="BE2029" s="1">
        <v>25.8</v>
      </c>
      <c r="BF2029" s="1">
        <v>42.2</v>
      </c>
      <c r="BG2029" s="1">
        <v>19.6</v>
      </c>
      <c r="BH2029" s="1" t="s">
        <v>3395</v>
      </c>
    </row>
    <row r="2030">
      <c r="A2030" s="1">
        <v>38081.0</v>
      </c>
      <c r="B2030" s="2" t="str">
        <f>IFERROR(__xludf.DUMMYFUNCTION("TO_TEXT(A2030)"),"38081")</f>
        <v>38081</v>
      </c>
      <c r="C2030" s="1">
        <v>3889.0</v>
      </c>
      <c r="D2030" s="1">
        <v>858.51002678085</v>
      </c>
      <c r="E2030" s="1" t="s">
        <v>3396</v>
      </c>
      <c r="F2030" s="1" t="s">
        <v>3397</v>
      </c>
      <c r="G2030" s="1">
        <v>4.52994126880796</v>
      </c>
      <c r="H2030" s="1">
        <v>12.3234723229999</v>
      </c>
      <c r="I2030" s="1">
        <v>2.9179856762</v>
      </c>
      <c r="J2030" s="1">
        <v>5.6105610561</v>
      </c>
      <c r="K2030" s="1">
        <v>15.341081248</v>
      </c>
      <c r="L2030" s="1">
        <v>31.5</v>
      </c>
      <c r="M2030" s="1">
        <v>9.5</v>
      </c>
      <c r="N2030" s="1">
        <v>28.5</v>
      </c>
      <c r="O2030" s="1">
        <v>61.713241055</v>
      </c>
      <c r="P2030" s="1">
        <v>7.8912021491</v>
      </c>
      <c r="Q2030" s="1">
        <v>48.31939</v>
      </c>
      <c r="R2030" s="1">
        <v>89.912280702</v>
      </c>
      <c r="S2030" s="1">
        <v>10.9</v>
      </c>
      <c r="T2030" s="1">
        <v>747.0</v>
      </c>
      <c r="U2030" s="1">
        <v>21.552878179</v>
      </c>
      <c r="V2030" s="1">
        <v>90.603158167</v>
      </c>
      <c r="W2030" s="1">
        <v>5.9154929577</v>
      </c>
      <c r="X2030" s="1">
        <v>4.4142614601</v>
      </c>
      <c r="Y2030" s="1">
        <v>82.851440002</v>
      </c>
      <c r="Z2030" s="1">
        <v>11.4</v>
      </c>
      <c r="AA2030" s="1">
        <v>5.0563549425</v>
      </c>
      <c r="AB2030" s="1">
        <v>64756.0</v>
      </c>
      <c r="AC2030" s="1">
        <v>26.968174204</v>
      </c>
      <c r="AD2030" s="1">
        <v>72.246455834</v>
      </c>
      <c r="AE2030" s="1">
        <v>3.2420346562</v>
      </c>
      <c r="AF2030" s="1">
        <v>1.8087855297</v>
      </c>
      <c r="AG2030" s="1">
        <v>1.3695090439</v>
      </c>
      <c r="AH2030" s="1">
        <v>0.7751937984</v>
      </c>
      <c r="AI2030" s="1">
        <v>0.1550387597</v>
      </c>
      <c r="AJ2030" s="1">
        <v>3.1782945736</v>
      </c>
      <c r="AK2030" s="1">
        <v>91.395348837</v>
      </c>
      <c r="AL2030" s="1">
        <v>0.0271223217</v>
      </c>
      <c r="AM2030" s="1">
        <v>46.2532299739999</v>
      </c>
      <c r="AN2030" s="1">
        <v>100.0</v>
      </c>
      <c r="AO2030" s="1">
        <v>33072.0</v>
      </c>
      <c r="AP2030" s="1">
        <v>5.8</v>
      </c>
      <c r="AQ2030" s="1">
        <v>0.9</v>
      </c>
      <c r="AR2030" s="1">
        <v>8.3</v>
      </c>
      <c r="AS2030" s="1">
        <v>19.9</v>
      </c>
      <c r="AT2030" s="1">
        <v>20.0</v>
      </c>
      <c r="AU2030" s="1">
        <v>11.8</v>
      </c>
      <c r="AV2030" s="1">
        <v>6.2</v>
      </c>
      <c r="AW2030" s="1">
        <v>0.1</v>
      </c>
      <c r="AX2030" s="1">
        <v>0.0143</v>
      </c>
      <c r="AY2030" s="1">
        <v>7.5</v>
      </c>
      <c r="AZ2030" s="1">
        <v>4.1</v>
      </c>
      <c r="BA2030" s="1">
        <v>7.2</v>
      </c>
      <c r="BB2030" s="1">
        <v>3.27</v>
      </c>
      <c r="BC2030" s="1" t="s">
        <v>3333</v>
      </c>
      <c r="BD2030" s="1">
        <v>8.1</v>
      </c>
      <c r="BE2030" s="1">
        <v>36.4</v>
      </c>
      <c r="BF2030" s="1">
        <v>37.1</v>
      </c>
      <c r="BG2030" s="1">
        <v>18.5</v>
      </c>
      <c r="BH2030" s="1" t="s">
        <v>3397</v>
      </c>
    </row>
    <row r="2031">
      <c r="A2031" s="1">
        <v>38083.0</v>
      </c>
      <c r="B2031" s="2" t="str">
        <f>IFERROR(__xludf.DUMMYFUNCTION("TO_TEXT(A2031)"),"38083")</f>
        <v>38083</v>
      </c>
      <c r="C2031" s="1">
        <v>1395.0</v>
      </c>
      <c r="D2031" s="1">
        <v>972.382129019074</v>
      </c>
      <c r="E2031" s="1" t="s">
        <v>1730</v>
      </c>
      <c r="F2031" s="1" t="s">
        <v>3398</v>
      </c>
      <c r="G2031" s="1">
        <v>1.43462118273117</v>
      </c>
      <c r="H2031" s="1">
        <v>14.7373131959999</v>
      </c>
      <c r="I2031" s="1">
        <v>3.39593306</v>
      </c>
      <c r="J2031" s="1">
        <v>7.80443539465</v>
      </c>
      <c r="K2031" s="1">
        <v>15.672362144</v>
      </c>
      <c r="L2031" s="1">
        <v>37.4</v>
      </c>
      <c r="M2031" s="1">
        <v>7.1</v>
      </c>
      <c r="N2031" s="1">
        <v>36.9</v>
      </c>
      <c r="O2031" s="1">
        <v>46.9341408019999</v>
      </c>
      <c r="P2031" s="1">
        <v>16.541353383</v>
      </c>
      <c r="Q2031" s="1">
        <v>0.0</v>
      </c>
      <c r="R2031" s="1">
        <v>89.912280702</v>
      </c>
      <c r="S2031" s="1">
        <v>23.4</v>
      </c>
      <c r="T2031" s="1">
        <v>216.0</v>
      </c>
      <c r="U2031" s="1">
        <v>26.388888889</v>
      </c>
      <c r="V2031" s="1">
        <v>115.96443757</v>
      </c>
      <c r="W2031" s="1">
        <v>8.7591240876</v>
      </c>
      <c r="X2031" s="1">
        <v>7.7496274218</v>
      </c>
      <c r="Y2031" s="1">
        <v>77.482572377</v>
      </c>
      <c r="Z2031" s="1">
        <v>4.0</v>
      </c>
      <c r="AA2031" s="1">
        <v>22.679736178</v>
      </c>
      <c r="AB2031" s="1">
        <v>39439.0</v>
      </c>
      <c r="AC2031" s="1">
        <v>50.0</v>
      </c>
      <c r="AD2031" s="1">
        <v>80.116110305</v>
      </c>
      <c r="AE2031" s="1">
        <v>11.942675159</v>
      </c>
      <c r="AF2031" s="1">
        <v>0.0</v>
      </c>
      <c r="AG2031" s="1">
        <v>1.3343217198</v>
      </c>
      <c r="AH2031" s="1">
        <v>0.2965159377</v>
      </c>
      <c r="AI2031" s="1">
        <v>0.0741289844</v>
      </c>
      <c r="AJ2031" s="1">
        <v>1.2601927354</v>
      </c>
      <c r="AK2031" s="1">
        <v>95.181616012</v>
      </c>
      <c r="AL2031" s="1">
        <v>0.5263157895</v>
      </c>
      <c r="AM2031" s="1">
        <v>49.8146775389999</v>
      </c>
      <c r="AN2031" s="1">
        <v>100.0</v>
      </c>
      <c r="AO2031" s="1">
        <v>31244.0</v>
      </c>
      <c r="AP2031" s="1">
        <v>16.9</v>
      </c>
      <c r="AQ2031" s="1">
        <v>3.9</v>
      </c>
      <c r="AR2031" s="1">
        <v>13.1</v>
      </c>
      <c r="AS2031" s="1">
        <v>25.2</v>
      </c>
      <c r="AT2031" s="1">
        <v>17.3</v>
      </c>
      <c r="AU2031" s="1">
        <v>13.0</v>
      </c>
      <c r="AV2031" s="1">
        <v>2.7</v>
      </c>
      <c r="AW2031" s="1">
        <v>0.2</v>
      </c>
      <c r="AX2031" s="1">
        <v>0.0299</v>
      </c>
      <c r="AY2031" s="1">
        <v>16.7</v>
      </c>
      <c r="AZ2031" s="1">
        <v>8.5</v>
      </c>
      <c r="BA2031" s="1">
        <v>16.3</v>
      </c>
      <c r="BB2031" s="1">
        <v>3.26</v>
      </c>
      <c r="BC2031" s="1" t="s">
        <v>3333</v>
      </c>
      <c r="BD2031" s="1">
        <v>12.5</v>
      </c>
      <c r="BE2031" s="1">
        <v>37.5</v>
      </c>
      <c r="BF2031" s="1">
        <v>35.4</v>
      </c>
      <c r="BG2031" s="1">
        <v>14.6</v>
      </c>
      <c r="BH2031" s="1" t="s">
        <v>3398</v>
      </c>
    </row>
    <row r="2032">
      <c r="A2032" s="1">
        <v>38085.0</v>
      </c>
      <c r="B2032" s="2" t="str">
        <f>IFERROR(__xludf.DUMMYFUNCTION("TO_TEXT(A2032)"),"38085")</f>
        <v>38085</v>
      </c>
      <c r="C2032" s="1">
        <v>4431.0</v>
      </c>
      <c r="D2032" s="1">
        <v>1094.09375128504</v>
      </c>
      <c r="E2032" s="1" t="s">
        <v>1564</v>
      </c>
      <c r="F2032" s="1" t="s">
        <v>3399</v>
      </c>
      <c r="G2032" s="1">
        <v>4.04992716099117</v>
      </c>
      <c r="H2032" s="1">
        <v>33.728282273</v>
      </c>
      <c r="I2032" s="1">
        <v>5.3540495719</v>
      </c>
      <c r="J2032" s="1">
        <v>7.68049155149999</v>
      </c>
      <c r="K2032" s="1">
        <v>38.704763265</v>
      </c>
      <c r="L2032" s="1">
        <v>39.0</v>
      </c>
      <c r="M2032" s="1">
        <v>5.4</v>
      </c>
      <c r="N2032" s="1">
        <v>24.9</v>
      </c>
      <c r="O2032" s="1">
        <v>22.8027931619999</v>
      </c>
      <c r="P2032" s="1">
        <v>17.276422764</v>
      </c>
      <c r="Q2032" s="1">
        <v>48.31939</v>
      </c>
      <c r="R2032" s="1">
        <v>89.912280702</v>
      </c>
      <c r="S2032" s="1">
        <v>37.6</v>
      </c>
      <c r="T2032" s="1">
        <v>1572.0</v>
      </c>
      <c r="U2032" s="1">
        <v>69.974554707</v>
      </c>
      <c r="V2032" s="1">
        <v>11.321181931</v>
      </c>
      <c r="W2032" s="1">
        <v>23.636363636</v>
      </c>
      <c r="X2032" s="1">
        <v>12.924528302</v>
      </c>
      <c r="Y2032" s="1">
        <v>68.518499178</v>
      </c>
      <c r="Z2032" s="1">
        <v>21.0</v>
      </c>
      <c r="AA2032" s="1">
        <v>26.2468872669999</v>
      </c>
      <c r="AB2032" s="1">
        <v>37002.0</v>
      </c>
      <c r="AC2032" s="1">
        <v>94.537815126</v>
      </c>
      <c r="AD2032" s="1">
        <v>45.225225225</v>
      </c>
      <c r="AE2032" s="1">
        <v>10.838445808</v>
      </c>
      <c r="AF2032" s="1">
        <v>0.5966039468</v>
      </c>
      <c r="AG2032" s="1">
        <v>81.597062873</v>
      </c>
      <c r="AH2032" s="1">
        <v>0.1835704452</v>
      </c>
      <c r="AI2032" s="1">
        <v>0.0229463056</v>
      </c>
      <c r="AJ2032" s="1">
        <v>4.6351537402</v>
      </c>
      <c r="AK2032" s="1">
        <v>12.80403855</v>
      </c>
      <c r="AL2032" s="1">
        <v>0.2260738508</v>
      </c>
      <c r="AM2032" s="1">
        <v>50.1376778339999</v>
      </c>
      <c r="AN2032" s="1">
        <v>100.0</v>
      </c>
      <c r="AO2032" s="1">
        <v>15338.0</v>
      </c>
      <c r="AP2032" s="1">
        <v>38.0</v>
      </c>
      <c r="AQ2032" s="1">
        <v>19.7</v>
      </c>
      <c r="AR2032" s="1">
        <v>14.3</v>
      </c>
      <c r="AS2032" s="1">
        <v>7.4</v>
      </c>
      <c r="AT2032" s="1">
        <v>37.5</v>
      </c>
      <c r="AU2032" s="1">
        <v>9.5</v>
      </c>
      <c r="AV2032" s="1">
        <v>87.3</v>
      </c>
      <c r="AW2032" s="1">
        <v>0.2</v>
      </c>
      <c r="AX2032" s="1">
        <v>0.8679</v>
      </c>
      <c r="AY2032" s="1">
        <v>32.1</v>
      </c>
      <c r="AZ2032" s="1">
        <v>16.0</v>
      </c>
      <c r="BA2032" s="1">
        <v>23.9</v>
      </c>
      <c r="BB2032" s="1">
        <v>3.24</v>
      </c>
      <c r="BC2032" s="1" t="s">
        <v>3333</v>
      </c>
      <c r="BD2032" s="1">
        <v>16.3</v>
      </c>
      <c r="BE2032" s="1">
        <v>32.4</v>
      </c>
      <c r="BF2032" s="1">
        <v>36.3</v>
      </c>
      <c r="BG2032" s="1">
        <v>15.0</v>
      </c>
      <c r="BH2032" s="1" t="s">
        <v>3399</v>
      </c>
    </row>
    <row r="2033">
      <c r="A2033" s="1">
        <v>38087.0</v>
      </c>
      <c r="B2033" s="2" t="str">
        <f>IFERROR(__xludf.DUMMYFUNCTION("TO_TEXT(A2033)"),"38087")</f>
        <v>38087</v>
      </c>
      <c r="C2033" s="1">
        <v>665.0</v>
      </c>
      <c r="D2033" s="1">
        <v>1214.88702955791</v>
      </c>
      <c r="E2033" s="1" t="s">
        <v>3400</v>
      </c>
      <c r="F2033" s="1" t="s">
        <v>3401</v>
      </c>
      <c r="G2033" s="1">
        <v>0.54737599778474</v>
      </c>
      <c r="H2033" s="1">
        <v>12.439322781</v>
      </c>
      <c r="I2033" s="1">
        <v>3.0385842843</v>
      </c>
      <c r="J2033" s="1">
        <v>7.80443539465</v>
      </c>
      <c r="K2033" s="1">
        <v>15.4554073</v>
      </c>
      <c r="L2033" s="1">
        <v>27.1</v>
      </c>
      <c r="M2033" s="1">
        <v>7.4</v>
      </c>
      <c r="N2033" s="1">
        <v>22.4</v>
      </c>
      <c r="O2033" s="1">
        <v>64.236588721</v>
      </c>
      <c r="P2033" s="1">
        <v>13.930348259</v>
      </c>
      <c r="Q2033" s="1">
        <v>0.0</v>
      </c>
      <c r="R2033" s="1">
        <v>89.912280702</v>
      </c>
      <c r="S2033" s="1">
        <v>17.3</v>
      </c>
      <c r="T2033" s="1">
        <v>151.0</v>
      </c>
      <c r="U2033" s="1">
        <v>6.6225165563</v>
      </c>
      <c r="V2033" s="1">
        <v>0.0</v>
      </c>
      <c r="W2033" s="1">
        <v>3.2786885246</v>
      </c>
      <c r="X2033" s="1">
        <v>3.9867109635</v>
      </c>
      <c r="Y2033" s="1">
        <v>77.482572377</v>
      </c>
      <c r="Z2033" s="1">
        <v>11.1</v>
      </c>
      <c r="AA2033" s="1">
        <v>25.840747358</v>
      </c>
      <c r="AB2033" s="1">
        <v>49843.0</v>
      </c>
      <c r="AC2033" s="1">
        <v>0.0</v>
      </c>
      <c r="AD2033" s="1">
        <v>81.458966565</v>
      </c>
      <c r="AE2033" s="1">
        <v>4.5161290323</v>
      </c>
      <c r="AF2033" s="1">
        <v>1.0484927916</v>
      </c>
      <c r="AG2033" s="1">
        <v>2.621231979</v>
      </c>
      <c r="AH2033" s="1">
        <v>0.0</v>
      </c>
      <c r="AI2033" s="1">
        <v>0.0</v>
      </c>
      <c r="AJ2033" s="1">
        <v>3.8007863696</v>
      </c>
      <c r="AK2033" s="1">
        <v>93.184796855</v>
      </c>
      <c r="AL2033" s="1">
        <v>0.0</v>
      </c>
      <c r="AM2033" s="1">
        <v>47.706422018</v>
      </c>
      <c r="AN2033" s="1">
        <v>100.0</v>
      </c>
      <c r="AO2033" s="1">
        <v>36168.0</v>
      </c>
      <c r="AP2033" s="1">
        <v>10.1</v>
      </c>
      <c r="AQ2033" s="1">
        <v>0.0</v>
      </c>
      <c r="AR2033" s="1">
        <v>11.4</v>
      </c>
      <c r="AS2033" s="1">
        <v>23.6</v>
      </c>
      <c r="AT2033" s="1">
        <v>21.2</v>
      </c>
      <c r="AU2033" s="1">
        <v>16.5</v>
      </c>
      <c r="AV2033" s="1">
        <v>6.8</v>
      </c>
      <c r="AW2033" s="1">
        <v>0.3</v>
      </c>
      <c r="AX2033" s="1">
        <v>0.0264</v>
      </c>
      <c r="AY2033" s="1">
        <v>13.5</v>
      </c>
      <c r="AZ2033" s="1">
        <v>5.6</v>
      </c>
      <c r="BA2033" s="1">
        <v>8.9</v>
      </c>
      <c r="BB2033" s="1">
        <v>3.41</v>
      </c>
      <c r="BC2033" s="1" t="s">
        <v>3333</v>
      </c>
      <c r="BD2033" s="1">
        <v>9.9</v>
      </c>
      <c r="BE2033" s="1">
        <v>28.5</v>
      </c>
      <c r="BF2033" s="1">
        <v>35.7</v>
      </c>
      <c r="BG2033" s="1">
        <v>25.9</v>
      </c>
      <c r="BH2033" s="1" t="s">
        <v>3401</v>
      </c>
    </row>
    <row r="2034">
      <c r="A2034" s="1">
        <v>38089.0</v>
      </c>
      <c r="B2034" s="2" t="str">
        <f>IFERROR(__xludf.DUMMYFUNCTION("TO_TEXT(A2034)"),"38089")</f>
        <v>38089</v>
      </c>
      <c r="C2034" s="1">
        <v>29837.0</v>
      </c>
      <c r="D2034" s="1">
        <v>1334.75483793916</v>
      </c>
      <c r="E2034" s="1" t="s">
        <v>1283</v>
      </c>
      <c r="F2034" s="1" t="s">
        <v>3402</v>
      </c>
      <c r="G2034" s="1">
        <v>22.3539178521112</v>
      </c>
      <c r="H2034" s="1">
        <v>12.056725374</v>
      </c>
      <c r="I2034" s="1">
        <v>2.9122195295</v>
      </c>
      <c r="J2034" s="1">
        <v>6.7758328628</v>
      </c>
      <c r="K2034" s="1">
        <v>17.466500457</v>
      </c>
      <c r="L2034" s="1">
        <v>33.5</v>
      </c>
      <c r="M2034" s="1">
        <v>9.3</v>
      </c>
      <c r="N2034" s="1">
        <v>21.5</v>
      </c>
      <c r="O2034" s="1">
        <v>75.986611017</v>
      </c>
      <c r="P2034" s="1">
        <v>8.392788646</v>
      </c>
      <c r="Q2034" s="1">
        <v>59.58489</v>
      </c>
      <c r="R2034" s="1">
        <v>86.832236842</v>
      </c>
      <c r="S2034" s="1">
        <v>7.4</v>
      </c>
      <c r="T2034" s="1">
        <v>7729.0</v>
      </c>
      <c r="U2034" s="1">
        <v>19.2909820159999</v>
      </c>
      <c r="V2034" s="1">
        <v>151.29810555</v>
      </c>
      <c r="W2034" s="1">
        <v>10.501296456</v>
      </c>
      <c r="X2034" s="1">
        <v>7.4328489652</v>
      </c>
      <c r="Y2034" s="1">
        <v>81.155153399</v>
      </c>
      <c r="Z2034" s="1">
        <v>7.3</v>
      </c>
      <c r="AA2034" s="1">
        <v>3.5157689322</v>
      </c>
      <c r="AB2034" s="1">
        <v>71888.0</v>
      </c>
      <c r="AC2034" s="1">
        <v>23.658694247</v>
      </c>
      <c r="AD2034" s="1">
        <v>62.24691358</v>
      </c>
      <c r="AE2034" s="1">
        <v>10.4835258879999</v>
      </c>
      <c r="AF2034" s="1">
        <v>3.1132045037</v>
      </c>
      <c r="AG2034" s="1">
        <v>1.68080782009999</v>
      </c>
      <c r="AH2034" s="1">
        <v>1.6227376843</v>
      </c>
      <c r="AI2034" s="1">
        <v>0.0709746104</v>
      </c>
      <c r="AJ2034" s="1">
        <v>5.5489240894</v>
      </c>
      <c r="AK2034" s="1">
        <v>86.737426203</v>
      </c>
      <c r="AL2034" s="1">
        <v>0.5564947873</v>
      </c>
      <c r="AM2034" s="1">
        <v>48.217569442</v>
      </c>
      <c r="AN2034" s="1">
        <v>27.32757552</v>
      </c>
      <c r="AO2034" s="1">
        <v>37681.0</v>
      </c>
      <c r="AP2034" s="1">
        <v>6.8</v>
      </c>
      <c r="AQ2034" s="1">
        <v>3.2</v>
      </c>
      <c r="AR2034" s="1">
        <v>9.4</v>
      </c>
      <c r="AS2034" s="1">
        <v>12.8</v>
      </c>
      <c r="AT2034" s="1">
        <v>24.5</v>
      </c>
      <c r="AU2034" s="1">
        <v>9.8</v>
      </c>
      <c r="AV2034" s="1">
        <v>10.9</v>
      </c>
      <c r="AW2034" s="1">
        <v>0.9</v>
      </c>
      <c r="AX2034" s="1">
        <v>0.178</v>
      </c>
      <c r="AY2034" s="1">
        <v>8.5</v>
      </c>
      <c r="AZ2034" s="1">
        <v>5.6</v>
      </c>
      <c r="BA2034" s="1">
        <v>7.2</v>
      </c>
      <c r="BB2034" s="1">
        <v>3.39</v>
      </c>
      <c r="BC2034" s="1" t="s">
        <v>3333</v>
      </c>
      <c r="BD2034" s="1">
        <v>9.5</v>
      </c>
      <c r="BE2034" s="1">
        <v>32.1</v>
      </c>
      <c r="BF2034" s="1">
        <v>35.9</v>
      </c>
      <c r="BG2034" s="1">
        <v>22.4</v>
      </c>
      <c r="BH2034" s="1" t="s">
        <v>3402</v>
      </c>
    </row>
    <row r="2035">
      <c r="A2035" s="1">
        <v>38091.0</v>
      </c>
      <c r="B2035" s="2" t="str">
        <f>IFERROR(__xludf.DUMMYFUNCTION("TO_TEXT(A2035)"),"38091")</f>
        <v>38091</v>
      </c>
      <c r="C2035" s="1">
        <v>1969.0</v>
      </c>
      <c r="D2035" s="1">
        <v>712.208990920752</v>
      </c>
      <c r="E2035" s="1" t="s">
        <v>2412</v>
      </c>
      <c r="F2035" s="1" t="s">
        <v>3403</v>
      </c>
      <c r="G2035" s="1">
        <v>2.76463794349809</v>
      </c>
      <c r="H2035" s="1">
        <v>11.013458076</v>
      </c>
      <c r="I2035" s="1">
        <v>2.8415833872</v>
      </c>
      <c r="J2035" s="1">
        <v>7.80443539465</v>
      </c>
      <c r="K2035" s="1">
        <v>13.66254609</v>
      </c>
      <c r="L2035" s="1">
        <v>34.9</v>
      </c>
      <c r="M2035" s="1">
        <v>8.3</v>
      </c>
      <c r="N2035" s="1">
        <v>33.1</v>
      </c>
      <c r="O2035" s="1">
        <v>34.379746835</v>
      </c>
      <c r="P2035" s="1">
        <v>7.7815699659</v>
      </c>
      <c r="Q2035" s="1">
        <v>0.0</v>
      </c>
      <c r="R2035" s="1">
        <v>89.912280702</v>
      </c>
      <c r="S2035" s="1">
        <v>11.0</v>
      </c>
      <c r="T2035" s="1">
        <v>383.0</v>
      </c>
      <c r="U2035" s="1">
        <v>10.704960836</v>
      </c>
      <c r="V2035" s="1">
        <v>51.666236115</v>
      </c>
      <c r="W2035" s="1">
        <v>5.291005291</v>
      </c>
      <c r="X2035" s="1">
        <v>4.1622198506</v>
      </c>
      <c r="Y2035" s="1">
        <v>81.026587706</v>
      </c>
      <c r="Z2035" s="1">
        <v>13.9</v>
      </c>
      <c r="AA2035" s="1">
        <v>20.796741318</v>
      </c>
      <c r="AB2035" s="1">
        <v>66929.0</v>
      </c>
      <c r="AC2035" s="1">
        <v>26.388888889</v>
      </c>
      <c r="AD2035" s="1">
        <v>84.5117845119999</v>
      </c>
      <c r="AE2035" s="1">
        <v>4.958677686</v>
      </c>
      <c r="AF2035" s="1">
        <v>0.3678402522</v>
      </c>
      <c r="AG2035" s="1">
        <v>1.57645822389999</v>
      </c>
      <c r="AH2035" s="1">
        <v>0.2627430373</v>
      </c>
      <c r="AI2035" s="1">
        <v>0.0</v>
      </c>
      <c r="AJ2035" s="1">
        <v>2.2595901209</v>
      </c>
      <c r="AK2035" s="1">
        <v>94.692590646</v>
      </c>
      <c r="AL2035" s="1">
        <v>0.1644736842</v>
      </c>
      <c r="AM2035" s="1">
        <v>47.714135575</v>
      </c>
      <c r="AN2035" s="1">
        <v>100.0</v>
      </c>
      <c r="AO2035" s="1">
        <v>36802.0</v>
      </c>
      <c r="AP2035" s="1">
        <v>6.1</v>
      </c>
      <c r="AQ2035" s="1">
        <v>4.1</v>
      </c>
      <c r="AR2035" s="1">
        <v>5.9</v>
      </c>
      <c r="AS2035" s="1">
        <v>23.1</v>
      </c>
      <c r="AT2035" s="1">
        <v>19.9</v>
      </c>
      <c r="AU2035" s="1">
        <v>14.8</v>
      </c>
      <c r="AV2035" s="1">
        <v>2.1</v>
      </c>
      <c r="AW2035" s="1">
        <v>0.2</v>
      </c>
      <c r="AX2035" s="1">
        <v>0.0032</v>
      </c>
      <c r="AY2035" s="1">
        <v>7.4</v>
      </c>
      <c r="AZ2035" s="1">
        <v>4.3</v>
      </c>
      <c r="BA2035" s="1">
        <v>9.7</v>
      </c>
      <c r="BB2035" s="1">
        <v>3.26</v>
      </c>
      <c r="BC2035" s="1" t="s">
        <v>3333</v>
      </c>
      <c r="BD2035" s="1">
        <v>3.7</v>
      </c>
      <c r="BE2035" s="1">
        <v>25.3</v>
      </c>
      <c r="BF2035" s="1">
        <v>40.1</v>
      </c>
      <c r="BG2035" s="1">
        <v>30.9</v>
      </c>
      <c r="BH2035" s="1" t="s">
        <v>3403</v>
      </c>
    </row>
    <row r="2036">
      <c r="A2036" s="1">
        <v>38093.0</v>
      </c>
      <c r="B2036" s="2" t="str">
        <f>IFERROR(__xludf.DUMMYFUNCTION("TO_TEXT(A2036)"),"38093")</f>
        <v>38093</v>
      </c>
      <c r="C2036" s="1">
        <v>21108.0</v>
      </c>
      <c r="D2036" s="1">
        <v>2221.72945397177</v>
      </c>
      <c r="E2036" s="1" t="s">
        <v>3404</v>
      </c>
      <c r="F2036" s="1" t="s">
        <v>3405</v>
      </c>
      <c r="G2036" s="1">
        <v>9.50070674098747</v>
      </c>
      <c r="H2036" s="1">
        <v>12.999608696</v>
      </c>
      <c r="I2036" s="1">
        <v>3.2171293258</v>
      </c>
      <c r="J2036" s="1">
        <v>7.33496332519999</v>
      </c>
      <c r="K2036" s="1">
        <v>16.799970979</v>
      </c>
      <c r="L2036" s="1">
        <v>32.2</v>
      </c>
      <c r="M2036" s="1">
        <v>8.7</v>
      </c>
      <c r="N2036" s="1">
        <v>23.3</v>
      </c>
      <c r="O2036" s="1">
        <v>81.151658768</v>
      </c>
      <c r="P2036" s="1">
        <v>8.3147641179</v>
      </c>
      <c r="Q2036" s="1">
        <v>75.87613</v>
      </c>
      <c r="R2036" s="1">
        <v>86.485507246</v>
      </c>
      <c r="S2036" s="1">
        <v>11.5</v>
      </c>
      <c r="T2036" s="1">
        <v>4137.0</v>
      </c>
      <c r="U2036" s="1">
        <v>30.335992265</v>
      </c>
      <c r="V2036" s="1">
        <v>284.65494558</v>
      </c>
      <c r="W2036" s="1">
        <v>7.8731547294</v>
      </c>
      <c r="X2036" s="1">
        <v>7.3608815427</v>
      </c>
      <c r="Y2036" s="1">
        <v>78.966484882</v>
      </c>
      <c r="Z2036" s="1">
        <v>10.8</v>
      </c>
      <c r="AA2036" s="1">
        <v>7.50789580159999</v>
      </c>
      <c r="AB2036" s="1">
        <v>57002.0</v>
      </c>
      <c r="AC2036" s="1">
        <v>33.787362845</v>
      </c>
      <c r="AD2036" s="1">
        <v>64.262838211</v>
      </c>
      <c r="AE2036" s="1">
        <v>9.698005698</v>
      </c>
      <c r="AF2036" s="1">
        <v>1.687622508</v>
      </c>
      <c r="AG2036" s="1">
        <v>1.74499211169999</v>
      </c>
      <c r="AH2036" s="1">
        <v>0.8987904575</v>
      </c>
      <c r="AI2036" s="1">
        <v>0.1003968064</v>
      </c>
      <c r="AJ2036" s="1">
        <v>2.6533441698</v>
      </c>
      <c r="AK2036" s="1">
        <v>91.6814074679999</v>
      </c>
      <c r="AL2036" s="1">
        <v>0.186285369</v>
      </c>
      <c r="AM2036" s="1">
        <v>48.568150308</v>
      </c>
      <c r="AN2036" s="1">
        <v>27.563981043</v>
      </c>
      <c r="AO2036" s="1">
        <v>30623.0</v>
      </c>
      <c r="AP2036" s="1">
        <v>10.8</v>
      </c>
      <c r="AQ2036" s="1">
        <v>2.6</v>
      </c>
      <c r="AR2036" s="1">
        <v>10.1</v>
      </c>
      <c r="AS2036" s="1">
        <v>17.6</v>
      </c>
      <c r="AT2036" s="1">
        <v>20.3</v>
      </c>
      <c r="AU2036" s="1">
        <v>14.0</v>
      </c>
      <c r="AV2036" s="1">
        <v>6.7</v>
      </c>
      <c r="AW2036" s="1">
        <v>0.1</v>
      </c>
      <c r="AX2036" s="1">
        <v>0.2337</v>
      </c>
      <c r="AY2036" s="1">
        <v>10.8</v>
      </c>
      <c r="AZ2036" s="1">
        <v>7.5</v>
      </c>
      <c r="BA2036" s="1">
        <v>13.3</v>
      </c>
      <c r="BB2036" s="1">
        <v>3.2</v>
      </c>
      <c r="BC2036" s="1" t="s">
        <v>3333</v>
      </c>
      <c r="BD2036" s="1">
        <v>9.1</v>
      </c>
      <c r="BE2036" s="1">
        <v>33.8</v>
      </c>
      <c r="BF2036" s="1">
        <v>33.4</v>
      </c>
      <c r="BG2036" s="1">
        <v>23.7</v>
      </c>
      <c r="BH2036" s="1" t="s">
        <v>3405</v>
      </c>
    </row>
    <row r="2037">
      <c r="A2037" s="1">
        <v>38095.0</v>
      </c>
      <c r="B2037" s="2" t="str">
        <f>IFERROR(__xludf.DUMMYFUNCTION("TO_TEXT(A2037)"),"38095")</f>
        <v>38095</v>
      </c>
      <c r="C2037" s="1">
        <v>2292.0</v>
      </c>
      <c r="D2037" s="1">
        <v>1024.5668108567</v>
      </c>
      <c r="E2037" s="1" t="s">
        <v>3406</v>
      </c>
      <c r="F2037" s="1" t="s">
        <v>3407</v>
      </c>
      <c r="G2037" s="1">
        <v>2.23704298803465</v>
      </c>
      <c r="H2037" s="1">
        <v>15.014507569</v>
      </c>
      <c r="I2037" s="1">
        <v>3.372301465</v>
      </c>
      <c r="J2037" s="1">
        <v>6.1797752809</v>
      </c>
      <c r="K2037" s="1">
        <v>16.57282226</v>
      </c>
      <c r="L2037" s="1">
        <v>35.8</v>
      </c>
      <c r="M2037" s="1">
        <v>8.9</v>
      </c>
      <c r="N2037" s="1">
        <v>36.0</v>
      </c>
      <c r="O2037" s="1">
        <v>60.4630454139999</v>
      </c>
      <c r="P2037" s="1">
        <v>11.558669002</v>
      </c>
      <c r="Q2037" s="1">
        <v>48.31939</v>
      </c>
      <c r="R2037" s="1">
        <v>89.912280702</v>
      </c>
      <c r="S2037" s="1">
        <v>11.0</v>
      </c>
      <c r="T2037" s="1">
        <v>512.0</v>
      </c>
      <c r="U2037" s="1">
        <v>15.4296875</v>
      </c>
      <c r="V2037" s="1">
        <v>204.509002055</v>
      </c>
      <c r="W2037" s="1">
        <v>5.61224489799999</v>
      </c>
      <c r="X2037" s="1">
        <v>2.5614754098</v>
      </c>
      <c r="Y2037" s="1">
        <v>80.058550439</v>
      </c>
      <c r="Z2037" s="1">
        <v>10.6</v>
      </c>
      <c r="AA2037" s="1">
        <v>6.5960910151</v>
      </c>
      <c r="AB2037" s="1">
        <v>51848.0</v>
      </c>
      <c r="AC2037" s="1">
        <v>31.186440678</v>
      </c>
      <c r="AD2037" s="1">
        <v>76.447876448</v>
      </c>
      <c r="AE2037" s="1">
        <v>4.5168067227</v>
      </c>
      <c r="AF2037" s="1">
        <v>0.4105839416</v>
      </c>
      <c r="AG2037" s="1">
        <v>5.200729927</v>
      </c>
      <c r="AH2037" s="1">
        <v>0.1368613139</v>
      </c>
      <c r="AI2037" s="1">
        <v>0.0</v>
      </c>
      <c r="AJ2037" s="1">
        <v>1.9616788321</v>
      </c>
      <c r="AK2037" s="1">
        <v>90.784671533</v>
      </c>
      <c r="AL2037" s="1">
        <v>2.0074696545</v>
      </c>
      <c r="AM2037" s="1">
        <v>49.498175182</v>
      </c>
      <c r="AN2037" s="1">
        <v>100.0</v>
      </c>
      <c r="AO2037" s="1">
        <v>33785.0</v>
      </c>
      <c r="AP2037" s="1">
        <v>14.1</v>
      </c>
      <c r="AQ2037" s="1">
        <v>5.2</v>
      </c>
      <c r="AR2037" s="1">
        <v>7.7</v>
      </c>
      <c r="AS2037" s="1">
        <v>24.4</v>
      </c>
      <c r="AT2037" s="1">
        <v>25.6</v>
      </c>
      <c r="AU2037" s="1">
        <v>10.5</v>
      </c>
      <c r="AV2037" s="1">
        <v>13.8</v>
      </c>
      <c r="AW2037" s="1">
        <v>0.6</v>
      </c>
      <c r="AX2037" s="1">
        <v>0.1929</v>
      </c>
      <c r="AY2037" s="1">
        <v>10.7</v>
      </c>
      <c r="AZ2037" s="1">
        <v>6.8</v>
      </c>
      <c r="BA2037" s="1">
        <v>12.8</v>
      </c>
      <c r="BB2037" s="1">
        <v>3.16</v>
      </c>
      <c r="BC2037" s="1" t="s">
        <v>3333</v>
      </c>
      <c r="BD2037" s="1">
        <v>8.6</v>
      </c>
      <c r="BE2037" s="1">
        <v>33.8</v>
      </c>
      <c r="BF2037" s="1">
        <v>40.6</v>
      </c>
      <c r="BG2037" s="1">
        <v>17.0</v>
      </c>
      <c r="BH2037" s="1" t="s">
        <v>3407</v>
      </c>
    </row>
    <row r="2038">
      <c r="A2038" s="1">
        <v>38097.0</v>
      </c>
      <c r="B2038" s="2" t="str">
        <f>IFERROR(__xludf.DUMMYFUNCTION("TO_TEXT(A2038)"),"38097")</f>
        <v>38097</v>
      </c>
      <c r="C2038" s="1">
        <v>8075.0</v>
      </c>
      <c r="D2038" s="1">
        <v>861.9488732015</v>
      </c>
      <c r="E2038" s="1" t="s">
        <v>3408</v>
      </c>
      <c r="F2038" s="1" t="s">
        <v>3409</v>
      </c>
      <c r="G2038" s="1">
        <v>9.36830507128268</v>
      </c>
      <c r="H2038" s="1">
        <v>12.655563259</v>
      </c>
      <c r="I2038" s="1">
        <v>3.0465627785</v>
      </c>
      <c r="J2038" s="1">
        <v>4.52488687779999</v>
      </c>
      <c r="K2038" s="1">
        <v>16.286402962</v>
      </c>
      <c r="L2038" s="1">
        <v>37.6</v>
      </c>
      <c r="M2038" s="1">
        <v>9.5</v>
      </c>
      <c r="N2038" s="1">
        <v>19.7</v>
      </c>
      <c r="O2038" s="1">
        <v>65.32446743</v>
      </c>
      <c r="P2038" s="1">
        <v>6.7367415194</v>
      </c>
      <c r="Q2038" s="1">
        <v>24.95944</v>
      </c>
      <c r="R2038" s="1">
        <v>89.912280702</v>
      </c>
      <c r="S2038" s="1">
        <v>8.3</v>
      </c>
      <c r="T2038" s="1">
        <v>1822.0</v>
      </c>
      <c r="U2038" s="1">
        <v>18.111964874</v>
      </c>
      <c r="V2038" s="1">
        <v>99.2740584479999</v>
      </c>
      <c r="W2038" s="1">
        <v>9.2145015106</v>
      </c>
      <c r="X2038" s="1">
        <v>7.1692307692</v>
      </c>
      <c r="Y2038" s="1">
        <v>79.483098329</v>
      </c>
      <c r="Z2038" s="1">
        <v>13.0</v>
      </c>
      <c r="AA2038" s="1">
        <v>2.9312316172</v>
      </c>
      <c r="AB2038" s="1">
        <v>59931.0</v>
      </c>
      <c r="AC2038" s="1">
        <v>24.583031182</v>
      </c>
      <c r="AD2038" s="1">
        <v>72.021498955</v>
      </c>
      <c r="AE2038" s="1">
        <v>7.72841051309999</v>
      </c>
      <c r="AF2038" s="1">
        <v>0.808759487399999</v>
      </c>
      <c r="AG2038" s="1">
        <v>1.4184397163</v>
      </c>
      <c r="AH2038" s="1">
        <v>0.5972377753</v>
      </c>
      <c r="AI2038" s="1">
        <v>0.0248849073</v>
      </c>
      <c r="AJ2038" s="1">
        <v>3.8073908175</v>
      </c>
      <c r="AK2038" s="1">
        <v>91.7008834139999</v>
      </c>
      <c r="AL2038" s="1">
        <v>0.2919708029</v>
      </c>
      <c r="AM2038" s="1">
        <v>49.2472315539999</v>
      </c>
      <c r="AN2038" s="1">
        <v>100.0</v>
      </c>
      <c r="AO2038" s="1">
        <v>31188.0</v>
      </c>
      <c r="AP2038" s="1">
        <v>8.3</v>
      </c>
      <c r="AQ2038" s="1">
        <v>2.6</v>
      </c>
      <c r="AR2038" s="1">
        <v>7.8</v>
      </c>
      <c r="AS2038" s="1">
        <v>18.7</v>
      </c>
      <c r="AT2038" s="1">
        <v>22.4</v>
      </c>
      <c r="AU2038" s="1">
        <v>11.2</v>
      </c>
      <c r="AV2038" s="1">
        <v>6.9</v>
      </c>
      <c r="AW2038" s="1">
        <v>0.3</v>
      </c>
      <c r="AX2038" s="1">
        <v>0.0856</v>
      </c>
      <c r="AY2038" s="1">
        <v>8.0</v>
      </c>
      <c r="AZ2038" s="1">
        <v>4.8</v>
      </c>
      <c r="BA2038" s="1">
        <v>7.7</v>
      </c>
      <c r="BB2038" s="1">
        <v>3.22</v>
      </c>
      <c r="BC2038" s="1" t="s">
        <v>3333</v>
      </c>
      <c r="BD2038" s="1">
        <v>6.6</v>
      </c>
      <c r="BE2038" s="1">
        <v>26.0</v>
      </c>
      <c r="BF2038" s="1">
        <v>38.5</v>
      </c>
      <c r="BG2038" s="1">
        <v>28.9</v>
      </c>
      <c r="BH2038" s="1" t="s">
        <v>3409</v>
      </c>
    </row>
    <row r="2039">
      <c r="A2039" s="1">
        <v>38099.0</v>
      </c>
      <c r="B2039" s="2" t="str">
        <f>IFERROR(__xludf.DUMMYFUNCTION("TO_TEXT(A2039)"),"38099")</f>
        <v>38099</v>
      </c>
      <c r="C2039" s="1">
        <v>10995.0</v>
      </c>
      <c r="D2039" s="1">
        <v>1281.66778321767</v>
      </c>
      <c r="E2039" s="1" t="s">
        <v>3410</v>
      </c>
      <c r="F2039" s="1" t="s">
        <v>3411</v>
      </c>
      <c r="G2039" s="1">
        <v>8.57866612859433</v>
      </c>
      <c r="H2039" s="1">
        <v>14.603629534</v>
      </c>
      <c r="I2039" s="1">
        <v>3.2776386219</v>
      </c>
      <c r="J2039" s="1">
        <v>6.480558325</v>
      </c>
      <c r="K2039" s="1">
        <v>15.75968023</v>
      </c>
      <c r="L2039" s="1">
        <v>34.3</v>
      </c>
      <c r="M2039" s="1">
        <v>9.3</v>
      </c>
      <c r="N2039" s="1">
        <v>29.5</v>
      </c>
      <c r="O2039" s="1">
        <v>66.031117906</v>
      </c>
      <c r="P2039" s="1">
        <v>10.642287857</v>
      </c>
      <c r="Q2039" s="1">
        <v>46.06172</v>
      </c>
      <c r="R2039" s="1">
        <v>89.912280702</v>
      </c>
      <c r="S2039" s="1">
        <v>13.1</v>
      </c>
      <c r="T2039" s="1">
        <v>2405.0</v>
      </c>
      <c r="U2039" s="1">
        <v>26.985446985</v>
      </c>
      <c r="V2039" s="1">
        <v>165.49441456</v>
      </c>
      <c r="W2039" s="1">
        <v>6.3016528926</v>
      </c>
      <c r="X2039" s="1">
        <v>5.1255230126</v>
      </c>
      <c r="Y2039" s="1">
        <v>78.407879376</v>
      </c>
      <c r="Z2039" s="1">
        <v>9.9</v>
      </c>
      <c r="AA2039" s="1">
        <v>4.1798651685</v>
      </c>
      <c r="AB2039" s="1">
        <v>59705.0</v>
      </c>
      <c r="AC2039" s="1">
        <v>37.486218302</v>
      </c>
      <c r="AD2039" s="1">
        <v>76.347862012</v>
      </c>
      <c r="AE2039" s="1">
        <v>7.1602748836</v>
      </c>
      <c r="AF2039" s="1">
        <v>0.5062341802</v>
      </c>
      <c r="AG2039" s="1">
        <v>2.1561826193</v>
      </c>
      <c r="AH2039" s="1">
        <v>1.1437142589</v>
      </c>
      <c r="AI2039" s="1">
        <v>0.0374988282</v>
      </c>
      <c r="AJ2039" s="1">
        <v>11.634011437</v>
      </c>
      <c r="AK2039" s="1">
        <v>83.931752133</v>
      </c>
      <c r="AL2039" s="1">
        <v>0.952475444</v>
      </c>
      <c r="AM2039" s="1">
        <v>48.814099559</v>
      </c>
      <c r="AN2039" s="1">
        <v>62.0559402819999</v>
      </c>
      <c r="AO2039" s="1">
        <v>30266.0</v>
      </c>
      <c r="AP2039" s="1">
        <v>10.6</v>
      </c>
      <c r="AQ2039" s="1">
        <v>3.3</v>
      </c>
      <c r="AR2039" s="1">
        <v>13.1</v>
      </c>
      <c r="AS2039" s="1">
        <v>20.6</v>
      </c>
      <c r="AT2039" s="1">
        <v>22.6</v>
      </c>
      <c r="AU2039" s="1">
        <v>15.8</v>
      </c>
      <c r="AV2039" s="1">
        <v>14.3</v>
      </c>
      <c r="AW2039" s="1">
        <v>0.9</v>
      </c>
      <c r="AX2039" s="1">
        <v>0.3142</v>
      </c>
      <c r="AY2039" s="1">
        <v>11.7</v>
      </c>
      <c r="AZ2039" s="1">
        <v>6.3</v>
      </c>
      <c r="BA2039" s="1">
        <v>9.5</v>
      </c>
      <c r="BB2039" s="1">
        <v>3.15</v>
      </c>
      <c r="BC2039" s="1" t="s">
        <v>3333</v>
      </c>
      <c r="BD2039" s="1">
        <v>14.6</v>
      </c>
      <c r="BE2039" s="1">
        <v>33.0</v>
      </c>
      <c r="BF2039" s="1">
        <v>35.2</v>
      </c>
      <c r="BG2039" s="1">
        <v>17.2</v>
      </c>
      <c r="BH2039" s="1" t="s">
        <v>3411</v>
      </c>
    </row>
    <row r="2040">
      <c r="A2040" s="1">
        <v>38101.0</v>
      </c>
      <c r="B2040" s="2" t="str">
        <f>IFERROR(__xludf.DUMMYFUNCTION("TO_TEXT(A2040)"),"38101")</f>
        <v>38101</v>
      </c>
      <c r="C2040" s="1">
        <v>68954.0</v>
      </c>
      <c r="D2040" s="1">
        <v>2013.17676793947</v>
      </c>
      <c r="E2040" s="1" t="s">
        <v>3412</v>
      </c>
      <c r="F2040" s="1" t="s">
        <v>3413</v>
      </c>
      <c r="G2040" s="1">
        <v>34.2513390270125</v>
      </c>
      <c r="H2040" s="1">
        <v>13.683353814</v>
      </c>
      <c r="I2040" s="1">
        <v>2.9624085963</v>
      </c>
      <c r="J2040" s="1">
        <v>6.0635226179</v>
      </c>
      <c r="K2040" s="1">
        <v>17.57055618</v>
      </c>
      <c r="L2040" s="1">
        <v>33.3</v>
      </c>
      <c r="M2040" s="1">
        <v>8.3</v>
      </c>
      <c r="N2040" s="1">
        <v>26.7</v>
      </c>
      <c r="O2040" s="1">
        <v>79.471422781</v>
      </c>
      <c r="P2040" s="1">
        <v>8.1022754739</v>
      </c>
      <c r="Q2040" s="1">
        <v>71.07011</v>
      </c>
      <c r="R2040" s="1">
        <v>88.432475884</v>
      </c>
      <c r="S2040" s="1">
        <v>9.5</v>
      </c>
      <c r="T2040" s="1">
        <v>16064.0</v>
      </c>
      <c r="U2040" s="1">
        <v>22.578436255</v>
      </c>
      <c r="V2040" s="1">
        <v>256.07107741</v>
      </c>
      <c r="W2040" s="1">
        <v>12.663429212</v>
      </c>
      <c r="X2040" s="1">
        <v>10.364250845</v>
      </c>
      <c r="Y2040" s="1">
        <v>80.859386147</v>
      </c>
      <c r="Z2040" s="1">
        <v>8.8</v>
      </c>
      <c r="AA2040" s="1">
        <v>11.546029821</v>
      </c>
      <c r="AB2040" s="1">
        <v>63938.0</v>
      </c>
      <c r="AC2040" s="1">
        <v>27.825233186</v>
      </c>
      <c r="AD2040" s="1">
        <v>60.107386446</v>
      </c>
      <c r="AE2040" s="1">
        <v>11.825202346</v>
      </c>
      <c r="AF2040" s="1">
        <v>4.4048181389</v>
      </c>
      <c r="AG2040" s="1">
        <v>2.4769721304</v>
      </c>
      <c r="AH2040" s="1">
        <v>1.8230396788</v>
      </c>
      <c r="AI2040" s="1">
        <v>0.1815658951</v>
      </c>
      <c r="AJ2040" s="1">
        <v>6.2869036372</v>
      </c>
      <c r="AK2040" s="1">
        <v>82.501771375</v>
      </c>
      <c r="AL2040" s="1">
        <v>0.4680530251</v>
      </c>
      <c r="AM2040" s="1">
        <v>47.616025035</v>
      </c>
      <c r="AN2040" s="1">
        <v>21.895419538</v>
      </c>
      <c r="AO2040" s="1">
        <v>32395.0</v>
      </c>
      <c r="AP2040" s="1">
        <v>7.3</v>
      </c>
      <c r="AQ2040" s="1">
        <v>2.4</v>
      </c>
      <c r="AR2040" s="1">
        <v>6.7</v>
      </c>
      <c r="AS2040" s="1">
        <v>11.7</v>
      </c>
      <c r="AT2040" s="1">
        <v>23.3</v>
      </c>
      <c r="AU2040" s="1">
        <v>10.2</v>
      </c>
      <c r="AV2040" s="1">
        <v>15.0</v>
      </c>
      <c r="AW2040" s="1">
        <v>0.5</v>
      </c>
      <c r="AX2040" s="1">
        <v>0.114</v>
      </c>
      <c r="AY2040" s="1">
        <v>9.0</v>
      </c>
      <c r="AZ2040" s="1">
        <v>5.8</v>
      </c>
      <c r="BA2040" s="1">
        <v>9.3</v>
      </c>
      <c r="BB2040" s="1">
        <v>3.27</v>
      </c>
      <c r="BC2040" s="1" t="s">
        <v>3333</v>
      </c>
      <c r="BD2040" s="1">
        <v>6.3</v>
      </c>
      <c r="BE2040" s="1">
        <v>30.0</v>
      </c>
      <c r="BF2040" s="1">
        <v>34.4</v>
      </c>
      <c r="BG2040" s="1">
        <v>29.3</v>
      </c>
      <c r="BH2040" s="1" t="s">
        <v>3413</v>
      </c>
    </row>
    <row r="2041">
      <c r="A2041" s="1">
        <v>38103.0</v>
      </c>
      <c r="B2041" s="2" t="str">
        <f>IFERROR(__xludf.DUMMYFUNCTION("TO_TEXT(A2041)"),"38103")</f>
        <v>38103</v>
      </c>
      <c r="C2041" s="1">
        <v>4179.0</v>
      </c>
      <c r="D2041" s="1">
        <v>1270.69313888825</v>
      </c>
      <c r="E2041" s="1" t="s">
        <v>1437</v>
      </c>
      <c r="F2041" s="1" t="s">
        <v>3414</v>
      </c>
      <c r="G2041" s="1">
        <v>3.28875624814994</v>
      </c>
      <c r="H2041" s="1">
        <v>12.73521554</v>
      </c>
      <c r="I2041" s="1">
        <v>2.9846723542</v>
      </c>
      <c r="J2041" s="1">
        <v>4.6052631579</v>
      </c>
      <c r="K2041" s="1">
        <v>13.933776392</v>
      </c>
      <c r="L2041" s="1">
        <v>36.1</v>
      </c>
      <c r="M2041" s="1">
        <v>9.0</v>
      </c>
      <c r="N2041" s="1">
        <v>26.9</v>
      </c>
      <c r="O2041" s="1">
        <v>3.1851675778</v>
      </c>
      <c r="P2041" s="1">
        <v>8.2871012483</v>
      </c>
      <c r="Q2041" s="1">
        <v>24.86325</v>
      </c>
      <c r="R2041" s="1">
        <v>89.912280702</v>
      </c>
      <c r="S2041" s="1">
        <v>14.5</v>
      </c>
      <c r="T2041" s="1">
        <v>836.0</v>
      </c>
      <c r="U2041" s="1">
        <v>17.344497608</v>
      </c>
      <c r="V2041" s="1">
        <v>132.72200772</v>
      </c>
      <c r="W2041" s="1">
        <v>5.9259259259</v>
      </c>
      <c r="X2041" s="1">
        <v>4.177026355</v>
      </c>
      <c r="Y2041" s="1">
        <v>80.0607260869999</v>
      </c>
      <c r="Z2041" s="1">
        <v>9.7</v>
      </c>
      <c r="AA2041" s="1">
        <v>8.638756413</v>
      </c>
      <c r="AB2041" s="1">
        <v>58261.0</v>
      </c>
      <c r="AC2041" s="1">
        <v>29.25170068</v>
      </c>
      <c r="AD2041" s="1">
        <v>79.693877551</v>
      </c>
      <c r="AE2041" s="1">
        <v>6.4034151547</v>
      </c>
      <c r="AF2041" s="1">
        <v>0.3538033864</v>
      </c>
      <c r="AG2041" s="1">
        <v>0.8339651251</v>
      </c>
      <c r="AH2041" s="1">
        <v>0.277988375</v>
      </c>
      <c r="AI2041" s="1">
        <v>0.1263583523</v>
      </c>
      <c r="AJ2041" s="1">
        <v>1.2383118524</v>
      </c>
      <c r="AK2041" s="1">
        <v>95.830174375</v>
      </c>
      <c r="AL2041" s="1">
        <v>0.0</v>
      </c>
      <c r="AM2041" s="1">
        <v>49.3050290619999</v>
      </c>
      <c r="AN2041" s="1">
        <v>100.0</v>
      </c>
      <c r="AO2041" s="1">
        <v>30260.0</v>
      </c>
      <c r="AP2041" s="1">
        <v>5.2</v>
      </c>
      <c r="AQ2041" s="1">
        <v>2.2</v>
      </c>
      <c r="AR2041" s="1">
        <v>15.2</v>
      </c>
      <c r="AS2041" s="1">
        <v>29.2</v>
      </c>
      <c r="AT2041" s="1">
        <v>18.8</v>
      </c>
      <c r="AU2041" s="1">
        <v>13.8</v>
      </c>
      <c r="AV2041" s="1">
        <v>2.3</v>
      </c>
      <c r="AW2041" s="1">
        <v>0.3</v>
      </c>
      <c r="AX2041" s="1">
        <v>0.0751</v>
      </c>
      <c r="AY2041" s="1">
        <v>12.4</v>
      </c>
      <c r="AZ2041" s="1">
        <v>6.2</v>
      </c>
      <c r="BA2041" s="1">
        <v>9.0</v>
      </c>
      <c r="BB2041" s="1">
        <v>3.25</v>
      </c>
      <c r="BC2041" s="1" t="s">
        <v>3333</v>
      </c>
      <c r="BD2041" s="1">
        <v>13.0</v>
      </c>
      <c r="BE2041" s="1">
        <v>32.9</v>
      </c>
      <c r="BF2041" s="1">
        <v>31.9</v>
      </c>
      <c r="BG2041" s="1">
        <v>22.2</v>
      </c>
      <c r="BH2041" s="1" t="s">
        <v>3414</v>
      </c>
    </row>
    <row r="2042">
      <c r="A2042" s="1">
        <v>38105.0</v>
      </c>
      <c r="B2042" s="2" t="str">
        <f>IFERROR(__xludf.DUMMYFUNCTION("TO_TEXT(A2042)"),"38105")</f>
        <v>38105</v>
      </c>
      <c r="C2042" s="1">
        <v>31643.0</v>
      </c>
      <c r="D2042" s="1">
        <v>2077.66501471929</v>
      </c>
      <c r="E2042" s="1" t="s">
        <v>3415</v>
      </c>
      <c r="F2042" s="1" t="s">
        <v>3416</v>
      </c>
      <c r="G2042" s="1">
        <v>15.2300778883141</v>
      </c>
      <c r="H2042" s="1">
        <v>14.713216863</v>
      </c>
      <c r="I2042" s="1">
        <v>3.2560101465</v>
      </c>
      <c r="J2042" s="1">
        <v>5.2526595745</v>
      </c>
      <c r="K2042" s="1">
        <v>20.108522875</v>
      </c>
      <c r="L2042" s="1">
        <v>36.9</v>
      </c>
      <c r="M2042" s="1">
        <v>9.3</v>
      </c>
      <c r="N2042" s="1">
        <v>25.5</v>
      </c>
      <c r="O2042" s="1">
        <v>78.962407358</v>
      </c>
      <c r="P2042" s="1">
        <v>9.9603320111</v>
      </c>
      <c r="Q2042" s="1">
        <v>53.97463</v>
      </c>
      <c r="R2042" s="1">
        <v>81.49271137</v>
      </c>
      <c r="S2042" s="1">
        <v>7.6</v>
      </c>
      <c r="T2042" s="1">
        <v>8999.0</v>
      </c>
      <c r="U2042" s="1">
        <v>22.39137682</v>
      </c>
      <c r="V2042" s="1">
        <v>372.66723262</v>
      </c>
      <c r="W2042" s="1">
        <v>13.518966909</v>
      </c>
      <c r="X2042" s="1">
        <v>8.3728536386</v>
      </c>
      <c r="Y2042" s="1">
        <v>78.492751332</v>
      </c>
      <c r="Z2042" s="1">
        <v>9.4</v>
      </c>
      <c r="AA2042" s="1">
        <v>3.8874284308</v>
      </c>
      <c r="AB2042" s="1">
        <v>79354.0</v>
      </c>
      <c r="AC2042" s="1">
        <v>28.699089191</v>
      </c>
      <c r="AD2042" s="1">
        <v>53.311427528</v>
      </c>
      <c r="AE2042" s="1">
        <v>6.82782661409999</v>
      </c>
      <c r="AF2042" s="1">
        <v>4.4016973126</v>
      </c>
      <c r="AG2042" s="1">
        <v>4.2517680339</v>
      </c>
      <c r="AH2042" s="1">
        <v>1.0297029703</v>
      </c>
      <c r="AI2042" s="1">
        <v>0.169731258799999</v>
      </c>
      <c r="AJ2042" s="1">
        <v>7.9405940594</v>
      </c>
      <c r="AK2042" s="1">
        <v>79.626591231</v>
      </c>
      <c r="AL2042" s="1">
        <v>0.8068145291</v>
      </c>
      <c r="AM2042" s="1">
        <v>46.130127298</v>
      </c>
      <c r="AN2042" s="1">
        <v>32.462719886</v>
      </c>
      <c r="AO2042" s="1">
        <v>45442.0</v>
      </c>
      <c r="AP2042" s="1">
        <v>9.8</v>
      </c>
      <c r="AQ2042" s="1">
        <v>2.0</v>
      </c>
      <c r="AR2042" s="1">
        <v>7.7</v>
      </c>
      <c r="AS2042" s="1">
        <v>9.6</v>
      </c>
      <c r="AT2042" s="1">
        <v>25.8</v>
      </c>
      <c r="AU2042" s="1">
        <v>8.6</v>
      </c>
      <c r="AV2042" s="1">
        <v>15.0</v>
      </c>
      <c r="AW2042" s="1">
        <v>0.1</v>
      </c>
      <c r="AX2042" s="1">
        <v>0.2229</v>
      </c>
      <c r="AY2042" s="1">
        <v>6.4</v>
      </c>
      <c r="AZ2042" s="1">
        <v>4.9</v>
      </c>
      <c r="BA2042" s="1">
        <v>6.8</v>
      </c>
      <c r="BB2042" s="1">
        <v>3.52</v>
      </c>
      <c r="BC2042" s="1" t="s">
        <v>3333</v>
      </c>
      <c r="BD2042" s="1">
        <v>9.5</v>
      </c>
      <c r="BE2042" s="1">
        <v>27.1</v>
      </c>
      <c r="BF2042" s="1">
        <v>39.9</v>
      </c>
      <c r="BG2042" s="1">
        <v>23.6</v>
      </c>
      <c r="BH2042" s="1" t="s">
        <v>3416</v>
      </c>
    </row>
    <row r="2043">
      <c r="A2043" s="1">
        <v>39001.0</v>
      </c>
      <c r="B2043" s="2" t="str">
        <f>IFERROR(__xludf.DUMMYFUNCTION("TO_TEXT(A2043)"),"39001")</f>
        <v>39001</v>
      </c>
      <c r="C2043" s="1">
        <v>28111.0</v>
      </c>
      <c r="D2043" s="1">
        <v>583.866894993574</v>
      </c>
      <c r="E2043" s="1" t="s">
        <v>532</v>
      </c>
      <c r="F2043" s="1" t="s">
        <v>3417</v>
      </c>
      <c r="G2043" s="1">
        <v>48.1462474427658</v>
      </c>
      <c r="H2043" s="1">
        <v>22.300027705</v>
      </c>
      <c r="I2043" s="1">
        <v>4.8304854926</v>
      </c>
      <c r="J2043" s="1">
        <v>9.0450147244</v>
      </c>
      <c r="K2043" s="1">
        <v>24.282192025</v>
      </c>
      <c r="L2043" s="1">
        <v>32.2</v>
      </c>
      <c r="M2043" s="1">
        <v>7.1</v>
      </c>
      <c r="N2043" s="1">
        <v>36.6</v>
      </c>
      <c r="O2043" s="1">
        <v>41.709281961</v>
      </c>
      <c r="P2043" s="1">
        <v>9.0619045509</v>
      </c>
      <c r="Q2043" s="1">
        <v>43.28068</v>
      </c>
      <c r="R2043" s="1">
        <v>92.222222222</v>
      </c>
      <c r="S2043" s="1">
        <v>29.1</v>
      </c>
      <c r="T2043" s="1">
        <v>6825.0</v>
      </c>
      <c r="U2043" s="1">
        <v>40.586080586</v>
      </c>
      <c r="V2043" s="1">
        <v>85.8491915869999</v>
      </c>
      <c r="W2043" s="1">
        <v>16.169039963</v>
      </c>
      <c r="X2043" s="1">
        <v>13.1652661059999</v>
      </c>
      <c r="Y2043" s="1">
        <v>73.213776462</v>
      </c>
      <c r="Z2043" s="1">
        <v>16.1</v>
      </c>
      <c r="AA2043" s="1">
        <v>4.0487522603</v>
      </c>
      <c r="AB2043" s="1">
        <v>42154.0</v>
      </c>
      <c r="AC2043" s="1">
        <v>59.0367685139999</v>
      </c>
      <c r="AD2043" s="1">
        <v>69.201661283</v>
      </c>
      <c r="AE2043" s="1">
        <v>14.657915672</v>
      </c>
      <c r="AF2043" s="1">
        <v>0.4616938393</v>
      </c>
      <c r="AG2043" s="1">
        <v>0.5590823835</v>
      </c>
      <c r="AH2043" s="1">
        <v>0.3606983119</v>
      </c>
      <c r="AI2043" s="1">
        <v>0.0144279325</v>
      </c>
      <c r="AJ2043" s="1">
        <v>1.0352041552</v>
      </c>
      <c r="AK2043" s="1">
        <v>96.23070264</v>
      </c>
      <c r="AL2043" s="1">
        <v>0.0687232743</v>
      </c>
      <c r="AM2043" s="1">
        <v>50.403982109</v>
      </c>
      <c r="AN2043" s="1">
        <v>89.026269702</v>
      </c>
      <c r="AO2043" s="1">
        <v>18901.0</v>
      </c>
      <c r="AP2043" s="1">
        <v>24.5</v>
      </c>
      <c r="AQ2043" s="1">
        <v>9.9</v>
      </c>
      <c r="AR2043" s="1">
        <v>21.8</v>
      </c>
      <c r="AS2043" s="1">
        <v>16.4</v>
      </c>
      <c r="AT2043" s="1">
        <v>24.5</v>
      </c>
      <c r="AU2043" s="1">
        <v>20.8</v>
      </c>
      <c r="AV2043" s="1">
        <v>3.3</v>
      </c>
      <c r="AW2043" s="1">
        <v>0.0</v>
      </c>
      <c r="AX2043" s="1">
        <v>0.7654</v>
      </c>
      <c r="AY2043" s="1">
        <v>19.1</v>
      </c>
      <c r="AZ2043" s="1">
        <v>18.8</v>
      </c>
      <c r="BA2043" s="1">
        <v>27.3</v>
      </c>
      <c r="BB2043" s="1">
        <v>2.68</v>
      </c>
      <c r="BC2043" s="1" t="s">
        <v>3418</v>
      </c>
      <c r="BD2043" s="1">
        <v>19.8</v>
      </c>
      <c r="BE2043" s="1">
        <v>44.5</v>
      </c>
      <c r="BF2043" s="1">
        <v>22.5</v>
      </c>
      <c r="BG2043" s="1">
        <v>13.2</v>
      </c>
      <c r="BH2043" s="1" t="s">
        <v>3417</v>
      </c>
    </row>
    <row r="2044">
      <c r="A2044" s="1">
        <v>39003.0</v>
      </c>
      <c r="B2044" s="2" t="str">
        <f>IFERROR(__xludf.DUMMYFUNCTION("TO_TEXT(A2044)"),"39003")</f>
        <v>39003</v>
      </c>
      <c r="C2044" s="1">
        <v>104664.0</v>
      </c>
      <c r="D2044" s="1">
        <v>402.49978861969</v>
      </c>
      <c r="E2044" s="1" t="s">
        <v>1310</v>
      </c>
      <c r="F2044" s="1" t="s">
        <v>3419</v>
      </c>
      <c r="G2044" s="1">
        <v>260.034919170837</v>
      </c>
      <c r="H2044" s="1">
        <v>16.5027123309999</v>
      </c>
      <c r="I2044" s="1">
        <v>4.4009440274</v>
      </c>
      <c r="J2044" s="1">
        <v>9.3527617757</v>
      </c>
      <c r="K2044" s="1">
        <v>20.184418116</v>
      </c>
      <c r="L2044" s="1">
        <v>34.0</v>
      </c>
      <c r="M2044" s="1">
        <v>7.5</v>
      </c>
      <c r="N2044" s="1">
        <v>27.5</v>
      </c>
      <c r="O2044" s="1">
        <v>75.8348929289999</v>
      </c>
      <c r="P2044" s="1">
        <v>7.6961444461</v>
      </c>
      <c r="Q2044" s="1">
        <v>65.89275</v>
      </c>
      <c r="R2044" s="1">
        <v>84.931506849</v>
      </c>
      <c r="S2044" s="1">
        <v>18.7</v>
      </c>
      <c r="T2044" s="1">
        <v>23970.0</v>
      </c>
      <c r="U2044" s="1">
        <v>41.030454735</v>
      </c>
      <c r="V2044" s="1">
        <v>395.33187454</v>
      </c>
      <c r="W2044" s="1">
        <v>13.6363636359999</v>
      </c>
      <c r="X2044" s="1">
        <v>11.457806973</v>
      </c>
      <c r="Y2044" s="1">
        <v>76.53565192</v>
      </c>
      <c r="Z2044" s="1">
        <v>13.2</v>
      </c>
      <c r="AA2044" s="1">
        <v>4.6435344998</v>
      </c>
      <c r="AB2044" s="1">
        <v>50301.0</v>
      </c>
      <c r="AC2044" s="1">
        <v>45.583293327</v>
      </c>
      <c r="AD2044" s="1">
        <v>66.487406567</v>
      </c>
      <c r="AE2044" s="1">
        <v>11.249430697</v>
      </c>
      <c r="AF2044" s="1">
        <v>12.3579088859999</v>
      </c>
      <c r="AG2044" s="1">
        <v>0.2970885324</v>
      </c>
      <c r="AH2044" s="1">
        <v>0.7880151564</v>
      </c>
      <c r="AI2044" s="1">
        <v>0.0233774583</v>
      </c>
      <c r="AJ2044" s="1">
        <v>3.1637493547</v>
      </c>
      <c r="AK2044" s="1">
        <v>80.70775255</v>
      </c>
      <c r="AL2044" s="1">
        <v>0.397914803</v>
      </c>
      <c r="AM2044" s="1">
        <v>49.556315323</v>
      </c>
      <c r="AN2044" s="1">
        <v>25.890850269</v>
      </c>
      <c r="AO2044" s="1">
        <v>23600.0</v>
      </c>
      <c r="AP2044" s="1">
        <v>16.1</v>
      </c>
      <c r="AQ2044" s="1">
        <v>7.6</v>
      </c>
      <c r="AR2044" s="1">
        <v>10.7</v>
      </c>
      <c r="AS2044" s="1">
        <v>15.9</v>
      </c>
      <c r="AT2044" s="1">
        <v>23.4</v>
      </c>
      <c r="AU2044" s="1">
        <v>15.2</v>
      </c>
      <c r="AV2044" s="1">
        <v>18.5</v>
      </c>
      <c r="AW2044" s="1">
        <v>0.3</v>
      </c>
      <c r="AX2044" s="1">
        <v>0.5712</v>
      </c>
      <c r="AY2044" s="1">
        <v>12.9</v>
      </c>
      <c r="AZ2044" s="1">
        <v>14.0</v>
      </c>
      <c r="BA2044" s="1">
        <v>19.8</v>
      </c>
      <c r="BB2044" s="1">
        <v>2.71</v>
      </c>
      <c r="BC2044" s="1" t="s">
        <v>3418</v>
      </c>
      <c r="BD2044" s="1">
        <v>9.7</v>
      </c>
      <c r="BE2044" s="1">
        <v>38.8</v>
      </c>
      <c r="BF2044" s="1">
        <v>32.5</v>
      </c>
      <c r="BG2044" s="1">
        <v>18.9</v>
      </c>
      <c r="BH2044" s="1" t="s">
        <v>3419</v>
      </c>
    </row>
    <row r="2045">
      <c r="A2045" s="1">
        <v>39005.0</v>
      </c>
      <c r="B2045" s="2" t="str">
        <f>IFERROR(__xludf.DUMMYFUNCTION("TO_TEXT(A2045)"),"39005")</f>
        <v>39005</v>
      </c>
      <c r="C2045" s="1">
        <v>53343.0</v>
      </c>
      <c r="D2045" s="1">
        <v>422.95317141177</v>
      </c>
      <c r="E2045" s="1" t="s">
        <v>3420</v>
      </c>
      <c r="F2045" s="1" t="s">
        <v>3421</v>
      </c>
      <c r="G2045" s="1">
        <v>126.120345242825</v>
      </c>
      <c r="H2045" s="1">
        <v>16.792561078</v>
      </c>
      <c r="I2045" s="1">
        <v>4.4656535215</v>
      </c>
      <c r="J2045" s="1">
        <v>5.9581320451</v>
      </c>
      <c r="K2045" s="1">
        <v>18.837776161</v>
      </c>
      <c r="L2045" s="1">
        <v>33.3</v>
      </c>
      <c r="M2045" s="1">
        <v>8.2</v>
      </c>
      <c r="N2045" s="1">
        <v>32.6</v>
      </c>
      <c r="O2045" s="1">
        <v>60.044411826</v>
      </c>
      <c r="P2045" s="1">
        <v>8.2375203603</v>
      </c>
      <c r="Q2045" s="1">
        <v>48.48214</v>
      </c>
      <c r="R2045" s="1">
        <v>94.059405941</v>
      </c>
      <c r="S2045" s="1">
        <v>12.6</v>
      </c>
      <c r="T2045" s="1">
        <v>11727.0</v>
      </c>
      <c r="U2045" s="1">
        <v>25.67579091</v>
      </c>
      <c r="V2045" s="1">
        <v>102.68697587</v>
      </c>
      <c r="W2045" s="1">
        <v>13.683178028</v>
      </c>
      <c r="X2045" s="1">
        <v>10.580964153</v>
      </c>
      <c r="Y2045" s="1">
        <v>77.805639776</v>
      </c>
      <c r="Z2045" s="1">
        <v>10.8</v>
      </c>
      <c r="AA2045" s="1">
        <v>1.3640488316</v>
      </c>
      <c r="AB2045" s="1">
        <v>54362.0</v>
      </c>
      <c r="AC2045" s="1">
        <v>45.526802218</v>
      </c>
      <c r="AD2045" s="1">
        <v>72.087675522</v>
      </c>
      <c r="AE2045" s="1">
        <v>8.9660049502</v>
      </c>
      <c r="AF2045" s="1">
        <v>0.7982137873</v>
      </c>
      <c r="AG2045" s="1">
        <v>0.2586287096</v>
      </c>
      <c r="AH2045" s="1">
        <v>0.7275095358</v>
      </c>
      <c r="AI2045" s="1">
        <v>0.074425528</v>
      </c>
      <c r="AJ2045" s="1">
        <v>1.4792073681</v>
      </c>
      <c r="AK2045" s="1">
        <v>95.469345986</v>
      </c>
      <c r="AL2045" s="1">
        <v>1.0433402757</v>
      </c>
      <c r="AM2045" s="1">
        <v>50.756349428</v>
      </c>
      <c r="AN2045" s="1">
        <v>61.9375599839999</v>
      </c>
      <c r="AO2045" s="1">
        <v>22604.0</v>
      </c>
      <c r="AP2045" s="1">
        <v>15.4</v>
      </c>
      <c r="AQ2045" s="1">
        <v>5.7</v>
      </c>
      <c r="AR2045" s="1">
        <v>12.6</v>
      </c>
      <c r="AS2045" s="1">
        <v>17.3</v>
      </c>
      <c r="AT2045" s="1">
        <v>23.0</v>
      </c>
      <c r="AU2045" s="1">
        <v>14.5</v>
      </c>
      <c r="AV2045" s="1">
        <v>3.9</v>
      </c>
      <c r="AW2045" s="1">
        <v>1.4</v>
      </c>
      <c r="AX2045" s="1">
        <v>0.517</v>
      </c>
      <c r="AY2045" s="1">
        <v>12.6</v>
      </c>
      <c r="AZ2045" s="1">
        <v>13.0</v>
      </c>
      <c r="BA2045" s="1">
        <v>19.1</v>
      </c>
      <c r="BB2045" s="1">
        <v>2.75</v>
      </c>
      <c r="BC2045" s="1" t="s">
        <v>3418</v>
      </c>
      <c r="BD2045" s="1">
        <v>11.5</v>
      </c>
      <c r="BE2045" s="1">
        <v>41.6</v>
      </c>
      <c r="BF2045" s="1">
        <v>25.9</v>
      </c>
      <c r="BG2045" s="1">
        <v>20.9</v>
      </c>
      <c r="BH2045" s="1" t="s">
        <v>3421</v>
      </c>
    </row>
    <row r="2046">
      <c r="A2046" s="1">
        <v>39007.0</v>
      </c>
      <c r="B2046" s="2" t="str">
        <f>IFERROR(__xludf.DUMMYFUNCTION("TO_TEXT(A2046)"),"39007")</f>
        <v>39007</v>
      </c>
      <c r="C2046" s="1">
        <v>99175.0</v>
      </c>
      <c r="D2046" s="1">
        <v>701.936660337802</v>
      </c>
      <c r="E2046" s="1" t="s">
        <v>3422</v>
      </c>
      <c r="F2046" s="1" t="s">
        <v>3423</v>
      </c>
      <c r="G2046" s="1">
        <v>141.287676800173</v>
      </c>
      <c r="H2046" s="1">
        <v>16.7738937779999</v>
      </c>
      <c r="I2046" s="1">
        <v>4.5658681391</v>
      </c>
      <c r="J2046" s="1">
        <v>8.1555671176</v>
      </c>
      <c r="K2046" s="1">
        <v>21.275717753</v>
      </c>
      <c r="L2046" s="1">
        <v>37.6</v>
      </c>
      <c r="M2046" s="1">
        <v>6.9</v>
      </c>
      <c r="N2046" s="1">
        <v>33.7</v>
      </c>
      <c r="O2046" s="1">
        <v>73.135166557</v>
      </c>
      <c r="P2046" s="1">
        <v>8.3035131252</v>
      </c>
      <c r="Q2046" s="1">
        <v>35.78476</v>
      </c>
      <c r="R2046" s="1">
        <v>87.985212569</v>
      </c>
      <c r="S2046" s="1">
        <v>24.0</v>
      </c>
      <c r="T2046" s="1">
        <v>21622.0</v>
      </c>
      <c r="U2046" s="1">
        <v>37.096475812</v>
      </c>
      <c r="V2046" s="1">
        <v>134.91501999</v>
      </c>
      <c r="W2046" s="1">
        <v>14.8969072159999</v>
      </c>
      <c r="X2046" s="1">
        <v>12.550926534</v>
      </c>
      <c r="Y2046" s="1">
        <v>75.317702646</v>
      </c>
      <c r="Z2046" s="1">
        <v>13.8</v>
      </c>
      <c r="AA2046" s="1">
        <v>10.413622589</v>
      </c>
      <c r="AB2046" s="1">
        <v>46950.0</v>
      </c>
      <c r="AC2046" s="1">
        <v>54.9538795439999</v>
      </c>
      <c r="AD2046" s="1">
        <v>70.067991076</v>
      </c>
      <c r="AE2046" s="1">
        <v>13.223647518</v>
      </c>
      <c r="AF2046" s="1">
        <v>3.4946098694</v>
      </c>
      <c r="AG2046" s="1">
        <v>0.32310012</v>
      </c>
      <c r="AH2046" s="1">
        <v>0.511831618699999</v>
      </c>
      <c r="AI2046" s="1">
        <v>0.0451314453</v>
      </c>
      <c r="AJ2046" s="1">
        <v>4.3223616054</v>
      </c>
      <c r="AK2046" s="1">
        <v>89.323336034</v>
      </c>
      <c r="AL2046" s="1">
        <v>0.5310307609</v>
      </c>
      <c r="AM2046" s="1">
        <v>49.5953555639999</v>
      </c>
      <c r="AN2046" s="1">
        <v>46.368858193</v>
      </c>
      <c r="AO2046" s="1">
        <v>20978.0</v>
      </c>
      <c r="AP2046" s="1">
        <v>19.6</v>
      </c>
      <c r="AQ2046" s="1">
        <v>8.1</v>
      </c>
      <c r="AR2046" s="1">
        <v>14.6</v>
      </c>
      <c r="AS2046" s="1">
        <v>17.3</v>
      </c>
      <c r="AT2046" s="1">
        <v>22.6</v>
      </c>
      <c r="AU2046" s="1">
        <v>16.0</v>
      </c>
      <c r="AV2046" s="1">
        <v>10.0</v>
      </c>
      <c r="AW2046" s="1">
        <v>0.7</v>
      </c>
      <c r="AX2046" s="1">
        <v>0.7482</v>
      </c>
      <c r="AY2046" s="1">
        <v>18.7</v>
      </c>
      <c r="AZ2046" s="1">
        <v>16.1</v>
      </c>
      <c r="BA2046" s="1">
        <v>23.8</v>
      </c>
      <c r="BB2046" s="1">
        <v>2.84</v>
      </c>
      <c r="BC2046" s="1" t="s">
        <v>3418</v>
      </c>
      <c r="BD2046" s="1">
        <v>14.0</v>
      </c>
      <c r="BE2046" s="1">
        <v>44.6</v>
      </c>
      <c r="BF2046" s="1">
        <v>27.2</v>
      </c>
      <c r="BG2046" s="1">
        <v>14.3</v>
      </c>
      <c r="BH2046" s="1" t="s">
        <v>3423</v>
      </c>
    </row>
    <row r="2047">
      <c r="A2047" s="1">
        <v>39009.0</v>
      </c>
      <c r="B2047" s="2" t="str">
        <f>IFERROR(__xludf.DUMMYFUNCTION("TO_TEXT(A2047)"),"39009")</f>
        <v>39009</v>
      </c>
      <c r="C2047" s="1">
        <v>65103.0</v>
      </c>
      <c r="D2047" s="1">
        <v>503.62516305944</v>
      </c>
      <c r="E2047" s="1" t="s">
        <v>3424</v>
      </c>
      <c r="F2047" s="1" t="s">
        <v>3425</v>
      </c>
      <c r="G2047" s="1">
        <v>129.268759337817</v>
      </c>
      <c r="H2047" s="1">
        <v>20.618433863</v>
      </c>
      <c r="I2047" s="1">
        <v>4.9160919831</v>
      </c>
      <c r="J2047" s="1">
        <v>8.5460897608</v>
      </c>
      <c r="K2047" s="1">
        <v>20.0316093659999</v>
      </c>
      <c r="L2047" s="1">
        <v>33.4</v>
      </c>
      <c r="M2047" s="1">
        <v>5.8</v>
      </c>
      <c r="N2047" s="1">
        <v>26.7</v>
      </c>
      <c r="O2047" s="1">
        <v>83.011875164</v>
      </c>
      <c r="P2047" s="1">
        <v>9.3174790927</v>
      </c>
      <c r="Q2047" s="1">
        <v>75.0784599999999</v>
      </c>
      <c r="R2047" s="1">
        <v>91.821561338</v>
      </c>
      <c r="S2047" s="1">
        <v>26.8</v>
      </c>
      <c r="T2047" s="1">
        <v>9618.0</v>
      </c>
      <c r="U2047" s="1">
        <v>36.348513204</v>
      </c>
      <c r="V2047" s="1">
        <v>111.63589523</v>
      </c>
      <c r="W2047" s="1">
        <v>21.607702642</v>
      </c>
      <c r="X2047" s="1">
        <v>19.601020645</v>
      </c>
      <c r="Y2047" s="1">
        <v>77.952990737</v>
      </c>
      <c r="Z2047" s="1">
        <v>12.2</v>
      </c>
      <c r="AA2047" s="1">
        <v>14.332842322</v>
      </c>
      <c r="AB2047" s="1">
        <v>40416.0</v>
      </c>
      <c r="AC2047" s="1">
        <v>57.40994072</v>
      </c>
      <c r="AD2047" s="1">
        <v>56.136162688</v>
      </c>
      <c r="AE2047" s="1">
        <v>20.773015422</v>
      </c>
      <c r="AF2047" s="1">
        <v>2.7788750798</v>
      </c>
      <c r="AG2047" s="1">
        <v>0.3585645264</v>
      </c>
      <c r="AH2047" s="1">
        <v>3.5643744872</v>
      </c>
      <c r="AI2047" s="1">
        <v>0.0303868243</v>
      </c>
      <c r="AJ2047" s="1">
        <v>1.9432374123</v>
      </c>
      <c r="AK2047" s="1">
        <v>89.309915221</v>
      </c>
      <c r="AL2047" s="1">
        <v>0.4502654196</v>
      </c>
      <c r="AM2047" s="1">
        <v>50.214227111</v>
      </c>
      <c r="AN2047" s="1">
        <v>43.170622481</v>
      </c>
      <c r="AO2047" s="1">
        <v>18602.0</v>
      </c>
      <c r="AP2047" s="1">
        <v>31.2</v>
      </c>
      <c r="AQ2047" s="1">
        <v>9.4</v>
      </c>
      <c r="AR2047" s="1">
        <v>10.3</v>
      </c>
      <c r="AS2047" s="1">
        <v>11.4</v>
      </c>
      <c r="AT2047" s="1">
        <v>15.2</v>
      </c>
      <c r="AU2047" s="1">
        <v>15.7</v>
      </c>
      <c r="AV2047" s="1">
        <v>10.1</v>
      </c>
      <c r="AW2047" s="1">
        <v>0.4</v>
      </c>
      <c r="AX2047" s="1">
        <v>0.6995</v>
      </c>
      <c r="AY2047" s="1">
        <v>26.6</v>
      </c>
      <c r="AZ2047" s="1">
        <v>18.2</v>
      </c>
      <c r="BA2047" s="1">
        <v>24.9</v>
      </c>
      <c r="BB2047" s="1">
        <v>2.86</v>
      </c>
      <c r="BC2047" s="1" t="s">
        <v>3418</v>
      </c>
      <c r="BD2047" s="1">
        <v>10.0</v>
      </c>
      <c r="BE2047" s="1">
        <v>35.1</v>
      </c>
      <c r="BF2047" s="1">
        <v>24.7</v>
      </c>
      <c r="BG2047" s="1">
        <v>30.2</v>
      </c>
      <c r="BH2047" s="1" t="s">
        <v>3425</v>
      </c>
    </row>
    <row r="2048">
      <c r="A2048" s="1">
        <v>39011.0</v>
      </c>
      <c r="B2048" s="2" t="str">
        <f>IFERROR(__xludf.DUMMYFUNCTION("TO_TEXT(A2048)"),"39011")</f>
        <v>39011</v>
      </c>
      <c r="C2048" s="1">
        <v>45871.0</v>
      </c>
      <c r="D2048" s="1">
        <v>401.391360434356</v>
      </c>
      <c r="E2048" s="1" t="s">
        <v>3426</v>
      </c>
      <c r="F2048" s="1" t="s">
        <v>3427</v>
      </c>
      <c r="G2048" s="1">
        <v>114.279988364378</v>
      </c>
      <c r="H2048" s="1">
        <v>14.566995823</v>
      </c>
      <c r="I2048" s="1">
        <v>4.2688880967</v>
      </c>
      <c r="J2048" s="1">
        <v>7.3170731707</v>
      </c>
      <c r="K2048" s="1">
        <v>17.454950225</v>
      </c>
      <c r="L2048" s="1">
        <v>38.3</v>
      </c>
      <c r="M2048" s="1">
        <v>8.6</v>
      </c>
      <c r="N2048" s="1">
        <v>31.1</v>
      </c>
      <c r="O2048" s="1">
        <v>77.716598838</v>
      </c>
      <c r="P2048" s="1">
        <v>5.6595210764</v>
      </c>
      <c r="Q2048" s="1">
        <v>39.3202</v>
      </c>
      <c r="R2048" s="1">
        <v>96.975088968</v>
      </c>
      <c r="S2048" s="1">
        <v>8.2</v>
      </c>
      <c r="T2048" s="1">
        <v>10971.0</v>
      </c>
      <c r="U2048" s="1">
        <v>25.22103728</v>
      </c>
      <c r="V2048" s="1">
        <v>58.254689503</v>
      </c>
      <c r="W2048" s="1">
        <v>10.833790455</v>
      </c>
      <c r="X2048" s="1">
        <v>9.1531034483</v>
      </c>
      <c r="Y2048" s="1">
        <v>79.206959102</v>
      </c>
      <c r="Z2048" s="1">
        <v>11.2</v>
      </c>
      <c r="AA2048" s="1">
        <v>1.9010360719</v>
      </c>
      <c r="AB2048" s="1">
        <v>63754.0</v>
      </c>
      <c r="AC2048" s="1">
        <v>40.716926539</v>
      </c>
      <c r="AD2048" s="1">
        <v>76.499492603</v>
      </c>
      <c r="AE2048" s="1">
        <v>8.4948408582</v>
      </c>
      <c r="AF2048" s="1">
        <v>0.5851017378</v>
      </c>
      <c r="AG2048" s="1">
        <v>0.2205047594</v>
      </c>
      <c r="AH2048" s="1">
        <v>0.580735307</v>
      </c>
      <c r="AI2048" s="1">
        <v>0.0698628941</v>
      </c>
      <c r="AJ2048" s="1">
        <v>1.772770937</v>
      </c>
      <c r="AK2048" s="1">
        <v>95.803859925</v>
      </c>
      <c r="AL2048" s="1">
        <v>0.2402668595</v>
      </c>
      <c r="AM2048" s="1">
        <v>50.037114662</v>
      </c>
      <c r="AN2048" s="1">
        <v>39.136869138</v>
      </c>
      <c r="AO2048" s="1">
        <v>26690.0</v>
      </c>
      <c r="AP2048" s="1">
        <v>8.8</v>
      </c>
      <c r="AQ2048" s="1">
        <v>4.0</v>
      </c>
      <c r="AR2048" s="1">
        <v>7.2</v>
      </c>
      <c r="AS2048" s="1">
        <v>16.9</v>
      </c>
      <c r="AT2048" s="1">
        <v>24.3</v>
      </c>
      <c r="AU2048" s="1">
        <v>11.8</v>
      </c>
      <c r="AV2048" s="1">
        <v>3.8</v>
      </c>
      <c r="AW2048" s="1">
        <v>0.3</v>
      </c>
      <c r="AX2048" s="1">
        <v>0.0586</v>
      </c>
      <c r="AY2048" s="1">
        <v>7.3</v>
      </c>
      <c r="AZ2048" s="1">
        <v>10.0</v>
      </c>
      <c r="BA2048" s="1">
        <v>14.0</v>
      </c>
      <c r="BB2048" s="1">
        <v>2.77</v>
      </c>
      <c r="BC2048" s="1" t="s">
        <v>3418</v>
      </c>
      <c r="BD2048" s="1">
        <v>7.3</v>
      </c>
      <c r="BE2048" s="1">
        <v>43.5</v>
      </c>
      <c r="BF2048" s="1">
        <v>30.3</v>
      </c>
      <c r="BG2048" s="1">
        <v>18.9</v>
      </c>
      <c r="BH2048" s="1" t="s">
        <v>3427</v>
      </c>
    </row>
    <row r="2049">
      <c r="A2049" s="1">
        <v>39013.0</v>
      </c>
      <c r="B2049" s="2" t="str">
        <f>IFERROR(__xludf.DUMMYFUNCTION("TO_TEXT(A2049)"),"39013")</f>
        <v>39013</v>
      </c>
      <c r="C2049" s="1">
        <v>69228.0</v>
      </c>
      <c r="D2049" s="1">
        <v>532.130689547949</v>
      </c>
      <c r="E2049" s="1" t="s">
        <v>3428</v>
      </c>
      <c r="F2049" s="1" t="s">
        <v>3429</v>
      </c>
      <c r="G2049" s="1">
        <v>130.095860584192</v>
      </c>
      <c r="H2049" s="1">
        <v>18.022422237</v>
      </c>
      <c r="I2049" s="1">
        <v>4.4618106363</v>
      </c>
      <c r="J2049" s="1">
        <v>8.3386923901</v>
      </c>
      <c r="K2049" s="1">
        <v>17.49012387</v>
      </c>
      <c r="L2049" s="1">
        <v>35.0</v>
      </c>
      <c r="M2049" s="1">
        <v>7.7</v>
      </c>
      <c r="N2049" s="1">
        <v>31.9</v>
      </c>
      <c r="O2049" s="1">
        <v>47.390625</v>
      </c>
      <c r="P2049" s="1">
        <v>6.5468624729</v>
      </c>
      <c r="Q2049" s="1">
        <v>36.74903</v>
      </c>
      <c r="R2049" s="1">
        <v>89.489051095</v>
      </c>
      <c r="S2049" s="1">
        <v>17.7</v>
      </c>
      <c r="T2049" s="1">
        <v>12757.0</v>
      </c>
      <c r="U2049" s="1">
        <v>33.173943717</v>
      </c>
      <c r="V2049" s="1">
        <v>136.89600973</v>
      </c>
      <c r="W2049" s="1">
        <v>8.6188243779</v>
      </c>
      <c r="X2049" s="1">
        <v>7.6009501188</v>
      </c>
      <c r="Y2049" s="1">
        <v>76.731679487</v>
      </c>
      <c r="Z2049" s="1">
        <v>13.3</v>
      </c>
      <c r="AA2049" s="1">
        <v>4.6153858235</v>
      </c>
      <c r="AB2049" s="1">
        <v>48989.0</v>
      </c>
      <c r="AC2049" s="1">
        <v>53.35603803</v>
      </c>
      <c r="AD2049" s="1">
        <v>76.416030534</v>
      </c>
      <c r="AE2049" s="1">
        <v>8.1785283474</v>
      </c>
      <c r="AF2049" s="1">
        <v>4.1952447967</v>
      </c>
      <c r="AG2049" s="1">
        <v>0.1866528405</v>
      </c>
      <c r="AH2049" s="1">
        <v>0.4666321013</v>
      </c>
      <c r="AI2049" s="1">
        <v>0.0192578328</v>
      </c>
      <c r="AJ2049" s="1">
        <v>1.0058514184</v>
      </c>
      <c r="AK2049" s="1">
        <v>92.633138286</v>
      </c>
      <c r="AL2049" s="1">
        <v>0.0660644051</v>
      </c>
      <c r="AM2049" s="1">
        <v>48.8823050139999</v>
      </c>
      <c r="AN2049" s="1">
        <v>54.664772727</v>
      </c>
      <c r="AO2049" s="1">
        <v>24533.0</v>
      </c>
      <c r="AP2049" s="1">
        <v>15.1</v>
      </c>
      <c r="AQ2049" s="1">
        <v>7.8</v>
      </c>
      <c r="AR2049" s="1">
        <v>10.1</v>
      </c>
      <c r="AS2049" s="1">
        <v>18.9</v>
      </c>
      <c r="AT2049" s="1">
        <v>19.1</v>
      </c>
      <c r="AU2049" s="1">
        <v>16.8</v>
      </c>
      <c r="AV2049" s="1">
        <v>6.9</v>
      </c>
      <c r="AW2049" s="1">
        <v>0.1</v>
      </c>
      <c r="AX2049" s="1">
        <v>0.3722</v>
      </c>
      <c r="AY2049" s="1">
        <v>11.6</v>
      </c>
      <c r="AZ2049" s="1">
        <v>13.9</v>
      </c>
      <c r="BA2049" s="1">
        <v>20.5</v>
      </c>
      <c r="BB2049" s="1">
        <v>2.77</v>
      </c>
      <c r="BC2049" s="1" t="s">
        <v>3418</v>
      </c>
      <c r="BD2049" s="1">
        <v>9.8</v>
      </c>
      <c r="BE2049" s="1">
        <v>42.4</v>
      </c>
      <c r="BF2049" s="1">
        <v>31.1</v>
      </c>
      <c r="BG2049" s="1">
        <v>16.7</v>
      </c>
      <c r="BH2049" s="1" t="s">
        <v>3429</v>
      </c>
    </row>
    <row r="2050">
      <c r="A2050" s="1">
        <v>39015.0</v>
      </c>
      <c r="B2050" s="2" t="str">
        <f>IFERROR(__xludf.DUMMYFUNCTION("TO_TEXT(A2050)"),"39015")</f>
        <v>39015</v>
      </c>
      <c r="C2050" s="1">
        <v>44059.0</v>
      </c>
      <c r="D2050" s="1">
        <v>490.016952123302</v>
      </c>
      <c r="E2050" s="1" t="s">
        <v>1158</v>
      </c>
      <c r="F2050" s="1" t="s">
        <v>3430</v>
      </c>
      <c r="G2050" s="1">
        <v>89.9132158777101</v>
      </c>
      <c r="H2050" s="1">
        <v>17.285473098</v>
      </c>
      <c r="I2050" s="1">
        <v>4.57849277779999</v>
      </c>
      <c r="J2050" s="1">
        <v>7.3881673882</v>
      </c>
      <c r="K2050" s="1">
        <v>20.586497724</v>
      </c>
      <c r="L2050" s="1">
        <v>34.0</v>
      </c>
      <c r="M2050" s="1">
        <v>7.7</v>
      </c>
      <c r="N2050" s="1">
        <v>34.7</v>
      </c>
      <c r="O2050" s="1">
        <v>49.948713375</v>
      </c>
      <c r="P2050" s="1">
        <v>7.57186785909999</v>
      </c>
      <c r="Q2050" s="1">
        <v>27.53809</v>
      </c>
      <c r="R2050" s="1">
        <v>93.598615917</v>
      </c>
      <c r="S2050" s="1">
        <v>18.4</v>
      </c>
      <c r="T2050" s="1">
        <v>10026.0</v>
      </c>
      <c r="U2050" s="1">
        <v>31.966886096</v>
      </c>
      <c r="V2050" s="1">
        <v>67.316620241</v>
      </c>
      <c r="W2050" s="1">
        <v>11.880316808</v>
      </c>
      <c r="X2050" s="1">
        <v>9.9316086827</v>
      </c>
      <c r="Y2050" s="1">
        <v>74.535789691</v>
      </c>
      <c r="Z2050" s="1">
        <v>13.5</v>
      </c>
      <c r="AA2050" s="1">
        <v>3.7017713915</v>
      </c>
      <c r="AB2050" s="1">
        <v>55334.0</v>
      </c>
      <c r="AC2050" s="1">
        <v>57.1706878469999</v>
      </c>
      <c r="AD2050" s="1">
        <v>73.895835723</v>
      </c>
      <c r="AE2050" s="1">
        <v>10.7660083779999</v>
      </c>
      <c r="AF2050" s="1">
        <v>0.9082152195</v>
      </c>
      <c r="AG2050" s="1">
        <v>0.3417274437</v>
      </c>
      <c r="AH2050" s="1">
        <v>0.3004449337</v>
      </c>
      <c r="AI2050" s="1">
        <v>0.0252282005</v>
      </c>
      <c r="AJ2050" s="1">
        <v>1.1375624971</v>
      </c>
      <c r="AK2050" s="1">
        <v>96.26622632</v>
      </c>
      <c r="AL2050" s="1">
        <v>0.1554718815</v>
      </c>
      <c r="AM2050" s="1">
        <v>50.424292464</v>
      </c>
      <c r="AN2050" s="1">
        <v>76.559782366</v>
      </c>
      <c r="AO2050" s="1">
        <v>23776.0</v>
      </c>
      <c r="AP2050" s="1">
        <v>16.7</v>
      </c>
      <c r="AQ2050" s="1">
        <v>8.0</v>
      </c>
      <c r="AR2050" s="1">
        <v>14.7</v>
      </c>
      <c r="AS2050" s="1">
        <v>16.8</v>
      </c>
      <c r="AT2050" s="1">
        <v>23.3</v>
      </c>
      <c r="AU2050" s="1">
        <v>15.6</v>
      </c>
      <c r="AV2050" s="1">
        <v>3.3</v>
      </c>
      <c r="AW2050" s="1">
        <v>0.1</v>
      </c>
      <c r="AX2050" s="1">
        <v>0.432</v>
      </c>
      <c r="AY2050" s="1">
        <v>12.1</v>
      </c>
      <c r="AZ2050" s="1">
        <v>14.7</v>
      </c>
      <c r="BA2050" s="1">
        <v>21.6</v>
      </c>
      <c r="BB2050" s="1">
        <v>2.9</v>
      </c>
      <c r="BC2050" s="1" t="s">
        <v>3418</v>
      </c>
      <c r="BD2050" s="1">
        <v>12.1</v>
      </c>
      <c r="BE2050" s="1">
        <v>45.6</v>
      </c>
      <c r="BF2050" s="1">
        <v>27.4</v>
      </c>
      <c r="BG2050" s="1">
        <v>14.9</v>
      </c>
      <c r="BH2050" s="1" t="s">
        <v>3430</v>
      </c>
    </row>
    <row r="2051">
      <c r="A2051" s="1">
        <v>39017.0</v>
      </c>
      <c r="B2051" s="2" t="str">
        <f>IFERROR(__xludf.DUMMYFUNCTION("TO_TEXT(A2051)"),"39017")</f>
        <v>39017</v>
      </c>
      <c r="C2051" s="1">
        <v>373638.0</v>
      </c>
      <c r="D2051" s="1">
        <v>467.001508428802</v>
      </c>
      <c r="E2051" s="1" t="s">
        <v>72</v>
      </c>
      <c r="F2051" s="1" t="s">
        <v>3431</v>
      </c>
      <c r="G2051" s="1">
        <v>800.078786162987</v>
      </c>
      <c r="H2051" s="1">
        <v>16.472483558</v>
      </c>
      <c r="I2051" s="1">
        <v>4.1448305255</v>
      </c>
      <c r="J2051" s="1">
        <v>7.9895843257</v>
      </c>
      <c r="K2051" s="1">
        <v>18.240214547</v>
      </c>
      <c r="L2051" s="1">
        <v>32.3</v>
      </c>
      <c r="M2051" s="1">
        <v>7.7</v>
      </c>
      <c r="N2051" s="1">
        <v>24.1</v>
      </c>
      <c r="O2051" s="1">
        <v>84.166734577</v>
      </c>
      <c r="P2051" s="1">
        <v>6.87605763</v>
      </c>
      <c r="Q2051" s="1">
        <v>54.1245</v>
      </c>
      <c r="R2051" s="1">
        <v>90.452380952</v>
      </c>
      <c r="S2051" s="1">
        <v>15.4</v>
      </c>
      <c r="T2051" s="1">
        <v>89018.0</v>
      </c>
      <c r="U2051" s="1">
        <v>31.320631782</v>
      </c>
      <c r="V2051" s="1">
        <v>270.0091345</v>
      </c>
      <c r="W2051" s="1">
        <v>13.641746854</v>
      </c>
      <c r="X2051" s="1">
        <v>12.1979632479999</v>
      </c>
      <c r="Y2051" s="1">
        <v>76.524876613</v>
      </c>
      <c r="Z2051" s="1">
        <v>11.2</v>
      </c>
      <c r="AA2051" s="1">
        <v>6.8764528695</v>
      </c>
      <c r="AB2051" s="1">
        <v>61053.0</v>
      </c>
      <c r="AC2051" s="1">
        <v>37.00456621</v>
      </c>
      <c r="AD2051" s="1">
        <v>68.344595083</v>
      </c>
      <c r="AE2051" s="1">
        <v>12.216038207</v>
      </c>
      <c r="AF2051" s="1">
        <v>8.5190570587</v>
      </c>
      <c r="AG2051" s="1">
        <v>0.2766895585</v>
      </c>
      <c r="AH2051" s="1">
        <v>3.6856199886</v>
      </c>
      <c r="AI2051" s="1">
        <v>0.1169000309</v>
      </c>
      <c r="AJ2051" s="1">
        <v>4.8645581074</v>
      </c>
      <c r="AK2051" s="1">
        <v>80.501754808</v>
      </c>
      <c r="AL2051" s="1">
        <v>1.1948925526</v>
      </c>
      <c r="AM2051" s="1">
        <v>50.9440919719999</v>
      </c>
      <c r="AN2051" s="1">
        <v>9.3428951729</v>
      </c>
      <c r="AO2051" s="1">
        <v>28556.0</v>
      </c>
      <c r="AP2051" s="1">
        <v>13.6</v>
      </c>
      <c r="AQ2051" s="1">
        <v>6.1</v>
      </c>
      <c r="AR2051" s="1">
        <v>10.3</v>
      </c>
      <c r="AS2051" s="1">
        <v>13.2</v>
      </c>
      <c r="AT2051" s="1">
        <v>24.2</v>
      </c>
      <c r="AU2051" s="1">
        <v>11.7</v>
      </c>
      <c r="AV2051" s="1">
        <v>17.3</v>
      </c>
      <c r="AW2051" s="1">
        <v>1.3</v>
      </c>
      <c r="AX2051" s="1">
        <v>0.3499</v>
      </c>
      <c r="AY2051" s="1">
        <v>11.7</v>
      </c>
      <c r="AZ2051" s="1">
        <v>12.1</v>
      </c>
      <c r="BA2051" s="1">
        <v>16.5</v>
      </c>
      <c r="BB2051" s="1">
        <v>3.06</v>
      </c>
      <c r="BC2051" s="1" t="s">
        <v>3418</v>
      </c>
      <c r="BD2051" s="1">
        <v>9.4</v>
      </c>
      <c r="BE2051" s="1">
        <v>32.9</v>
      </c>
      <c r="BF2051" s="1">
        <v>27.5</v>
      </c>
      <c r="BG2051" s="1">
        <v>30.2</v>
      </c>
      <c r="BH2051" s="1" t="s">
        <v>3431</v>
      </c>
    </row>
    <row r="2052">
      <c r="A2052" s="1">
        <v>39019.0</v>
      </c>
      <c r="B2052" s="2" t="str">
        <f>IFERROR(__xludf.DUMMYFUNCTION("TO_TEXT(A2052)"),"39019")</f>
        <v>39019</v>
      </c>
      <c r="C2052" s="1">
        <v>28108.0</v>
      </c>
      <c r="D2052" s="1">
        <v>394.608196945716</v>
      </c>
      <c r="E2052" s="1" t="s">
        <v>298</v>
      </c>
      <c r="F2052" s="1" t="s">
        <v>3432</v>
      </c>
      <c r="G2052" s="1">
        <v>71.2301473146202</v>
      </c>
      <c r="H2052" s="1">
        <v>16.206026411</v>
      </c>
      <c r="I2052" s="1">
        <v>4.3942144265</v>
      </c>
      <c r="J2052" s="1">
        <v>7.6075550892</v>
      </c>
      <c r="K2052" s="1">
        <v>18.369949889</v>
      </c>
      <c r="L2052" s="1">
        <v>38.6</v>
      </c>
      <c r="M2052" s="1">
        <v>8.1</v>
      </c>
      <c r="N2052" s="1">
        <v>31.6</v>
      </c>
      <c r="O2052" s="1">
        <v>30.947426828</v>
      </c>
      <c r="P2052" s="1">
        <v>7.7841806859</v>
      </c>
      <c r="Q2052" s="1">
        <v>18.25817</v>
      </c>
      <c r="R2052" s="1">
        <v>91.25</v>
      </c>
      <c r="S2052" s="1">
        <v>17.3</v>
      </c>
      <c r="T2052" s="1">
        <v>5673.0</v>
      </c>
      <c r="U2052" s="1">
        <v>25.189494095</v>
      </c>
      <c r="V2052" s="1">
        <v>204.509002055</v>
      </c>
      <c r="W2052" s="1">
        <v>11.039558418</v>
      </c>
      <c r="X2052" s="1">
        <v>8.4848484848</v>
      </c>
      <c r="Y2052" s="1">
        <v>77.409991655</v>
      </c>
      <c r="Z2052" s="1">
        <v>14.1</v>
      </c>
      <c r="AA2052" s="1">
        <v>2.3616593651</v>
      </c>
      <c r="AB2052" s="1">
        <v>50002.0</v>
      </c>
      <c r="AC2052" s="1">
        <v>49.03883876</v>
      </c>
      <c r="AD2052" s="1">
        <v>77.4582060039999</v>
      </c>
      <c r="AE2052" s="1">
        <v>8.0340084066</v>
      </c>
      <c r="AF2052" s="1">
        <v>0.6351316421</v>
      </c>
      <c r="AG2052" s="1">
        <v>0.3323363244</v>
      </c>
      <c r="AH2052" s="1">
        <v>0.4578856025</v>
      </c>
      <c r="AI2052" s="1">
        <v>0.0110778775</v>
      </c>
      <c r="AJ2052" s="1">
        <v>1.3515010524</v>
      </c>
      <c r="AK2052" s="1">
        <v>96.0119641079999</v>
      </c>
      <c r="AL2052" s="1">
        <v>0.2131790323</v>
      </c>
      <c r="AM2052" s="1">
        <v>49.939071674</v>
      </c>
      <c r="AN2052" s="1">
        <v>70.952975447</v>
      </c>
      <c r="AO2052" s="1">
        <v>25093.0</v>
      </c>
      <c r="AP2052" s="1">
        <v>14.0</v>
      </c>
      <c r="AQ2052" s="1">
        <v>6.7</v>
      </c>
      <c r="AR2052" s="1">
        <v>13.0</v>
      </c>
      <c r="AS2052" s="1">
        <v>19.2</v>
      </c>
      <c r="AT2052" s="1">
        <v>21.3</v>
      </c>
      <c r="AU2052" s="1">
        <v>14.0</v>
      </c>
      <c r="AV2052" s="1">
        <v>3.5</v>
      </c>
      <c r="AW2052" s="1">
        <v>0.3</v>
      </c>
      <c r="AX2052" s="1">
        <v>0.2092</v>
      </c>
      <c r="AY2052" s="1">
        <v>11.3</v>
      </c>
      <c r="AZ2052" s="1">
        <v>13.2</v>
      </c>
      <c r="BA2052" s="1">
        <v>19.1</v>
      </c>
      <c r="BB2052" s="1">
        <v>3.32</v>
      </c>
      <c r="BC2052" s="1" t="s">
        <v>3418</v>
      </c>
      <c r="BD2052" s="1">
        <v>10.5</v>
      </c>
      <c r="BE2052" s="1">
        <v>49.7</v>
      </c>
      <c r="BF2052" s="1">
        <v>26.5</v>
      </c>
      <c r="BG2052" s="1">
        <v>13.3</v>
      </c>
      <c r="BH2052" s="1" t="s">
        <v>3432</v>
      </c>
    </row>
    <row r="2053">
      <c r="A2053" s="1">
        <v>39021.0</v>
      </c>
      <c r="B2053" s="2" t="str">
        <f>IFERROR(__xludf.DUMMYFUNCTION("TO_TEXT(A2053)"),"39021")</f>
        <v>39021</v>
      </c>
      <c r="C2053" s="1">
        <v>39175.0</v>
      </c>
      <c r="D2053" s="1">
        <v>428.42784873598</v>
      </c>
      <c r="E2053" s="1" t="s">
        <v>1166</v>
      </c>
      <c r="F2053" s="1" t="s">
        <v>3433</v>
      </c>
      <c r="G2053" s="1">
        <v>91.43896718101</v>
      </c>
      <c r="H2053" s="1">
        <v>15.8350619559999</v>
      </c>
      <c r="I2053" s="1">
        <v>4.2935832648</v>
      </c>
      <c r="J2053" s="1">
        <v>6.7307692308</v>
      </c>
      <c r="K2053" s="1">
        <v>18.455168236</v>
      </c>
      <c r="L2053" s="1">
        <v>31.7</v>
      </c>
      <c r="M2053" s="1">
        <v>8.4</v>
      </c>
      <c r="N2053" s="1">
        <v>34.4</v>
      </c>
      <c r="O2053" s="1">
        <v>58.932089683</v>
      </c>
      <c r="P2053" s="1">
        <v>6.6596598509</v>
      </c>
      <c r="Q2053" s="1">
        <v>20.59732</v>
      </c>
      <c r="R2053" s="1">
        <v>91.2380952379999</v>
      </c>
      <c r="S2053" s="1">
        <v>14.8</v>
      </c>
      <c r="T2053" s="1">
        <v>8640.0</v>
      </c>
      <c r="U2053" s="1">
        <v>34.988425926</v>
      </c>
      <c r="V2053" s="1">
        <v>103.73178291</v>
      </c>
      <c r="W2053" s="1">
        <v>10.224274406</v>
      </c>
      <c r="X2053" s="1">
        <v>8.1385338719</v>
      </c>
      <c r="Y2053" s="1">
        <v>76.906090063</v>
      </c>
      <c r="Z2053" s="1">
        <v>12.9</v>
      </c>
      <c r="AA2053" s="1">
        <v>0.5804660608</v>
      </c>
      <c r="AB2053" s="1">
        <v>57701.0</v>
      </c>
      <c r="AC2053" s="1">
        <v>44.53433307</v>
      </c>
      <c r="AD2053" s="1">
        <v>72.614899073</v>
      </c>
      <c r="AE2053" s="1">
        <v>7.7744926757</v>
      </c>
      <c r="AF2053" s="1">
        <v>2.0410796305</v>
      </c>
      <c r="AG2053" s="1">
        <v>0.4309232595</v>
      </c>
      <c r="AH2053" s="1">
        <v>0.4980131083</v>
      </c>
      <c r="AI2053" s="1">
        <v>0.0412860608</v>
      </c>
      <c r="AJ2053" s="1">
        <v>1.6488620529</v>
      </c>
      <c r="AK2053" s="1">
        <v>93.3271404239999</v>
      </c>
      <c r="AL2053" s="1">
        <v>0.2826394173</v>
      </c>
      <c r="AM2053" s="1">
        <v>50.180626516</v>
      </c>
      <c r="AN2053" s="1">
        <v>70.82325361</v>
      </c>
      <c r="AO2053" s="1">
        <v>24715.0</v>
      </c>
      <c r="AP2053" s="1">
        <v>11.2</v>
      </c>
      <c r="AQ2053" s="1">
        <v>7.2</v>
      </c>
      <c r="AR2053" s="1">
        <v>10.9</v>
      </c>
      <c r="AS2053" s="1">
        <v>16.6</v>
      </c>
      <c r="AT2053" s="1">
        <v>23.3</v>
      </c>
      <c r="AU2053" s="1">
        <v>15.1</v>
      </c>
      <c r="AV2053" s="1">
        <v>6.5</v>
      </c>
      <c r="AW2053" s="1">
        <v>0.2</v>
      </c>
      <c r="AX2053" s="1">
        <v>0.2989</v>
      </c>
      <c r="AY2053" s="1">
        <v>7.7</v>
      </c>
      <c r="AZ2053" s="1">
        <v>12.3</v>
      </c>
      <c r="BA2053" s="1">
        <v>18.2</v>
      </c>
      <c r="BB2053" s="1">
        <v>2.93</v>
      </c>
      <c r="BC2053" s="1" t="s">
        <v>3418</v>
      </c>
      <c r="BD2053" s="1">
        <v>8.8</v>
      </c>
      <c r="BE2053" s="1">
        <v>46.2</v>
      </c>
      <c r="BF2053" s="1">
        <v>28.9</v>
      </c>
      <c r="BG2053" s="1">
        <v>16.1</v>
      </c>
      <c r="BH2053" s="1" t="s">
        <v>3433</v>
      </c>
    </row>
    <row r="2054">
      <c r="A2054" s="1">
        <v>39023.0</v>
      </c>
      <c r="B2054" s="2" t="str">
        <f>IFERROR(__xludf.DUMMYFUNCTION("TO_TEXT(A2054)"),"39023")</f>
        <v>39023</v>
      </c>
      <c r="C2054" s="1">
        <v>136175.0</v>
      </c>
      <c r="D2054" s="1">
        <v>397.480183081842</v>
      </c>
      <c r="E2054" s="1" t="s">
        <v>302</v>
      </c>
      <c r="F2054" s="1" t="s">
        <v>3434</v>
      </c>
      <c r="G2054" s="1">
        <v>342.595696077662</v>
      </c>
      <c r="H2054" s="1">
        <v>19.290545862</v>
      </c>
      <c r="I2054" s="1">
        <v>4.52527317089999</v>
      </c>
      <c r="J2054" s="1">
        <v>8.8179433843</v>
      </c>
      <c r="K2054" s="1">
        <v>21.402774834</v>
      </c>
      <c r="L2054" s="1">
        <v>33.7</v>
      </c>
      <c r="M2054" s="1">
        <v>7.0</v>
      </c>
      <c r="N2054" s="1">
        <v>30.5</v>
      </c>
      <c r="O2054" s="1">
        <v>86.39297926</v>
      </c>
      <c r="P2054" s="1">
        <v>7.1571647234</v>
      </c>
      <c r="Q2054" s="1">
        <v>45.33395</v>
      </c>
      <c r="R2054" s="1">
        <v>87.5618811879999</v>
      </c>
      <c r="S2054" s="1">
        <v>21.7</v>
      </c>
      <c r="T2054" s="1">
        <v>30352.0</v>
      </c>
      <c r="U2054" s="1">
        <v>43.054823405</v>
      </c>
      <c r="V2054" s="1">
        <v>368.24504066</v>
      </c>
      <c r="W2054" s="1">
        <v>13.926481346</v>
      </c>
      <c r="X2054" s="1">
        <v>12.003329634</v>
      </c>
      <c r="Y2054" s="1">
        <v>73.845973307</v>
      </c>
      <c r="Z2054" s="1">
        <v>14.9</v>
      </c>
      <c r="AA2054" s="1">
        <v>10.8060980429999</v>
      </c>
      <c r="AB2054" s="1">
        <v>50089.0</v>
      </c>
      <c r="AC2054" s="1">
        <v>44.208185053</v>
      </c>
      <c r="AD2054" s="1">
        <v>64.983152718</v>
      </c>
      <c r="AE2054" s="1">
        <v>11.494831897</v>
      </c>
      <c r="AF2054" s="1">
        <v>8.7245978378</v>
      </c>
      <c r="AG2054" s="1">
        <v>0.3417914329</v>
      </c>
      <c r="AH2054" s="1">
        <v>0.7333655311</v>
      </c>
      <c r="AI2054" s="1">
        <v>0.0728164357</v>
      </c>
      <c r="AJ2054" s="1">
        <v>3.51599361</v>
      </c>
      <c r="AK2054" s="1">
        <v>84.030909834</v>
      </c>
      <c r="AL2054" s="1">
        <v>0.8583488575</v>
      </c>
      <c r="AM2054" s="1">
        <v>51.5904447</v>
      </c>
      <c r="AN2054" s="1">
        <v>23.605358085</v>
      </c>
      <c r="AO2054" s="1">
        <v>23992.0</v>
      </c>
      <c r="AP2054" s="1">
        <v>17.9</v>
      </c>
      <c r="AQ2054" s="1">
        <v>8.9</v>
      </c>
      <c r="AR2054" s="1">
        <v>12.8</v>
      </c>
      <c r="AS2054" s="1">
        <v>17.8</v>
      </c>
      <c r="AT2054" s="1">
        <v>22.9</v>
      </c>
      <c r="AU2054" s="1">
        <v>16.5</v>
      </c>
      <c r="AV2054" s="1">
        <v>15.4</v>
      </c>
      <c r="AW2054" s="1">
        <v>0.6</v>
      </c>
      <c r="AX2054" s="1">
        <v>0.6832</v>
      </c>
      <c r="AY2054" s="1">
        <v>14.6</v>
      </c>
      <c r="AZ2054" s="1">
        <v>14.8</v>
      </c>
      <c r="BA2054" s="1">
        <v>21.1</v>
      </c>
      <c r="BB2054" s="1">
        <v>2.82</v>
      </c>
      <c r="BC2054" s="1" t="s">
        <v>3418</v>
      </c>
      <c r="BD2054" s="1">
        <v>11.3</v>
      </c>
      <c r="BE2054" s="1">
        <v>37.9</v>
      </c>
      <c r="BF2054" s="1">
        <v>32.1</v>
      </c>
      <c r="BG2054" s="1">
        <v>18.7</v>
      </c>
      <c r="BH2054" s="1" t="s">
        <v>3434</v>
      </c>
    </row>
    <row r="2055">
      <c r="A2055" s="1">
        <v>39025.0</v>
      </c>
      <c r="B2055" s="2" t="str">
        <f>IFERROR(__xludf.DUMMYFUNCTION("TO_TEXT(A2055)"),"39025")</f>
        <v>39025</v>
      </c>
      <c r="C2055" s="1">
        <v>201092.0</v>
      </c>
      <c r="D2055" s="1">
        <v>452.109292897748</v>
      </c>
      <c r="E2055" s="1" t="s">
        <v>3435</v>
      </c>
      <c r="F2055" s="1" t="s">
        <v>3436</v>
      </c>
      <c r="G2055" s="1">
        <v>444.786256683912</v>
      </c>
      <c r="H2055" s="1">
        <v>15.0663541979999</v>
      </c>
      <c r="I2055" s="1">
        <v>4.1358422169</v>
      </c>
      <c r="J2055" s="1">
        <v>7.3004462072</v>
      </c>
      <c r="K2055" s="1">
        <v>18.540459648</v>
      </c>
      <c r="L2055" s="1">
        <v>37.0</v>
      </c>
      <c r="M2055" s="1">
        <v>7.8</v>
      </c>
      <c r="N2055" s="1">
        <v>26.6</v>
      </c>
      <c r="O2055" s="1">
        <v>77.559116957</v>
      </c>
      <c r="P2055" s="1">
        <v>5.88022877909999</v>
      </c>
      <c r="Q2055" s="1">
        <v>65.61744</v>
      </c>
      <c r="R2055" s="1">
        <v>93.6629860779999</v>
      </c>
      <c r="S2055" s="1">
        <v>10.2</v>
      </c>
      <c r="T2055" s="1">
        <v>47655.0</v>
      </c>
      <c r="U2055" s="1">
        <v>26.5008918269999</v>
      </c>
      <c r="V2055" s="1">
        <v>110.97019658</v>
      </c>
      <c r="W2055" s="1">
        <v>11.550475178</v>
      </c>
      <c r="X2055" s="1">
        <v>10.060362173</v>
      </c>
      <c r="Y2055" s="1">
        <v>77.621987968</v>
      </c>
      <c r="Z2055" s="1">
        <v>11.1</v>
      </c>
      <c r="AA2055" s="1">
        <v>9.0795807865</v>
      </c>
      <c r="AB2055" s="1">
        <v>65280.0</v>
      </c>
      <c r="AC2055" s="1">
        <v>36.653820985</v>
      </c>
      <c r="AD2055" s="1">
        <v>74.268278462</v>
      </c>
      <c r="AE2055" s="1">
        <v>10.601487835</v>
      </c>
      <c r="AF2055" s="1">
        <v>1.5696027567</v>
      </c>
      <c r="AG2055" s="1">
        <v>0.2214478308</v>
      </c>
      <c r="AH2055" s="1">
        <v>1.3194397127</v>
      </c>
      <c r="AI2055" s="1">
        <v>0.0467230588</v>
      </c>
      <c r="AJ2055" s="1">
        <v>2.0397535359</v>
      </c>
      <c r="AK2055" s="1">
        <v>93.386253687</v>
      </c>
      <c r="AL2055" s="1">
        <v>0.2525582636</v>
      </c>
      <c r="AM2055" s="1">
        <v>50.6760242569999</v>
      </c>
      <c r="AN2055" s="1">
        <v>22.71651728</v>
      </c>
      <c r="AO2055" s="1">
        <v>30060.0</v>
      </c>
      <c r="AP2055" s="1">
        <v>10.5</v>
      </c>
      <c r="AQ2055" s="1">
        <v>5.0</v>
      </c>
      <c r="AR2055" s="1">
        <v>10.4</v>
      </c>
      <c r="AS2055" s="1">
        <v>14.0</v>
      </c>
      <c r="AT2055" s="1">
        <v>24.3</v>
      </c>
      <c r="AU2055" s="1">
        <v>12.8</v>
      </c>
      <c r="AV2055" s="1">
        <v>5.9</v>
      </c>
      <c r="AW2055" s="1">
        <v>0.3</v>
      </c>
      <c r="AX2055" s="1">
        <v>0.1009</v>
      </c>
      <c r="AY2055" s="1">
        <v>8.2</v>
      </c>
      <c r="AZ2055" s="1">
        <v>11.3</v>
      </c>
      <c r="BA2055" s="1">
        <v>15.6</v>
      </c>
      <c r="BB2055" s="1">
        <v>3.05</v>
      </c>
      <c r="BC2055" s="1" t="s">
        <v>3418</v>
      </c>
      <c r="BD2055" s="1">
        <v>9.8</v>
      </c>
      <c r="BE2055" s="1">
        <v>32.4</v>
      </c>
      <c r="BF2055" s="1">
        <v>29.3</v>
      </c>
      <c r="BG2055" s="1">
        <v>28.6</v>
      </c>
      <c r="BH2055" s="1" t="s">
        <v>3436</v>
      </c>
    </row>
    <row r="2056">
      <c r="A2056" s="1">
        <v>39027.0</v>
      </c>
      <c r="B2056" s="2" t="str">
        <f>IFERROR(__xludf.DUMMYFUNCTION("TO_TEXT(A2056)"),"39027")</f>
        <v>39027</v>
      </c>
      <c r="C2056" s="1">
        <v>41854.0</v>
      </c>
      <c r="D2056" s="1">
        <v>408.684009064218</v>
      </c>
      <c r="E2056" s="1" t="s">
        <v>1172</v>
      </c>
      <c r="F2056" s="1" t="s">
        <v>3437</v>
      </c>
      <c r="G2056" s="1">
        <v>102.411640954181</v>
      </c>
      <c r="H2056" s="1">
        <v>16.664871997</v>
      </c>
      <c r="I2056" s="1">
        <v>4.459034178</v>
      </c>
      <c r="J2056" s="1">
        <v>7.5740318907</v>
      </c>
      <c r="K2056" s="1">
        <v>19.509812043</v>
      </c>
      <c r="L2056" s="1">
        <v>32.8</v>
      </c>
      <c r="M2056" s="1">
        <v>7.3</v>
      </c>
      <c r="N2056" s="1">
        <v>27.7</v>
      </c>
      <c r="O2056" s="1">
        <v>51.924357755</v>
      </c>
      <c r="P2056" s="1">
        <v>7.0091667404</v>
      </c>
      <c r="Q2056" s="1">
        <v>76.17415</v>
      </c>
      <c r="R2056" s="1">
        <v>88.324873096</v>
      </c>
      <c r="S2056" s="1">
        <v>16.6</v>
      </c>
      <c r="T2056" s="1">
        <v>9818.0</v>
      </c>
      <c r="U2056" s="1">
        <v>36.738643308</v>
      </c>
      <c r="V2056" s="1">
        <v>81.625477195</v>
      </c>
      <c r="W2056" s="1">
        <v>12.970451011</v>
      </c>
      <c r="X2056" s="1">
        <v>10.7988632779999</v>
      </c>
      <c r="Y2056" s="1">
        <v>75.599148316</v>
      </c>
      <c r="Z2056" s="1">
        <v>13.9</v>
      </c>
      <c r="AA2056" s="1">
        <v>9.14039906899999</v>
      </c>
      <c r="AB2056" s="1">
        <v>53947.0</v>
      </c>
      <c r="AC2056" s="1">
        <v>43.640897756</v>
      </c>
      <c r="AD2056" s="1">
        <v>65.503970678</v>
      </c>
      <c r="AE2056" s="1">
        <v>10.930790604</v>
      </c>
      <c r="AF2056" s="1">
        <v>2.1328197446</v>
      </c>
      <c r="AG2056" s="1">
        <v>0.3328815655</v>
      </c>
      <c r="AH2056" s="1">
        <v>0.5302327793</v>
      </c>
      <c r="AI2056" s="1">
        <v>0.0618208622</v>
      </c>
      <c r="AJ2056" s="1">
        <v>1.5431438286</v>
      </c>
      <c r="AK2056" s="1">
        <v>93.454121787</v>
      </c>
      <c r="AL2056" s="1">
        <v>0.1779811848</v>
      </c>
      <c r="AM2056" s="1">
        <v>50.6669519939999</v>
      </c>
      <c r="AN2056" s="1">
        <v>54.638439581</v>
      </c>
      <c r="AO2056" s="1">
        <v>23612.0</v>
      </c>
      <c r="AP2056" s="1">
        <v>15.2</v>
      </c>
      <c r="AQ2056" s="1">
        <v>6.6</v>
      </c>
      <c r="AR2056" s="1">
        <v>11.5</v>
      </c>
      <c r="AS2056" s="1">
        <v>15.2</v>
      </c>
      <c r="AT2056" s="1">
        <v>24.0</v>
      </c>
      <c r="AU2056" s="1">
        <v>14.9</v>
      </c>
      <c r="AV2056" s="1">
        <v>6.5</v>
      </c>
      <c r="AW2056" s="1">
        <v>0.1</v>
      </c>
      <c r="AX2056" s="1">
        <v>0.4441</v>
      </c>
      <c r="AY2056" s="1">
        <v>14.8</v>
      </c>
      <c r="AZ2056" s="1">
        <v>14.2</v>
      </c>
      <c r="BA2056" s="1">
        <v>19.9</v>
      </c>
      <c r="BB2056" s="1">
        <v>2.64</v>
      </c>
      <c r="BC2056" s="1" t="s">
        <v>3418</v>
      </c>
      <c r="BD2056" s="1">
        <v>11.7</v>
      </c>
      <c r="BE2056" s="1">
        <v>39.1</v>
      </c>
      <c r="BF2056" s="1">
        <v>30.3</v>
      </c>
      <c r="BG2056" s="1">
        <v>18.9</v>
      </c>
      <c r="BH2056" s="1" t="s">
        <v>3437</v>
      </c>
    </row>
    <row r="2057">
      <c r="A2057" s="1">
        <v>39029.0</v>
      </c>
      <c r="B2057" s="2" t="str">
        <f>IFERROR(__xludf.DUMMYFUNCTION("TO_TEXT(A2057)"),"39029")</f>
        <v>39029</v>
      </c>
      <c r="C2057" s="1">
        <v>105230.0</v>
      </c>
      <c r="D2057" s="1">
        <v>531.931852423378</v>
      </c>
      <c r="E2057" s="1" t="s">
        <v>3438</v>
      </c>
      <c r="F2057" s="1" t="s">
        <v>3439</v>
      </c>
      <c r="G2057" s="1">
        <v>197.826092798527</v>
      </c>
      <c r="H2057" s="1">
        <v>17.4826151979999</v>
      </c>
      <c r="I2057" s="1">
        <v>4.4065278261</v>
      </c>
      <c r="J2057" s="1">
        <v>7.5349838536</v>
      </c>
      <c r="K2057" s="1">
        <v>20.965683909</v>
      </c>
      <c r="L2057" s="1">
        <v>36.0</v>
      </c>
      <c r="M2057" s="1">
        <v>7.4</v>
      </c>
      <c r="N2057" s="1">
        <v>31.3</v>
      </c>
      <c r="O2057" s="1">
        <v>77.330514368</v>
      </c>
      <c r="P2057" s="1">
        <v>7.6913366743</v>
      </c>
      <c r="Q2057" s="1">
        <v>42.68654</v>
      </c>
      <c r="R2057" s="1">
        <v>93.384467881</v>
      </c>
      <c r="S2057" s="1">
        <v>22.3</v>
      </c>
      <c r="T2057" s="1">
        <v>21280.0</v>
      </c>
      <c r="U2057" s="1">
        <v>33.388157895</v>
      </c>
      <c r="V2057" s="1">
        <v>57.532002176</v>
      </c>
      <c r="W2057" s="1">
        <v>11.30923887</v>
      </c>
      <c r="X2057" s="1">
        <v>9.0464607152</v>
      </c>
      <c r="Y2057" s="1">
        <v>76.259465708</v>
      </c>
      <c r="Z2057" s="1">
        <v>12.1</v>
      </c>
      <c r="AA2057" s="1">
        <v>7.6600898523</v>
      </c>
      <c r="AB2057" s="1">
        <v>44938.0</v>
      </c>
      <c r="AC2057" s="1">
        <v>52.161021781</v>
      </c>
      <c r="AD2057" s="1">
        <v>72.886701391</v>
      </c>
      <c r="AE2057" s="1">
        <v>9.674845402</v>
      </c>
      <c r="AF2057" s="1">
        <v>2.2812058637</v>
      </c>
      <c r="AG2057" s="1">
        <v>0.2366921541</v>
      </c>
      <c r="AH2057" s="1">
        <v>0.346758876</v>
      </c>
      <c r="AI2057" s="1">
        <v>0.0399357132</v>
      </c>
      <c r="AJ2057" s="1">
        <v>1.9295767788</v>
      </c>
      <c r="AK2057" s="1">
        <v>93.792431695</v>
      </c>
      <c r="AL2057" s="1">
        <v>0.2018665044</v>
      </c>
      <c r="AM2057" s="1">
        <v>49.414113865</v>
      </c>
      <c r="AN2057" s="1">
        <v>43.8645784069999</v>
      </c>
      <c r="AO2057" s="1">
        <v>23785.0</v>
      </c>
      <c r="AP2057" s="1">
        <v>15.8</v>
      </c>
      <c r="AQ2057" s="1">
        <v>8.4</v>
      </c>
      <c r="AR2057" s="1">
        <v>12.4</v>
      </c>
      <c r="AS2057" s="1">
        <v>18.2</v>
      </c>
      <c r="AT2057" s="1">
        <v>20.9</v>
      </c>
      <c r="AU2057" s="1">
        <v>15.9</v>
      </c>
      <c r="AV2057" s="1">
        <v>5.6</v>
      </c>
      <c r="AW2057" s="1">
        <v>0.4</v>
      </c>
      <c r="AX2057" s="1">
        <v>0.5193</v>
      </c>
      <c r="AY2057" s="1">
        <v>13.2</v>
      </c>
      <c r="AZ2057" s="1">
        <v>14.3</v>
      </c>
      <c r="BA2057" s="1">
        <v>21.5</v>
      </c>
      <c r="BB2057" s="1">
        <v>2.75</v>
      </c>
      <c r="BC2057" s="1" t="s">
        <v>3418</v>
      </c>
      <c r="BD2057" s="1">
        <v>11.5</v>
      </c>
      <c r="BE2057" s="1">
        <v>44.7</v>
      </c>
      <c r="BF2057" s="1">
        <v>28.9</v>
      </c>
      <c r="BG2057" s="1">
        <v>14.9</v>
      </c>
      <c r="BH2057" s="1" t="s">
        <v>3439</v>
      </c>
    </row>
    <row r="2058">
      <c r="A2058" s="1">
        <v>39031.0</v>
      </c>
      <c r="B2058" s="2" t="str">
        <f>IFERROR(__xludf.DUMMYFUNCTION("TO_TEXT(A2058)"),"39031")</f>
        <v>39031</v>
      </c>
      <c r="C2058" s="1">
        <v>36665.0</v>
      </c>
      <c r="D2058" s="1">
        <v>563.91389769078</v>
      </c>
      <c r="E2058" s="1" t="s">
        <v>3440</v>
      </c>
      <c r="F2058" s="1" t="s">
        <v>3441</v>
      </c>
      <c r="G2058" s="1">
        <v>65.0187912554428</v>
      </c>
      <c r="H2058" s="1">
        <v>19.15616945</v>
      </c>
      <c r="I2058" s="1">
        <v>4.5374551075</v>
      </c>
      <c r="J2058" s="1">
        <v>7.0967741935</v>
      </c>
      <c r="K2058" s="1">
        <v>21.983924544</v>
      </c>
      <c r="L2058" s="1">
        <v>37.4</v>
      </c>
      <c r="M2058" s="1">
        <v>7.4</v>
      </c>
      <c r="N2058" s="1">
        <v>33.3</v>
      </c>
      <c r="O2058" s="1">
        <v>45.800926804</v>
      </c>
      <c r="P2058" s="1">
        <v>8.7711502307</v>
      </c>
      <c r="Q2058" s="1">
        <v>35.57356</v>
      </c>
      <c r="R2058" s="1">
        <v>93.384223919</v>
      </c>
      <c r="S2058" s="1">
        <v>24.2</v>
      </c>
      <c r="T2058" s="1">
        <v>8570.0</v>
      </c>
      <c r="U2058" s="1">
        <v>26.102683781</v>
      </c>
      <c r="V2058" s="1">
        <v>106.51954224</v>
      </c>
      <c r="W2058" s="1">
        <v>11.04550191</v>
      </c>
      <c r="X2058" s="1">
        <v>8.5084033613</v>
      </c>
      <c r="Y2058" s="1">
        <v>76.951298189</v>
      </c>
      <c r="Z2058" s="1">
        <v>13.3</v>
      </c>
      <c r="AA2058" s="1">
        <v>7.3309316537</v>
      </c>
      <c r="AB2058" s="1">
        <v>46420.0</v>
      </c>
      <c r="AC2058" s="1">
        <v>56.878777106</v>
      </c>
      <c r="AD2058" s="1">
        <v>73.31443192</v>
      </c>
      <c r="AE2058" s="1">
        <v>9.604479219</v>
      </c>
      <c r="AF2058" s="1">
        <v>1.1957738404</v>
      </c>
      <c r="AG2058" s="1">
        <v>0.2948483442</v>
      </c>
      <c r="AH2058" s="1">
        <v>0.3576401212</v>
      </c>
      <c r="AI2058" s="1">
        <v>0.0382210817</v>
      </c>
      <c r="AJ2058" s="1">
        <v>1.0210488957</v>
      </c>
      <c r="AK2058" s="1">
        <v>95.768380245</v>
      </c>
      <c r="AL2058" s="1">
        <v>0.627315962999999</v>
      </c>
      <c r="AM2058" s="1">
        <v>50.424527014</v>
      </c>
      <c r="AN2058" s="1">
        <v>61.469878865</v>
      </c>
      <c r="AO2058" s="1">
        <v>21521.0</v>
      </c>
      <c r="AP2058" s="1">
        <v>14.0</v>
      </c>
      <c r="AQ2058" s="1">
        <v>6.4</v>
      </c>
      <c r="AR2058" s="1">
        <v>14.3</v>
      </c>
      <c r="AS2058" s="1">
        <v>17.6</v>
      </c>
      <c r="AT2058" s="1">
        <v>23.7</v>
      </c>
      <c r="AU2058" s="1">
        <v>13.8</v>
      </c>
      <c r="AV2058" s="1">
        <v>3.8</v>
      </c>
      <c r="AW2058" s="1">
        <v>0.7</v>
      </c>
      <c r="AX2058" s="1">
        <v>0.4059</v>
      </c>
      <c r="AY2058" s="1">
        <v>12.5</v>
      </c>
      <c r="AZ2058" s="1">
        <v>15.2</v>
      </c>
      <c r="BA2058" s="1">
        <v>23.3</v>
      </c>
      <c r="BB2058" s="1">
        <v>2.54</v>
      </c>
      <c r="BC2058" s="1" t="s">
        <v>3418</v>
      </c>
      <c r="BD2058" s="1">
        <v>14.5</v>
      </c>
      <c r="BE2058" s="1">
        <v>47.3</v>
      </c>
      <c r="BF2058" s="1">
        <v>25.0</v>
      </c>
      <c r="BG2058" s="1">
        <v>13.2</v>
      </c>
      <c r="BH2058" s="1" t="s">
        <v>3441</v>
      </c>
    </row>
    <row r="2059">
      <c r="A2059" s="1">
        <v>39033.0</v>
      </c>
      <c r="B2059" s="2" t="str">
        <f>IFERROR(__xludf.DUMMYFUNCTION("TO_TEXT(A2059)"),"39033")</f>
        <v>39033</v>
      </c>
      <c r="C2059" s="1">
        <v>42485.0</v>
      </c>
      <c r="D2059" s="1">
        <v>401.785338142951</v>
      </c>
      <c r="E2059" s="1" t="s">
        <v>314</v>
      </c>
      <c r="F2059" s="1" t="s">
        <v>3442</v>
      </c>
      <c r="G2059" s="1">
        <v>105.740543436366</v>
      </c>
      <c r="H2059" s="1">
        <v>16.884516819</v>
      </c>
      <c r="I2059" s="1">
        <v>4.5366014149</v>
      </c>
      <c r="J2059" s="1">
        <v>7.8313253012</v>
      </c>
      <c r="K2059" s="1">
        <v>19.966410292</v>
      </c>
      <c r="L2059" s="1">
        <v>31.7</v>
      </c>
      <c r="M2059" s="1">
        <v>7.1</v>
      </c>
      <c r="N2059" s="1">
        <v>29.9</v>
      </c>
      <c r="O2059" s="1">
        <v>80.253060479</v>
      </c>
      <c r="P2059" s="1">
        <v>6.9510703364</v>
      </c>
      <c r="Q2059" s="1">
        <v>38.32703</v>
      </c>
      <c r="R2059" s="1">
        <v>94.214876033</v>
      </c>
      <c r="S2059" s="1">
        <v>20.4</v>
      </c>
      <c r="T2059" s="1">
        <v>9118.0</v>
      </c>
      <c r="U2059" s="1">
        <v>35.139284931</v>
      </c>
      <c r="V2059" s="1">
        <v>142.65335235</v>
      </c>
      <c r="W2059" s="1">
        <v>12.574341546</v>
      </c>
      <c r="X2059" s="1">
        <v>11.4449213159999</v>
      </c>
      <c r="Y2059" s="1">
        <v>75.443514748</v>
      </c>
      <c r="Z2059" s="1">
        <v>10.2</v>
      </c>
      <c r="AA2059" s="1">
        <v>9.9367513809</v>
      </c>
      <c r="AB2059" s="1">
        <v>44715.0</v>
      </c>
      <c r="AC2059" s="1">
        <v>56.3357215969999</v>
      </c>
      <c r="AD2059" s="1">
        <v>69.991551676</v>
      </c>
      <c r="AE2059" s="1">
        <v>10.458544543</v>
      </c>
      <c r="AF2059" s="1">
        <v>1.0012033694</v>
      </c>
      <c r="AG2059" s="1">
        <v>0.2719614922</v>
      </c>
      <c r="AH2059" s="1">
        <v>0.5992779783</v>
      </c>
      <c r="AI2059" s="1">
        <v>0.1083032491</v>
      </c>
      <c r="AJ2059" s="1">
        <v>1.7833935018</v>
      </c>
      <c r="AK2059" s="1">
        <v>95.160048135</v>
      </c>
      <c r="AL2059" s="1">
        <v>0.2424058783</v>
      </c>
      <c r="AM2059" s="1">
        <v>51.1095066189999</v>
      </c>
      <c r="AN2059" s="1">
        <v>35.264023388</v>
      </c>
      <c r="AO2059" s="1">
        <v>22631.0</v>
      </c>
      <c r="AP2059" s="1">
        <v>15.7</v>
      </c>
      <c r="AQ2059" s="1">
        <v>7.7</v>
      </c>
      <c r="AR2059" s="1">
        <v>11.5</v>
      </c>
      <c r="AS2059" s="1">
        <v>19.5</v>
      </c>
      <c r="AT2059" s="1">
        <v>22.2</v>
      </c>
      <c r="AU2059" s="1">
        <v>17.1</v>
      </c>
      <c r="AV2059" s="1">
        <v>4.1</v>
      </c>
      <c r="AW2059" s="1">
        <v>0.2</v>
      </c>
      <c r="AX2059" s="1">
        <v>0.3356</v>
      </c>
      <c r="AY2059" s="1">
        <v>14.7</v>
      </c>
      <c r="AZ2059" s="1">
        <v>14.5</v>
      </c>
      <c r="BA2059" s="1">
        <v>22.1</v>
      </c>
      <c r="BB2059" s="1">
        <v>2.82</v>
      </c>
      <c r="BC2059" s="1" t="s">
        <v>3418</v>
      </c>
      <c r="BD2059" s="1">
        <v>9.8</v>
      </c>
      <c r="BE2059" s="1">
        <v>46.8</v>
      </c>
      <c r="BF2059" s="1">
        <v>29.0</v>
      </c>
      <c r="BG2059" s="1">
        <v>14.4</v>
      </c>
      <c r="BH2059" s="1" t="s">
        <v>3442</v>
      </c>
    </row>
    <row r="2060">
      <c r="A2060" s="1">
        <v>39035.0</v>
      </c>
      <c r="B2060" s="2" t="str">
        <f>IFERROR(__xludf.DUMMYFUNCTION("TO_TEXT(A2060)"),"39035")</f>
        <v>39035</v>
      </c>
      <c r="C2060" s="1">
        <v>1258710.0</v>
      </c>
      <c r="D2060" s="1">
        <v>457.15035103492</v>
      </c>
      <c r="E2060" s="1" t="s">
        <v>3443</v>
      </c>
      <c r="F2060" s="1" t="s">
        <v>3444</v>
      </c>
      <c r="G2060" s="1">
        <v>2753.38298909859</v>
      </c>
      <c r="H2060" s="1">
        <v>18.480357175</v>
      </c>
      <c r="I2060" s="1">
        <v>4.5921189649</v>
      </c>
      <c r="J2060" s="1">
        <v>10.693489649</v>
      </c>
      <c r="K2060" s="1">
        <v>20.03452224</v>
      </c>
      <c r="L2060" s="1">
        <v>30.4</v>
      </c>
      <c r="M2060" s="1">
        <v>6.9</v>
      </c>
      <c r="N2060" s="1">
        <v>24.8</v>
      </c>
      <c r="O2060" s="1">
        <v>97.511096599</v>
      </c>
      <c r="P2060" s="1">
        <v>6.6112558837</v>
      </c>
      <c r="Q2060" s="1">
        <v>111.17216</v>
      </c>
      <c r="R2060" s="1">
        <v>86.3779252529999</v>
      </c>
      <c r="S2060" s="1">
        <v>26.6</v>
      </c>
      <c r="T2060" s="1">
        <v>261760.0</v>
      </c>
      <c r="U2060" s="1">
        <v>45.865296455</v>
      </c>
      <c r="V2060" s="1">
        <v>645.9945915</v>
      </c>
      <c r="W2060" s="1">
        <v>17.488214606</v>
      </c>
      <c r="X2060" s="1">
        <v>16.067618893</v>
      </c>
      <c r="Y2060" s="1">
        <v>76.852134607</v>
      </c>
      <c r="Z2060" s="1">
        <v>11.0</v>
      </c>
      <c r="AA2060" s="1">
        <v>4.2920375591</v>
      </c>
      <c r="AB2060" s="1">
        <v>50006.0</v>
      </c>
      <c r="AC2060" s="1">
        <v>34.0567239569999</v>
      </c>
      <c r="AD2060" s="1">
        <v>58.449002936</v>
      </c>
      <c r="AE2060" s="1">
        <v>15.998268954</v>
      </c>
      <c r="AF2060" s="1">
        <v>29.607824694</v>
      </c>
      <c r="AG2060" s="1">
        <v>0.2656253894</v>
      </c>
      <c r="AH2060" s="1">
        <v>3.357540296</v>
      </c>
      <c r="AI2060" s="1">
        <v>0.0436545359</v>
      </c>
      <c r="AJ2060" s="1">
        <v>6.1688763258</v>
      </c>
      <c r="AK2060" s="1">
        <v>58.77990798</v>
      </c>
      <c r="AL2060" s="1">
        <v>1.9116173244</v>
      </c>
      <c r="AM2060" s="1">
        <v>52.290014045</v>
      </c>
      <c r="AN2060" s="1">
        <v>0.5817414278</v>
      </c>
      <c r="AO2060" s="1">
        <v>29143.0</v>
      </c>
      <c r="AP2060" s="1">
        <v>18.5</v>
      </c>
      <c r="AQ2060" s="1">
        <v>9.7</v>
      </c>
      <c r="AR2060" s="1">
        <v>11.5</v>
      </c>
      <c r="AS2060" s="1">
        <v>16.5</v>
      </c>
      <c r="AT2060" s="1">
        <v>21.6</v>
      </c>
      <c r="AU2060" s="1">
        <v>14.8</v>
      </c>
      <c r="AV2060" s="1">
        <v>40.0</v>
      </c>
      <c r="AW2060" s="1">
        <v>1.9</v>
      </c>
      <c r="AX2060" s="1">
        <v>0.6552</v>
      </c>
      <c r="AY2060" s="1">
        <v>16.2</v>
      </c>
      <c r="AZ2060" s="1">
        <v>15.9</v>
      </c>
      <c r="BA2060" s="1">
        <v>21.6</v>
      </c>
      <c r="BB2060" s="1">
        <v>3.24</v>
      </c>
      <c r="BC2060" s="1" t="s">
        <v>3418</v>
      </c>
      <c r="BD2060" s="1">
        <v>10.2</v>
      </c>
      <c r="BE2060" s="1">
        <v>27.8</v>
      </c>
      <c r="BF2060" s="1">
        <v>29.5</v>
      </c>
      <c r="BG2060" s="1">
        <v>32.5</v>
      </c>
      <c r="BH2060" s="1" t="s">
        <v>3444</v>
      </c>
    </row>
    <row r="2061">
      <c r="A2061" s="1">
        <v>39037.0</v>
      </c>
      <c r="B2061" s="2" t="str">
        <f>IFERROR(__xludf.DUMMYFUNCTION("TO_TEXT(A2061)"),"39037")</f>
        <v>39037</v>
      </c>
      <c r="C2061" s="1">
        <v>52185.0</v>
      </c>
      <c r="D2061" s="1">
        <v>598.118675029086</v>
      </c>
      <c r="E2061" s="1" t="s">
        <v>3445</v>
      </c>
      <c r="F2061" s="1" t="s">
        <v>3446</v>
      </c>
      <c r="G2061" s="1">
        <v>87.248571527151</v>
      </c>
      <c r="H2061" s="1">
        <v>16.364540924</v>
      </c>
      <c r="I2061" s="1">
        <v>4.3469768581</v>
      </c>
      <c r="J2061" s="1">
        <v>5.7175660161</v>
      </c>
      <c r="K2061" s="1">
        <v>18.42348452</v>
      </c>
      <c r="L2061" s="1">
        <v>35.7</v>
      </c>
      <c r="M2061" s="1">
        <v>8.3</v>
      </c>
      <c r="N2061" s="1">
        <v>32.7</v>
      </c>
      <c r="O2061" s="1">
        <v>50.393700787</v>
      </c>
      <c r="P2061" s="1">
        <v>7.39448563259999</v>
      </c>
      <c r="Q2061" s="1">
        <v>52.39056</v>
      </c>
      <c r="R2061" s="1">
        <v>96.656534954</v>
      </c>
      <c r="S2061" s="1">
        <v>12.6</v>
      </c>
      <c r="T2061" s="1">
        <v>12241.0</v>
      </c>
      <c r="U2061" s="1">
        <v>28.649620129</v>
      </c>
      <c r="V2061" s="1">
        <v>114.27405367</v>
      </c>
      <c r="W2061" s="1">
        <v>11.977916467</v>
      </c>
      <c r="X2061" s="1">
        <v>9.8162475822</v>
      </c>
      <c r="Y2061" s="1">
        <v>76.678206341</v>
      </c>
      <c r="Z2061" s="1">
        <v>7.9</v>
      </c>
      <c r="AA2061" s="1">
        <v>2.3891680123</v>
      </c>
      <c r="AB2061" s="1">
        <v>53853.0</v>
      </c>
      <c r="AC2061" s="1">
        <v>51.827741612</v>
      </c>
      <c r="AD2061" s="1">
        <v>72.463768116</v>
      </c>
      <c r="AE2061" s="1">
        <v>7.8352141132</v>
      </c>
      <c r="AF2061" s="1">
        <v>0.617656801</v>
      </c>
      <c r="AG2061" s="1">
        <v>0.2357617442</v>
      </c>
      <c r="AH2061" s="1">
        <v>0.465678156</v>
      </c>
      <c r="AI2061" s="1">
        <v>0.04676266</v>
      </c>
      <c r="AJ2061" s="1">
        <v>1.6542290981</v>
      </c>
      <c r="AK2061" s="1">
        <v>95.914112581</v>
      </c>
      <c r="AL2061" s="1">
        <v>0.1131175188</v>
      </c>
      <c r="AM2061" s="1">
        <v>50.357539505</v>
      </c>
      <c r="AN2061" s="1">
        <v>66.302233804</v>
      </c>
      <c r="AO2061" s="1">
        <v>23589.0</v>
      </c>
      <c r="AP2061" s="1">
        <v>12.4</v>
      </c>
      <c r="AQ2061" s="1">
        <v>6.1</v>
      </c>
      <c r="AR2061" s="1">
        <v>11.1</v>
      </c>
      <c r="AS2061" s="1">
        <v>18.4</v>
      </c>
      <c r="AT2061" s="1">
        <v>24.4</v>
      </c>
      <c r="AU2061" s="1">
        <v>14.8</v>
      </c>
      <c r="AV2061" s="1">
        <v>3.5</v>
      </c>
      <c r="AW2061" s="1">
        <v>0.2</v>
      </c>
      <c r="AX2061" s="1">
        <v>0.2152</v>
      </c>
      <c r="AY2061" s="1">
        <v>12.1</v>
      </c>
      <c r="AZ2061" s="1">
        <v>11.8</v>
      </c>
      <c r="BA2061" s="1">
        <v>16.9</v>
      </c>
      <c r="BB2061" s="1">
        <v>2.66</v>
      </c>
      <c r="BC2061" s="1" t="s">
        <v>3418</v>
      </c>
      <c r="BD2061" s="1">
        <v>9.2</v>
      </c>
      <c r="BE2061" s="1">
        <v>46.9</v>
      </c>
      <c r="BF2061" s="1">
        <v>28.2</v>
      </c>
      <c r="BG2061" s="1">
        <v>15.8</v>
      </c>
      <c r="BH2061" s="1" t="s">
        <v>3446</v>
      </c>
    </row>
    <row r="2062">
      <c r="A2062" s="1">
        <v>39039.0</v>
      </c>
      <c r="B2062" s="2" t="str">
        <f>IFERROR(__xludf.DUMMYFUNCTION("TO_TEXT(A2062)"),"39039")</f>
        <v>39039</v>
      </c>
      <c r="C2062" s="1">
        <v>38488.0</v>
      </c>
      <c r="D2062" s="1">
        <v>411.449554987086</v>
      </c>
      <c r="E2062" s="1" t="s">
        <v>3447</v>
      </c>
      <c r="F2062" s="1" t="s">
        <v>3448</v>
      </c>
      <c r="G2062" s="1">
        <v>93.542451397737</v>
      </c>
      <c r="H2062" s="1">
        <v>15.867334277</v>
      </c>
      <c r="I2062" s="1">
        <v>4.1531945825</v>
      </c>
      <c r="J2062" s="1">
        <v>6.3581890812</v>
      </c>
      <c r="K2062" s="1">
        <v>17.536359122</v>
      </c>
      <c r="L2062" s="1">
        <v>32.2</v>
      </c>
      <c r="M2062" s="1">
        <v>8.3</v>
      </c>
      <c r="N2062" s="1">
        <v>30.5</v>
      </c>
      <c r="O2062" s="1">
        <v>64.049491508</v>
      </c>
      <c r="P2062" s="1">
        <v>6.7487668638</v>
      </c>
      <c r="Q2062" s="1">
        <v>55.03722</v>
      </c>
      <c r="R2062" s="1">
        <v>96.579476861</v>
      </c>
      <c r="S2062" s="1">
        <v>14.0</v>
      </c>
      <c r="T2062" s="1">
        <v>8742.0</v>
      </c>
      <c r="U2062" s="1">
        <v>34.78609014</v>
      </c>
      <c r="V2062" s="1">
        <v>124.39171086</v>
      </c>
      <c r="W2062" s="1">
        <v>10.988296489</v>
      </c>
      <c r="X2062" s="1">
        <v>9.0402882411</v>
      </c>
      <c r="Y2062" s="1">
        <v>77.765334993</v>
      </c>
      <c r="Z2062" s="1">
        <v>13.6</v>
      </c>
      <c r="AA2062" s="1">
        <v>4.3044948214</v>
      </c>
      <c r="AB2062" s="1">
        <v>56740.0</v>
      </c>
      <c r="AC2062" s="1">
        <v>52.381930185</v>
      </c>
      <c r="AD2062" s="1">
        <v>77.059094196</v>
      </c>
      <c r="AE2062" s="1">
        <v>7.3820088745</v>
      </c>
      <c r="AF2062" s="1">
        <v>1.6350058955</v>
      </c>
      <c r="AG2062" s="1">
        <v>0.4192322809</v>
      </c>
      <c r="AH2062" s="1">
        <v>0.513559544099999</v>
      </c>
      <c r="AI2062" s="1">
        <v>0.0393030263</v>
      </c>
      <c r="AJ2062" s="1">
        <v>10.263330276</v>
      </c>
      <c r="AK2062" s="1">
        <v>86.0945892829999</v>
      </c>
      <c r="AL2062" s="1">
        <v>0.5294525295</v>
      </c>
      <c r="AM2062" s="1">
        <v>50.3943403639999</v>
      </c>
      <c r="AN2062" s="1">
        <v>43.850705741</v>
      </c>
      <c r="AO2062" s="1">
        <v>24703.0</v>
      </c>
      <c r="AP2062" s="1">
        <v>13.6</v>
      </c>
      <c r="AQ2062" s="1">
        <v>6.8</v>
      </c>
      <c r="AR2062" s="1">
        <v>10.2</v>
      </c>
      <c r="AS2062" s="1">
        <v>16.8</v>
      </c>
      <c r="AT2062" s="1">
        <v>23.6</v>
      </c>
      <c r="AU2062" s="1">
        <v>13.2</v>
      </c>
      <c r="AV2062" s="1">
        <v>13.0</v>
      </c>
      <c r="AW2062" s="1">
        <v>0.6</v>
      </c>
      <c r="AX2062" s="1">
        <v>0.3362</v>
      </c>
      <c r="AY2062" s="1">
        <v>8.8</v>
      </c>
      <c r="AZ2062" s="1">
        <v>11.0</v>
      </c>
      <c r="BA2062" s="1">
        <v>16.8</v>
      </c>
      <c r="BB2062" s="1">
        <v>2.6</v>
      </c>
      <c r="BC2062" s="1" t="s">
        <v>3418</v>
      </c>
      <c r="BD2062" s="1">
        <v>8.8</v>
      </c>
      <c r="BE2062" s="1">
        <v>42.1</v>
      </c>
      <c r="BF2062" s="1">
        <v>31.1</v>
      </c>
      <c r="BG2062" s="1">
        <v>18.0</v>
      </c>
      <c r="BH2062" s="1" t="s">
        <v>3448</v>
      </c>
    </row>
    <row r="2063">
      <c r="A2063" s="1">
        <v>39041.0</v>
      </c>
      <c r="B2063" s="2" t="str">
        <f>IFERROR(__xludf.DUMMYFUNCTION("TO_TEXT(A2063)"),"39041")</f>
        <v>39041</v>
      </c>
      <c r="C2063" s="1">
        <v>188996.0</v>
      </c>
      <c r="D2063" s="1">
        <v>443.193767214018</v>
      </c>
      <c r="E2063" s="1" t="s">
        <v>1331</v>
      </c>
      <c r="F2063" s="1" t="s">
        <v>3449</v>
      </c>
      <c r="G2063" s="1">
        <v>426.441015152484</v>
      </c>
      <c r="H2063" s="1">
        <v>12.570631664</v>
      </c>
      <c r="I2063" s="1">
        <v>3.5236279358</v>
      </c>
      <c r="J2063" s="1">
        <v>6.1485852219</v>
      </c>
      <c r="K2063" s="1">
        <v>15.0151313259999</v>
      </c>
      <c r="L2063" s="1">
        <v>27.0</v>
      </c>
      <c r="M2063" s="1">
        <v>8.9</v>
      </c>
      <c r="N2063" s="1">
        <v>18.7</v>
      </c>
      <c r="O2063" s="1">
        <v>95.560632326</v>
      </c>
      <c r="P2063" s="1">
        <v>4.3558866746</v>
      </c>
      <c r="Q2063" s="1">
        <v>142.66901</v>
      </c>
      <c r="R2063" s="1">
        <v>96.277097078</v>
      </c>
      <c r="S2063" s="1">
        <v>3.8</v>
      </c>
      <c r="T2063" s="1">
        <v>52773.0</v>
      </c>
      <c r="U2063" s="1">
        <v>15.70879048</v>
      </c>
      <c r="V2063" s="1">
        <v>99.904983334</v>
      </c>
      <c r="W2063" s="1">
        <v>9.8279359832</v>
      </c>
      <c r="X2063" s="1">
        <v>8.8569265708</v>
      </c>
      <c r="Y2063" s="1">
        <v>82.436642111</v>
      </c>
      <c r="Z2063" s="1">
        <v>8.4</v>
      </c>
      <c r="AA2063" s="1">
        <v>3.1091617845</v>
      </c>
      <c r="AB2063" s="1">
        <v>103536.0</v>
      </c>
      <c r="AC2063" s="1">
        <v>14.656888932</v>
      </c>
      <c r="AD2063" s="1">
        <v>81.283048551</v>
      </c>
      <c r="AE2063" s="1">
        <v>8.3696356037</v>
      </c>
      <c r="AF2063" s="1">
        <v>3.6172165643</v>
      </c>
      <c r="AG2063" s="1">
        <v>0.2030992159</v>
      </c>
      <c r="AH2063" s="1">
        <v>7.1197016004</v>
      </c>
      <c r="AI2063" s="1">
        <v>0.050774804</v>
      </c>
      <c r="AJ2063" s="1">
        <v>2.71840489</v>
      </c>
      <c r="AK2063" s="1">
        <v>84.488785603</v>
      </c>
      <c r="AL2063" s="1">
        <v>0.6808469151</v>
      </c>
      <c r="AM2063" s="1">
        <v>50.414986379</v>
      </c>
      <c r="AN2063" s="1">
        <v>19.31015877</v>
      </c>
      <c r="AO2063" s="1">
        <v>42985.0</v>
      </c>
      <c r="AP2063" s="1">
        <v>4.9</v>
      </c>
      <c r="AQ2063" s="1">
        <v>2.7</v>
      </c>
      <c r="AR2063" s="1">
        <v>3.4</v>
      </c>
      <c r="AS2063" s="1">
        <v>11.5</v>
      </c>
      <c r="AT2063" s="1">
        <v>27.6</v>
      </c>
      <c r="AU2063" s="1">
        <v>7.4</v>
      </c>
      <c r="AV2063" s="1">
        <v>13.2</v>
      </c>
      <c r="AW2063" s="1">
        <v>0.5</v>
      </c>
      <c r="AX2063" s="1">
        <v>0.0146</v>
      </c>
      <c r="AY2063" s="1">
        <v>4.8</v>
      </c>
      <c r="AZ2063" s="1">
        <v>7.5</v>
      </c>
      <c r="BA2063" s="1">
        <v>9.4</v>
      </c>
      <c r="BB2063" s="1">
        <v>3.22</v>
      </c>
      <c r="BC2063" s="1" t="s">
        <v>3418</v>
      </c>
      <c r="BD2063" s="1">
        <v>3.6</v>
      </c>
      <c r="BE2063" s="1">
        <v>18.3</v>
      </c>
      <c r="BF2063" s="1">
        <v>23.8</v>
      </c>
      <c r="BG2063" s="1">
        <v>54.3</v>
      </c>
      <c r="BH2063" s="1" t="s">
        <v>3449</v>
      </c>
    </row>
    <row r="2064">
      <c r="A2064" s="1">
        <v>39043.0</v>
      </c>
      <c r="B2064" s="2" t="str">
        <f>IFERROR(__xludf.DUMMYFUNCTION("TO_TEXT(A2064)"),"39043")</f>
        <v>39043</v>
      </c>
      <c r="C2064" s="1">
        <v>75808.0</v>
      </c>
      <c r="D2064" s="1">
        <v>251.595255524776</v>
      </c>
      <c r="E2064" s="1" t="s">
        <v>3098</v>
      </c>
      <c r="F2064" s="1" t="s">
        <v>3450</v>
      </c>
      <c r="G2064" s="1">
        <v>301.309338452667</v>
      </c>
      <c r="H2064" s="1">
        <v>17.230079753</v>
      </c>
      <c r="I2064" s="1">
        <v>4.3253406935</v>
      </c>
      <c r="J2064" s="1">
        <v>7.8582988671</v>
      </c>
      <c r="K2064" s="1">
        <v>18.225071434</v>
      </c>
      <c r="L2064" s="1">
        <v>33.2</v>
      </c>
      <c r="M2064" s="1">
        <v>7.2</v>
      </c>
      <c r="N2064" s="1">
        <v>28.6</v>
      </c>
      <c r="O2064" s="1">
        <v>85.486319231</v>
      </c>
      <c r="P2064" s="1">
        <v>6.3217799719</v>
      </c>
      <c r="Q2064" s="1">
        <v>76.18589</v>
      </c>
      <c r="R2064" s="1">
        <v>94.016110472</v>
      </c>
      <c r="S2064" s="1">
        <v>16.9</v>
      </c>
      <c r="T2064" s="1">
        <v>15362.0</v>
      </c>
      <c r="U2064" s="1">
        <v>39.552141648</v>
      </c>
      <c r="V2064" s="1">
        <v>120.84503098</v>
      </c>
      <c r="W2064" s="1">
        <v>11.72392058</v>
      </c>
      <c r="X2064" s="1">
        <v>10.8640406609999</v>
      </c>
      <c r="Y2064" s="1">
        <v>76.26341367</v>
      </c>
      <c r="Z2064" s="1">
        <v>12.0</v>
      </c>
      <c r="AA2064" s="1">
        <v>9.0899349253</v>
      </c>
      <c r="AB2064" s="1">
        <v>53135.0</v>
      </c>
      <c r="AC2064" s="1">
        <v>35.525563308</v>
      </c>
      <c r="AD2064" s="1">
        <v>69.013769528</v>
      </c>
      <c r="AE2064" s="1">
        <v>10.713353348</v>
      </c>
      <c r="AF2064" s="1">
        <v>8.5639616699</v>
      </c>
      <c r="AG2064" s="1">
        <v>0.3444347651</v>
      </c>
      <c r="AH2064" s="1">
        <v>0.8014474301</v>
      </c>
      <c r="AI2064" s="1">
        <v>0.0750519333</v>
      </c>
      <c r="AJ2064" s="1">
        <v>4.5674462239</v>
      </c>
      <c r="AK2064" s="1">
        <v>83.063727133</v>
      </c>
      <c r="AL2064" s="1">
        <v>0.4511341597</v>
      </c>
      <c r="AM2064" s="1">
        <v>51.161294646</v>
      </c>
      <c r="AN2064" s="1">
        <v>26.478029035</v>
      </c>
      <c r="AO2064" s="1">
        <v>28684.0</v>
      </c>
      <c r="AP2064" s="1">
        <v>12.8</v>
      </c>
      <c r="AQ2064" s="1">
        <v>7.7</v>
      </c>
      <c r="AR2064" s="1">
        <v>9.4</v>
      </c>
      <c r="AS2064" s="1">
        <v>19.6</v>
      </c>
      <c r="AT2064" s="1">
        <v>20.9</v>
      </c>
      <c r="AU2064" s="1">
        <v>14.1</v>
      </c>
      <c r="AV2064" s="1">
        <v>16.1</v>
      </c>
      <c r="AW2064" s="1">
        <v>0.3</v>
      </c>
      <c r="AX2064" s="1">
        <v>0.3107</v>
      </c>
      <c r="AY2064" s="1">
        <v>11.6</v>
      </c>
      <c r="AZ2064" s="1">
        <v>13.5</v>
      </c>
      <c r="BA2064" s="1">
        <v>19.5</v>
      </c>
      <c r="BB2064" s="1">
        <v>2.8</v>
      </c>
      <c r="BC2064" s="1" t="s">
        <v>3418</v>
      </c>
      <c r="BD2064" s="1">
        <v>8.2</v>
      </c>
      <c r="BE2064" s="1">
        <v>37.2</v>
      </c>
      <c r="BF2064" s="1">
        <v>31.4</v>
      </c>
      <c r="BG2064" s="1">
        <v>23.2</v>
      </c>
      <c r="BH2064" s="1" t="s">
        <v>3450</v>
      </c>
    </row>
    <row r="2065">
      <c r="A2065" s="1">
        <v>39045.0</v>
      </c>
      <c r="B2065" s="2" t="str">
        <f>IFERROR(__xludf.DUMMYFUNCTION("TO_TEXT(A2065)"),"39045")</f>
        <v>39045</v>
      </c>
      <c r="C2065" s="1">
        <v>150163.0</v>
      </c>
      <c r="D2065" s="1">
        <v>504.40970687936</v>
      </c>
      <c r="E2065" s="1" t="s">
        <v>652</v>
      </c>
      <c r="F2065" s="1" t="s">
        <v>3451</v>
      </c>
      <c r="G2065" s="1">
        <v>297.700456497984</v>
      </c>
      <c r="H2065" s="1">
        <v>14.759839227</v>
      </c>
      <c r="I2065" s="1">
        <v>3.9837436604</v>
      </c>
      <c r="J2065" s="1">
        <v>7.9251090023</v>
      </c>
      <c r="K2065" s="1">
        <v>17.35112124</v>
      </c>
      <c r="L2065" s="1">
        <v>31.9</v>
      </c>
      <c r="M2065" s="1">
        <v>8.0</v>
      </c>
      <c r="N2065" s="1">
        <v>23.8</v>
      </c>
      <c r="O2065" s="1">
        <v>80.254659405</v>
      </c>
      <c r="P2065" s="1">
        <v>5.7525985258</v>
      </c>
      <c r="Q2065" s="1">
        <v>61.39608</v>
      </c>
      <c r="R2065" s="1">
        <v>94.40376569</v>
      </c>
      <c r="S2065" s="1">
        <v>11.6</v>
      </c>
      <c r="T2065" s="1">
        <v>36772.0</v>
      </c>
      <c r="U2065" s="1">
        <v>25.6363537469999</v>
      </c>
      <c r="V2065" s="1">
        <v>166.04164523</v>
      </c>
      <c r="W2065" s="1">
        <v>12.830975698</v>
      </c>
      <c r="X2065" s="1">
        <v>11.148648649</v>
      </c>
      <c r="Y2065" s="1">
        <v>78.312193446</v>
      </c>
      <c r="Z2065" s="1">
        <v>9.5</v>
      </c>
      <c r="AA2065" s="1">
        <v>5.4898418663</v>
      </c>
      <c r="AB2065" s="1">
        <v>67654.0</v>
      </c>
      <c r="AC2065" s="1">
        <v>37.767362591</v>
      </c>
      <c r="AD2065" s="1">
        <v>72.66269642</v>
      </c>
      <c r="AE2065" s="1">
        <v>10.8910529959999</v>
      </c>
      <c r="AF2065" s="1">
        <v>8.0869420087</v>
      </c>
      <c r="AG2065" s="1">
        <v>0.2580529201</v>
      </c>
      <c r="AH2065" s="1">
        <v>1.7331912544</v>
      </c>
      <c r="AI2065" s="1">
        <v>0.0487861242</v>
      </c>
      <c r="AJ2065" s="1">
        <v>2.2826770744</v>
      </c>
      <c r="AK2065" s="1">
        <v>85.671643707</v>
      </c>
      <c r="AL2065" s="1">
        <v>0.6788446439</v>
      </c>
      <c r="AM2065" s="1">
        <v>50.245214466</v>
      </c>
      <c r="AN2065" s="1">
        <v>34.712225294</v>
      </c>
      <c r="AO2065" s="1">
        <v>28746.0</v>
      </c>
      <c r="AP2065" s="1">
        <v>10.2</v>
      </c>
      <c r="AQ2065" s="1">
        <v>6.0</v>
      </c>
      <c r="AR2065" s="1">
        <v>8.3</v>
      </c>
      <c r="AS2065" s="1">
        <v>14.4</v>
      </c>
      <c r="AT2065" s="1">
        <v>24.5</v>
      </c>
      <c r="AU2065" s="1">
        <v>13.4</v>
      </c>
      <c r="AV2065" s="1">
        <v>12.3</v>
      </c>
      <c r="AW2065" s="1">
        <v>0.5</v>
      </c>
      <c r="AX2065" s="1">
        <v>0.2238</v>
      </c>
      <c r="AY2065" s="1">
        <v>8.1</v>
      </c>
      <c r="AZ2065" s="1">
        <v>11.5</v>
      </c>
      <c r="BA2065" s="1">
        <v>15.6</v>
      </c>
      <c r="BB2065" s="1">
        <v>2.84</v>
      </c>
      <c r="BC2065" s="1" t="s">
        <v>3418</v>
      </c>
      <c r="BD2065" s="1">
        <v>7.4</v>
      </c>
      <c r="BE2065" s="1">
        <v>34.0</v>
      </c>
      <c r="BF2065" s="1">
        <v>31.0</v>
      </c>
      <c r="BG2065" s="1">
        <v>27.6</v>
      </c>
      <c r="BH2065" s="1" t="s">
        <v>3451</v>
      </c>
    </row>
    <row r="2066">
      <c r="A2066" s="1">
        <v>39047.0</v>
      </c>
      <c r="B2066" s="2" t="str">
        <f>IFERROR(__xludf.DUMMYFUNCTION("TO_TEXT(A2066)"),"39047")</f>
        <v>39047</v>
      </c>
      <c r="C2066" s="1">
        <v>28719.0</v>
      </c>
      <c r="D2066" s="1">
        <v>406.36110977925</v>
      </c>
      <c r="E2066" s="1" t="s">
        <v>116</v>
      </c>
      <c r="F2066" s="1" t="s">
        <v>3452</v>
      </c>
      <c r="G2066" s="1">
        <v>70.6735937786989</v>
      </c>
      <c r="H2066" s="1">
        <v>17.296886457</v>
      </c>
      <c r="I2066" s="1">
        <v>4.5250237254</v>
      </c>
      <c r="J2066" s="1">
        <v>7.74618871029999</v>
      </c>
      <c r="K2066" s="1">
        <v>21.361667365</v>
      </c>
      <c r="L2066" s="1">
        <v>35.8</v>
      </c>
      <c r="M2066" s="1">
        <v>7.8</v>
      </c>
      <c r="N2066" s="1">
        <v>33.5</v>
      </c>
      <c r="O2066" s="1">
        <v>55.046503617</v>
      </c>
      <c r="P2066" s="1">
        <v>6.9518946058</v>
      </c>
      <c r="Q2066" s="1">
        <v>31.30217</v>
      </c>
      <c r="R2066" s="1">
        <v>91.3946587539999</v>
      </c>
      <c r="S2066" s="1">
        <v>23.0</v>
      </c>
      <c r="T2066" s="1">
        <v>6830.0</v>
      </c>
      <c r="U2066" s="1">
        <v>44.4509516839999</v>
      </c>
      <c r="V2066" s="1">
        <v>216.17475288</v>
      </c>
      <c r="W2066" s="1">
        <v>15.3450492929999</v>
      </c>
      <c r="X2066" s="1">
        <v>13.647363872</v>
      </c>
      <c r="Y2066" s="1">
        <v>73.701174987</v>
      </c>
      <c r="Z2066" s="1">
        <v>14.0</v>
      </c>
      <c r="AA2066" s="1">
        <v>1.3870586094</v>
      </c>
      <c r="AB2066" s="1">
        <v>47733.0</v>
      </c>
      <c r="AC2066" s="1">
        <v>53.478797859</v>
      </c>
      <c r="AD2066" s="1">
        <v>63.164621677</v>
      </c>
      <c r="AE2066" s="1">
        <v>11.937256292</v>
      </c>
      <c r="AF2066" s="1">
        <v>2.1523756366</v>
      </c>
      <c r="AG2066" s="1">
        <v>0.3244261494</v>
      </c>
      <c r="AH2066" s="1">
        <v>0.9104862904</v>
      </c>
      <c r="AI2066" s="1">
        <v>0.0348845322</v>
      </c>
      <c r="AJ2066" s="1">
        <v>2.2744714993</v>
      </c>
      <c r="AK2066" s="1">
        <v>92.2730761179999</v>
      </c>
      <c r="AL2066" s="1">
        <v>0.5991366478</v>
      </c>
      <c r="AM2066" s="1">
        <v>50.830251866</v>
      </c>
      <c r="AN2066" s="1">
        <v>47.750602825</v>
      </c>
      <c r="AO2066" s="1">
        <v>22728.0</v>
      </c>
      <c r="AP2066" s="1">
        <v>18.6</v>
      </c>
      <c r="AQ2066" s="1">
        <v>6.9</v>
      </c>
      <c r="AR2066" s="1">
        <v>12.6</v>
      </c>
      <c r="AS2066" s="1">
        <v>16.5</v>
      </c>
      <c r="AT2066" s="1">
        <v>23.9</v>
      </c>
      <c r="AU2066" s="1">
        <v>16.3</v>
      </c>
      <c r="AV2066" s="1">
        <v>6.9</v>
      </c>
      <c r="AW2066" s="1">
        <v>0.7</v>
      </c>
      <c r="AX2066" s="1">
        <v>0.5234</v>
      </c>
      <c r="AY2066" s="1">
        <v>13.6</v>
      </c>
      <c r="AZ2066" s="1">
        <v>15.0</v>
      </c>
      <c r="BA2066" s="1">
        <v>21.4</v>
      </c>
      <c r="BB2066" s="1">
        <v>2.57</v>
      </c>
      <c r="BC2066" s="1" t="s">
        <v>3418</v>
      </c>
      <c r="BD2066" s="1">
        <v>14.3</v>
      </c>
      <c r="BE2066" s="1">
        <v>45.9</v>
      </c>
      <c r="BF2066" s="1">
        <v>23.5</v>
      </c>
      <c r="BG2066" s="1">
        <v>16.3</v>
      </c>
      <c r="BH2066" s="1" t="s">
        <v>3452</v>
      </c>
    </row>
    <row r="2067">
      <c r="A2067" s="1">
        <v>39049.0</v>
      </c>
      <c r="B2067" s="2" t="str">
        <f>IFERROR(__xludf.DUMMYFUNCTION("TO_TEXT(A2067)"),"39049")</f>
        <v>39049</v>
      </c>
      <c r="C2067" s="1">
        <v>1232118.0</v>
      </c>
      <c r="D2067" s="1">
        <v>532.379018385188</v>
      </c>
      <c r="E2067" s="1" t="s">
        <v>118</v>
      </c>
      <c r="F2067" s="1" t="s">
        <v>3453</v>
      </c>
      <c r="G2067" s="1">
        <v>2314.36243249642</v>
      </c>
      <c r="H2067" s="1">
        <v>16.552303932</v>
      </c>
      <c r="I2067" s="1">
        <v>4.3842963338</v>
      </c>
      <c r="J2067" s="1">
        <v>9.1129419476</v>
      </c>
      <c r="K2067" s="1">
        <v>19.93468173</v>
      </c>
      <c r="L2067" s="1">
        <v>29.9</v>
      </c>
      <c r="M2067" s="1">
        <v>7.0</v>
      </c>
      <c r="N2067" s="1">
        <v>23.2</v>
      </c>
      <c r="O2067" s="1">
        <v>95.530052071</v>
      </c>
      <c r="P2067" s="1">
        <v>8.1761277984</v>
      </c>
      <c r="Q2067" s="1">
        <v>100.38847</v>
      </c>
      <c r="R2067" s="1">
        <v>88.5743005529999</v>
      </c>
      <c r="S2067" s="1">
        <v>22.2</v>
      </c>
      <c r="T2067" s="1">
        <v>296327.0</v>
      </c>
      <c r="U2067" s="1">
        <v>40.863640505</v>
      </c>
      <c r="V2067" s="1">
        <v>422.59414054</v>
      </c>
      <c r="W2067" s="1">
        <v>16.314594794</v>
      </c>
      <c r="X2067" s="1">
        <v>14.201791441</v>
      </c>
      <c r="Y2067" s="1">
        <v>77.126269295</v>
      </c>
      <c r="Z2067" s="1">
        <v>9.4</v>
      </c>
      <c r="AA2067" s="1">
        <v>7.42192200909999</v>
      </c>
      <c r="AB2067" s="1">
        <v>60383.0</v>
      </c>
      <c r="AC2067" s="1">
        <v>37.804495171</v>
      </c>
      <c r="AD2067" s="1">
        <v>53.400818701</v>
      </c>
      <c r="AE2067" s="1">
        <v>14.030955927</v>
      </c>
      <c r="AF2067" s="1">
        <v>22.904830955</v>
      </c>
      <c r="AG2067" s="1">
        <v>0.3097000687</v>
      </c>
      <c r="AH2067" s="1">
        <v>5.67366252</v>
      </c>
      <c r="AI2067" s="1">
        <v>0.0581546211</v>
      </c>
      <c r="AJ2067" s="1">
        <v>5.7098374418</v>
      </c>
      <c r="AK2067" s="1">
        <v>62.571777456</v>
      </c>
      <c r="AL2067" s="1">
        <v>2.3455899496</v>
      </c>
      <c r="AM2067" s="1">
        <v>51.149660383</v>
      </c>
      <c r="AN2067" s="1">
        <v>1.3540321846</v>
      </c>
      <c r="AO2067" s="1">
        <v>30098.0</v>
      </c>
      <c r="AP2067" s="1">
        <v>17.1</v>
      </c>
      <c r="AQ2067" s="1">
        <v>6.3</v>
      </c>
      <c r="AR2067" s="1">
        <v>9.6</v>
      </c>
      <c r="AS2067" s="1">
        <v>10.8</v>
      </c>
      <c r="AT2067" s="1">
        <v>23.7</v>
      </c>
      <c r="AU2067" s="1">
        <v>11.5</v>
      </c>
      <c r="AV2067" s="1">
        <v>34.9</v>
      </c>
      <c r="AW2067" s="1">
        <v>2.3</v>
      </c>
      <c r="AX2067" s="1">
        <v>0.5138</v>
      </c>
      <c r="AY2067" s="1">
        <v>13.5</v>
      </c>
      <c r="AZ2067" s="1">
        <v>13.7</v>
      </c>
      <c r="BA2067" s="1">
        <v>17.8</v>
      </c>
      <c r="BB2067" s="1">
        <v>3.05</v>
      </c>
      <c r="BC2067" s="1" t="s">
        <v>3418</v>
      </c>
      <c r="BD2067" s="1">
        <v>8.8</v>
      </c>
      <c r="BE2067" s="1">
        <v>24.6</v>
      </c>
      <c r="BF2067" s="1">
        <v>26.5</v>
      </c>
      <c r="BG2067" s="1">
        <v>40.0</v>
      </c>
      <c r="BH2067" s="1" t="s">
        <v>3453</v>
      </c>
    </row>
    <row r="2068">
      <c r="A2068" s="1">
        <v>39051.0</v>
      </c>
      <c r="B2068" s="2" t="str">
        <f>IFERROR(__xludf.DUMMYFUNCTION("TO_TEXT(A2068)"),"39051")</f>
        <v>39051</v>
      </c>
      <c r="C2068" s="1">
        <v>42466.0</v>
      </c>
      <c r="D2068" s="1">
        <v>405.441678522916</v>
      </c>
      <c r="E2068" s="1" t="s">
        <v>328</v>
      </c>
      <c r="F2068" s="1" t="s">
        <v>3454</v>
      </c>
      <c r="G2068" s="1">
        <v>104.740095183873</v>
      </c>
      <c r="H2068" s="1">
        <v>15.0342061909999</v>
      </c>
      <c r="I2068" s="1">
        <v>4.1092100141</v>
      </c>
      <c r="J2068" s="1">
        <v>6.8017366136</v>
      </c>
      <c r="K2068" s="1">
        <v>17.195627237</v>
      </c>
      <c r="L2068" s="1">
        <v>31.0</v>
      </c>
      <c r="M2068" s="1">
        <v>8.3</v>
      </c>
      <c r="N2068" s="1">
        <v>26.8</v>
      </c>
      <c r="O2068" s="1">
        <v>54.660639843</v>
      </c>
      <c r="P2068" s="1">
        <v>6.4519829094</v>
      </c>
      <c r="Q2068" s="1">
        <v>37.8349</v>
      </c>
      <c r="R2068" s="1">
        <v>93.042071197</v>
      </c>
      <c r="S2068" s="1">
        <v>10.4</v>
      </c>
      <c r="T2068" s="1">
        <v>10102.0</v>
      </c>
      <c r="U2068" s="1">
        <v>30.528608196</v>
      </c>
      <c r="V2068" s="1">
        <v>104.50399308</v>
      </c>
      <c r="W2068" s="1">
        <v>10.314039409</v>
      </c>
      <c r="X2068" s="1">
        <v>8.0802469136</v>
      </c>
      <c r="Y2068" s="1">
        <v>77.622897369</v>
      </c>
      <c r="Z2068" s="1">
        <v>11.0</v>
      </c>
      <c r="AA2068" s="1">
        <v>5.0753710819</v>
      </c>
      <c r="AB2068" s="1">
        <v>62800.0</v>
      </c>
      <c r="AC2068" s="1">
        <v>39.791603745</v>
      </c>
      <c r="AD2068" s="1">
        <v>77.181126332</v>
      </c>
      <c r="AE2068" s="1">
        <v>7.4501053675</v>
      </c>
      <c r="AF2068" s="1">
        <v>0.588986659099999</v>
      </c>
      <c r="AG2068" s="1">
        <v>0.4494275712</v>
      </c>
      <c r="AH2068" s="1">
        <v>0.4446967547</v>
      </c>
      <c r="AI2068" s="1">
        <v>0.0520389819</v>
      </c>
      <c r="AJ2068" s="1">
        <v>8.9175891759</v>
      </c>
      <c r="AK2068" s="1">
        <v>88.728829596</v>
      </c>
      <c r="AL2068" s="1">
        <v>0.7359035539</v>
      </c>
      <c r="AM2068" s="1">
        <v>50.319330116</v>
      </c>
      <c r="AN2068" s="1">
        <v>56.159539088</v>
      </c>
      <c r="AO2068" s="1">
        <v>27010.0</v>
      </c>
      <c r="AP2068" s="1">
        <v>11.2</v>
      </c>
      <c r="AQ2068" s="1">
        <v>6.2</v>
      </c>
      <c r="AR2068" s="1">
        <v>9.6</v>
      </c>
      <c r="AS2068" s="1">
        <v>16.2</v>
      </c>
      <c r="AT2068" s="1">
        <v>24.6</v>
      </c>
      <c r="AU2068" s="1">
        <v>13.4</v>
      </c>
      <c r="AV2068" s="1">
        <v>10.3</v>
      </c>
      <c r="AW2068" s="1">
        <v>0.5</v>
      </c>
      <c r="AX2068" s="1">
        <v>0.1573</v>
      </c>
      <c r="AY2068" s="1">
        <v>6.9</v>
      </c>
      <c r="AZ2068" s="1">
        <v>11.1</v>
      </c>
      <c r="BA2068" s="1">
        <v>15.7</v>
      </c>
      <c r="BB2068" s="1">
        <v>2.94</v>
      </c>
      <c r="BC2068" s="1" t="s">
        <v>3418</v>
      </c>
      <c r="BD2068" s="1">
        <v>8.7</v>
      </c>
      <c r="BE2068" s="1">
        <v>41.7</v>
      </c>
      <c r="BF2068" s="1">
        <v>31.9</v>
      </c>
      <c r="BG2068" s="1">
        <v>17.6</v>
      </c>
      <c r="BH2068" s="1" t="s">
        <v>3454</v>
      </c>
    </row>
    <row r="2069">
      <c r="A2069" s="1">
        <v>39053.0</v>
      </c>
      <c r="B2069" s="2" t="str">
        <f>IFERROR(__xludf.DUMMYFUNCTION("TO_TEXT(A2069)"),"39053")</f>
        <v>39053</v>
      </c>
      <c r="C2069" s="1">
        <v>30376.0</v>
      </c>
      <c r="D2069" s="1">
        <v>466.530084836638</v>
      </c>
      <c r="E2069" s="1" t="s">
        <v>3455</v>
      </c>
      <c r="F2069" s="1" t="s">
        <v>3456</v>
      </c>
      <c r="G2069" s="1">
        <v>65.1104848053617</v>
      </c>
      <c r="H2069" s="1">
        <v>20.678180063</v>
      </c>
      <c r="I2069" s="1">
        <v>4.7157563746</v>
      </c>
      <c r="J2069" s="1">
        <v>9.391634981</v>
      </c>
      <c r="K2069" s="1">
        <v>20.895920104</v>
      </c>
      <c r="L2069" s="1">
        <v>38.2</v>
      </c>
      <c r="M2069" s="1">
        <v>7.3</v>
      </c>
      <c r="N2069" s="1">
        <v>30.7</v>
      </c>
      <c r="O2069" s="1">
        <v>52.6281761169999</v>
      </c>
      <c r="P2069" s="1">
        <v>8.5286950676</v>
      </c>
      <c r="Q2069" s="1">
        <v>86.74474</v>
      </c>
      <c r="R2069" s="1">
        <v>85.545722714</v>
      </c>
      <c r="S2069" s="1">
        <v>30.9</v>
      </c>
      <c r="T2069" s="1">
        <v>6834.0</v>
      </c>
      <c r="U2069" s="1">
        <v>31.679836114</v>
      </c>
      <c r="V2069" s="1">
        <v>136.19000166</v>
      </c>
      <c r="W2069" s="1">
        <v>15.180513267</v>
      </c>
      <c r="X2069" s="1">
        <v>11.165263624</v>
      </c>
      <c r="Y2069" s="1">
        <v>73.15786869</v>
      </c>
      <c r="Z2069" s="1">
        <v>18.3</v>
      </c>
      <c r="AA2069" s="1">
        <v>5.2929523041</v>
      </c>
      <c r="AB2069" s="1">
        <v>43785.0</v>
      </c>
      <c r="AC2069" s="1">
        <v>54.418372441</v>
      </c>
      <c r="AD2069" s="1">
        <v>73.537986623</v>
      </c>
      <c r="AE2069" s="1">
        <v>13.265763746</v>
      </c>
      <c r="AF2069" s="1">
        <v>2.2282264252</v>
      </c>
      <c r="AG2069" s="1">
        <v>0.4369725474</v>
      </c>
      <c r="AH2069" s="1">
        <v>0.7104973481</v>
      </c>
      <c r="AI2069" s="1">
        <v>0.3535808399</v>
      </c>
      <c r="AJ2069" s="1">
        <v>1.4610227159</v>
      </c>
      <c r="AK2069" s="1">
        <v>93.1518729779999</v>
      </c>
      <c r="AL2069" s="1">
        <v>0.1094864731</v>
      </c>
      <c r="AM2069" s="1">
        <v>50.5020180789999</v>
      </c>
      <c r="AN2069" s="1">
        <v>81.350617444</v>
      </c>
      <c r="AO2069" s="1">
        <v>20914.0</v>
      </c>
      <c r="AP2069" s="1">
        <v>21.4</v>
      </c>
      <c r="AQ2069" s="1">
        <v>7.2</v>
      </c>
      <c r="AR2069" s="1">
        <v>19.5</v>
      </c>
      <c r="AS2069" s="1">
        <v>17.2</v>
      </c>
      <c r="AT2069" s="1">
        <v>23.6</v>
      </c>
      <c r="AU2069" s="1">
        <v>19.8</v>
      </c>
      <c r="AV2069" s="1">
        <v>6.2</v>
      </c>
      <c r="AW2069" s="1">
        <v>0.1</v>
      </c>
      <c r="AX2069" s="1">
        <v>0.7141</v>
      </c>
      <c r="AY2069" s="1">
        <v>16.5</v>
      </c>
      <c r="AZ2069" s="1">
        <v>18.1</v>
      </c>
      <c r="BA2069" s="1">
        <v>26.7</v>
      </c>
      <c r="BB2069" s="1">
        <v>2.54</v>
      </c>
      <c r="BC2069" s="1" t="s">
        <v>3418</v>
      </c>
      <c r="BD2069" s="1">
        <v>16.0</v>
      </c>
      <c r="BE2069" s="1">
        <v>41.2</v>
      </c>
      <c r="BF2069" s="1">
        <v>26.9</v>
      </c>
      <c r="BG2069" s="1">
        <v>15.9</v>
      </c>
      <c r="BH2069" s="1" t="s">
        <v>3456</v>
      </c>
    </row>
    <row r="2070">
      <c r="A2070" s="1">
        <v>39055.0</v>
      </c>
      <c r="B2070" s="2" t="str">
        <f>IFERROR(__xludf.DUMMYFUNCTION("TO_TEXT(A2070)"),"39055")</f>
        <v>39055</v>
      </c>
      <c r="C2070" s="1">
        <v>94020.0</v>
      </c>
      <c r="D2070" s="1">
        <v>400.167615550784</v>
      </c>
      <c r="E2070" s="1" t="s">
        <v>3457</v>
      </c>
      <c r="F2070" s="1" t="s">
        <v>3458</v>
      </c>
      <c r="G2070" s="1">
        <v>234.951546167953</v>
      </c>
      <c r="H2070" s="1">
        <v>13.185817379</v>
      </c>
      <c r="I2070" s="1">
        <v>3.9565994003</v>
      </c>
      <c r="J2070" s="1">
        <v>6.418187442</v>
      </c>
      <c r="K2070" s="1">
        <v>16.907991407</v>
      </c>
      <c r="L2070" s="1">
        <v>24.8</v>
      </c>
      <c r="M2070" s="1">
        <v>8.7</v>
      </c>
      <c r="N2070" s="1">
        <v>21.3</v>
      </c>
      <c r="O2070" s="1">
        <v>81.286875328</v>
      </c>
      <c r="P2070" s="1">
        <v>8.8879194099</v>
      </c>
      <c r="Q2070" s="1">
        <v>69.20931</v>
      </c>
      <c r="R2070" s="1">
        <v>96.136865342</v>
      </c>
      <c r="S2070" s="1">
        <v>6.8</v>
      </c>
      <c r="T2070" s="1">
        <v>21835.0</v>
      </c>
      <c r="U2070" s="1">
        <v>13.405083581</v>
      </c>
      <c r="V2070" s="1">
        <v>36.147524426</v>
      </c>
      <c r="W2070" s="1">
        <v>12.897678418</v>
      </c>
      <c r="X2070" s="1">
        <v>8.7153579677</v>
      </c>
      <c r="Y2070" s="1">
        <v>81.337532863</v>
      </c>
      <c r="Z2070" s="1">
        <v>8.1</v>
      </c>
      <c r="AA2070" s="1">
        <v>3.2519495284</v>
      </c>
      <c r="AB2070" s="1">
        <v>84093.0</v>
      </c>
      <c r="AC2070" s="1">
        <v>17.633388206</v>
      </c>
      <c r="AD2070" s="1">
        <v>86.098908885</v>
      </c>
      <c r="AE2070" s="1">
        <v>8.7673611111</v>
      </c>
      <c r="AF2070" s="1">
        <v>1.2283183206</v>
      </c>
      <c r="AG2070" s="1">
        <v>0.1286809669</v>
      </c>
      <c r="AH2070" s="1">
        <v>0.6646744159</v>
      </c>
      <c r="AI2070" s="1">
        <v>0.0191426232</v>
      </c>
      <c r="AJ2070" s="1">
        <v>1.6047899097</v>
      </c>
      <c r="AK2070" s="1">
        <v>95.464261786</v>
      </c>
      <c r="AL2070" s="1">
        <v>0.6413856626</v>
      </c>
      <c r="AM2070" s="1">
        <v>50.369558975</v>
      </c>
      <c r="AN2070" s="1">
        <v>63.968989924</v>
      </c>
      <c r="AO2070" s="1">
        <v>37537.0</v>
      </c>
      <c r="AP2070" s="1">
        <v>6.9</v>
      </c>
      <c r="AQ2070" s="1">
        <v>4.0</v>
      </c>
      <c r="AR2070" s="1">
        <v>8.9</v>
      </c>
      <c r="AS2070" s="1">
        <v>18.0</v>
      </c>
      <c r="AT2070" s="1">
        <v>24.2</v>
      </c>
      <c r="AU2070" s="1">
        <v>10.5</v>
      </c>
      <c r="AV2070" s="1">
        <v>4.2</v>
      </c>
      <c r="AW2070" s="1">
        <v>0.6</v>
      </c>
      <c r="AX2070" s="1">
        <v>0.0876</v>
      </c>
      <c r="AY2070" s="1">
        <v>5.5</v>
      </c>
      <c r="AZ2070" s="1">
        <v>9.0</v>
      </c>
      <c r="BA2070" s="1">
        <v>13.3</v>
      </c>
      <c r="BB2070" s="1">
        <v>3.27</v>
      </c>
      <c r="BC2070" s="1" t="s">
        <v>3418</v>
      </c>
      <c r="BD2070" s="1">
        <v>9.8</v>
      </c>
      <c r="BE2070" s="1">
        <v>25.3</v>
      </c>
      <c r="BF2070" s="1">
        <v>26.9</v>
      </c>
      <c r="BG2070" s="1">
        <v>38.0</v>
      </c>
      <c r="BH2070" s="1" t="s">
        <v>3458</v>
      </c>
    </row>
    <row r="2071">
      <c r="A2071" s="1">
        <v>39057.0</v>
      </c>
      <c r="B2071" s="2" t="str">
        <f>IFERROR(__xludf.DUMMYFUNCTION("TO_TEXT(A2071)"),"39057")</f>
        <v>39057</v>
      </c>
      <c r="C2071" s="1">
        <v>164325.0</v>
      </c>
      <c r="D2071" s="1">
        <v>413.732403911594</v>
      </c>
      <c r="E2071" s="1" t="s">
        <v>122</v>
      </c>
      <c r="F2071" s="1" t="s">
        <v>3459</v>
      </c>
      <c r="G2071" s="1">
        <v>397.177012113155</v>
      </c>
      <c r="H2071" s="1">
        <v>16.432519065</v>
      </c>
      <c r="I2071" s="1">
        <v>4.2793870101</v>
      </c>
      <c r="J2071" s="1">
        <v>7.4714935013</v>
      </c>
      <c r="K2071" s="1">
        <v>17.569766159</v>
      </c>
      <c r="L2071" s="1">
        <v>29.6</v>
      </c>
      <c r="M2071" s="1">
        <v>7.6</v>
      </c>
      <c r="N2071" s="1">
        <v>21.7</v>
      </c>
      <c r="O2071" s="1">
        <v>85.78351581</v>
      </c>
      <c r="P2071" s="1">
        <v>5.9773742953</v>
      </c>
      <c r="Q2071" s="1">
        <v>86.35579</v>
      </c>
      <c r="R2071" s="1">
        <v>92.414208308</v>
      </c>
      <c r="S2071" s="1">
        <v>13.3</v>
      </c>
      <c r="T2071" s="1">
        <v>33952.0</v>
      </c>
      <c r="U2071" s="1">
        <v>28.9732563619999</v>
      </c>
      <c r="V2071" s="1">
        <v>123.5989775</v>
      </c>
      <c r="W2071" s="1">
        <v>12.98226509</v>
      </c>
      <c r="X2071" s="1">
        <v>11.938888014</v>
      </c>
      <c r="Y2071" s="1">
        <v>79.350920408</v>
      </c>
      <c r="Z2071" s="1">
        <v>12.0</v>
      </c>
      <c r="AA2071" s="1">
        <v>8.4473092488</v>
      </c>
      <c r="AB2071" s="1">
        <v>68380.0</v>
      </c>
      <c r="AC2071" s="1">
        <v>24.660588968</v>
      </c>
      <c r="AD2071" s="1">
        <v>66.37617344</v>
      </c>
      <c r="AE2071" s="1">
        <v>11.543397289</v>
      </c>
      <c r="AF2071" s="1">
        <v>7.0906872228</v>
      </c>
      <c r="AG2071" s="1">
        <v>0.3398910682</v>
      </c>
      <c r="AH2071" s="1">
        <v>3.1798565433</v>
      </c>
      <c r="AI2071" s="1">
        <v>0.0964314414</v>
      </c>
      <c r="AJ2071" s="1">
        <v>2.9316348701</v>
      </c>
      <c r="AK2071" s="1">
        <v>83.622726867</v>
      </c>
      <c r="AL2071" s="1">
        <v>0.7186891111</v>
      </c>
      <c r="AM2071" s="1">
        <v>50.710437811</v>
      </c>
      <c r="AN2071" s="1">
        <v>14.909669314</v>
      </c>
      <c r="AO2071" s="1">
        <v>31877.0</v>
      </c>
      <c r="AP2071" s="1">
        <v>12.8</v>
      </c>
      <c r="AQ2071" s="1">
        <v>6.5</v>
      </c>
      <c r="AR2071" s="1">
        <v>7.4</v>
      </c>
      <c r="AS2071" s="1">
        <v>15.5</v>
      </c>
      <c r="AT2071" s="1">
        <v>20.8</v>
      </c>
      <c r="AU2071" s="1">
        <v>12.4</v>
      </c>
      <c r="AV2071" s="1">
        <v>15.6</v>
      </c>
      <c r="AW2071" s="1">
        <v>0.7</v>
      </c>
      <c r="AX2071" s="1">
        <v>0.1716</v>
      </c>
      <c r="AY2071" s="1">
        <v>9.9</v>
      </c>
      <c r="AZ2071" s="1">
        <v>12.0</v>
      </c>
      <c r="BA2071" s="1">
        <v>16.7</v>
      </c>
      <c r="BB2071" s="1">
        <v>2.95</v>
      </c>
      <c r="BC2071" s="1" t="s">
        <v>3418</v>
      </c>
      <c r="BD2071" s="1">
        <v>6.2</v>
      </c>
      <c r="BE2071" s="1">
        <v>24.5</v>
      </c>
      <c r="BF2071" s="1">
        <v>30.1</v>
      </c>
      <c r="BG2071" s="1">
        <v>39.2</v>
      </c>
      <c r="BH2071" s="1" t="s">
        <v>3459</v>
      </c>
    </row>
    <row r="2072">
      <c r="A2072" s="1">
        <v>39059.0</v>
      </c>
      <c r="B2072" s="2" t="str">
        <f>IFERROR(__xludf.DUMMYFUNCTION("TO_TEXT(A2072)"),"39059")</f>
        <v>39059</v>
      </c>
      <c r="C2072" s="1">
        <v>39478.0</v>
      </c>
      <c r="D2072" s="1">
        <v>522.253606563074</v>
      </c>
      <c r="E2072" s="1" t="s">
        <v>3460</v>
      </c>
      <c r="F2072" s="1" t="s">
        <v>3461</v>
      </c>
      <c r="G2072" s="1">
        <v>75.5916273317915</v>
      </c>
      <c r="H2072" s="1">
        <v>18.657820808</v>
      </c>
      <c r="I2072" s="1">
        <v>4.7238880507</v>
      </c>
      <c r="J2072" s="1">
        <v>8.84844681519999</v>
      </c>
      <c r="K2072" s="1">
        <v>21.567506538</v>
      </c>
      <c r="L2072" s="1">
        <v>36.4</v>
      </c>
      <c r="M2072" s="1">
        <v>7.3</v>
      </c>
      <c r="N2072" s="1">
        <v>29.7</v>
      </c>
      <c r="O2072" s="1">
        <v>50.692244368</v>
      </c>
      <c r="P2072" s="1">
        <v>8.5950994818</v>
      </c>
      <c r="Q2072" s="1">
        <v>43.48605</v>
      </c>
      <c r="R2072" s="1">
        <v>86.64921466</v>
      </c>
      <c r="S2072" s="1">
        <v>26.8</v>
      </c>
      <c r="T2072" s="1">
        <v>8624.0</v>
      </c>
      <c r="U2072" s="1">
        <v>38.358070501</v>
      </c>
      <c r="V2072" s="1">
        <v>204.509002055</v>
      </c>
      <c r="W2072" s="1">
        <v>12.763945793</v>
      </c>
      <c r="X2072" s="1">
        <v>10.773179339</v>
      </c>
      <c r="Y2072" s="1">
        <v>75.525382016</v>
      </c>
      <c r="Z2072" s="1">
        <v>12.3</v>
      </c>
      <c r="AA2072" s="1">
        <v>6.1206546558</v>
      </c>
      <c r="AB2072" s="1">
        <v>44623.0</v>
      </c>
      <c r="AC2072" s="1">
        <v>55.566870333</v>
      </c>
      <c r="AD2072" s="1">
        <v>71.232451236</v>
      </c>
      <c r="AE2072" s="1">
        <v>13.053400274</v>
      </c>
      <c r="AF2072" s="1">
        <v>1.4812157245</v>
      </c>
      <c r="AG2072" s="1">
        <v>0.34595869</v>
      </c>
      <c r="AH2072" s="1">
        <v>0.412587771</v>
      </c>
      <c r="AI2072" s="1">
        <v>0.0486904823</v>
      </c>
      <c r="AJ2072" s="1">
        <v>1.235200656</v>
      </c>
      <c r="AK2072" s="1">
        <v>94.638921634</v>
      </c>
      <c r="AL2072" s="1">
        <v>0.1787503724</v>
      </c>
      <c r="AM2072" s="1">
        <v>50.099943622</v>
      </c>
      <c r="AN2072" s="1">
        <v>61.418913862</v>
      </c>
      <c r="AO2072" s="1">
        <v>22280.0</v>
      </c>
      <c r="AP2072" s="1">
        <v>19.8</v>
      </c>
      <c r="AQ2072" s="1">
        <v>9.3</v>
      </c>
      <c r="AR2072" s="1">
        <v>15.5</v>
      </c>
      <c r="AS2072" s="1">
        <v>17.5</v>
      </c>
      <c r="AT2072" s="1">
        <v>23.0</v>
      </c>
      <c r="AU2072" s="1">
        <v>18.0</v>
      </c>
      <c r="AV2072" s="1">
        <v>5.0</v>
      </c>
      <c r="AW2072" s="1">
        <v>0.3</v>
      </c>
      <c r="AX2072" s="1">
        <v>0.6078</v>
      </c>
      <c r="AY2072" s="1">
        <v>15.5</v>
      </c>
      <c r="AZ2072" s="1">
        <v>16.3</v>
      </c>
      <c r="BA2072" s="1">
        <v>26.0</v>
      </c>
      <c r="BB2072" s="1">
        <v>2.68</v>
      </c>
      <c r="BC2072" s="1" t="s">
        <v>3418</v>
      </c>
      <c r="BD2072" s="1">
        <v>14.5</v>
      </c>
      <c r="BE2072" s="1">
        <v>42.7</v>
      </c>
      <c r="BF2072" s="1">
        <v>28.2</v>
      </c>
      <c r="BG2072" s="1">
        <v>14.6</v>
      </c>
      <c r="BH2072" s="1" t="s">
        <v>3461</v>
      </c>
    </row>
    <row r="2073">
      <c r="A2073" s="1">
        <v>39061.0</v>
      </c>
      <c r="B2073" s="2" t="str">
        <f>IFERROR(__xludf.DUMMYFUNCTION("TO_TEXT(A2073)"),"39061")</f>
        <v>39061</v>
      </c>
      <c r="C2073" s="1">
        <v>805965.0</v>
      </c>
      <c r="D2073" s="1">
        <v>405.928045420785</v>
      </c>
      <c r="E2073" s="1" t="s">
        <v>719</v>
      </c>
      <c r="F2073" s="1" t="s">
        <v>3462</v>
      </c>
      <c r="G2073" s="1">
        <v>1985.48735198755</v>
      </c>
      <c r="H2073" s="1">
        <v>18.298014664</v>
      </c>
      <c r="I2073" s="1">
        <v>4.6744546052</v>
      </c>
      <c r="J2073" s="1">
        <v>9.4884477624</v>
      </c>
      <c r="K2073" s="1">
        <v>19.327357226</v>
      </c>
      <c r="L2073" s="1">
        <v>29.1</v>
      </c>
      <c r="M2073" s="1">
        <v>6.7</v>
      </c>
      <c r="N2073" s="1">
        <v>22.7</v>
      </c>
      <c r="O2073" s="1">
        <v>96.902940524</v>
      </c>
      <c r="P2073" s="1">
        <v>6.8382765736</v>
      </c>
      <c r="Q2073" s="1">
        <v>110.22066</v>
      </c>
      <c r="R2073" s="1">
        <v>86.726254002</v>
      </c>
      <c r="S2073" s="1">
        <v>21.9</v>
      </c>
      <c r="T2073" s="1">
        <v>186186.0</v>
      </c>
      <c r="U2073" s="1">
        <v>42.53488447</v>
      </c>
      <c r="V2073" s="1">
        <v>468.47743198</v>
      </c>
      <c r="W2073" s="1">
        <v>17.136594749</v>
      </c>
      <c r="X2073" s="1">
        <v>15.575264245</v>
      </c>
      <c r="Y2073" s="1">
        <v>76.619159584</v>
      </c>
      <c r="Z2073" s="1">
        <v>11.0</v>
      </c>
      <c r="AA2073" s="1">
        <v>8.6414098297</v>
      </c>
      <c r="AB2073" s="1">
        <v>57300.0</v>
      </c>
      <c r="AC2073" s="1">
        <v>36.082915314</v>
      </c>
      <c r="AD2073" s="1">
        <v>57.778424901</v>
      </c>
      <c r="AE2073" s="1">
        <v>15.197638262</v>
      </c>
      <c r="AF2073" s="1">
        <v>26.212219169</v>
      </c>
      <c r="AG2073" s="1">
        <v>0.2475865818</v>
      </c>
      <c r="AH2073" s="1">
        <v>2.8924284056</v>
      </c>
      <c r="AI2073" s="1">
        <v>0.1109364209</v>
      </c>
      <c r="AJ2073" s="1">
        <v>3.4501716698</v>
      </c>
      <c r="AK2073" s="1">
        <v>64.984498288</v>
      </c>
      <c r="AL2073" s="1">
        <v>1.2434612793</v>
      </c>
      <c r="AM2073" s="1">
        <v>51.6941681239999</v>
      </c>
      <c r="AN2073" s="1">
        <v>2.2318769053</v>
      </c>
      <c r="AO2073" s="1">
        <v>31303.0</v>
      </c>
      <c r="AP2073" s="1">
        <v>17.8</v>
      </c>
      <c r="AQ2073" s="1">
        <v>7.9</v>
      </c>
      <c r="AR2073" s="1">
        <v>9.9</v>
      </c>
      <c r="AS2073" s="1">
        <v>14.2</v>
      </c>
      <c r="AT2073" s="1">
        <v>23.3</v>
      </c>
      <c r="AU2073" s="1">
        <v>12.6</v>
      </c>
      <c r="AV2073" s="1">
        <v>33.6</v>
      </c>
      <c r="AW2073" s="1">
        <v>1.1</v>
      </c>
      <c r="AX2073" s="1">
        <v>0.5536</v>
      </c>
      <c r="AY2073" s="1">
        <v>14.6</v>
      </c>
      <c r="AZ2073" s="1">
        <v>14.1</v>
      </c>
      <c r="BA2073" s="1">
        <v>18.7</v>
      </c>
      <c r="BB2073" s="1">
        <v>3.05</v>
      </c>
      <c r="BC2073" s="1" t="s">
        <v>3418</v>
      </c>
      <c r="BD2073" s="1">
        <v>8.6</v>
      </c>
      <c r="BE2073" s="1">
        <v>26.3</v>
      </c>
      <c r="BF2073" s="1">
        <v>27.2</v>
      </c>
      <c r="BG2073" s="1">
        <v>37.9</v>
      </c>
      <c r="BH2073" s="1" t="s">
        <v>3462</v>
      </c>
    </row>
    <row r="2074">
      <c r="A2074" s="1">
        <v>39063.0</v>
      </c>
      <c r="B2074" s="2" t="str">
        <f>IFERROR(__xludf.DUMMYFUNCTION("TO_TEXT(A2074)"),"39063")</f>
        <v>39063</v>
      </c>
      <c r="C2074" s="1">
        <v>75672.0</v>
      </c>
      <c r="D2074" s="1">
        <v>531.357523381766</v>
      </c>
      <c r="E2074" s="1" t="s">
        <v>917</v>
      </c>
      <c r="F2074" s="1" t="s">
        <v>3463</v>
      </c>
      <c r="G2074" s="1">
        <v>142.412587890718</v>
      </c>
      <c r="H2074" s="1">
        <v>14.44343736</v>
      </c>
      <c r="I2074" s="1">
        <v>4.1520093488</v>
      </c>
      <c r="J2074" s="1">
        <v>7.7691107644</v>
      </c>
      <c r="K2074" s="1">
        <v>18.366507923</v>
      </c>
      <c r="L2074" s="1">
        <v>33.0</v>
      </c>
      <c r="M2074" s="1">
        <v>8.0</v>
      </c>
      <c r="N2074" s="1">
        <v>27.0</v>
      </c>
      <c r="O2074" s="1">
        <v>85.124762643</v>
      </c>
      <c r="P2074" s="1">
        <v>6.28550159399999</v>
      </c>
      <c r="Q2074" s="1">
        <v>55.44262</v>
      </c>
      <c r="R2074" s="1">
        <v>93.379790941</v>
      </c>
      <c r="S2074" s="1">
        <v>13.3</v>
      </c>
      <c r="T2074" s="1">
        <v>16750.0</v>
      </c>
      <c r="U2074" s="1">
        <v>30.895522388</v>
      </c>
      <c r="V2074" s="1">
        <v>152.80654691</v>
      </c>
      <c r="W2074" s="1">
        <v>10.364500792</v>
      </c>
      <c r="X2074" s="1">
        <v>9.0412718805</v>
      </c>
      <c r="Y2074" s="1">
        <v>77.4597004589999</v>
      </c>
      <c r="Z2074" s="1">
        <v>11.3</v>
      </c>
      <c r="AA2074" s="1">
        <v>5.9617931675</v>
      </c>
      <c r="AB2074" s="1">
        <v>61579.0</v>
      </c>
      <c r="AC2074" s="1">
        <v>38.951974164</v>
      </c>
      <c r="AD2074" s="1">
        <v>69.225703265</v>
      </c>
      <c r="AE2074" s="1">
        <v>8.4344346928</v>
      </c>
      <c r="AF2074" s="1">
        <v>1.7002502305</v>
      </c>
      <c r="AG2074" s="1">
        <v>0.3779797182</v>
      </c>
      <c r="AH2074" s="1">
        <v>1.9649677334</v>
      </c>
      <c r="AI2074" s="1">
        <v>0.0197550375</v>
      </c>
      <c r="AJ2074" s="1">
        <v>5.5551165547</v>
      </c>
      <c r="AK2074" s="1">
        <v>88.914789938</v>
      </c>
      <c r="AL2074" s="1">
        <v>0.5232950709</v>
      </c>
      <c r="AM2074" s="1">
        <v>50.539971026</v>
      </c>
      <c r="AN2074" s="1">
        <v>31.110427643</v>
      </c>
      <c r="AO2074" s="1">
        <v>28244.0</v>
      </c>
      <c r="AP2074" s="1">
        <v>13.5</v>
      </c>
      <c r="AQ2074" s="1">
        <v>5.5</v>
      </c>
      <c r="AR2074" s="1">
        <v>7.5</v>
      </c>
      <c r="AS2074" s="1">
        <v>15.8</v>
      </c>
      <c r="AT2074" s="1">
        <v>22.7</v>
      </c>
      <c r="AU2074" s="1">
        <v>11.4</v>
      </c>
      <c r="AV2074" s="1">
        <v>10.1</v>
      </c>
      <c r="AW2074" s="1">
        <v>0.8</v>
      </c>
      <c r="AX2074" s="1">
        <v>0.2397</v>
      </c>
      <c r="AY2074" s="1">
        <v>9.3</v>
      </c>
      <c r="AZ2074" s="1">
        <v>11.2</v>
      </c>
      <c r="BA2074" s="1">
        <v>15.3</v>
      </c>
      <c r="BB2074" s="1">
        <v>2.84</v>
      </c>
      <c r="BC2074" s="1" t="s">
        <v>3418</v>
      </c>
      <c r="BD2074" s="1">
        <v>7.5</v>
      </c>
      <c r="BE2074" s="1">
        <v>36.0</v>
      </c>
      <c r="BF2074" s="1">
        <v>29.4</v>
      </c>
      <c r="BG2074" s="1">
        <v>27.1</v>
      </c>
      <c r="BH2074" s="1" t="s">
        <v>3463</v>
      </c>
    </row>
    <row r="2075">
      <c r="A2075" s="1">
        <v>39065.0</v>
      </c>
      <c r="B2075" s="2" t="str">
        <f>IFERROR(__xludf.DUMMYFUNCTION("TO_TEXT(A2075)"),"39065")</f>
        <v>39065</v>
      </c>
      <c r="C2075" s="1">
        <v>31652.0</v>
      </c>
      <c r="D2075" s="1">
        <v>470.404550452686</v>
      </c>
      <c r="E2075" s="1" t="s">
        <v>1203</v>
      </c>
      <c r="F2075" s="1" t="s">
        <v>3464</v>
      </c>
      <c r="G2075" s="1">
        <v>67.2867640619977</v>
      </c>
      <c r="H2075" s="1">
        <v>17.077739012</v>
      </c>
      <c r="I2075" s="1">
        <v>4.5928837616</v>
      </c>
      <c r="J2075" s="1">
        <v>8.10403317</v>
      </c>
      <c r="K2075" s="1">
        <v>20.857706965</v>
      </c>
      <c r="L2075" s="1">
        <v>36.8</v>
      </c>
      <c r="M2075" s="1">
        <v>7.8</v>
      </c>
      <c r="N2075" s="1">
        <v>38.4</v>
      </c>
      <c r="O2075" s="1">
        <v>64.604778838</v>
      </c>
      <c r="P2075" s="1">
        <v>7.5263114955</v>
      </c>
      <c r="Q2075" s="1">
        <v>31.88369</v>
      </c>
      <c r="R2075" s="1">
        <v>94.134897361</v>
      </c>
      <c r="S2075" s="1">
        <v>17.7</v>
      </c>
      <c r="T2075" s="1">
        <v>7261.0</v>
      </c>
      <c r="U2075" s="1">
        <v>27.7785429</v>
      </c>
      <c r="V2075" s="1">
        <v>96.622948742</v>
      </c>
      <c r="W2075" s="1">
        <v>12.036238136</v>
      </c>
      <c r="X2075" s="1">
        <v>8.3682373473</v>
      </c>
      <c r="Y2075" s="1">
        <v>76.219731835</v>
      </c>
      <c r="Z2075" s="1">
        <v>14.2</v>
      </c>
      <c r="AA2075" s="1">
        <v>3.8336701024</v>
      </c>
      <c r="AB2075" s="1">
        <v>49580.0</v>
      </c>
      <c r="AC2075" s="1">
        <v>62.78209397</v>
      </c>
      <c r="AD2075" s="1">
        <v>70.943888647</v>
      </c>
      <c r="AE2075" s="1">
        <v>8.953731479</v>
      </c>
      <c r="AF2075" s="1">
        <v>0.8989834816</v>
      </c>
      <c r="AG2075" s="1">
        <v>0.2763659466</v>
      </c>
      <c r="AH2075" s="1">
        <v>0.6766200762</v>
      </c>
      <c r="AI2075" s="1">
        <v>0.0603557814</v>
      </c>
      <c r="AJ2075" s="1">
        <v>1.8456162643</v>
      </c>
      <c r="AK2075" s="1">
        <v>94.920584498</v>
      </c>
      <c r="AL2075" s="1">
        <v>0.3683552431</v>
      </c>
      <c r="AM2075" s="1">
        <v>50.209656925</v>
      </c>
      <c r="AN2075" s="1">
        <v>55.377752823</v>
      </c>
      <c r="AO2075" s="1">
        <v>20994.0</v>
      </c>
      <c r="AP2075" s="1">
        <v>15.6</v>
      </c>
      <c r="AQ2075" s="1">
        <v>8.2</v>
      </c>
      <c r="AR2075" s="1">
        <v>10.6</v>
      </c>
      <c r="AS2075" s="1">
        <v>14.8</v>
      </c>
      <c r="AT2075" s="1">
        <v>23.1</v>
      </c>
      <c r="AU2075" s="1">
        <v>13.6</v>
      </c>
      <c r="AV2075" s="1">
        <v>4.6</v>
      </c>
      <c r="AW2075" s="1">
        <v>0.2</v>
      </c>
      <c r="AX2075" s="1">
        <v>0.4273</v>
      </c>
      <c r="AY2075" s="1">
        <v>13.9</v>
      </c>
      <c r="AZ2075" s="1">
        <v>14.2</v>
      </c>
      <c r="BA2075" s="1">
        <v>19.8</v>
      </c>
      <c r="BB2075" s="1">
        <v>2.75</v>
      </c>
      <c r="BC2075" s="1" t="s">
        <v>3418</v>
      </c>
      <c r="BD2075" s="1">
        <v>10.5</v>
      </c>
      <c r="BE2075" s="1">
        <v>48.0</v>
      </c>
      <c r="BF2075" s="1">
        <v>25.2</v>
      </c>
      <c r="BG2075" s="1">
        <v>16.2</v>
      </c>
      <c r="BH2075" s="1" t="s">
        <v>3464</v>
      </c>
    </row>
    <row r="2076">
      <c r="A2076" s="1">
        <v>39067.0</v>
      </c>
      <c r="B2076" s="2" t="str">
        <f>IFERROR(__xludf.DUMMYFUNCTION("TO_TEXT(A2076)"),"39067")</f>
        <v>39067</v>
      </c>
      <c r="C2076" s="1">
        <v>15521.0</v>
      </c>
      <c r="D2076" s="1">
        <v>402.33178598694</v>
      </c>
      <c r="E2076" s="1" t="s">
        <v>1349</v>
      </c>
      <c r="F2076" s="1" t="s">
        <v>3465</v>
      </c>
      <c r="G2076" s="1">
        <v>38.5776131555854</v>
      </c>
      <c r="H2076" s="1">
        <v>18.173597525</v>
      </c>
      <c r="I2076" s="1">
        <v>4.60623265279999</v>
      </c>
      <c r="J2076" s="1">
        <v>5.41284403669999</v>
      </c>
      <c r="K2076" s="1">
        <v>20.2048131259999</v>
      </c>
      <c r="L2076" s="1">
        <v>35.3</v>
      </c>
      <c r="M2076" s="1">
        <v>8.0</v>
      </c>
      <c r="N2076" s="1">
        <v>28.1</v>
      </c>
      <c r="O2076" s="1">
        <v>26.657841654</v>
      </c>
      <c r="P2076" s="1">
        <v>7.8240429819</v>
      </c>
      <c r="Q2076" s="1">
        <v>19.71609</v>
      </c>
      <c r="R2076" s="1">
        <v>88.387096774</v>
      </c>
      <c r="S2076" s="1">
        <v>21.8</v>
      </c>
      <c r="T2076" s="1">
        <v>3198.0</v>
      </c>
      <c r="U2076" s="1">
        <v>28.267667292</v>
      </c>
      <c r="V2076" s="1">
        <v>146.48271163</v>
      </c>
      <c r="W2076" s="1">
        <v>12.580128205</v>
      </c>
      <c r="X2076" s="1">
        <v>9.512195122</v>
      </c>
      <c r="Y2076" s="1">
        <v>75.522031126</v>
      </c>
      <c r="Z2076" s="1">
        <v>13.4</v>
      </c>
      <c r="AA2076" s="1">
        <v>1.0105262582</v>
      </c>
      <c r="AB2076" s="1">
        <v>50301.0</v>
      </c>
      <c r="AC2076" s="1">
        <v>52.6280771789999</v>
      </c>
      <c r="AD2076" s="1">
        <v>78.241935484</v>
      </c>
      <c r="AE2076" s="1">
        <v>9.5027999321</v>
      </c>
      <c r="AF2076" s="1">
        <v>2.095689996</v>
      </c>
      <c r="AG2076" s="1">
        <v>0.2174772637</v>
      </c>
      <c r="AH2076" s="1">
        <v>0.2108870436</v>
      </c>
      <c r="AI2076" s="1">
        <v>0.0131804402</v>
      </c>
      <c r="AJ2076" s="1">
        <v>1.2850929221</v>
      </c>
      <c r="AK2076" s="1">
        <v>94.806906551</v>
      </c>
      <c r="AL2076" s="1">
        <v>0.6004140787</v>
      </c>
      <c r="AM2076" s="1">
        <v>50.2306577039999</v>
      </c>
      <c r="AN2076" s="1">
        <v>84.108673727</v>
      </c>
      <c r="AO2076" s="1">
        <v>22639.0</v>
      </c>
      <c r="AP2076" s="1">
        <v>18.1</v>
      </c>
      <c r="AQ2076" s="1">
        <v>4.6</v>
      </c>
      <c r="AR2076" s="1">
        <v>14.1</v>
      </c>
      <c r="AS2076" s="1">
        <v>20.1</v>
      </c>
      <c r="AT2076" s="1">
        <v>21.1</v>
      </c>
      <c r="AU2076" s="1">
        <v>16.9</v>
      </c>
      <c r="AV2076" s="1">
        <v>4.8</v>
      </c>
      <c r="AW2076" s="1">
        <v>0.7</v>
      </c>
      <c r="AX2076" s="1">
        <v>0.3633</v>
      </c>
      <c r="AY2076" s="1">
        <v>14.5</v>
      </c>
      <c r="AZ2076" s="1">
        <v>15.2</v>
      </c>
      <c r="BA2076" s="1">
        <v>23.3</v>
      </c>
      <c r="BB2076" s="1">
        <v>2.84</v>
      </c>
      <c r="BC2076" s="1" t="s">
        <v>3418</v>
      </c>
      <c r="BD2076" s="1">
        <v>13.2</v>
      </c>
      <c r="BE2076" s="1">
        <v>47.9</v>
      </c>
      <c r="BF2076" s="1">
        <v>27.3</v>
      </c>
      <c r="BG2076" s="1">
        <v>11.6</v>
      </c>
      <c r="BH2076" s="1" t="s">
        <v>3465</v>
      </c>
    </row>
    <row r="2077">
      <c r="A2077" s="1">
        <v>39069.0</v>
      </c>
      <c r="B2077" s="2" t="str">
        <f>IFERROR(__xludf.DUMMYFUNCTION("TO_TEXT(A2077)"),"39069")</f>
        <v>39069</v>
      </c>
      <c r="C2077" s="1">
        <v>27890.0</v>
      </c>
      <c r="D2077" s="1">
        <v>416.010030034348</v>
      </c>
      <c r="E2077" s="1" t="s">
        <v>126</v>
      </c>
      <c r="F2077" s="1" t="s">
        <v>3466</v>
      </c>
      <c r="G2077" s="1">
        <v>67.0416528123066</v>
      </c>
      <c r="H2077" s="1">
        <v>14.757394643</v>
      </c>
      <c r="I2077" s="1">
        <v>4.0032023124</v>
      </c>
      <c r="J2077" s="1">
        <v>6.4810588772</v>
      </c>
      <c r="K2077" s="1">
        <v>16.735635028</v>
      </c>
      <c r="L2077" s="1">
        <v>33.0</v>
      </c>
      <c r="M2077" s="1">
        <v>8.4</v>
      </c>
      <c r="N2077" s="1">
        <v>27.3</v>
      </c>
      <c r="O2077" s="1">
        <v>43.097643098</v>
      </c>
      <c r="P2077" s="1">
        <v>6.2581957947</v>
      </c>
      <c r="Q2077" s="1">
        <v>36.78499</v>
      </c>
      <c r="R2077" s="1">
        <v>94.694960212</v>
      </c>
      <c r="S2077" s="1">
        <v>17.4</v>
      </c>
      <c r="T2077" s="1">
        <v>6376.0</v>
      </c>
      <c r="U2077" s="1">
        <v>34.347553325</v>
      </c>
      <c r="V2077" s="1">
        <v>107.00005632</v>
      </c>
      <c r="W2077" s="1">
        <v>9.1980063435</v>
      </c>
      <c r="X2077" s="1">
        <v>7.8707916288</v>
      </c>
      <c r="Y2077" s="1">
        <v>78.686584506</v>
      </c>
      <c r="Z2077" s="1">
        <v>8.3</v>
      </c>
      <c r="AA2077" s="1">
        <v>4.2996911485</v>
      </c>
      <c r="AB2077" s="1">
        <v>57705.0</v>
      </c>
      <c r="AC2077" s="1">
        <v>53.243050606</v>
      </c>
      <c r="AD2077" s="1">
        <v>77.442385901</v>
      </c>
      <c r="AE2077" s="1">
        <v>7.268355835</v>
      </c>
      <c r="AF2077" s="1">
        <v>0.6903935612</v>
      </c>
      <c r="AG2077" s="1">
        <v>0.4873366315</v>
      </c>
      <c r="AH2077" s="1">
        <v>0.5279480174</v>
      </c>
      <c r="AI2077" s="1">
        <v>0.0147677767</v>
      </c>
      <c r="AJ2077" s="1">
        <v>7.8010780477</v>
      </c>
      <c r="AK2077" s="1">
        <v>89.802850181</v>
      </c>
      <c r="AL2077" s="1">
        <v>0.1633287964</v>
      </c>
      <c r="AM2077" s="1">
        <v>50.609170789</v>
      </c>
      <c r="AN2077" s="1">
        <v>69.080276449</v>
      </c>
      <c r="AO2077" s="1">
        <v>26288.0</v>
      </c>
      <c r="AP2077" s="1">
        <v>10.2</v>
      </c>
      <c r="AQ2077" s="1">
        <v>5.3</v>
      </c>
      <c r="AR2077" s="1">
        <v>8.7</v>
      </c>
      <c r="AS2077" s="1">
        <v>17.6</v>
      </c>
      <c r="AT2077" s="1">
        <v>23.8</v>
      </c>
      <c r="AU2077" s="1">
        <v>14.1</v>
      </c>
      <c r="AV2077" s="1">
        <v>9.5</v>
      </c>
      <c r="AW2077" s="1">
        <v>0.3</v>
      </c>
      <c r="AX2077" s="1">
        <v>0.157</v>
      </c>
      <c r="AY2077" s="1">
        <v>7.5</v>
      </c>
      <c r="AZ2077" s="1">
        <v>11.3</v>
      </c>
      <c r="BA2077" s="1">
        <v>17.4</v>
      </c>
      <c r="BB2077" s="1">
        <v>2.77</v>
      </c>
      <c r="BC2077" s="1" t="s">
        <v>3418</v>
      </c>
      <c r="BD2077" s="1">
        <v>6.5</v>
      </c>
      <c r="BE2077" s="1">
        <v>44.5</v>
      </c>
      <c r="BF2077" s="1">
        <v>31.9</v>
      </c>
      <c r="BG2077" s="1">
        <v>17.2</v>
      </c>
      <c r="BH2077" s="1" t="s">
        <v>3466</v>
      </c>
    </row>
    <row r="2078">
      <c r="A2078" s="1">
        <v>39071.0</v>
      </c>
      <c r="B2078" s="2" t="str">
        <f>IFERROR(__xludf.DUMMYFUNCTION("TO_TEXT(A2078)"),"39071")</f>
        <v>39071</v>
      </c>
      <c r="C2078" s="1">
        <v>43109.0</v>
      </c>
      <c r="D2078" s="1">
        <v>553.083390643387</v>
      </c>
      <c r="E2078" s="1" t="s">
        <v>3467</v>
      </c>
      <c r="F2078" s="1" t="s">
        <v>3468</v>
      </c>
      <c r="G2078" s="1">
        <v>77.9430384807839</v>
      </c>
      <c r="H2078" s="1">
        <v>19.480927594</v>
      </c>
      <c r="I2078" s="1">
        <v>4.9083111081</v>
      </c>
      <c r="J2078" s="1">
        <v>7.95693277309999</v>
      </c>
      <c r="K2078" s="1">
        <v>21.027982608</v>
      </c>
      <c r="L2078" s="1">
        <v>31.6</v>
      </c>
      <c r="M2078" s="1">
        <v>7.5</v>
      </c>
      <c r="N2078" s="1">
        <v>29.3</v>
      </c>
      <c r="O2078" s="1">
        <v>41.941774301</v>
      </c>
      <c r="P2078" s="1">
        <v>9.2107909329</v>
      </c>
      <c r="Q2078" s="1">
        <v>32.58011</v>
      </c>
      <c r="R2078" s="1">
        <v>91.833030853</v>
      </c>
      <c r="S2078" s="1">
        <v>21.9</v>
      </c>
      <c r="T2078" s="1">
        <v>10361.0</v>
      </c>
      <c r="U2078" s="1">
        <v>34.340314641</v>
      </c>
      <c r="V2078" s="1">
        <v>92.253077049</v>
      </c>
      <c r="W2078" s="1">
        <v>16.741809438</v>
      </c>
      <c r="X2078" s="1">
        <v>14.207815813</v>
      </c>
      <c r="Y2078" s="1">
        <v>75.493771544</v>
      </c>
      <c r="Z2078" s="1">
        <v>14.5</v>
      </c>
      <c r="AA2078" s="1">
        <v>2.4458034778</v>
      </c>
      <c r="AB2078" s="1">
        <v>49161.0</v>
      </c>
      <c r="AC2078" s="1">
        <v>63.276253353</v>
      </c>
      <c r="AD2078" s="1">
        <v>69.229845008</v>
      </c>
      <c r="AE2078" s="1">
        <v>13.1898558929999</v>
      </c>
      <c r="AF2078" s="1">
        <v>1.4515304938</v>
      </c>
      <c r="AG2078" s="1">
        <v>0.3367550746</v>
      </c>
      <c r="AH2078" s="1">
        <v>0.3971387431</v>
      </c>
      <c r="AI2078" s="1">
        <v>0.0325142831</v>
      </c>
      <c r="AJ2078" s="1">
        <v>1.2425101027</v>
      </c>
      <c r="AK2078" s="1">
        <v>94.9556412279999</v>
      </c>
      <c r="AL2078" s="1">
        <v>0.4719793323</v>
      </c>
      <c r="AM2078" s="1">
        <v>50.908077477</v>
      </c>
      <c r="AN2078" s="1">
        <v>73.002362981</v>
      </c>
      <c r="AO2078" s="1">
        <v>21134.0</v>
      </c>
      <c r="AP2078" s="1">
        <v>20.7</v>
      </c>
      <c r="AQ2078" s="1">
        <v>9.6</v>
      </c>
      <c r="AR2078" s="1">
        <v>16.1</v>
      </c>
      <c r="AS2078" s="1">
        <v>17.1</v>
      </c>
      <c r="AT2078" s="1">
        <v>24.2</v>
      </c>
      <c r="AU2078" s="1">
        <v>18.8</v>
      </c>
      <c r="AV2078" s="1">
        <v>4.4</v>
      </c>
      <c r="AW2078" s="1">
        <v>0.3</v>
      </c>
      <c r="AX2078" s="1">
        <v>0.6775</v>
      </c>
      <c r="AY2078" s="1">
        <v>15.6</v>
      </c>
      <c r="AZ2078" s="1">
        <v>16.8</v>
      </c>
      <c r="BA2078" s="1">
        <v>24.5</v>
      </c>
      <c r="BB2078" s="1">
        <v>2.78</v>
      </c>
      <c r="BC2078" s="1" t="s">
        <v>3418</v>
      </c>
      <c r="BD2078" s="1">
        <v>14.9</v>
      </c>
      <c r="BE2078" s="1">
        <v>45.4</v>
      </c>
      <c r="BF2078" s="1">
        <v>26.3</v>
      </c>
      <c r="BG2078" s="1">
        <v>13.4</v>
      </c>
      <c r="BH2078" s="1" t="s">
        <v>3468</v>
      </c>
    </row>
    <row r="2079">
      <c r="A2079" s="1">
        <v>39073.0</v>
      </c>
      <c r="B2079" s="2" t="str">
        <f>IFERROR(__xludf.DUMMYFUNCTION("TO_TEXT(A2079)"),"39073")</f>
        <v>39073</v>
      </c>
      <c r="C2079" s="1">
        <v>28690.0</v>
      </c>
      <c r="D2079" s="1">
        <v>421.326962683744</v>
      </c>
      <c r="E2079" s="1" t="s">
        <v>3469</v>
      </c>
      <c r="F2079" s="1" t="s">
        <v>3470</v>
      </c>
      <c r="G2079" s="1">
        <v>68.0943840319454</v>
      </c>
      <c r="H2079" s="1">
        <v>16.332908209</v>
      </c>
      <c r="I2079" s="1">
        <v>4.50582450209999</v>
      </c>
      <c r="J2079" s="1">
        <v>6.6142460685</v>
      </c>
      <c r="K2079" s="1">
        <v>19.805127134</v>
      </c>
      <c r="L2079" s="1">
        <v>40.7</v>
      </c>
      <c r="M2079" s="1">
        <v>7.5</v>
      </c>
      <c r="N2079" s="1">
        <v>28.6</v>
      </c>
      <c r="O2079" s="1">
        <v>82.515316542</v>
      </c>
      <c r="P2079" s="1">
        <v>7.0477271735</v>
      </c>
      <c r="Q2079" s="1">
        <v>49.16766</v>
      </c>
      <c r="R2079" s="1">
        <v>95.114006515</v>
      </c>
      <c r="S2079" s="1">
        <v>21.2</v>
      </c>
      <c r="T2079" s="1">
        <v>6330.0</v>
      </c>
      <c r="U2079" s="1">
        <v>35.876777251</v>
      </c>
      <c r="V2079" s="1">
        <v>110.23594047</v>
      </c>
      <c r="W2079" s="1">
        <v>12.229580574</v>
      </c>
      <c r="X2079" s="1">
        <v>10.08440693</v>
      </c>
      <c r="Y2079" s="1">
        <v>75.908968365</v>
      </c>
      <c r="Z2079" s="1">
        <v>13.9</v>
      </c>
      <c r="AA2079" s="1">
        <v>7.8619365132</v>
      </c>
      <c r="AB2079" s="1">
        <v>50568.0</v>
      </c>
      <c r="AC2079" s="1">
        <v>54.517012124</v>
      </c>
      <c r="AD2079" s="1">
        <v>75.503597122</v>
      </c>
      <c r="AE2079" s="1">
        <v>9.0282306904</v>
      </c>
      <c r="AF2079" s="1">
        <v>0.6552756738</v>
      </c>
      <c r="AG2079" s="1">
        <v>0.4298044742</v>
      </c>
      <c r="AH2079" s="1">
        <v>0.3558217368</v>
      </c>
      <c r="AI2079" s="1">
        <v>0.0387528624</v>
      </c>
      <c r="AJ2079" s="1">
        <v>1.0533732605</v>
      </c>
      <c r="AK2079" s="1">
        <v>96.265633257</v>
      </c>
      <c r="AL2079" s="1">
        <v>0.2084186237</v>
      </c>
      <c r="AM2079" s="1">
        <v>50.385767131</v>
      </c>
      <c r="AN2079" s="1">
        <v>70.840707965</v>
      </c>
      <c r="AO2079" s="1">
        <v>22091.0</v>
      </c>
      <c r="AP2079" s="1">
        <v>16.6</v>
      </c>
      <c r="AQ2079" s="1">
        <v>9.1</v>
      </c>
      <c r="AR2079" s="1">
        <v>11.6</v>
      </c>
      <c r="AS2079" s="1">
        <v>17.4</v>
      </c>
      <c r="AT2079" s="1">
        <v>23.1</v>
      </c>
      <c r="AU2079" s="1">
        <v>17.3</v>
      </c>
      <c r="AV2079" s="1">
        <v>3.3</v>
      </c>
      <c r="AW2079" s="1">
        <v>0.1</v>
      </c>
      <c r="AX2079" s="1">
        <v>0.5291</v>
      </c>
      <c r="AY2079" s="1">
        <v>15.0</v>
      </c>
      <c r="AZ2079" s="1">
        <v>14.0</v>
      </c>
      <c r="BA2079" s="1">
        <v>20.6</v>
      </c>
      <c r="BB2079" s="1">
        <v>2.82</v>
      </c>
      <c r="BC2079" s="1" t="s">
        <v>3418</v>
      </c>
      <c r="BD2079" s="1">
        <v>10.9</v>
      </c>
      <c r="BE2079" s="1">
        <v>45.6</v>
      </c>
      <c r="BF2079" s="1">
        <v>29.1</v>
      </c>
      <c r="BG2079" s="1">
        <v>14.4</v>
      </c>
      <c r="BH2079" s="1" t="s">
        <v>3470</v>
      </c>
    </row>
    <row r="2080">
      <c r="A2080" s="1">
        <v>39075.0</v>
      </c>
      <c r="B2080" s="2" t="str">
        <f>IFERROR(__xludf.DUMMYFUNCTION("TO_TEXT(A2080)"),"39075")</f>
        <v>39075</v>
      </c>
      <c r="C2080" s="1">
        <v>43702.0</v>
      </c>
      <c r="D2080" s="1">
        <v>422.533054211672</v>
      </c>
      <c r="E2080" s="1" t="s">
        <v>731</v>
      </c>
      <c r="F2080" s="1" t="s">
        <v>3471</v>
      </c>
      <c r="G2080" s="1">
        <v>103.428594672991</v>
      </c>
      <c r="H2080" s="1">
        <v>15.746120176</v>
      </c>
      <c r="I2080" s="1">
        <v>4.2356226856</v>
      </c>
      <c r="J2080" s="1">
        <v>4.1189111748</v>
      </c>
      <c r="K2080" s="1">
        <v>18.345805879</v>
      </c>
      <c r="L2080" s="1">
        <v>29.2</v>
      </c>
      <c r="M2080" s="1">
        <v>8.5</v>
      </c>
      <c r="N2080" s="1">
        <v>28.6</v>
      </c>
      <c r="O2080" s="1">
        <v>37.109946655</v>
      </c>
      <c r="P2080" s="1">
        <v>23.899070385</v>
      </c>
      <c r="Q2080" s="1">
        <v>25.02446</v>
      </c>
      <c r="R2080" s="1">
        <v>93.939393939</v>
      </c>
      <c r="S2080" s="1">
        <v>12.6</v>
      </c>
      <c r="T2080" s="1">
        <v>14100.0</v>
      </c>
      <c r="U2080" s="1">
        <v>7.9858156028</v>
      </c>
      <c r="V2080" s="1">
        <v>20.566492613</v>
      </c>
      <c r="W2080" s="1">
        <v>14.6</v>
      </c>
      <c r="X2080" s="1">
        <v>8.1634304207</v>
      </c>
      <c r="Y2080" s="1">
        <v>79.781544381</v>
      </c>
      <c r="Z2080" s="1">
        <v>11.6</v>
      </c>
      <c r="AA2080" s="1">
        <v>0.9256488576</v>
      </c>
      <c r="AB2080" s="1">
        <v>60828.0</v>
      </c>
      <c r="AC2080" s="1">
        <v>34.5189355169999</v>
      </c>
      <c r="AD2080" s="1">
        <v>76.047278283</v>
      </c>
      <c r="AE2080" s="1">
        <v>7.97504060179999</v>
      </c>
      <c r="AF2080" s="1">
        <v>0.3759227194</v>
      </c>
      <c r="AG2080" s="1">
        <v>0.0934111</v>
      </c>
      <c r="AH2080" s="1">
        <v>0.2096053951</v>
      </c>
      <c r="AI2080" s="1">
        <v>0.0432880707</v>
      </c>
      <c r="AJ2080" s="1">
        <v>1.0024605851</v>
      </c>
      <c r="AK2080" s="1">
        <v>97.764968559</v>
      </c>
      <c r="AL2080" s="1">
        <v>2.2063030122</v>
      </c>
      <c r="AM2080" s="1">
        <v>49.929372095</v>
      </c>
      <c r="AN2080" s="1">
        <v>92.994382288</v>
      </c>
      <c r="AO2080" s="1">
        <v>19517.0</v>
      </c>
      <c r="AP2080" s="1">
        <v>12.9</v>
      </c>
      <c r="AQ2080" s="1">
        <v>3.4</v>
      </c>
      <c r="AR2080" s="1">
        <v>41.5</v>
      </c>
      <c r="AS2080" s="1">
        <v>12.5</v>
      </c>
      <c r="AT2080" s="1">
        <v>33.0</v>
      </c>
      <c r="AU2080" s="1">
        <v>8.8</v>
      </c>
      <c r="AV2080" s="1">
        <v>2.0</v>
      </c>
      <c r="AW2080" s="1">
        <v>2.7</v>
      </c>
      <c r="AX2080" s="1">
        <v>0.4772</v>
      </c>
      <c r="AY2080" s="1">
        <v>9.2</v>
      </c>
      <c r="AZ2080" s="1">
        <v>10.2</v>
      </c>
      <c r="BA2080" s="1">
        <v>15.0</v>
      </c>
      <c r="BB2080" s="1">
        <v>2.87</v>
      </c>
      <c r="BC2080" s="1" t="s">
        <v>3418</v>
      </c>
      <c r="BD2080" s="1">
        <v>43.1</v>
      </c>
      <c r="BE2080" s="1">
        <v>32.9</v>
      </c>
      <c r="BF2080" s="1">
        <v>14.4</v>
      </c>
      <c r="BG2080" s="1">
        <v>9.7</v>
      </c>
      <c r="BH2080" s="1" t="s">
        <v>3471</v>
      </c>
    </row>
    <row r="2081">
      <c r="A2081" s="1">
        <v>39077.0</v>
      </c>
      <c r="B2081" s="2" t="str">
        <f>IFERROR(__xludf.DUMMYFUNCTION("TO_TEXT(A2081)"),"39077")</f>
        <v>39077</v>
      </c>
      <c r="C2081" s="1">
        <v>58704.0</v>
      </c>
      <c r="D2081" s="1">
        <v>491.494462546374</v>
      </c>
      <c r="E2081" s="1" t="s">
        <v>2195</v>
      </c>
      <c r="F2081" s="1" t="s">
        <v>3472</v>
      </c>
      <c r="G2081" s="1">
        <v>119.439799374058</v>
      </c>
      <c r="H2081" s="1">
        <v>17.752089479</v>
      </c>
      <c r="I2081" s="1">
        <v>4.2921982307</v>
      </c>
      <c r="J2081" s="1">
        <v>6.58555426809999</v>
      </c>
      <c r="K2081" s="1">
        <v>19.307125927</v>
      </c>
      <c r="L2081" s="1">
        <v>38.4</v>
      </c>
      <c r="M2081" s="1">
        <v>7.8</v>
      </c>
      <c r="N2081" s="1">
        <v>30.5</v>
      </c>
      <c r="O2081" s="1">
        <v>67.562808171</v>
      </c>
      <c r="P2081" s="1">
        <v>7.5945693854</v>
      </c>
      <c r="Q2081" s="1">
        <v>39.32027</v>
      </c>
      <c r="R2081" s="1">
        <v>95.79375848</v>
      </c>
      <c r="S2081" s="1">
        <v>14.6</v>
      </c>
      <c r="T2081" s="1">
        <v>14107.0</v>
      </c>
      <c r="U2081" s="1">
        <v>31.877791168</v>
      </c>
      <c r="V2081" s="1">
        <v>204.509002055</v>
      </c>
      <c r="W2081" s="1">
        <v>11.056838366</v>
      </c>
      <c r="X2081" s="1">
        <v>9.3526785714</v>
      </c>
      <c r="Y2081" s="1">
        <v>76.714340928</v>
      </c>
      <c r="Z2081" s="1">
        <v>12.7</v>
      </c>
      <c r="AA2081" s="1">
        <v>4.0045941554</v>
      </c>
      <c r="AB2081" s="1">
        <v>55202.0</v>
      </c>
      <c r="AC2081" s="1">
        <v>56.432146011</v>
      </c>
      <c r="AD2081" s="1">
        <v>70.2799650039999</v>
      </c>
      <c r="AE2081" s="1">
        <v>10.2235991379999</v>
      </c>
      <c r="AF2081" s="1">
        <v>1.1452208396</v>
      </c>
      <c r="AG2081" s="1">
        <v>0.3333105429</v>
      </c>
      <c r="AH2081" s="1">
        <v>0.3897169424</v>
      </c>
      <c r="AI2081" s="1">
        <v>0.0427321209</v>
      </c>
      <c r="AJ2081" s="1">
        <v>6.9072200191</v>
      </c>
      <c r="AK2081" s="1">
        <v>89.8331738</v>
      </c>
      <c r="AL2081" s="1">
        <v>1.0309090246</v>
      </c>
      <c r="AM2081" s="1">
        <v>50.596540407</v>
      </c>
      <c r="AN2081" s="1">
        <v>50.30355885</v>
      </c>
      <c r="AO2081" s="1">
        <v>23698.0</v>
      </c>
      <c r="AP2081" s="1">
        <v>12.9</v>
      </c>
      <c r="AQ2081" s="1">
        <v>6.7</v>
      </c>
      <c r="AR2081" s="1">
        <v>12.3</v>
      </c>
      <c r="AS2081" s="1">
        <v>15.4</v>
      </c>
      <c r="AT2081" s="1">
        <v>24.9</v>
      </c>
      <c r="AU2081" s="1">
        <v>13.6</v>
      </c>
      <c r="AV2081" s="1">
        <v>9.2</v>
      </c>
      <c r="AW2081" s="1">
        <v>1.2</v>
      </c>
      <c r="AX2081" s="1">
        <v>0.4231</v>
      </c>
      <c r="AY2081" s="1">
        <v>10.0</v>
      </c>
      <c r="AZ2081" s="1">
        <v>13.7</v>
      </c>
      <c r="BA2081" s="1">
        <v>20.3</v>
      </c>
      <c r="BB2081" s="1">
        <v>2.68</v>
      </c>
      <c r="BC2081" s="1" t="s">
        <v>3418</v>
      </c>
      <c r="BD2081" s="1">
        <v>11.5</v>
      </c>
      <c r="BE2081" s="1">
        <v>46.2</v>
      </c>
      <c r="BF2081" s="1">
        <v>28.0</v>
      </c>
      <c r="BG2081" s="1">
        <v>14.4</v>
      </c>
      <c r="BH2081" s="1" t="s">
        <v>3472</v>
      </c>
    </row>
    <row r="2082">
      <c r="A2082" s="1">
        <v>39079.0</v>
      </c>
      <c r="B2082" s="2" t="str">
        <f>IFERROR(__xludf.DUMMYFUNCTION("TO_TEXT(A2082)"),"39079")</f>
        <v>39079</v>
      </c>
      <c r="C2082" s="1">
        <v>32717.0</v>
      </c>
      <c r="D2082" s="1">
        <v>420.303674236532</v>
      </c>
      <c r="E2082" s="1" t="s">
        <v>130</v>
      </c>
      <c r="F2082" s="1" t="s">
        <v>3473</v>
      </c>
      <c r="G2082" s="1">
        <v>77.8413371223302</v>
      </c>
      <c r="H2082" s="1">
        <v>22.819509511</v>
      </c>
      <c r="I2082" s="1">
        <v>5.079799483</v>
      </c>
      <c r="J2082" s="1">
        <v>8.8903970139</v>
      </c>
      <c r="K2082" s="1">
        <v>23.203279748</v>
      </c>
      <c r="L2082" s="1">
        <v>39.4</v>
      </c>
      <c r="M2082" s="1">
        <v>7.4</v>
      </c>
      <c r="N2082" s="1">
        <v>34.5</v>
      </c>
      <c r="O2082" s="1">
        <v>58.38675696</v>
      </c>
      <c r="P2082" s="1">
        <v>7.852046564</v>
      </c>
      <c r="Q2082" s="1">
        <v>40.06287</v>
      </c>
      <c r="R2082" s="1">
        <v>94.25</v>
      </c>
      <c r="S2082" s="1">
        <v>24.5</v>
      </c>
      <c r="T2082" s="1">
        <v>7812.0</v>
      </c>
      <c r="U2082" s="1">
        <v>43.6379928319999</v>
      </c>
      <c r="V2082" s="1">
        <v>146.8905588</v>
      </c>
      <c r="W2082" s="1">
        <v>12.953570035</v>
      </c>
      <c r="X2082" s="1">
        <v>11.331220285</v>
      </c>
      <c r="Y2082" s="1">
        <v>72.661904978</v>
      </c>
      <c r="Z2082" s="1">
        <v>18.0</v>
      </c>
      <c r="AA2082" s="1">
        <v>2.4888824356</v>
      </c>
      <c r="AB2082" s="1">
        <v>44726.0</v>
      </c>
      <c r="AC2082" s="1">
        <v>52.129750983</v>
      </c>
      <c r="AD2082" s="1">
        <v>70.152032268</v>
      </c>
      <c r="AE2082" s="1">
        <v>11.8012422359999</v>
      </c>
      <c r="AF2082" s="1">
        <v>0.7009634387</v>
      </c>
      <c r="AG2082" s="1">
        <v>0.4570158103</v>
      </c>
      <c r="AH2082" s="1">
        <v>0.339673913</v>
      </c>
      <c r="AI2082" s="1">
        <v>0.0432312253</v>
      </c>
      <c r="AJ2082" s="1">
        <v>1.1054841897</v>
      </c>
      <c r="AK2082" s="1">
        <v>95.886857708</v>
      </c>
      <c r="AL2082" s="1">
        <v>0.3084900397</v>
      </c>
      <c r="AM2082" s="1">
        <v>51.000494071</v>
      </c>
      <c r="AN2082" s="1">
        <v>64.580887886</v>
      </c>
      <c r="AO2082" s="1">
        <v>20583.0</v>
      </c>
      <c r="AP2082" s="1">
        <v>23.0</v>
      </c>
      <c r="AQ2082" s="1">
        <v>11.2</v>
      </c>
      <c r="AR2082" s="1">
        <v>15.8</v>
      </c>
      <c r="AS2082" s="1">
        <v>15.7</v>
      </c>
      <c r="AT2082" s="1">
        <v>24.2</v>
      </c>
      <c r="AU2082" s="1">
        <v>21.2</v>
      </c>
      <c r="AV2082" s="1">
        <v>3.8</v>
      </c>
      <c r="AW2082" s="1">
        <v>0.4</v>
      </c>
      <c r="AX2082" s="1">
        <v>0.7393</v>
      </c>
      <c r="AY2082" s="1">
        <v>17.2</v>
      </c>
      <c r="AZ2082" s="1">
        <v>17.2</v>
      </c>
      <c r="BA2082" s="1">
        <v>25.7</v>
      </c>
      <c r="BB2082" s="1">
        <v>2.77</v>
      </c>
      <c r="BC2082" s="1" t="s">
        <v>3418</v>
      </c>
      <c r="BD2082" s="1">
        <v>16.5</v>
      </c>
      <c r="BE2082" s="1">
        <v>42.1</v>
      </c>
      <c r="BF2082" s="1">
        <v>26.9</v>
      </c>
      <c r="BG2082" s="1">
        <v>14.5</v>
      </c>
      <c r="BH2082" s="1" t="s">
        <v>3473</v>
      </c>
    </row>
    <row r="2083">
      <c r="A2083" s="1">
        <v>39081.0</v>
      </c>
      <c r="B2083" s="2" t="str">
        <f>IFERROR(__xludf.DUMMYFUNCTION("TO_TEXT(A2083)"),"39081")</f>
        <v>39081</v>
      </c>
      <c r="C2083" s="1">
        <v>67607.0</v>
      </c>
      <c r="D2083" s="1">
        <v>408.205931776287</v>
      </c>
      <c r="E2083" s="1" t="s">
        <v>132</v>
      </c>
      <c r="F2083" s="1" t="s">
        <v>3474</v>
      </c>
      <c r="G2083" s="1">
        <v>165.619837286076</v>
      </c>
      <c r="H2083" s="1">
        <v>20.566903653</v>
      </c>
      <c r="I2083" s="1">
        <v>4.6931970295</v>
      </c>
      <c r="J2083" s="1">
        <v>8.55972401899999</v>
      </c>
      <c r="K2083" s="1">
        <v>20.699799825</v>
      </c>
      <c r="L2083" s="1">
        <v>34.1</v>
      </c>
      <c r="M2083" s="1">
        <v>6.8</v>
      </c>
      <c r="N2083" s="1">
        <v>34.8</v>
      </c>
      <c r="O2083" s="1">
        <v>83.728069546</v>
      </c>
      <c r="P2083" s="1">
        <v>7.17011128779999</v>
      </c>
      <c r="Q2083" s="1">
        <v>42.19473</v>
      </c>
      <c r="R2083" s="1">
        <v>92.749244713</v>
      </c>
      <c r="S2083" s="1">
        <v>26.8</v>
      </c>
      <c r="T2083" s="1">
        <v>12616.0</v>
      </c>
      <c r="U2083" s="1">
        <v>37.341471148</v>
      </c>
      <c r="V2083" s="1">
        <v>112.22638264</v>
      </c>
      <c r="W2083" s="1">
        <v>11.03510351</v>
      </c>
      <c r="X2083" s="1">
        <v>9.66263293</v>
      </c>
      <c r="Y2083" s="1">
        <v>74.8375280539999</v>
      </c>
      <c r="Z2083" s="1">
        <v>14.9</v>
      </c>
      <c r="AA2083" s="1">
        <v>9.7900464492</v>
      </c>
      <c r="AB2083" s="1">
        <v>42821.0</v>
      </c>
      <c r="AC2083" s="1">
        <v>62.029323559</v>
      </c>
      <c r="AD2083" s="1">
        <v>69.148119724</v>
      </c>
      <c r="AE2083" s="1">
        <v>11.086312387</v>
      </c>
      <c r="AF2083" s="1">
        <v>5.3309410495</v>
      </c>
      <c r="AG2083" s="1">
        <v>0.2311189502</v>
      </c>
      <c r="AH2083" s="1">
        <v>0.5017714051</v>
      </c>
      <c r="AI2083" s="1">
        <v>0.033451427</v>
      </c>
      <c r="AJ2083" s="1">
        <v>1.51899889</v>
      </c>
      <c r="AK2083" s="1">
        <v>90.4009609679999</v>
      </c>
      <c r="AL2083" s="1">
        <v>0.2627066652</v>
      </c>
      <c r="AM2083" s="1">
        <v>51.4118022719999</v>
      </c>
      <c r="AN2083" s="1">
        <v>38.982053967</v>
      </c>
      <c r="AO2083" s="1">
        <v>23356.0</v>
      </c>
      <c r="AP2083" s="1">
        <v>17.2</v>
      </c>
      <c r="AQ2083" s="1">
        <v>8.3</v>
      </c>
      <c r="AR2083" s="1">
        <v>10.1</v>
      </c>
      <c r="AS2083" s="1">
        <v>19.5</v>
      </c>
      <c r="AT2083" s="1">
        <v>19.6</v>
      </c>
      <c r="AU2083" s="1">
        <v>18.4</v>
      </c>
      <c r="AV2083" s="1">
        <v>9.4</v>
      </c>
      <c r="AW2083" s="1">
        <v>0.3</v>
      </c>
      <c r="AX2083" s="1">
        <v>0.5275</v>
      </c>
      <c r="AY2083" s="1">
        <v>17.1</v>
      </c>
      <c r="AZ2083" s="1">
        <v>16.5</v>
      </c>
      <c r="BA2083" s="1">
        <v>24.9</v>
      </c>
      <c r="BB2083" s="1">
        <v>2.77</v>
      </c>
      <c r="BC2083" s="1" t="s">
        <v>3418</v>
      </c>
      <c r="BD2083" s="1">
        <v>9.0</v>
      </c>
      <c r="BE2083" s="1">
        <v>44.8</v>
      </c>
      <c r="BF2083" s="1">
        <v>30.4</v>
      </c>
      <c r="BG2083" s="1">
        <v>15.8</v>
      </c>
      <c r="BH2083" s="1" t="s">
        <v>3474</v>
      </c>
    </row>
    <row r="2084">
      <c r="A2084" s="1">
        <v>39083.0</v>
      </c>
      <c r="B2084" s="2" t="str">
        <f>IFERROR(__xludf.DUMMYFUNCTION("TO_TEXT(A2084)"),"39083")</f>
        <v>39083</v>
      </c>
      <c r="C2084" s="1">
        <v>60878.0</v>
      </c>
      <c r="D2084" s="1">
        <v>525.505796605048</v>
      </c>
      <c r="E2084" s="1" t="s">
        <v>1224</v>
      </c>
      <c r="F2084" s="1" t="s">
        <v>3475</v>
      </c>
      <c r="G2084" s="1">
        <v>115.846486172547</v>
      </c>
      <c r="H2084" s="1">
        <v>15.43404865</v>
      </c>
      <c r="I2084" s="1">
        <v>4.2562473275</v>
      </c>
      <c r="J2084" s="1">
        <v>7.04659222179999</v>
      </c>
      <c r="K2084" s="1">
        <v>17.47842205</v>
      </c>
      <c r="L2084" s="1">
        <v>30.8</v>
      </c>
      <c r="M2084" s="1">
        <v>7.9</v>
      </c>
      <c r="N2084" s="1">
        <v>27.1</v>
      </c>
      <c r="O2084" s="1">
        <v>65.696557837</v>
      </c>
      <c r="P2084" s="1">
        <v>7.5513568349</v>
      </c>
      <c r="Q2084" s="1">
        <v>34.27956</v>
      </c>
      <c r="R2084" s="1">
        <v>93.170731707</v>
      </c>
      <c r="S2084" s="1">
        <v>20.4</v>
      </c>
      <c r="T2084" s="1">
        <v>13864.0</v>
      </c>
      <c r="U2084" s="1">
        <v>24.415753029</v>
      </c>
      <c r="V2084" s="1">
        <v>113.29677186</v>
      </c>
      <c r="W2084" s="1">
        <v>15.110725141</v>
      </c>
      <c r="X2084" s="1">
        <v>12.799121844</v>
      </c>
      <c r="Y2084" s="1">
        <v>77.570699339</v>
      </c>
      <c r="Z2084" s="1">
        <v>13.7</v>
      </c>
      <c r="AA2084" s="1">
        <v>5.0660477982</v>
      </c>
      <c r="AB2084" s="1">
        <v>56885.0</v>
      </c>
      <c r="AC2084" s="1">
        <v>46.979748603</v>
      </c>
      <c r="AD2084" s="1">
        <v>71.683804627</v>
      </c>
      <c r="AE2084" s="1">
        <v>11.165671312</v>
      </c>
      <c r="AF2084" s="1">
        <v>0.9904189488</v>
      </c>
      <c r="AG2084" s="1">
        <v>0.2455851227</v>
      </c>
      <c r="AH2084" s="1">
        <v>0.6123471152</v>
      </c>
      <c r="AI2084" s="1">
        <v>0.0339295235</v>
      </c>
      <c r="AJ2084" s="1">
        <v>1.494514727</v>
      </c>
      <c r="AK2084" s="1">
        <v>95.319341444</v>
      </c>
      <c r="AL2084" s="1">
        <v>0.5208423757</v>
      </c>
      <c r="AM2084" s="1">
        <v>51.028387701</v>
      </c>
      <c r="AN2084" s="1">
        <v>55.700004924</v>
      </c>
      <c r="AO2084" s="1">
        <v>23426.0</v>
      </c>
      <c r="AP2084" s="1">
        <v>15.6</v>
      </c>
      <c r="AQ2084" s="1">
        <v>6.1</v>
      </c>
      <c r="AR2084" s="1">
        <v>10.4</v>
      </c>
      <c r="AS2084" s="1">
        <v>16.3</v>
      </c>
      <c r="AT2084" s="1">
        <v>23.2</v>
      </c>
      <c r="AU2084" s="1">
        <v>14.1</v>
      </c>
      <c r="AV2084" s="1">
        <v>4.4</v>
      </c>
      <c r="AW2084" s="1">
        <v>0.5</v>
      </c>
      <c r="AX2084" s="1">
        <v>0.3569</v>
      </c>
      <c r="AY2084" s="1">
        <v>11.3</v>
      </c>
      <c r="AZ2084" s="1">
        <v>13.0</v>
      </c>
      <c r="BA2084" s="1">
        <v>19.2</v>
      </c>
      <c r="BB2084" s="1">
        <v>2.7</v>
      </c>
      <c r="BC2084" s="1" t="s">
        <v>3418</v>
      </c>
      <c r="BD2084" s="1">
        <v>8.7</v>
      </c>
      <c r="BE2084" s="1">
        <v>39.8</v>
      </c>
      <c r="BF2084" s="1">
        <v>28.5</v>
      </c>
      <c r="BG2084" s="1">
        <v>23.0</v>
      </c>
      <c r="BH2084" s="1" t="s">
        <v>3475</v>
      </c>
    </row>
    <row r="2085">
      <c r="A2085" s="1">
        <v>39085.0</v>
      </c>
      <c r="B2085" s="2" t="str">
        <f>IFERROR(__xludf.DUMMYFUNCTION("TO_TEXT(A2085)"),"39085")</f>
        <v>39085</v>
      </c>
      <c r="C2085" s="1">
        <v>229266.0</v>
      </c>
      <c r="D2085" s="1">
        <v>229.267276093825</v>
      </c>
      <c r="E2085" s="1" t="s">
        <v>450</v>
      </c>
      <c r="F2085" s="1" t="s">
        <v>3476</v>
      </c>
      <c r="G2085" s="1">
        <v>999.994434034164</v>
      </c>
      <c r="H2085" s="1">
        <v>15.155155712</v>
      </c>
      <c r="I2085" s="1">
        <v>4.1709566159</v>
      </c>
      <c r="J2085" s="1">
        <v>7.36929566659999</v>
      </c>
      <c r="K2085" s="1">
        <v>17.391700664</v>
      </c>
      <c r="L2085" s="1">
        <v>25.3</v>
      </c>
      <c r="M2085" s="1">
        <v>7.9</v>
      </c>
      <c r="N2085" s="1">
        <v>22.9</v>
      </c>
      <c r="O2085" s="1">
        <v>90.9181406789999</v>
      </c>
      <c r="P2085" s="1">
        <v>6.3207695605</v>
      </c>
      <c r="Q2085" s="1">
        <v>44.32528</v>
      </c>
      <c r="R2085" s="1">
        <v>91.561353445</v>
      </c>
      <c r="S2085" s="1">
        <v>10.6</v>
      </c>
      <c r="T2085" s="1">
        <v>46848.0</v>
      </c>
      <c r="U2085" s="1">
        <v>30.32573429</v>
      </c>
      <c r="V2085" s="1">
        <v>203.06827431</v>
      </c>
      <c r="W2085" s="1">
        <v>11.774278215</v>
      </c>
      <c r="X2085" s="1">
        <v>10.565318653</v>
      </c>
      <c r="Y2085" s="1">
        <v>78.201861478</v>
      </c>
      <c r="Z2085" s="1">
        <v>9.3</v>
      </c>
      <c r="AA2085" s="1">
        <v>7.5676139396</v>
      </c>
      <c r="AB2085" s="1">
        <v>65883.0</v>
      </c>
      <c r="AC2085" s="1">
        <v>31.150101715</v>
      </c>
      <c r="AD2085" s="1">
        <v>74.386330486</v>
      </c>
      <c r="AE2085" s="1">
        <v>9.5863984228</v>
      </c>
      <c r="AF2085" s="1">
        <v>4.3884536297</v>
      </c>
      <c r="AG2085" s="1">
        <v>0.2099655552</v>
      </c>
      <c r="AH2085" s="1">
        <v>1.5482790633</v>
      </c>
      <c r="AI2085" s="1">
        <v>0.026462601</v>
      </c>
      <c r="AJ2085" s="1">
        <v>4.65785158389999</v>
      </c>
      <c r="AK2085" s="1">
        <v>87.7295955989999</v>
      </c>
      <c r="AL2085" s="1">
        <v>1.1826874685</v>
      </c>
      <c r="AM2085" s="1">
        <v>51.174765958</v>
      </c>
      <c r="AN2085" s="1">
        <v>6.52927086909999</v>
      </c>
      <c r="AO2085" s="1">
        <v>31053.0</v>
      </c>
      <c r="AP2085" s="1">
        <v>8.5</v>
      </c>
      <c r="AQ2085" s="1">
        <v>5.3</v>
      </c>
      <c r="AR2085" s="1">
        <v>8.1</v>
      </c>
      <c r="AS2085" s="1">
        <v>17.9</v>
      </c>
      <c r="AT2085" s="1">
        <v>21.0</v>
      </c>
      <c r="AU2085" s="1">
        <v>12.2</v>
      </c>
      <c r="AV2085" s="1">
        <v>10.5</v>
      </c>
      <c r="AW2085" s="1">
        <v>1.3</v>
      </c>
      <c r="AX2085" s="1">
        <v>0.121</v>
      </c>
      <c r="AY2085" s="1">
        <v>8.3</v>
      </c>
      <c r="AZ2085" s="1">
        <v>11.1</v>
      </c>
      <c r="BA2085" s="1">
        <v>15.8</v>
      </c>
      <c r="BB2085" s="1">
        <v>3.09</v>
      </c>
      <c r="BC2085" s="1" t="s">
        <v>3418</v>
      </c>
      <c r="BD2085" s="1">
        <v>7.7</v>
      </c>
      <c r="BE2085" s="1">
        <v>31.8</v>
      </c>
      <c r="BF2085" s="1">
        <v>33.1</v>
      </c>
      <c r="BG2085" s="1">
        <v>27.4</v>
      </c>
      <c r="BH2085" s="1" t="s">
        <v>3476</v>
      </c>
    </row>
    <row r="2086">
      <c r="A2086" s="1">
        <v>39087.0</v>
      </c>
      <c r="B2086" s="2" t="str">
        <f>IFERROR(__xludf.DUMMYFUNCTION("TO_TEXT(A2086)"),"39087")</f>
        <v>39087</v>
      </c>
      <c r="C2086" s="1">
        <v>61503.0</v>
      </c>
      <c r="D2086" s="1">
        <v>453.370488130912</v>
      </c>
      <c r="E2086" s="1" t="s">
        <v>138</v>
      </c>
      <c r="F2086" s="1" t="s">
        <v>3477</v>
      </c>
      <c r="G2086" s="1">
        <v>135.657264004006</v>
      </c>
      <c r="H2086" s="1">
        <v>23.9624454069999</v>
      </c>
      <c r="I2086" s="1">
        <v>4.8227204167</v>
      </c>
      <c r="J2086" s="1">
        <v>8.6493395824</v>
      </c>
      <c r="K2086" s="1">
        <v>21.227575312</v>
      </c>
      <c r="L2086" s="1">
        <v>39.9</v>
      </c>
      <c r="M2086" s="1">
        <v>7.4</v>
      </c>
      <c r="N2086" s="1">
        <v>37.8</v>
      </c>
      <c r="O2086" s="1">
        <v>54.286629303</v>
      </c>
      <c r="P2086" s="1">
        <v>6.96528693929999</v>
      </c>
      <c r="Q2086" s="1">
        <v>44.81402</v>
      </c>
      <c r="R2086" s="1">
        <v>95.447870778</v>
      </c>
      <c r="S2086" s="1">
        <v>25.3</v>
      </c>
      <c r="T2086" s="1">
        <v>13272.0</v>
      </c>
      <c r="U2086" s="1">
        <v>38.343881857</v>
      </c>
      <c r="V2086" s="1">
        <v>163.39732364</v>
      </c>
      <c r="W2086" s="1">
        <v>12.949021295</v>
      </c>
      <c r="X2086" s="1">
        <v>11.319520174</v>
      </c>
      <c r="Y2086" s="1">
        <v>72.954535376</v>
      </c>
      <c r="Z2086" s="1">
        <v>18.9</v>
      </c>
      <c r="AA2086" s="1">
        <v>5.4187558784</v>
      </c>
      <c r="AB2086" s="1">
        <v>43031.0</v>
      </c>
      <c r="AC2086" s="1">
        <v>49.371816638</v>
      </c>
      <c r="AD2086" s="1">
        <v>71.567544605</v>
      </c>
      <c r="AE2086" s="1">
        <v>11.889644071</v>
      </c>
      <c r="AF2086" s="1">
        <v>2.1113820867</v>
      </c>
      <c r="AG2086" s="1">
        <v>0.2388668025</v>
      </c>
      <c r="AH2086" s="1">
        <v>0.4710520162</v>
      </c>
      <c r="AI2086" s="1">
        <v>0.0167039722</v>
      </c>
      <c r="AJ2086" s="1">
        <v>1.0256238934</v>
      </c>
      <c r="AK2086" s="1">
        <v>94.686466442</v>
      </c>
      <c r="AL2086" s="1">
        <v>0.3081178551</v>
      </c>
      <c r="AM2086" s="1">
        <v>51.326295393</v>
      </c>
      <c r="AN2086" s="1">
        <v>45.916733387</v>
      </c>
      <c r="AO2086" s="1">
        <v>22567.0</v>
      </c>
      <c r="AP2086" s="1">
        <v>18.4</v>
      </c>
      <c r="AQ2086" s="1">
        <v>7.6</v>
      </c>
      <c r="AR2086" s="1">
        <v>14.3</v>
      </c>
      <c r="AS2086" s="1">
        <v>17.4</v>
      </c>
      <c r="AT2086" s="1">
        <v>22.7</v>
      </c>
      <c r="AU2086" s="1">
        <v>21.5</v>
      </c>
      <c r="AV2086" s="1">
        <v>5.0</v>
      </c>
      <c r="AW2086" s="1">
        <v>0.2</v>
      </c>
      <c r="AX2086" s="1">
        <v>0.467</v>
      </c>
      <c r="AY2086" s="1">
        <v>16.2</v>
      </c>
      <c r="AZ2086" s="1">
        <v>17.3</v>
      </c>
      <c r="BA2086" s="1">
        <v>25.1</v>
      </c>
      <c r="BB2086" s="1">
        <v>2.7</v>
      </c>
      <c r="BC2086" s="1" t="s">
        <v>3418</v>
      </c>
      <c r="BD2086" s="1">
        <v>12.5</v>
      </c>
      <c r="BE2086" s="1">
        <v>43.9</v>
      </c>
      <c r="BF2086" s="1">
        <v>28.7</v>
      </c>
      <c r="BG2086" s="1">
        <v>14.9</v>
      </c>
      <c r="BH2086" s="1" t="s">
        <v>3477</v>
      </c>
    </row>
    <row r="2087">
      <c r="A2087" s="1">
        <v>39089.0</v>
      </c>
      <c r="B2087" s="2" t="str">
        <f>IFERROR(__xludf.DUMMYFUNCTION("TO_TEXT(A2087)"),"39089")</f>
        <v>39089</v>
      </c>
      <c r="C2087" s="1">
        <v>169762.0</v>
      </c>
      <c r="D2087" s="1">
        <v>682.37473262334</v>
      </c>
      <c r="E2087" s="1" t="s">
        <v>3478</v>
      </c>
      <c r="F2087" s="1" t="s">
        <v>3479</v>
      </c>
      <c r="G2087" s="1">
        <v>248.781192919266</v>
      </c>
      <c r="H2087" s="1">
        <v>16.078621607</v>
      </c>
      <c r="I2087" s="1">
        <v>4.5041020472</v>
      </c>
      <c r="J2087" s="1">
        <v>7.8156897055</v>
      </c>
      <c r="K2087" s="1">
        <v>18.716060345</v>
      </c>
      <c r="L2087" s="1">
        <v>32.1</v>
      </c>
      <c r="M2087" s="1">
        <v>7.9</v>
      </c>
      <c r="N2087" s="1">
        <v>25.9</v>
      </c>
      <c r="O2087" s="1">
        <v>77.370083848</v>
      </c>
      <c r="P2087" s="1">
        <v>6.9137847532</v>
      </c>
      <c r="Q2087" s="1">
        <v>43.81717</v>
      </c>
      <c r="R2087" s="1">
        <v>92.024230187</v>
      </c>
      <c r="S2087" s="1">
        <v>12.5</v>
      </c>
      <c r="T2087" s="1">
        <v>39976.0</v>
      </c>
      <c r="U2087" s="1">
        <v>30.25065039</v>
      </c>
      <c r="V2087" s="1">
        <v>100.38404768</v>
      </c>
      <c r="W2087" s="1">
        <v>11.688920122</v>
      </c>
      <c r="X2087" s="1">
        <v>9.8204441644</v>
      </c>
      <c r="Y2087" s="1">
        <v>78.016512834</v>
      </c>
      <c r="Z2087" s="1">
        <v>11.8</v>
      </c>
      <c r="AA2087" s="1">
        <v>5.932086093</v>
      </c>
      <c r="AB2087" s="1">
        <v>66145.0</v>
      </c>
      <c r="AC2087" s="1">
        <v>40.863908785</v>
      </c>
      <c r="AD2087" s="1">
        <v>72.8114846289999</v>
      </c>
      <c r="AE2087" s="1">
        <v>9.9899188709</v>
      </c>
      <c r="AF2087" s="1">
        <v>3.9603115453</v>
      </c>
      <c r="AG2087" s="1">
        <v>0.3288406943</v>
      </c>
      <c r="AH2087" s="1">
        <v>1.8558448873</v>
      </c>
      <c r="AI2087" s="1">
        <v>0.0523414254</v>
      </c>
      <c r="AJ2087" s="1">
        <v>1.9884052364</v>
      </c>
      <c r="AK2087" s="1">
        <v>89.800249191</v>
      </c>
      <c r="AL2087" s="1">
        <v>0.4175416924</v>
      </c>
      <c r="AM2087" s="1">
        <v>50.92365548</v>
      </c>
      <c r="AN2087" s="1">
        <v>35.527833169</v>
      </c>
      <c r="AO2087" s="1">
        <v>27934.0</v>
      </c>
      <c r="AP2087" s="1">
        <v>12.6</v>
      </c>
      <c r="AQ2087" s="1">
        <v>6.6</v>
      </c>
      <c r="AR2087" s="1">
        <v>9.6</v>
      </c>
      <c r="AS2087" s="1">
        <v>15.1</v>
      </c>
      <c r="AT2087" s="1">
        <v>23.8</v>
      </c>
      <c r="AU2087" s="1">
        <v>13.9</v>
      </c>
      <c r="AV2087" s="1">
        <v>8.6</v>
      </c>
      <c r="AW2087" s="1">
        <v>0.2</v>
      </c>
      <c r="AX2087" s="1">
        <v>0.2124</v>
      </c>
      <c r="AY2087" s="1">
        <v>9.3</v>
      </c>
      <c r="AZ2087" s="1">
        <v>12.4</v>
      </c>
      <c r="BA2087" s="1">
        <v>17.8</v>
      </c>
      <c r="BB2087" s="1">
        <v>2.82</v>
      </c>
      <c r="BC2087" s="1" t="s">
        <v>3418</v>
      </c>
      <c r="BD2087" s="1">
        <v>8.5</v>
      </c>
      <c r="BE2087" s="1">
        <v>34.3</v>
      </c>
      <c r="BF2087" s="1">
        <v>31.1</v>
      </c>
      <c r="BG2087" s="1">
        <v>26.1</v>
      </c>
      <c r="BH2087" s="1" t="s">
        <v>3479</v>
      </c>
    </row>
    <row r="2088">
      <c r="A2088" s="1">
        <v>39091.0</v>
      </c>
      <c r="B2088" s="2" t="str">
        <f>IFERROR(__xludf.DUMMYFUNCTION("TO_TEXT(A2088)"),"39091")</f>
        <v>39091</v>
      </c>
      <c r="C2088" s="1">
        <v>45388.0</v>
      </c>
      <c r="D2088" s="1">
        <v>458.433131686496</v>
      </c>
      <c r="E2088" s="1" t="s">
        <v>357</v>
      </c>
      <c r="F2088" s="1" t="s">
        <v>3480</v>
      </c>
      <c r="G2088" s="1">
        <v>99.0068057101925</v>
      </c>
      <c r="H2088" s="1">
        <v>17.498198328</v>
      </c>
      <c r="I2088" s="1">
        <v>4.3924510083</v>
      </c>
      <c r="J2088" s="1">
        <v>7.3900598491</v>
      </c>
      <c r="K2088" s="1">
        <v>18.663029186</v>
      </c>
      <c r="L2088" s="1">
        <v>40.5</v>
      </c>
      <c r="M2088" s="1">
        <v>8.1</v>
      </c>
      <c r="N2088" s="1">
        <v>27.1</v>
      </c>
      <c r="O2088" s="1">
        <v>62.963932138</v>
      </c>
      <c r="P2088" s="1">
        <v>7.0125887669</v>
      </c>
      <c r="Q2088" s="1">
        <v>44.12576</v>
      </c>
      <c r="R2088" s="1">
        <v>96.494464945</v>
      </c>
      <c r="S2088" s="1">
        <v>16.2</v>
      </c>
      <c r="T2088" s="1">
        <v>10472.0</v>
      </c>
      <c r="U2088" s="1">
        <v>29.029793736</v>
      </c>
      <c r="V2088" s="1">
        <v>104.25233699</v>
      </c>
      <c r="W2088" s="1">
        <v>11.24465812</v>
      </c>
      <c r="X2088" s="1">
        <v>9.0982503365</v>
      </c>
      <c r="Y2088" s="1">
        <v>76.288992441</v>
      </c>
      <c r="Z2088" s="1">
        <v>5.0</v>
      </c>
      <c r="AA2088" s="1">
        <v>2.9905037494</v>
      </c>
      <c r="AB2088" s="1">
        <v>61699.0</v>
      </c>
      <c r="AC2088" s="1">
        <v>45.236080555</v>
      </c>
      <c r="AD2088" s="1">
        <v>72.933419106</v>
      </c>
      <c r="AE2088" s="1">
        <v>9.2854349405</v>
      </c>
      <c r="AF2088" s="1">
        <v>1.7703602452</v>
      </c>
      <c r="AG2088" s="1">
        <v>0.3417258257</v>
      </c>
      <c r="AH2088" s="1">
        <v>0.8399841263</v>
      </c>
      <c r="AI2088" s="1">
        <v>0.0485030204</v>
      </c>
      <c r="AJ2088" s="1">
        <v>1.58957626</v>
      </c>
      <c r="AK2088" s="1">
        <v>93.348472155</v>
      </c>
      <c r="AL2088" s="1">
        <v>0.9188325422</v>
      </c>
      <c r="AM2088" s="1">
        <v>50.458574011</v>
      </c>
      <c r="AN2088" s="1">
        <v>56.914824022</v>
      </c>
      <c r="AO2088" s="1">
        <v>25877.0</v>
      </c>
      <c r="AP2088" s="1">
        <v>14.0</v>
      </c>
      <c r="AQ2088" s="1">
        <v>5.9</v>
      </c>
      <c r="AR2088" s="1">
        <v>10.4</v>
      </c>
      <c r="AS2088" s="1">
        <v>16.5</v>
      </c>
      <c r="AT2088" s="1">
        <v>24.1</v>
      </c>
      <c r="AU2088" s="1">
        <v>14.4</v>
      </c>
      <c r="AV2088" s="1">
        <v>6.1</v>
      </c>
      <c r="AW2088" s="1">
        <v>0.7</v>
      </c>
      <c r="AX2088" s="1">
        <v>0.2999</v>
      </c>
      <c r="AY2088" s="1">
        <v>10.5</v>
      </c>
      <c r="AZ2088" s="1">
        <v>12.5</v>
      </c>
      <c r="BA2088" s="1">
        <v>18.6</v>
      </c>
      <c r="BB2088" s="1">
        <v>2.62</v>
      </c>
      <c r="BC2088" s="1" t="s">
        <v>3418</v>
      </c>
      <c r="BD2088" s="1">
        <v>7.4</v>
      </c>
      <c r="BE2088" s="1">
        <v>48.4</v>
      </c>
      <c r="BF2088" s="1">
        <v>27.6</v>
      </c>
      <c r="BG2088" s="1">
        <v>16.5</v>
      </c>
      <c r="BH2088" s="1" t="s">
        <v>3480</v>
      </c>
    </row>
    <row r="2089">
      <c r="A2089" s="1">
        <v>39093.0</v>
      </c>
      <c r="B2089" s="2" t="str">
        <f>IFERROR(__xludf.DUMMYFUNCTION("TO_TEXT(A2089)"),"39093")</f>
        <v>39093</v>
      </c>
      <c r="C2089" s="1">
        <v>304091.0</v>
      </c>
      <c r="D2089" s="1">
        <v>491.121887629944</v>
      </c>
      <c r="E2089" s="1" t="s">
        <v>3481</v>
      </c>
      <c r="F2089" s="1" t="s">
        <v>3482</v>
      </c>
      <c r="G2089" s="1">
        <v>619.176232335077</v>
      </c>
      <c r="H2089" s="1">
        <v>16.429281793</v>
      </c>
      <c r="I2089" s="1">
        <v>4.158018676</v>
      </c>
      <c r="J2089" s="1">
        <v>8.0507377686</v>
      </c>
      <c r="K2089" s="1">
        <v>18.1786939329999</v>
      </c>
      <c r="L2089" s="1">
        <v>36.6</v>
      </c>
      <c r="M2089" s="1">
        <v>7.5</v>
      </c>
      <c r="N2089" s="1">
        <v>27.6</v>
      </c>
      <c r="O2089" s="1">
        <v>90.917718579</v>
      </c>
      <c r="P2089" s="1">
        <v>6.1521080053</v>
      </c>
      <c r="Q2089" s="1">
        <v>52.93514</v>
      </c>
      <c r="R2089" s="1">
        <v>89.5807644879999</v>
      </c>
      <c r="S2089" s="1">
        <v>21.6</v>
      </c>
      <c r="T2089" s="1">
        <v>68235.0</v>
      </c>
      <c r="U2089" s="1">
        <v>37.06748736</v>
      </c>
      <c r="V2089" s="1">
        <v>163.67247391</v>
      </c>
      <c r="W2089" s="1">
        <v>12.928322422</v>
      </c>
      <c r="X2089" s="1">
        <v>11.611516975</v>
      </c>
      <c r="Y2089" s="1">
        <v>77.564002076</v>
      </c>
      <c r="Z2089" s="1">
        <v>13.3</v>
      </c>
      <c r="AA2089" s="1">
        <v>7.8758379214</v>
      </c>
      <c r="AB2089" s="1">
        <v>59265.0</v>
      </c>
      <c r="AC2089" s="1">
        <v>33.552104517</v>
      </c>
      <c r="AD2089" s="1">
        <v>71.6085530719999</v>
      </c>
      <c r="AE2089" s="1">
        <v>12.042631828</v>
      </c>
      <c r="AF2089" s="1">
        <v>7.8685197812</v>
      </c>
      <c r="AG2089" s="1">
        <v>0.3709675856</v>
      </c>
      <c r="AH2089" s="1">
        <v>1.3471810664</v>
      </c>
      <c r="AI2089" s="1">
        <v>0.0743227741</v>
      </c>
      <c r="AJ2089" s="1">
        <v>10.224874863</v>
      </c>
      <c r="AK2089" s="1">
        <v>77.905778111</v>
      </c>
      <c r="AL2089" s="1">
        <v>0.9787381158</v>
      </c>
      <c r="AM2089" s="1">
        <v>50.795415254</v>
      </c>
      <c r="AN2089" s="1">
        <v>11.7379444909999</v>
      </c>
      <c r="AO2089" s="1">
        <v>27537.0</v>
      </c>
      <c r="AP2089" s="1">
        <v>14.0</v>
      </c>
      <c r="AQ2089" s="1">
        <v>8.2</v>
      </c>
      <c r="AR2089" s="1">
        <v>10.8</v>
      </c>
      <c r="AS2089" s="1">
        <v>16.3</v>
      </c>
      <c r="AT2089" s="1">
        <v>22.8</v>
      </c>
      <c r="AU2089" s="1">
        <v>15.4</v>
      </c>
      <c r="AV2089" s="1">
        <v>20.8</v>
      </c>
      <c r="AW2089" s="1">
        <v>1.1</v>
      </c>
      <c r="AX2089" s="1">
        <v>0.5212</v>
      </c>
      <c r="AY2089" s="1">
        <v>13.9</v>
      </c>
      <c r="AZ2089" s="1">
        <v>13.4</v>
      </c>
      <c r="BA2089" s="1">
        <v>19.4</v>
      </c>
      <c r="BB2089" s="1">
        <v>2.95</v>
      </c>
      <c r="BC2089" s="1" t="s">
        <v>3418</v>
      </c>
      <c r="BD2089" s="1">
        <v>10.3</v>
      </c>
      <c r="BE2089" s="1">
        <v>31.0</v>
      </c>
      <c r="BF2089" s="1">
        <v>33.8</v>
      </c>
      <c r="BG2089" s="1">
        <v>24.9</v>
      </c>
      <c r="BH2089" s="1" t="s">
        <v>3482</v>
      </c>
    </row>
    <row r="2090">
      <c r="A2090" s="1">
        <v>39095.0</v>
      </c>
      <c r="B2090" s="2" t="str">
        <f>IFERROR(__xludf.DUMMYFUNCTION("TO_TEXT(A2090)"),"39095")</f>
        <v>39095</v>
      </c>
      <c r="C2090" s="1">
        <v>434800.0</v>
      </c>
      <c r="D2090" s="1">
        <v>340.855675349918</v>
      </c>
      <c r="E2090" s="1" t="s">
        <v>1524</v>
      </c>
      <c r="F2090" s="1" t="s">
        <v>3483</v>
      </c>
      <c r="G2090" s="1">
        <v>1275.61320360484</v>
      </c>
      <c r="H2090" s="1">
        <v>19.128572084</v>
      </c>
      <c r="I2090" s="1">
        <v>4.4783342582</v>
      </c>
      <c r="J2090" s="1">
        <v>9.5773713878</v>
      </c>
      <c r="K2090" s="1">
        <v>21.087334662</v>
      </c>
      <c r="L2090" s="1">
        <v>34.8</v>
      </c>
      <c r="M2090" s="1">
        <v>6.9</v>
      </c>
      <c r="N2090" s="1">
        <v>27.3</v>
      </c>
      <c r="O2090" s="1">
        <v>97.83597207</v>
      </c>
      <c r="P2090" s="1">
        <v>7.5264302782</v>
      </c>
      <c r="Q2090" s="1">
        <v>91.90345</v>
      </c>
      <c r="R2090" s="1">
        <v>84.321915901</v>
      </c>
      <c r="S2090" s="1">
        <v>25.0</v>
      </c>
      <c r="T2090" s="1">
        <v>98819.0</v>
      </c>
      <c r="U2090" s="1">
        <v>48.138515872</v>
      </c>
      <c r="V2090" s="1">
        <v>824.39142546</v>
      </c>
      <c r="W2090" s="1">
        <v>15.867768595</v>
      </c>
      <c r="X2090" s="1">
        <v>14.625218063</v>
      </c>
      <c r="Y2090" s="1">
        <v>75.643907058</v>
      </c>
      <c r="Z2090" s="1">
        <v>12.9</v>
      </c>
      <c r="AA2090" s="1">
        <v>5.47729325549999</v>
      </c>
      <c r="AB2090" s="1">
        <v>47865.0</v>
      </c>
      <c r="AC2090" s="1">
        <v>37.254786103</v>
      </c>
      <c r="AD2090" s="1">
        <v>59.973752548</v>
      </c>
      <c r="AE2090" s="1">
        <v>14.152698028</v>
      </c>
      <c r="AF2090" s="1">
        <v>19.604837415</v>
      </c>
      <c r="AG2090" s="1">
        <v>0.4121898399</v>
      </c>
      <c r="AH2090" s="1">
        <v>1.7697180035</v>
      </c>
      <c r="AI2090" s="1">
        <v>0.0548966153</v>
      </c>
      <c r="AJ2090" s="1">
        <v>7.2740341336</v>
      </c>
      <c r="AK2090" s="1">
        <v>68.37908439</v>
      </c>
      <c r="AL2090" s="1">
        <v>0.872204385999999</v>
      </c>
      <c r="AM2090" s="1">
        <v>51.523032154</v>
      </c>
      <c r="AN2090" s="1">
        <v>4.6600952888</v>
      </c>
      <c r="AO2090" s="1">
        <v>25977.0</v>
      </c>
      <c r="AP2090" s="1">
        <v>20.7</v>
      </c>
      <c r="AQ2090" s="1">
        <v>9.6</v>
      </c>
      <c r="AR2090" s="1">
        <v>11.2</v>
      </c>
      <c r="AS2090" s="1">
        <v>14.6</v>
      </c>
      <c r="AT2090" s="1">
        <v>23.2</v>
      </c>
      <c r="AU2090" s="1">
        <v>15.2</v>
      </c>
      <c r="AV2090" s="1">
        <v>30.3</v>
      </c>
      <c r="AW2090" s="1">
        <v>0.8</v>
      </c>
      <c r="AX2090" s="1">
        <v>0.6762</v>
      </c>
      <c r="AY2090" s="1">
        <v>18.0</v>
      </c>
      <c r="AZ2090" s="1">
        <v>15.9</v>
      </c>
      <c r="BA2090" s="1">
        <v>22.0</v>
      </c>
      <c r="BB2090" s="1">
        <v>2.85</v>
      </c>
      <c r="BC2090" s="1" t="s">
        <v>3418</v>
      </c>
      <c r="BD2090" s="1">
        <v>10.7</v>
      </c>
      <c r="BE2090" s="1">
        <v>29.7</v>
      </c>
      <c r="BF2090" s="1">
        <v>33.3</v>
      </c>
      <c r="BG2090" s="1">
        <v>26.3</v>
      </c>
      <c r="BH2090" s="1" t="s">
        <v>3483</v>
      </c>
    </row>
    <row r="2091">
      <c r="A2091" s="1">
        <v>39097.0</v>
      </c>
      <c r="B2091" s="2" t="str">
        <f>IFERROR(__xludf.DUMMYFUNCTION("TO_TEXT(A2091)"),"39097")</f>
        <v>39097</v>
      </c>
      <c r="C2091" s="1">
        <v>43537.0</v>
      </c>
      <c r="D2091" s="1">
        <v>465.888491035095</v>
      </c>
      <c r="E2091" s="1" t="s">
        <v>148</v>
      </c>
      <c r="F2091" s="1" t="s">
        <v>3484</v>
      </c>
      <c r="G2091" s="1">
        <v>93.4494000984461</v>
      </c>
      <c r="H2091" s="1">
        <v>15.746320537</v>
      </c>
      <c r="I2091" s="1">
        <v>4.1590600343</v>
      </c>
      <c r="J2091" s="1">
        <v>7.67690253669999</v>
      </c>
      <c r="K2091" s="1">
        <v>18.518140197</v>
      </c>
      <c r="L2091" s="1">
        <v>37.4</v>
      </c>
      <c r="M2091" s="1">
        <v>7.7</v>
      </c>
      <c r="N2091" s="1">
        <v>28.4</v>
      </c>
      <c r="O2091" s="1">
        <v>62.106596063</v>
      </c>
      <c r="P2091" s="1">
        <v>6.6609657026</v>
      </c>
      <c r="Q2091" s="1">
        <v>34.06304</v>
      </c>
      <c r="R2091" s="1">
        <v>95.34368071</v>
      </c>
      <c r="S2091" s="1">
        <v>14.1</v>
      </c>
      <c r="T2091" s="1">
        <v>9052.0</v>
      </c>
      <c r="U2091" s="1">
        <v>34.5448519659999</v>
      </c>
      <c r="V2091" s="1">
        <v>72.60824968</v>
      </c>
      <c r="W2091" s="1">
        <v>10.63470628</v>
      </c>
      <c r="X2091" s="1">
        <v>8.0369357045</v>
      </c>
      <c r="Y2091" s="1">
        <v>76.464123014</v>
      </c>
      <c r="Z2091" s="1">
        <v>14.8</v>
      </c>
      <c r="AA2091" s="1">
        <v>9.2476117085</v>
      </c>
      <c r="AB2091" s="1">
        <v>61645.0</v>
      </c>
      <c r="AC2091" s="1">
        <v>35.33629225</v>
      </c>
      <c r="AD2091" s="1">
        <v>71.2665782489999</v>
      </c>
      <c r="AE2091" s="1">
        <v>7.9570637119</v>
      </c>
      <c r="AF2091" s="1">
        <v>6.2436673947</v>
      </c>
      <c r="AG2091" s="1">
        <v>0.3647580663</v>
      </c>
      <c r="AH2091" s="1">
        <v>1.4432711143</v>
      </c>
      <c r="AI2091" s="1">
        <v>0.027019116</v>
      </c>
      <c r="AJ2091" s="1">
        <v>2.1255037939</v>
      </c>
      <c r="AK2091" s="1">
        <v>88.318735505</v>
      </c>
      <c r="AL2091" s="1">
        <v>0.5436214287</v>
      </c>
      <c r="AM2091" s="1">
        <v>45.754621395</v>
      </c>
      <c r="AN2091" s="1">
        <v>48.486243813</v>
      </c>
      <c r="AO2091" s="1">
        <v>25687.0</v>
      </c>
      <c r="AP2091" s="1">
        <v>10.6</v>
      </c>
      <c r="AQ2091" s="1">
        <v>6.4</v>
      </c>
      <c r="AR2091" s="1">
        <v>13.3</v>
      </c>
      <c r="AS2091" s="1">
        <v>14.1</v>
      </c>
      <c r="AT2091" s="1">
        <v>21.2</v>
      </c>
      <c r="AU2091" s="1">
        <v>15.2</v>
      </c>
      <c r="AV2091" s="1">
        <v>10.8</v>
      </c>
      <c r="AW2091" s="1">
        <v>0.5</v>
      </c>
      <c r="AX2091" s="1">
        <v>0.3805</v>
      </c>
      <c r="AY2091" s="1">
        <v>9.6</v>
      </c>
      <c r="AZ2091" s="1">
        <v>12.0</v>
      </c>
      <c r="BA2091" s="1">
        <v>17.0</v>
      </c>
      <c r="BB2091" s="1">
        <v>2.97</v>
      </c>
      <c r="BC2091" s="1" t="s">
        <v>3418</v>
      </c>
      <c r="BD2091" s="1">
        <v>13.0</v>
      </c>
      <c r="BE2091" s="1">
        <v>41.6</v>
      </c>
      <c r="BF2091" s="1">
        <v>27.9</v>
      </c>
      <c r="BG2091" s="1">
        <v>17.5</v>
      </c>
      <c r="BH2091" s="1" t="s">
        <v>3484</v>
      </c>
    </row>
    <row r="2092">
      <c r="A2092" s="1">
        <v>39099.0</v>
      </c>
      <c r="B2092" s="2" t="str">
        <f>IFERROR(__xludf.DUMMYFUNCTION("TO_TEXT(A2092)"),"39099")</f>
        <v>39099</v>
      </c>
      <c r="C2092" s="1">
        <v>233015.0</v>
      </c>
      <c r="D2092" s="1">
        <v>411.507358703608</v>
      </c>
      <c r="E2092" s="1" t="s">
        <v>3485</v>
      </c>
      <c r="F2092" s="1" t="s">
        <v>3486</v>
      </c>
      <c r="G2092" s="1">
        <v>566.247468171842</v>
      </c>
      <c r="H2092" s="1">
        <v>17.849280508</v>
      </c>
      <c r="I2092" s="1">
        <v>4.7283329096</v>
      </c>
      <c r="J2092" s="1">
        <v>10.47523229</v>
      </c>
      <c r="K2092" s="1">
        <v>19.889566928</v>
      </c>
      <c r="L2092" s="1">
        <v>31.3</v>
      </c>
      <c r="M2092" s="1">
        <v>6.7</v>
      </c>
      <c r="N2092" s="1">
        <v>31.5</v>
      </c>
      <c r="O2092" s="1">
        <v>80.760647006</v>
      </c>
      <c r="P2092" s="1">
        <v>6.7766369107</v>
      </c>
      <c r="Q2092" s="1">
        <v>103.13495</v>
      </c>
      <c r="R2092" s="1">
        <v>90.192644483</v>
      </c>
      <c r="S2092" s="1">
        <v>24.3</v>
      </c>
      <c r="T2092" s="1">
        <v>45634.0</v>
      </c>
      <c r="U2092" s="1">
        <v>43.862032695</v>
      </c>
      <c r="V2092" s="1">
        <v>278.89667154</v>
      </c>
      <c r="W2092" s="1">
        <v>13.3046109659999</v>
      </c>
      <c r="X2092" s="1">
        <v>11.969815249</v>
      </c>
      <c r="Y2092" s="1">
        <v>76.481543102</v>
      </c>
      <c r="Z2092" s="1">
        <v>12.8</v>
      </c>
      <c r="AA2092" s="1">
        <v>10.8205455</v>
      </c>
      <c r="AB2092" s="1">
        <v>48010.0</v>
      </c>
      <c r="AC2092" s="1">
        <v>44.795056837</v>
      </c>
      <c r="AD2092" s="1">
        <v>68.687023212</v>
      </c>
      <c r="AE2092" s="1">
        <v>11.781439025</v>
      </c>
      <c r="AF2092" s="1">
        <v>15.051253691</v>
      </c>
      <c r="AG2092" s="1">
        <v>0.2647599307</v>
      </c>
      <c r="AH2092" s="1">
        <v>0.9157732471</v>
      </c>
      <c r="AI2092" s="1">
        <v>0.0544325515</v>
      </c>
      <c r="AJ2092" s="1">
        <v>6.3912524712</v>
      </c>
      <c r="AK2092" s="1">
        <v>75.565009885</v>
      </c>
      <c r="AL2092" s="1">
        <v>1.0006619342</v>
      </c>
      <c r="AM2092" s="1">
        <v>51.031605717</v>
      </c>
      <c r="AN2092" s="1">
        <v>15.158506509</v>
      </c>
      <c r="AO2092" s="1">
        <v>24651.0</v>
      </c>
      <c r="AP2092" s="1">
        <v>18.1</v>
      </c>
      <c r="AQ2092" s="1">
        <v>8.9</v>
      </c>
      <c r="AR2092" s="1">
        <v>9.9</v>
      </c>
      <c r="AS2092" s="1">
        <v>19.1</v>
      </c>
      <c r="AT2092" s="1">
        <v>20.6</v>
      </c>
      <c r="AU2092" s="1">
        <v>15.6</v>
      </c>
      <c r="AV2092" s="1">
        <v>23.3</v>
      </c>
      <c r="AW2092" s="1">
        <v>1.2</v>
      </c>
      <c r="AX2092" s="1">
        <v>0.6059</v>
      </c>
      <c r="AY2092" s="1">
        <v>18.4</v>
      </c>
      <c r="AZ2092" s="1">
        <v>15.4</v>
      </c>
      <c r="BA2092" s="1">
        <v>23.0</v>
      </c>
      <c r="BB2092" s="1">
        <v>3.03</v>
      </c>
      <c r="BC2092" s="1" t="s">
        <v>3418</v>
      </c>
      <c r="BD2092" s="1">
        <v>9.1</v>
      </c>
      <c r="BE2092" s="1">
        <v>37.6</v>
      </c>
      <c r="BF2092" s="1">
        <v>29.1</v>
      </c>
      <c r="BG2092" s="1">
        <v>24.2</v>
      </c>
      <c r="BH2092" s="1" t="s">
        <v>3486</v>
      </c>
    </row>
    <row r="2093">
      <c r="A2093" s="1">
        <v>39101.0</v>
      </c>
      <c r="B2093" s="2" t="str">
        <f>IFERROR(__xludf.DUMMYFUNCTION("TO_TEXT(A2093)"),"39101")</f>
        <v>39101</v>
      </c>
      <c r="C2093" s="1">
        <v>65620.0</v>
      </c>
      <c r="D2093" s="1">
        <v>403.757238277352</v>
      </c>
      <c r="E2093" s="1" t="s">
        <v>152</v>
      </c>
      <c r="F2093" s="1" t="s">
        <v>3487</v>
      </c>
      <c r="G2093" s="1">
        <v>162.523402131366</v>
      </c>
      <c r="H2093" s="1">
        <v>17.221807118</v>
      </c>
      <c r="I2093" s="1">
        <v>4.1414302386</v>
      </c>
      <c r="J2093" s="1">
        <v>9.0145148969</v>
      </c>
      <c r="K2093" s="1">
        <v>21.357875617</v>
      </c>
      <c r="L2093" s="1">
        <v>40.2</v>
      </c>
      <c r="M2093" s="1">
        <v>6.4</v>
      </c>
      <c r="N2093" s="1">
        <v>32.5</v>
      </c>
      <c r="O2093" s="1">
        <v>77.218387693</v>
      </c>
      <c r="P2093" s="1">
        <v>6.8112037095</v>
      </c>
      <c r="Q2093" s="1">
        <v>29.24562</v>
      </c>
      <c r="R2093" s="1">
        <v>89.747634069</v>
      </c>
      <c r="S2093" s="1">
        <v>24.7</v>
      </c>
      <c r="T2093" s="1">
        <v>13415.0</v>
      </c>
      <c r="U2093" s="1">
        <v>38.136414461</v>
      </c>
      <c r="V2093" s="1">
        <v>215.40529805</v>
      </c>
      <c r="W2093" s="1">
        <v>12.653562654</v>
      </c>
      <c r="X2093" s="1">
        <v>11.118475559</v>
      </c>
      <c r="Y2093" s="1">
        <v>75.200757747</v>
      </c>
      <c r="Z2093" s="1">
        <v>15.7</v>
      </c>
      <c r="AA2093" s="1">
        <v>17.786907786</v>
      </c>
      <c r="AB2093" s="1">
        <v>45419.0</v>
      </c>
      <c r="AC2093" s="1">
        <v>41.961112273</v>
      </c>
      <c r="AD2093" s="1">
        <v>67.911114722</v>
      </c>
      <c r="AE2093" s="1">
        <v>11.653676006</v>
      </c>
      <c r="AF2093" s="1">
        <v>6.3595684688</v>
      </c>
      <c r="AG2093" s="1">
        <v>0.2972906706</v>
      </c>
      <c r="AH2093" s="1">
        <v>0.6191001594</v>
      </c>
      <c r="AI2093" s="1">
        <v>0.0812185853</v>
      </c>
      <c r="AJ2093" s="1">
        <v>2.761431899</v>
      </c>
      <c r="AK2093" s="1">
        <v>88.1374892729999</v>
      </c>
      <c r="AL2093" s="1">
        <v>0.3820206454</v>
      </c>
      <c r="AM2093" s="1">
        <v>46.889174942</v>
      </c>
      <c r="AN2093" s="1">
        <v>30.250672922</v>
      </c>
      <c r="AO2093" s="1">
        <v>21177.0</v>
      </c>
      <c r="AP2093" s="1">
        <v>17.4</v>
      </c>
      <c r="AQ2093" s="1">
        <v>8.0</v>
      </c>
      <c r="AR2093" s="1">
        <v>13.4</v>
      </c>
      <c r="AS2093" s="1">
        <v>16.0</v>
      </c>
      <c r="AT2093" s="1">
        <v>21.0</v>
      </c>
      <c r="AU2093" s="1">
        <v>20.0</v>
      </c>
      <c r="AV2093" s="1">
        <v>11.1</v>
      </c>
      <c r="AW2093" s="1">
        <v>0.4</v>
      </c>
      <c r="AX2093" s="1">
        <v>0.6269</v>
      </c>
      <c r="AY2093" s="1">
        <v>14.8</v>
      </c>
      <c r="AZ2093" s="1">
        <v>15.1</v>
      </c>
      <c r="BA2093" s="1">
        <v>21.9</v>
      </c>
      <c r="BB2093" s="1">
        <v>2.68</v>
      </c>
      <c r="BC2093" s="1" t="s">
        <v>3418</v>
      </c>
      <c r="BD2093" s="1">
        <v>12.1</v>
      </c>
      <c r="BE2093" s="1">
        <v>44.5</v>
      </c>
      <c r="BF2093" s="1">
        <v>30.9</v>
      </c>
      <c r="BG2093" s="1">
        <v>12.5</v>
      </c>
      <c r="BH2093" s="1" t="s">
        <v>3487</v>
      </c>
    </row>
    <row r="2094">
      <c r="A2094" s="1">
        <v>39103.0</v>
      </c>
      <c r="B2094" s="2" t="str">
        <f>IFERROR(__xludf.DUMMYFUNCTION("TO_TEXT(A2094)"),"39103")</f>
        <v>39103</v>
      </c>
      <c r="C2094" s="1">
        <v>175543.0</v>
      </c>
      <c r="D2094" s="1">
        <v>421.394211613491</v>
      </c>
      <c r="E2094" s="1" t="s">
        <v>3488</v>
      </c>
      <c r="F2094" s="1" t="s">
        <v>3489</v>
      </c>
      <c r="G2094" s="1">
        <v>416.576676095898</v>
      </c>
      <c r="H2094" s="1">
        <v>11.997726461</v>
      </c>
      <c r="I2094" s="1">
        <v>3.9435231506</v>
      </c>
      <c r="J2094" s="1">
        <v>6.7172706497</v>
      </c>
      <c r="K2094" s="1">
        <v>15.937067449</v>
      </c>
      <c r="L2094" s="1">
        <v>29.0</v>
      </c>
      <c r="M2094" s="1">
        <v>8.5</v>
      </c>
      <c r="N2094" s="1">
        <v>23.9</v>
      </c>
      <c r="O2094" s="1">
        <v>92.0792423929999</v>
      </c>
      <c r="P2094" s="1">
        <v>5.4350544452</v>
      </c>
      <c r="Q2094" s="1">
        <v>59.4267</v>
      </c>
      <c r="R2094" s="1">
        <v>94.517637059</v>
      </c>
      <c r="S2094" s="1">
        <v>7.5</v>
      </c>
      <c r="T2094" s="1">
        <v>40312.0</v>
      </c>
      <c r="U2094" s="1">
        <v>20.3934312359999</v>
      </c>
      <c r="V2094" s="1">
        <v>57.368089072</v>
      </c>
      <c r="W2094" s="1">
        <v>10.712405025</v>
      </c>
      <c r="X2094" s="1">
        <v>8.8473473095</v>
      </c>
      <c r="Y2094" s="1">
        <v>79.840138869</v>
      </c>
      <c r="Z2094" s="1">
        <v>10.5</v>
      </c>
      <c r="AA2094" s="1">
        <v>4.1724003587</v>
      </c>
      <c r="AB2094" s="1">
        <v>76475.0</v>
      </c>
      <c r="AC2094" s="1">
        <v>20.997978677</v>
      </c>
      <c r="AD2094" s="1">
        <v>80.64620308</v>
      </c>
      <c r="AE2094" s="1">
        <v>8.4809598952</v>
      </c>
      <c r="AF2094" s="1">
        <v>1.3832293213</v>
      </c>
      <c r="AG2094" s="1">
        <v>0.1920221495</v>
      </c>
      <c r="AH2094" s="1">
        <v>1.2939166936</v>
      </c>
      <c r="AI2094" s="1">
        <v>0.0234445648</v>
      </c>
      <c r="AJ2094" s="1">
        <v>2.1340135978</v>
      </c>
      <c r="AK2094" s="1">
        <v>93.811193105</v>
      </c>
      <c r="AL2094" s="1">
        <v>0.2993119403</v>
      </c>
      <c r="AM2094" s="1">
        <v>50.496243288</v>
      </c>
      <c r="AN2094" s="1">
        <v>29.794234385</v>
      </c>
      <c r="AO2094" s="1">
        <v>32911.0</v>
      </c>
      <c r="AP2094" s="1">
        <v>6.6</v>
      </c>
      <c r="AQ2094" s="1">
        <v>4.1</v>
      </c>
      <c r="AR2094" s="1">
        <v>6.4</v>
      </c>
      <c r="AS2094" s="1">
        <v>15.6</v>
      </c>
      <c r="AT2094" s="1">
        <v>23.5</v>
      </c>
      <c r="AU2094" s="1">
        <v>10.5</v>
      </c>
      <c r="AV2094" s="1">
        <v>5.7</v>
      </c>
      <c r="AW2094" s="1">
        <v>0.4</v>
      </c>
      <c r="AX2094" s="1">
        <v>0.0207</v>
      </c>
      <c r="AY2094" s="1">
        <v>5.5</v>
      </c>
      <c r="AZ2094" s="1">
        <v>9.6</v>
      </c>
      <c r="BA2094" s="1">
        <v>13.7</v>
      </c>
      <c r="BB2094" s="1">
        <v>3.03</v>
      </c>
      <c r="BC2094" s="1" t="s">
        <v>3418</v>
      </c>
      <c r="BD2094" s="1">
        <v>4.9</v>
      </c>
      <c r="BE2094" s="1">
        <v>31.0</v>
      </c>
      <c r="BF2094" s="1">
        <v>30.2</v>
      </c>
      <c r="BG2094" s="1">
        <v>33.9</v>
      </c>
      <c r="BH2094" s="1" t="s">
        <v>3489</v>
      </c>
    </row>
    <row r="2095">
      <c r="A2095" s="1">
        <v>39105.0</v>
      </c>
      <c r="B2095" s="2" t="str">
        <f>IFERROR(__xludf.DUMMYFUNCTION("TO_TEXT(A2095)"),"39105")</f>
        <v>39105</v>
      </c>
      <c r="C2095" s="1">
        <v>23345.0</v>
      </c>
      <c r="D2095" s="1">
        <v>430.101596658858</v>
      </c>
      <c r="E2095" s="1" t="s">
        <v>3490</v>
      </c>
      <c r="F2095" s="1" t="s">
        <v>3491</v>
      </c>
      <c r="G2095" s="1">
        <v>54.2778733707339</v>
      </c>
      <c r="H2095" s="1">
        <v>20.181841479</v>
      </c>
      <c r="I2095" s="1">
        <v>4.9461796622</v>
      </c>
      <c r="J2095" s="1">
        <v>9.7098875074</v>
      </c>
      <c r="K2095" s="1">
        <v>22.242768373</v>
      </c>
      <c r="L2095" s="1">
        <v>40.7</v>
      </c>
      <c r="M2095" s="1">
        <v>7.0</v>
      </c>
      <c r="N2095" s="1">
        <v>33.2</v>
      </c>
      <c r="O2095" s="1">
        <v>43.479175431</v>
      </c>
      <c r="P2095" s="1">
        <v>7.9330580309</v>
      </c>
      <c r="Q2095" s="1">
        <v>8.66551</v>
      </c>
      <c r="R2095" s="1">
        <v>88.416988417</v>
      </c>
      <c r="S2095" s="1">
        <v>25.9</v>
      </c>
      <c r="T2095" s="1">
        <v>4998.0</v>
      </c>
      <c r="U2095" s="1">
        <v>33.473389356</v>
      </c>
      <c r="V2095" s="1">
        <v>162.46240313</v>
      </c>
      <c r="W2095" s="1">
        <v>11.678435633</v>
      </c>
      <c r="X2095" s="1">
        <v>9.4208494208</v>
      </c>
      <c r="Y2095" s="1">
        <v>73.271008293</v>
      </c>
      <c r="Z2095" s="1">
        <v>15.1</v>
      </c>
      <c r="AA2095" s="1">
        <v>7.2914857536</v>
      </c>
      <c r="AB2095" s="1">
        <v>44286.0</v>
      </c>
      <c r="AC2095" s="1">
        <v>50.1972386589999</v>
      </c>
      <c r="AD2095" s="1">
        <v>79.071032307</v>
      </c>
      <c r="AE2095" s="1">
        <v>10.26409872</v>
      </c>
      <c r="AF2095" s="1">
        <v>0.8742318013</v>
      </c>
      <c r="AG2095" s="1">
        <v>0.2986237341</v>
      </c>
      <c r="AH2095" s="1">
        <v>0.233705531</v>
      </c>
      <c r="AI2095" s="1">
        <v>0.0129836406</v>
      </c>
      <c r="AJ2095" s="1">
        <v>0.7660347962</v>
      </c>
      <c r="AK2095" s="1">
        <v>96.6112698</v>
      </c>
      <c r="AL2095" s="1">
        <v>0.0</v>
      </c>
      <c r="AM2095" s="1">
        <v>50.701116593</v>
      </c>
      <c r="AN2095" s="1">
        <v>81.295750947</v>
      </c>
      <c r="AO2095" s="1">
        <v>21317.0</v>
      </c>
      <c r="AP2095" s="1">
        <v>22.8</v>
      </c>
      <c r="AQ2095" s="1">
        <v>11.2</v>
      </c>
      <c r="AR2095" s="1">
        <v>16.0</v>
      </c>
      <c r="AS2095" s="1">
        <v>17.7</v>
      </c>
      <c r="AT2095" s="1">
        <v>21.9</v>
      </c>
      <c r="AU2095" s="1">
        <v>21.8</v>
      </c>
      <c r="AV2095" s="1">
        <v>3.1</v>
      </c>
      <c r="AW2095" s="1">
        <v>0.1</v>
      </c>
      <c r="AX2095" s="1">
        <v>0.623</v>
      </c>
      <c r="AY2095" s="1">
        <v>15.8</v>
      </c>
      <c r="AZ2095" s="1">
        <v>18.7</v>
      </c>
      <c r="BA2095" s="1">
        <v>28.1</v>
      </c>
      <c r="BB2095" s="1">
        <v>2.82</v>
      </c>
      <c r="BC2095" s="1" t="s">
        <v>3418</v>
      </c>
      <c r="BD2095" s="1">
        <v>16.4</v>
      </c>
      <c r="BE2095" s="1">
        <v>41.8</v>
      </c>
      <c r="BF2095" s="1">
        <v>28.7</v>
      </c>
      <c r="BG2095" s="1">
        <v>13.1</v>
      </c>
      <c r="BH2095" s="1" t="s">
        <v>3491</v>
      </c>
    </row>
    <row r="2096">
      <c r="A2096" s="1">
        <v>39107.0</v>
      </c>
      <c r="B2096" s="2" t="str">
        <f>IFERROR(__xludf.DUMMYFUNCTION("TO_TEXT(A2096)"),"39107")</f>
        <v>39107</v>
      </c>
      <c r="C2096" s="1">
        <v>40886.0</v>
      </c>
      <c r="D2096" s="1">
        <v>462.449193647309</v>
      </c>
      <c r="E2096" s="1" t="s">
        <v>1252</v>
      </c>
      <c r="F2096" s="1" t="s">
        <v>3492</v>
      </c>
      <c r="G2096" s="1">
        <v>88.4118743456648</v>
      </c>
      <c r="H2096" s="1">
        <v>15.170034537</v>
      </c>
      <c r="I2096" s="1">
        <v>3.9689447355</v>
      </c>
      <c r="J2096" s="1">
        <v>5.5435565155</v>
      </c>
      <c r="K2096" s="1">
        <v>15.515634042</v>
      </c>
      <c r="L2096" s="1">
        <v>34.7</v>
      </c>
      <c r="M2096" s="1">
        <v>8.8</v>
      </c>
      <c r="N2096" s="1">
        <v>26.8</v>
      </c>
      <c r="O2096" s="1">
        <v>65.653942275</v>
      </c>
      <c r="P2096" s="1">
        <v>6.2844935019</v>
      </c>
      <c r="Q2096" s="1">
        <v>48.93206</v>
      </c>
      <c r="R2096" s="1">
        <v>96.030534351</v>
      </c>
      <c r="S2096" s="1">
        <v>10.1</v>
      </c>
      <c r="T2096" s="1">
        <v>10406.0</v>
      </c>
      <c r="U2096" s="1">
        <v>23.0155679419999</v>
      </c>
      <c r="V2096" s="1">
        <v>82.744204277</v>
      </c>
      <c r="W2096" s="1">
        <v>7.9143389199</v>
      </c>
      <c r="X2096" s="1">
        <v>6.132751636</v>
      </c>
      <c r="Y2096" s="1">
        <v>79.437660354</v>
      </c>
      <c r="Z2096" s="1">
        <v>11.6</v>
      </c>
      <c r="AA2096" s="1">
        <v>0.8826782042</v>
      </c>
      <c r="AB2096" s="1">
        <v>62782.0</v>
      </c>
      <c r="AC2096" s="1">
        <v>31.657223796</v>
      </c>
      <c r="AD2096" s="1">
        <v>76.5648286139999</v>
      </c>
      <c r="AE2096" s="1">
        <v>7.4293353705</v>
      </c>
      <c r="AF2096" s="1">
        <v>0.44190532</v>
      </c>
      <c r="AG2096" s="1">
        <v>0.3173905613</v>
      </c>
      <c r="AH2096" s="1">
        <v>0.5102663639</v>
      </c>
      <c r="AI2096" s="1">
        <v>0.7055836324</v>
      </c>
      <c r="AJ2096" s="1">
        <v>2.0752459777</v>
      </c>
      <c r="AK2096" s="1">
        <v>95.012085256</v>
      </c>
      <c r="AL2096" s="1">
        <v>0.252764613</v>
      </c>
      <c r="AM2096" s="1">
        <v>49.559315413</v>
      </c>
      <c r="AN2096" s="1">
        <v>61.358847454</v>
      </c>
      <c r="AO2096" s="1">
        <v>26236.0</v>
      </c>
      <c r="AP2096" s="1">
        <v>8.3</v>
      </c>
      <c r="AQ2096" s="1">
        <v>4.7</v>
      </c>
      <c r="AR2096" s="1">
        <v>8.2</v>
      </c>
      <c r="AS2096" s="1">
        <v>16.7</v>
      </c>
      <c r="AT2096" s="1">
        <v>25.6</v>
      </c>
      <c r="AU2096" s="1">
        <v>11.0</v>
      </c>
      <c r="AV2096" s="1">
        <v>4.1</v>
      </c>
      <c r="AW2096" s="1">
        <v>0.2</v>
      </c>
      <c r="AX2096" s="1">
        <v>0.063</v>
      </c>
      <c r="AY2096" s="1">
        <v>6.7</v>
      </c>
      <c r="AZ2096" s="1">
        <v>9.5</v>
      </c>
      <c r="BA2096" s="1">
        <v>12.9</v>
      </c>
      <c r="BB2096" s="1">
        <v>2.45</v>
      </c>
      <c r="BC2096" s="1" t="s">
        <v>3418</v>
      </c>
      <c r="BD2096" s="1">
        <v>7.9</v>
      </c>
      <c r="BE2096" s="1">
        <v>45.3</v>
      </c>
      <c r="BF2096" s="1">
        <v>28.5</v>
      </c>
      <c r="BG2096" s="1">
        <v>18.3</v>
      </c>
      <c r="BH2096" s="1" t="s">
        <v>3492</v>
      </c>
    </row>
    <row r="2097">
      <c r="A2097" s="1">
        <v>39109.0</v>
      </c>
      <c r="B2097" s="2" t="str">
        <f>IFERROR(__xludf.DUMMYFUNCTION("TO_TEXT(A2097)"),"39109")</f>
        <v>39109</v>
      </c>
      <c r="C2097" s="1">
        <v>103864.0</v>
      </c>
      <c r="D2097" s="1">
        <v>406.576379791044</v>
      </c>
      <c r="E2097" s="1" t="s">
        <v>1378</v>
      </c>
      <c r="F2097" s="1" t="s">
        <v>3493</v>
      </c>
      <c r="G2097" s="1">
        <v>255.459995126572</v>
      </c>
      <c r="H2097" s="1">
        <v>14.897452637</v>
      </c>
      <c r="I2097" s="1">
        <v>4.1658444578</v>
      </c>
      <c r="J2097" s="1">
        <v>6.2840537595</v>
      </c>
      <c r="K2097" s="1">
        <v>17.755028181</v>
      </c>
      <c r="L2097" s="1">
        <v>37.1</v>
      </c>
      <c r="M2097" s="1">
        <v>8.2</v>
      </c>
      <c r="N2097" s="1">
        <v>26.0</v>
      </c>
      <c r="O2097" s="1">
        <v>85.685715958</v>
      </c>
      <c r="P2097" s="1">
        <v>6.4679816203</v>
      </c>
      <c r="Q2097" s="1">
        <v>49.46633</v>
      </c>
      <c r="R2097" s="1">
        <v>94.995829858</v>
      </c>
      <c r="S2097" s="1">
        <v>11.6</v>
      </c>
      <c r="T2097" s="1">
        <v>24002.0</v>
      </c>
      <c r="U2097" s="1">
        <v>28.185151237</v>
      </c>
      <c r="V2097" s="1">
        <v>107.62963336</v>
      </c>
      <c r="W2097" s="1">
        <v>9.5122247902</v>
      </c>
      <c r="X2097" s="1">
        <v>8.1107571674</v>
      </c>
      <c r="Y2097" s="1">
        <v>77.642974851</v>
      </c>
      <c r="Z2097" s="1">
        <v>12.9</v>
      </c>
      <c r="AA2097" s="1">
        <v>3.3862388787</v>
      </c>
      <c r="AB2097" s="1">
        <v>59922.0</v>
      </c>
      <c r="AC2097" s="1">
        <v>36.004976009</v>
      </c>
      <c r="AD2097" s="1">
        <v>69.93013802</v>
      </c>
      <c r="AE2097" s="1">
        <v>8.647560339</v>
      </c>
      <c r="AF2097" s="1">
        <v>2.3328500687</v>
      </c>
      <c r="AG2097" s="1">
        <v>0.23723899</v>
      </c>
      <c r="AH2097" s="1">
        <v>1.7783510007</v>
      </c>
      <c r="AI2097" s="1">
        <v>0.0329498597</v>
      </c>
      <c r="AJ2097" s="1">
        <v>1.7369283199</v>
      </c>
      <c r="AK2097" s="1">
        <v>92.014836851</v>
      </c>
      <c r="AL2097" s="1">
        <v>0.46840307</v>
      </c>
      <c r="AM2097" s="1">
        <v>50.740901132</v>
      </c>
      <c r="AN2097" s="1">
        <v>30.798197179</v>
      </c>
      <c r="AO2097" s="1">
        <v>27247.0</v>
      </c>
      <c r="AP2097" s="1">
        <v>11.1</v>
      </c>
      <c r="AQ2097" s="1">
        <v>6.4</v>
      </c>
      <c r="AR2097" s="1">
        <v>10.9</v>
      </c>
      <c r="AS2097" s="1">
        <v>17.2</v>
      </c>
      <c r="AT2097" s="1">
        <v>23.2</v>
      </c>
      <c r="AU2097" s="1">
        <v>13.2</v>
      </c>
      <c r="AV2097" s="1">
        <v>7.0</v>
      </c>
      <c r="AW2097" s="1">
        <v>0.6</v>
      </c>
      <c r="AX2097" s="1">
        <v>0.1783</v>
      </c>
      <c r="AY2097" s="1">
        <v>8.8</v>
      </c>
      <c r="AZ2097" s="1">
        <v>11.6</v>
      </c>
      <c r="BA2097" s="1">
        <v>15.7</v>
      </c>
      <c r="BB2097" s="1">
        <v>2.92</v>
      </c>
      <c r="BC2097" s="1" t="s">
        <v>3418</v>
      </c>
      <c r="BD2097" s="1">
        <v>8.8</v>
      </c>
      <c r="BE2097" s="1">
        <v>36.6</v>
      </c>
      <c r="BF2097" s="1">
        <v>31.3</v>
      </c>
      <c r="BG2097" s="1">
        <v>23.3</v>
      </c>
      <c r="BH2097" s="1" t="s">
        <v>3493</v>
      </c>
    </row>
    <row r="2098">
      <c r="A2098" s="1">
        <v>39111.0</v>
      </c>
      <c r="B2098" s="2" t="str">
        <f>IFERROR(__xludf.DUMMYFUNCTION("TO_TEXT(A2098)"),"39111")</f>
        <v>39111</v>
      </c>
      <c r="C2098" s="1">
        <v>14442.0</v>
      </c>
      <c r="D2098" s="1">
        <v>455.723050860336</v>
      </c>
      <c r="E2098" s="1" t="s">
        <v>158</v>
      </c>
      <c r="F2098" s="1" t="s">
        <v>3494</v>
      </c>
      <c r="G2098" s="1">
        <v>31.690299564035</v>
      </c>
      <c r="H2098" s="1">
        <v>18.7279720009999</v>
      </c>
      <c r="I2098" s="1">
        <v>4.6282276466</v>
      </c>
      <c r="J2098" s="1">
        <v>7.2970195272</v>
      </c>
      <c r="K2098" s="1">
        <v>19.407347976</v>
      </c>
      <c r="L2098" s="1">
        <v>37.0</v>
      </c>
      <c r="M2098" s="1">
        <v>7.6</v>
      </c>
      <c r="N2098" s="1">
        <v>31.1</v>
      </c>
      <c r="O2098" s="1">
        <v>70.25679552</v>
      </c>
      <c r="P2098" s="1">
        <v>8.9021881429</v>
      </c>
      <c r="Q2098" s="1">
        <v>14.3410299999999</v>
      </c>
      <c r="R2098" s="1">
        <v>92.1052631579999</v>
      </c>
      <c r="S2098" s="1">
        <v>19.1</v>
      </c>
      <c r="T2098" s="1">
        <v>2906.0</v>
      </c>
      <c r="U2098" s="1">
        <v>32.346868548</v>
      </c>
      <c r="V2098" s="1">
        <v>67.709900692</v>
      </c>
      <c r="W2098" s="1">
        <v>11.278195489</v>
      </c>
      <c r="X2098" s="1">
        <v>9.6245733788</v>
      </c>
      <c r="Y2098" s="1">
        <v>77.600810242</v>
      </c>
      <c r="Z2098" s="1">
        <v>16.7</v>
      </c>
      <c r="AA2098" s="1">
        <v>1.9176117677</v>
      </c>
      <c r="AB2098" s="1">
        <v>46314.0</v>
      </c>
      <c r="AC2098" s="1">
        <v>70.007158196</v>
      </c>
      <c r="AD2098" s="1">
        <v>75.643397813</v>
      </c>
      <c r="AE2098" s="1">
        <v>11.462093863</v>
      </c>
      <c r="AF2098" s="1">
        <v>0.6091370558</v>
      </c>
      <c r="AG2098" s="1">
        <v>0.174039158799999</v>
      </c>
      <c r="AH2098" s="1">
        <v>0.174039158799999</v>
      </c>
      <c r="AI2098" s="1">
        <v>0.0145032632</v>
      </c>
      <c r="AJ2098" s="1">
        <v>0.6381435823</v>
      </c>
      <c r="AK2098" s="1">
        <v>97.092095722</v>
      </c>
      <c r="AL2098" s="1">
        <v>0.0598354525</v>
      </c>
      <c r="AM2098" s="1">
        <v>49.7244379989999</v>
      </c>
      <c r="AN2098" s="1">
        <v>97.650594181</v>
      </c>
      <c r="AO2098" s="1">
        <v>22100.0</v>
      </c>
      <c r="AP2098" s="1">
        <v>18.8</v>
      </c>
      <c r="AQ2098" s="1">
        <v>6.5</v>
      </c>
      <c r="AR2098" s="1">
        <v>12.5</v>
      </c>
      <c r="AS2098" s="1">
        <v>22.1</v>
      </c>
      <c r="AT2098" s="1">
        <v>20.9</v>
      </c>
      <c r="AU2098" s="1">
        <v>19.8</v>
      </c>
      <c r="AV2098" s="1">
        <v>2.5</v>
      </c>
      <c r="AW2098" s="1">
        <v>0.4</v>
      </c>
      <c r="AX2098" s="1">
        <v>0.4686</v>
      </c>
      <c r="AY2098" s="1">
        <v>14.0</v>
      </c>
      <c r="AZ2098" s="1">
        <v>17.4</v>
      </c>
      <c r="BA2098" s="1">
        <v>26.3</v>
      </c>
      <c r="BB2098" s="1">
        <v>2.84</v>
      </c>
      <c r="BC2098" s="1" t="s">
        <v>3418</v>
      </c>
      <c r="BD2098" s="1">
        <v>10.9</v>
      </c>
      <c r="BE2098" s="1">
        <v>51.8</v>
      </c>
      <c r="BF2098" s="1">
        <v>24.8</v>
      </c>
      <c r="BG2098" s="1">
        <v>12.5</v>
      </c>
      <c r="BH2098" s="1" t="s">
        <v>3494</v>
      </c>
    </row>
    <row r="2099">
      <c r="A2099" s="1">
        <v>39113.0</v>
      </c>
      <c r="B2099" s="2" t="str">
        <f>IFERROR(__xludf.DUMMYFUNCTION("TO_TEXT(A2099)"),"39113")</f>
        <v>39113</v>
      </c>
      <c r="C2099" s="1">
        <v>532761.0</v>
      </c>
      <c r="D2099" s="1">
        <v>461.556572927753</v>
      </c>
      <c r="E2099" s="1" t="s">
        <v>160</v>
      </c>
      <c r="F2099" s="1" t="s">
        <v>3495</v>
      </c>
      <c r="G2099" s="1">
        <v>1154.27020488644</v>
      </c>
      <c r="H2099" s="1">
        <v>18.995866715</v>
      </c>
      <c r="I2099" s="1">
        <v>4.4518858385</v>
      </c>
      <c r="J2099" s="1">
        <v>9.3796302261</v>
      </c>
      <c r="K2099" s="1">
        <v>20.198986786</v>
      </c>
      <c r="L2099" s="1">
        <v>33.3</v>
      </c>
      <c r="M2099" s="1">
        <v>6.7</v>
      </c>
      <c r="N2099" s="1">
        <v>27.6</v>
      </c>
      <c r="O2099" s="1">
        <v>93.4665413439999</v>
      </c>
      <c r="P2099" s="1">
        <v>7.47098481269999</v>
      </c>
      <c r="Q2099" s="1">
        <v>93.50155</v>
      </c>
      <c r="R2099" s="1">
        <v>87.873321307</v>
      </c>
      <c r="S2099" s="1">
        <v>25.1</v>
      </c>
      <c r="T2099" s="1">
        <v>117431.0</v>
      </c>
      <c r="U2099" s="1">
        <v>43.765274927</v>
      </c>
      <c r="V2099" s="1">
        <v>399.29313028</v>
      </c>
      <c r="W2099" s="1">
        <v>15.7494105759999</v>
      </c>
      <c r="X2099" s="1">
        <v>14.408886659</v>
      </c>
      <c r="Y2099" s="1">
        <v>74.932023192</v>
      </c>
      <c r="Z2099" s="1">
        <v>13.2</v>
      </c>
      <c r="AA2099" s="1">
        <v>9.569088843</v>
      </c>
      <c r="AB2099" s="1">
        <v>51071.0</v>
      </c>
      <c r="AC2099" s="1">
        <v>39.092246016</v>
      </c>
      <c r="AD2099" s="1">
        <v>60.9895754239999</v>
      </c>
      <c r="AE2099" s="1">
        <v>13.604818344</v>
      </c>
      <c r="AF2099" s="1">
        <v>21.093267159</v>
      </c>
      <c r="AG2099" s="1">
        <v>0.2774589494</v>
      </c>
      <c r="AH2099" s="1">
        <v>2.3639427349</v>
      </c>
      <c r="AI2099" s="1">
        <v>0.0702570392999999</v>
      </c>
      <c r="AJ2099" s="1">
        <v>3.0920611424</v>
      </c>
      <c r="AK2099" s="1">
        <v>70.6321818569999</v>
      </c>
      <c r="AL2099" s="1">
        <v>1.1111266881</v>
      </c>
      <c r="AM2099" s="1">
        <v>51.837860279</v>
      </c>
      <c r="AN2099" s="1">
        <v>4.331284698</v>
      </c>
      <c r="AO2099" s="1">
        <v>26392.0</v>
      </c>
      <c r="AP2099" s="1">
        <v>18.5</v>
      </c>
      <c r="AQ2099" s="1">
        <v>8.7</v>
      </c>
      <c r="AR2099" s="1">
        <v>10.4</v>
      </c>
      <c r="AS2099" s="1">
        <v>16.6</v>
      </c>
      <c r="AT2099" s="1">
        <v>22.4</v>
      </c>
      <c r="AU2099" s="1">
        <v>15.3</v>
      </c>
      <c r="AV2099" s="1">
        <v>28.3</v>
      </c>
      <c r="AW2099" s="1">
        <v>1.0</v>
      </c>
      <c r="AX2099" s="1">
        <v>0.6546</v>
      </c>
      <c r="AY2099" s="1">
        <v>15.3</v>
      </c>
      <c r="AZ2099" s="1">
        <v>15.2</v>
      </c>
      <c r="BA2099" s="1">
        <v>21.4</v>
      </c>
      <c r="BB2099" s="1">
        <v>2.96</v>
      </c>
      <c r="BC2099" s="1" t="s">
        <v>3418</v>
      </c>
      <c r="BD2099" s="1">
        <v>9.9</v>
      </c>
      <c r="BE2099" s="1">
        <v>27.8</v>
      </c>
      <c r="BF2099" s="1">
        <v>34.5</v>
      </c>
      <c r="BG2099" s="1">
        <v>27.9</v>
      </c>
      <c r="BH2099" s="1" t="s">
        <v>3495</v>
      </c>
    </row>
    <row r="2100">
      <c r="A2100" s="1">
        <v>39115.0</v>
      </c>
      <c r="B2100" s="2" t="str">
        <f>IFERROR(__xludf.DUMMYFUNCTION("TO_TEXT(A2100)"),"39115")</f>
        <v>39115</v>
      </c>
      <c r="C2100" s="1">
        <v>14857.0</v>
      </c>
      <c r="D2100" s="1">
        <v>416.427764212902</v>
      </c>
      <c r="E2100" s="1" t="s">
        <v>162</v>
      </c>
      <c r="F2100" s="1" t="s">
        <v>3496</v>
      </c>
      <c r="G2100" s="1">
        <v>35.6772561216744</v>
      </c>
      <c r="H2100" s="1">
        <v>20.474714634</v>
      </c>
      <c r="I2100" s="1">
        <v>4.8027201573</v>
      </c>
      <c r="J2100" s="1">
        <v>8.0694586313</v>
      </c>
      <c r="K2100" s="1">
        <v>21.651559005</v>
      </c>
      <c r="L2100" s="1">
        <v>32.1</v>
      </c>
      <c r="M2100" s="1">
        <v>7.4</v>
      </c>
      <c r="N2100" s="1">
        <v>29.8</v>
      </c>
      <c r="O2100" s="1">
        <v>27.779992029</v>
      </c>
      <c r="P2100" s="1">
        <v>7.8513114469</v>
      </c>
      <c r="Q2100" s="1">
        <v>6.79856</v>
      </c>
      <c r="R2100" s="1">
        <v>86.5384615379999</v>
      </c>
      <c r="S2100" s="1">
        <v>25.2</v>
      </c>
      <c r="T2100" s="1">
        <v>3120.0</v>
      </c>
      <c r="U2100" s="1">
        <v>38.653846154</v>
      </c>
      <c r="V2100" s="1">
        <v>229.82290118</v>
      </c>
      <c r="W2100" s="1">
        <v>13.490725126</v>
      </c>
      <c r="X2100" s="1">
        <v>11.525423729</v>
      </c>
      <c r="Y2100" s="1">
        <v>76.968993738</v>
      </c>
      <c r="Z2100" s="1">
        <v>15.2</v>
      </c>
      <c r="AA2100" s="1">
        <v>2.9441593117</v>
      </c>
      <c r="AB2100" s="1">
        <v>40557.0</v>
      </c>
      <c r="AC2100" s="1">
        <v>52.4746192889999</v>
      </c>
      <c r="AD2100" s="1">
        <v>77.891654466</v>
      </c>
      <c r="AE2100" s="1">
        <v>8.8071537034</v>
      </c>
      <c r="AF2100" s="1">
        <v>3.1498219666</v>
      </c>
      <c r="AG2100" s="1">
        <v>0.4245412216</v>
      </c>
      <c r="AH2100" s="1">
        <v>0.1574910983</v>
      </c>
      <c r="AI2100" s="1">
        <v>0.0068474391</v>
      </c>
      <c r="AJ2100" s="1">
        <v>0.9791837853</v>
      </c>
      <c r="AK2100" s="1">
        <v>91.954259107</v>
      </c>
      <c r="AL2100" s="1">
        <v>0.1788908766</v>
      </c>
      <c r="AM2100" s="1">
        <v>50.123253903</v>
      </c>
      <c r="AN2100" s="1">
        <v>81.486648067</v>
      </c>
      <c r="AO2100" s="1">
        <v>20301.0</v>
      </c>
      <c r="AP2100" s="1">
        <v>20.3</v>
      </c>
      <c r="AQ2100" s="1">
        <v>8.4</v>
      </c>
      <c r="AR2100" s="1">
        <v>12.3</v>
      </c>
      <c r="AS2100" s="1">
        <v>19.3</v>
      </c>
      <c r="AT2100" s="1">
        <v>22.0</v>
      </c>
      <c r="AU2100" s="1">
        <v>20.9</v>
      </c>
      <c r="AV2100" s="1">
        <v>7.5</v>
      </c>
      <c r="AW2100" s="1">
        <v>0.3</v>
      </c>
      <c r="AX2100" s="1">
        <v>0.6167</v>
      </c>
      <c r="AY2100" s="1">
        <v>15.7</v>
      </c>
      <c r="AZ2100" s="1">
        <v>17.0</v>
      </c>
      <c r="BA2100" s="1">
        <v>25.9</v>
      </c>
      <c r="BB2100" s="1">
        <v>2.74</v>
      </c>
      <c r="BC2100" s="1" t="s">
        <v>3418</v>
      </c>
      <c r="BD2100" s="1">
        <v>14.7</v>
      </c>
      <c r="BE2100" s="1">
        <v>43.9</v>
      </c>
      <c r="BF2100" s="1">
        <v>31.2</v>
      </c>
      <c r="BG2100" s="1">
        <v>10.2</v>
      </c>
      <c r="BH2100" s="1" t="s">
        <v>3496</v>
      </c>
    </row>
    <row r="2101">
      <c r="A2101" s="1">
        <v>39117.0</v>
      </c>
      <c r="B2101" s="2" t="str">
        <f>IFERROR(__xludf.DUMMYFUNCTION("TO_TEXT(A2101)"),"39117")</f>
        <v>39117</v>
      </c>
      <c r="C2101" s="1">
        <v>35032.0</v>
      </c>
      <c r="D2101" s="1">
        <v>406.133375622692</v>
      </c>
      <c r="E2101" s="1" t="s">
        <v>3497</v>
      </c>
      <c r="F2101" s="1" t="s">
        <v>3498</v>
      </c>
      <c r="G2101" s="1">
        <v>86.2573777550004</v>
      </c>
      <c r="H2101" s="1">
        <v>15.992367943</v>
      </c>
      <c r="I2101" s="1">
        <v>4.1201959972</v>
      </c>
      <c r="J2101" s="1">
        <v>7.1614100186</v>
      </c>
      <c r="K2101" s="1">
        <v>18.522718871</v>
      </c>
      <c r="L2101" s="1">
        <v>39.2</v>
      </c>
      <c r="M2101" s="1">
        <v>8.6</v>
      </c>
      <c r="N2101" s="1">
        <v>32.0</v>
      </c>
      <c r="O2101" s="1">
        <v>17.334252161</v>
      </c>
      <c r="P2101" s="1">
        <v>7.920174618</v>
      </c>
      <c r="Q2101" s="1">
        <v>17.1458</v>
      </c>
      <c r="R2101" s="1">
        <v>93.4010152279999</v>
      </c>
      <c r="S2101" s="1">
        <v>17.2</v>
      </c>
      <c r="T2101" s="1">
        <v>8296.0</v>
      </c>
      <c r="U2101" s="1">
        <v>23.481195757</v>
      </c>
      <c r="V2101" s="1">
        <v>61.238960872</v>
      </c>
      <c r="W2101" s="1">
        <v>10.829036097</v>
      </c>
      <c r="X2101" s="1">
        <v>8.065547562</v>
      </c>
      <c r="Y2101" s="1">
        <v>78.582442725</v>
      </c>
      <c r="Z2101" s="1">
        <v>16.7</v>
      </c>
      <c r="AA2101" s="1">
        <v>0.1617073402</v>
      </c>
      <c r="AB2101" s="1">
        <v>60452.0</v>
      </c>
      <c r="AC2101" s="1">
        <v>43.193662706</v>
      </c>
      <c r="AD2101" s="1">
        <v>81.992094862</v>
      </c>
      <c r="AE2101" s="1">
        <v>7.9751593398</v>
      </c>
      <c r="AF2101" s="1">
        <v>0.6578947368</v>
      </c>
      <c r="AG2101" s="1">
        <v>0.1965140123</v>
      </c>
      <c r="AH2101" s="1">
        <v>0.3958760538</v>
      </c>
      <c r="AI2101" s="1">
        <v>0.0313283208</v>
      </c>
      <c r="AJ2101" s="1">
        <v>1.5265436318</v>
      </c>
      <c r="AK2101" s="1">
        <v>95.890293917</v>
      </c>
      <c r="AL2101" s="1">
        <v>0.1692661105</v>
      </c>
      <c r="AM2101" s="1">
        <v>50.173729779</v>
      </c>
      <c r="AN2101" s="1">
        <v>88.839119074</v>
      </c>
      <c r="AO2101" s="1">
        <v>23630.0</v>
      </c>
      <c r="AP2101" s="1">
        <v>11.0</v>
      </c>
      <c r="AQ2101" s="1">
        <v>5.4</v>
      </c>
      <c r="AR2101" s="1">
        <v>13.9</v>
      </c>
      <c r="AS2101" s="1">
        <v>15.6</v>
      </c>
      <c r="AT2101" s="1">
        <v>24.8</v>
      </c>
      <c r="AU2101" s="1">
        <v>14.4</v>
      </c>
      <c r="AV2101" s="1">
        <v>3.8</v>
      </c>
      <c r="AW2101" s="1">
        <v>0.1</v>
      </c>
      <c r="AX2101" s="1">
        <v>0.2117</v>
      </c>
      <c r="AY2101" s="1">
        <v>8.5</v>
      </c>
      <c r="AZ2101" s="1">
        <v>11.6</v>
      </c>
      <c r="BA2101" s="1">
        <v>17.4</v>
      </c>
      <c r="BB2101" s="1">
        <v>2.92</v>
      </c>
      <c r="BC2101" s="1" t="s">
        <v>3418</v>
      </c>
      <c r="BD2101" s="1">
        <v>12.3</v>
      </c>
      <c r="BE2101" s="1">
        <v>43.9</v>
      </c>
      <c r="BF2101" s="1">
        <v>29.9</v>
      </c>
      <c r="BG2101" s="1">
        <v>13.8</v>
      </c>
      <c r="BH2101" s="1" t="s">
        <v>3498</v>
      </c>
    </row>
    <row r="2102">
      <c r="A2102" s="1">
        <v>39119.0</v>
      </c>
      <c r="B2102" s="2" t="str">
        <f>IFERROR(__xludf.DUMMYFUNCTION("TO_TEXT(A2102)"),"39119")</f>
        <v>39119</v>
      </c>
      <c r="C2102" s="1">
        <v>85991.0</v>
      </c>
      <c r="D2102" s="1">
        <v>664.608477279622</v>
      </c>
      <c r="E2102" s="1" t="s">
        <v>3499</v>
      </c>
      <c r="F2102" s="1" t="s">
        <v>3500</v>
      </c>
      <c r="G2102" s="1">
        <v>129.38595118735</v>
      </c>
      <c r="H2102" s="1">
        <v>18.918896149</v>
      </c>
      <c r="I2102" s="1">
        <v>4.7731429884</v>
      </c>
      <c r="J2102" s="1">
        <v>8.2366102643</v>
      </c>
      <c r="K2102" s="1">
        <v>19.755119887</v>
      </c>
      <c r="L2102" s="1">
        <v>36.6</v>
      </c>
      <c r="M2102" s="1">
        <v>7.0</v>
      </c>
      <c r="N2102" s="1">
        <v>31.7</v>
      </c>
      <c r="O2102" s="1">
        <v>78.648604689</v>
      </c>
      <c r="P2102" s="1">
        <v>7.3933649289</v>
      </c>
      <c r="Q2102" s="1">
        <v>67.32522</v>
      </c>
      <c r="R2102" s="1">
        <v>93.526570048</v>
      </c>
      <c r="S2102" s="1">
        <v>24.0</v>
      </c>
      <c r="T2102" s="1">
        <v>19559.0</v>
      </c>
      <c r="U2102" s="1">
        <v>37.082672938</v>
      </c>
      <c r="V2102" s="1">
        <v>183.30130963</v>
      </c>
      <c r="W2102" s="1">
        <v>13.209479228</v>
      </c>
      <c r="X2102" s="1">
        <v>11.582381729</v>
      </c>
      <c r="Y2102" s="1">
        <v>75.913207536</v>
      </c>
      <c r="Z2102" s="1">
        <v>15.2</v>
      </c>
      <c r="AA2102" s="1">
        <v>10.243849102</v>
      </c>
      <c r="AB2102" s="1">
        <v>49586.0</v>
      </c>
      <c r="AC2102" s="1">
        <v>42.821067821</v>
      </c>
      <c r="AD2102" s="1">
        <v>67.680130845</v>
      </c>
      <c r="AE2102" s="1">
        <v>12.981818182</v>
      </c>
      <c r="AF2102" s="1">
        <v>3.7594421174</v>
      </c>
      <c r="AG2102" s="1">
        <v>0.362020352</v>
      </c>
      <c r="AH2102" s="1">
        <v>0.5731988907</v>
      </c>
      <c r="AI2102" s="1">
        <v>0.0278477194</v>
      </c>
      <c r="AJ2102" s="1">
        <v>1.2113757934</v>
      </c>
      <c r="AK2102" s="1">
        <v>91.410138891</v>
      </c>
      <c r="AL2102" s="1">
        <v>0.2239378418</v>
      </c>
      <c r="AM2102" s="1">
        <v>51.474188645</v>
      </c>
      <c r="AN2102" s="1">
        <v>47.032785743</v>
      </c>
      <c r="AO2102" s="1">
        <v>21945.0</v>
      </c>
      <c r="AP2102" s="1">
        <v>17.4</v>
      </c>
      <c r="AQ2102" s="1">
        <v>7.6</v>
      </c>
      <c r="AR2102" s="1">
        <v>13.5</v>
      </c>
      <c r="AS2102" s="1">
        <v>16.6</v>
      </c>
      <c r="AT2102" s="1">
        <v>23.3</v>
      </c>
      <c r="AU2102" s="1">
        <v>16.1</v>
      </c>
      <c r="AV2102" s="1">
        <v>8.1</v>
      </c>
      <c r="AW2102" s="1">
        <v>0.2</v>
      </c>
      <c r="AX2102" s="1">
        <v>0.6014</v>
      </c>
      <c r="AY2102" s="1">
        <v>15.3</v>
      </c>
      <c r="AZ2102" s="1">
        <v>15.2</v>
      </c>
      <c r="BA2102" s="1">
        <v>22.1</v>
      </c>
      <c r="BB2102" s="1">
        <v>2.69</v>
      </c>
      <c r="BC2102" s="1" t="s">
        <v>3418</v>
      </c>
      <c r="BD2102" s="1">
        <v>12.2</v>
      </c>
      <c r="BE2102" s="1">
        <v>41.6</v>
      </c>
      <c r="BF2102" s="1">
        <v>30.1</v>
      </c>
      <c r="BG2102" s="1">
        <v>16.1</v>
      </c>
      <c r="BH2102" s="1" t="s">
        <v>3500</v>
      </c>
    </row>
    <row r="2103">
      <c r="A2103" s="1">
        <v>39121.0</v>
      </c>
      <c r="B2103" s="2" t="str">
        <f>IFERROR(__xludf.DUMMYFUNCTION("TO_TEXT(A2103)"),"39121")</f>
        <v>39121</v>
      </c>
      <c r="C2103" s="1">
        <v>14429.0</v>
      </c>
      <c r="D2103" s="1">
        <v>398.0114706308</v>
      </c>
      <c r="E2103" s="1" t="s">
        <v>1384</v>
      </c>
      <c r="F2103" s="1" t="s">
        <v>3501</v>
      </c>
      <c r="G2103" s="1">
        <v>36.2527240160485</v>
      </c>
      <c r="H2103" s="1">
        <v>15.79766822</v>
      </c>
      <c r="I2103" s="1">
        <v>4.270893441</v>
      </c>
      <c r="J2103" s="1">
        <v>6.2047569804</v>
      </c>
      <c r="K2103" s="1">
        <v>17.1920751999999</v>
      </c>
      <c r="L2103" s="1">
        <v>38.9</v>
      </c>
      <c r="M2103" s="1">
        <v>7.0</v>
      </c>
      <c r="N2103" s="1">
        <v>30.1</v>
      </c>
      <c r="O2103" s="1">
        <v>31.87435985</v>
      </c>
      <c r="P2103" s="1">
        <v>7.81683113429999</v>
      </c>
      <c r="Q2103" s="1">
        <v>20.82466</v>
      </c>
      <c r="R2103" s="1">
        <v>96.240601504</v>
      </c>
      <c r="S2103" s="1">
        <v>19.0</v>
      </c>
      <c r="T2103" s="1">
        <v>2635.0</v>
      </c>
      <c r="U2103" s="1">
        <v>20.037950664</v>
      </c>
      <c r="V2103" s="1">
        <v>0.0</v>
      </c>
      <c r="W2103" s="1">
        <v>9.9691675231</v>
      </c>
      <c r="X2103" s="1">
        <v>7.3853116643</v>
      </c>
      <c r="Y2103" s="1">
        <v>81.169106461</v>
      </c>
      <c r="Z2103" s="1">
        <v>12.5</v>
      </c>
      <c r="AA2103" s="1">
        <v>13.305813096</v>
      </c>
      <c r="AB2103" s="1">
        <v>48792.0</v>
      </c>
      <c r="AC2103" s="1">
        <v>50.17921147</v>
      </c>
      <c r="AD2103" s="1">
        <v>83.994362794</v>
      </c>
      <c r="AE2103" s="1">
        <v>8.9617714644</v>
      </c>
      <c r="AF2103" s="1">
        <v>2.7309460777</v>
      </c>
      <c r="AG2103" s="1">
        <v>0.390135154</v>
      </c>
      <c r="AH2103" s="1">
        <v>0.2926013655</v>
      </c>
      <c r="AI2103" s="1">
        <v>0.0209000975</v>
      </c>
      <c r="AJ2103" s="1">
        <v>0.6548697227</v>
      </c>
      <c r="AK2103" s="1">
        <v>95.0118433889999</v>
      </c>
      <c r="AL2103" s="1">
        <v>0.2400698385</v>
      </c>
      <c r="AM2103" s="1">
        <v>41.6817611819999</v>
      </c>
      <c r="AN2103" s="1">
        <v>62.526459543</v>
      </c>
      <c r="AO2103" s="1">
        <v>21188.0</v>
      </c>
      <c r="AP2103" s="1">
        <v>11.9</v>
      </c>
      <c r="AQ2103" s="1">
        <v>6.9</v>
      </c>
      <c r="AR2103" s="1">
        <v>15.9</v>
      </c>
      <c r="AS2103" s="1">
        <v>23.5</v>
      </c>
      <c r="AT2103" s="1">
        <v>18.6</v>
      </c>
      <c r="AU2103" s="1">
        <v>16.0</v>
      </c>
      <c r="AV2103" s="1">
        <v>8.6</v>
      </c>
      <c r="AW2103" s="1">
        <v>0.2</v>
      </c>
      <c r="AX2103" s="1">
        <v>0.3343</v>
      </c>
      <c r="AY2103" s="1">
        <v>14.2</v>
      </c>
      <c r="AZ2103" s="1">
        <v>15.4</v>
      </c>
      <c r="BA2103" s="1">
        <v>26.5</v>
      </c>
      <c r="BB2103" s="1">
        <v>2.73</v>
      </c>
      <c r="BC2103" s="1" t="s">
        <v>3418</v>
      </c>
      <c r="BD2103" s="1">
        <v>15.3</v>
      </c>
      <c r="BE2103" s="1">
        <v>47.9</v>
      </c>
      <c r="BF2103" s="1">
        <v>26.9</v>
      </c>
      <c r="BG2103" s="1">
        <v>9.9</v>
      </c>
      <c r="BH2103" s="1" t="s">
        <v>3501</v>
      </c>
    </row>
    <row r="2104">
      <c r="A2104" s="1">
        <v>39123.0</v>
      </c>
      <c r="B2104" s="2" t="str">
        <f>IFERROR(__xludf.DUMMYFUNCTION("TO_TEXT(A2104)"),"39123")</f>
        <v>39123</v>
      </c>
      <c r="C2104" s="1">
        <v>40981.0</v>
      </c>
      <c r="D2104" s="1">
        <v>254.933727008486</v>
      </c>
      <c r="E2104" s="1" t="s">
        <v>1700</v>
      </c>
      <c r="F2104" s="1" t="s">
        <v>3502</v>
      </c>
      <c r="G2104" s="1">
        <v>160.751582306863</v>
      </c>
      <c r="H2104" s="1">
        <v>14.400643048</v>
      </c>
      <c r="I2104" s="1">
        <v>4.2358289919</v>
      </c>
      <c r="J2104" s="1">
        <v>6.87606112049999</v>
      </c>
      <c r="K2104" s="1">
        <v>16.663436454</v>
      </c>
      <c r="L2104" s="1">
        <v>33.9</v>
      </c>
      <c r="M2104" s="1">
        <v>7.9</v>
      </c>
      <c r="N2104" s="1">
        <v>27.5</v>
      </c>
      <c r="O2104" s="1">
        <v>75.41517814</v>
      </c>
      <c r="P2104" s="1">
        <v>6.5107913669</v>
      </c>
      <c r="Q2104" s="1">
        <v>44.27282</v>
      </c>
      <c r="R2104" s="1">
        <v>96.035242291</v>
      </c>
      <c r="S2104" s="1">
        <v>12.5</v>
      </c>
      <c r="T2104" s="1">
        <v>7627.0</v>
      </c>
      <c r="U2104" s="1">
        <v>32.568506621</v>
      </c>
      <c r="V2104" s="1">
        <v>112.80067973</v>
      </c>
      <c r="W2104" s="1">
        <v>11.302847282</v>
      </c>
      <c r="X2104" s="1">
        <v>10.354773579</v>
      </c>
      <c r="Y2104" s="1">
        <v>77.650247248</v>
      </c>
      <c r="Z2104" s="1">
        <v>13.5</v>
      </c>
      <c r="AA2104" s="1">
        <v>6.9127786011</v>
      </c>
      <c r="AB2104" s="1">
        <v>58345.0</v>
      </c>
      <c r="AC2104" s="1">
        <v>44.5589919819999</v>
      </c>
      <c r="AD2104" s="1">
        <v>78.678424057</v>
      </c>
      <c r="AE2104" s="1">
        <v>8.8495061011</v>
      </c>
      <c r="AF2104" s="1">
        <v>0.8217027644</v>
      </c>
      <c r="AG2104" s="1">
        <v>0.2624543158</v>
      </c>
      <c r="AH2104" s="1">
        <v>0.3777379872</v>
      </c>
      <c r="AI2104" s="1">
        <v>0.0441511933</v>
      </c>
      <c r="AJ2104" s="1">
        <v>5.2221050308</v>
      </c>
      <c r="AK2104" s="1">
        <v>92.202408693</v>
      </c>
      <c r="AL2104" s="1">
        <v>0.2282929332</v>
      </c>
      <c r="AM2104" s="1">
        <v>50.386322941</v>
      </c>
      <c r="AN2104" s="1">
        <v>49.447233755</v>
      </c>
      <c r="AO2104" s="1">
        <v>30403.0</v>
      </c>
      <c r="AP2104" s="1">
        <v>11.1</v>
      </c>
      <c r="AQ2104" s="1">
        <v>5.3</v>
      </c>
      <c r="AR2104" s="1">
        <v>7.7</v>
      </c>
      <c r="AS2104" s="1">
        <v>22.1</v>
      </c>
      <c r="AT2104" s="1">
        <v>19.5</v>
      </c>
      <c r="AU2104" s="1">
        <v>15.5</v>
      </c>
      <c r="AV2104" s="1">
        <v>7.4</v>
      </c>
      <c r="AW2104" s="1">
        <v>0.2</v>
      </c>
      <c r="AX2104" s="1">
        <v>0.134</v>
      </c>
      <c r="AY2104" s="1">
        <v>8.1</v>
      </c>
      <c r="AZ2104" s="1">
        <v>12.8</v>
      </c>
      <c r="BA2104" s="1">
        <v>20.1</v>
      </c>
      <c r="BB2104" s="1">
        <v>3.18</v>
      </c>
      <c r="BC2104" s="1" t="s">
        <v>3418</v>
      </c>
      <c r="BD2104" s="1">
        <v>8.3</v>
      </c>
      <c r="BE2104" s="1">
        <v>35.2</v>
      </c>
      <c r="BF2104" s="1">
        <v>33.5</v>
      </c>
      <c r="BG2104" s="1">
        <v>23.1</v>
      </c>
      <c r="BH2104" s="1" t="s">
        <v>3502</v>
      </c>
    </row>
    <row r="2105">
      <c r="A2105" s="1">
        <v>39125.0</v>
      </c>
      <c r="B2105" s="2" t="str">
        <f>IFERROR(__xludf.DUMMYFUNCTION("TO_TEXT(A2105)"),"39125")</f>
        <v>39125</v>
      </c>
      <c r="C2105" s="1">
        <v>19057.0</v>
      </c>
      <c r="D2105" s="1">
        <v>416.434651500378</v>
      </c>
      <c r="E2105" s="1" t="s">
        <v>979</v>
      </c>
      <c r="F2105" s="1" t="s">
        <v>3503</v>
      </c>
      <c r="G2105" s="1">
        <v>45.7622821043812</v>
      </c>
      <c r="H2105" s="1">
        <v>15.444194549</v>
      </c>
      <c r="I2105" s="1">
        <v>4.1729552969</v>
      </c>
      <c r="J2105" s="1">
        <v>7.1428571429</v>
      </c>
      <c r="K2105" s="1">
        <v>17.411086232</v>
      </c>
      <c r="L2105" s="1">
        <v>37.0</v>
      </c>
      <c r="M2105" s="1">
        <v>8.2</v>
      </c>
      <c r="N2105" s="1">
        <v>32.4</v>
      </c>
      <c r="O2105" s="1">
        <v>37.050066279</v>
      </c>
      <c r="P2105" s="1">
        <v>7.12609205889999</v>
      </c>
      <c r="Q2105" s="1">
        <v>26.53224</v>
      </c>
      <c r="R2105" s="1">
        <v>96.96969697</v>
      </c>
      <c r="S2105" s="1">
        <v>14.7</v>
      </c>
      <c r="T2105" s="1">
        <v>4429.0</v>
      </c>
      <c r="U2105" s="1">
        <v>25.69428765</v>
      </c>
      <c r="V2105" s="1">
        <v>97.174984383</v>
      </c>
      <c r="W2105" s="1">
        <v>11.945169713</v>
      </c>
      <c r="X2105" s="1">
        <v>9.2998678996</v>
      </c>
      <c r="Y2105" s="1">
        <v>77.455777595</v>
      </c>
      <c r="Z2105" s="1">
        <v>10.0</v>
      </c>
      <c r="AA2105" s="1">
        <v>5.5395578851</v>
      </c>
      <c r="AB2105" s="1">
        <v>53876.0</v>
      </c>
      <c r="AC2105" s="1">
        <v>53.7360178969999</v>
      </c>
      <c r="AD2105" s="1">
        <v>76.898326898</v>
      </c>
      <c r="AE2105" s="1">
        <v>8.4894380231</v>
      </c>
      <c r="AF2105" s="1">
        <v>0.9648187633</v>
      </c>
      <c r="AG2105" s="1">
        <v>0.4424307036</v>
      </c>
      <c r="AH2105" s="1">
        <v>0.3358208955</v>
      </c>
      <c r="AI2105" s="1">
        <v>0.0319829424</v>
      </c>
      <c r="AJ2105" s="1">
        <v>4.8240938166</v>
      </c>
      <c r="AK2105" s="1">
        <v>92.3454157779999</v>
      </c>
      <c r="AL2105" s="1">
        <v>0.5399021427</v>
      </c>
      <c r="AM2105" s="1">
        <v>50.1226012789999</v>
      </c>
      <c r="AN2105" s="1">
        <v>81.900683185</v>
      </c>
      <c r="AO2105" s="1">
        <v>24174.0</v>
      </c>
      <c r="AP2105" s="1">
        <v>11.0</v>
      </c>
      <c r="AQ2105" s="1">
        <v>6.1</v>
      </c>
      <c r="AR2105" s="1">
        <v>9.8</v>
      </c>
      <c r="AS2105" s="1">
        <v>16.8</v>
      </c>
      <c r="AT2105" s="1">
        <v>23.9</v>
      </c>
      <c r="AU2105" s="1">
        <v>16.5</v>
      </c>
      <c r="AV2105" s="1">
        <v>7.4</v>
      </c>
      <c r="AW2105" s="1">
        <v>0.6</v>
      </c>
      <c r="AX2105" s="1">
        <v>0.2394</v>
      </c>
      <c r="AY2105" s="1">
        <v>9.8</v>
      </c>
      <c r="AZ2105" s="1">
        <v>12.3</v>
      </c>
      <c r="BA2105" s="1">
        <v>17.1</v>
      </c>
      <c r="BB2105" s="1">
        <v>2.87</v>
      </c>
      <c r="BC2105" s="1" t="s">
        <v>3418</v>
      </c>
      <c r="BD2105" s="1">
        <v>9.5</v>
      </c>
      <c r="BE2105" s="1">
        <v>47.9</v>
      </c>
      <c r="BF2105" s="1">
        <v>26.9</v>
      </c>
      <c r="BG2105" s="1">
        <v>15.6</v>
      </c>
      <c r="BH2105" s="1" t="s">
        <v>3503</v>
      </c>
    </row>
    <row r="2106">
      <c r="A2106" s="1">
        <v>39127.0</v>
      </c>
      <c r="B2106" s="2" t="str">
        <f>IFERROR(__xludf.DUMMYFUNCTION("TO_TEXT(A2106)"),"39127")</f>
        <v>39127</v>
      </c>
      <c r="C2106" s="1">
        <v>35947.0</v>
      </c>
      <c r="D2106" s="1">
        <v>407.98719765735</v>
      </c>
      <c r="E2106" s="1" t="s">
        <v>164</v>
      </c>
      <c r="F2106" s="1" t="s">
        <v>3504</v>
      </c>
      <c r="G2106" s="1">
        <v>88.1081568402306</v>
      </c>
      <c r="H2106" s="1">
        <v>18.360676653</v>
      </c>
      <c r="I2106" s="1">
        <v>4.4396377886</v>
      </c>
      <c r="J2106" s="1">
        <v>7.3251574412</v>
      </c>
      <c r="K2106" s="1">
        <v>20.397152435</v>
      </c>
      <c r="L2106" s="1">
        <v>35.9</v>
      </c>
      <c r="M2106" s="1">
        <v>7.7</v>
      </c>
      <c r="N2106" s="1">
        <v>30.3</v>
      </c>
      <c r="O2106" s="1">
        <v>84.230961229</v>
      </c>
      <c r="P2106" s="1">
        <v>7.1307074009</v>
      </c>
      <c r="Q2106" s="1">
        <v>22.20742</v>
      </c>
      <c r="R2106" s="1">
        <v>91.162790698</v>
      </c>
      <c r="S2106" s="1">
        <v>22.9</v>
      </c>
      <c r="T2106" s="1">
        <v>8470.0</v>
      </c>
      <c r="U2106" s="1">
        <v>39.350649351</v>
      </c>
      <c r="V2106" s="1">
        <v>115.19907841</v>
      </c>
      <c r="W2106" s="1">
        <v>13.557443665</v>
      </c>
      <c r="X2106" s="1">
        <v>11.439224459</v>
      </c>
      <c r="Y2106" s="1">
        <v>76.310125456</v>
      </c>
      <c r="Z2106" s="1">
        <v>12.0</v>
      </c>
      <c r="AA2106" s="1">
        <v>2.3496148068</v>
      </c>
      <c r="AB2106" s="1">
        <v>51534.0</v>
      </c>
      <c r="AC2106" s="1">
        <v>37.836663771</v>
      </c>
      <c r="AD2106" s="1">
        <v>74.267365468</v>
      </c>
      <c r="AE2106" s="1">
        <v>12.036474164</v>
      </c>
      <c r="AF2106" s="1">
        <v>0.5106430217</v>
      </c>
      <c r="AG2106" s="1">
        <v>0.3413537591</v>
      </c>
      <c r="AH2106" s="1">
        <v>0.1803901979</v>
      </c>
      <c r="AI2106" s="1">
        <v>0.0360780396</v>
      </c>
      <c r="AJ2106" s="1">
        <v>0.876973885</v>
      </c>
      <c r="AK2106" s="1">
        <v>96.675269891</v>
      </c>
      <c r="AL2106" s="1">
        <v>0.1301120738</v>
      </c>
      <c r="AM2106" s="1">
        <v>49.904254433</v>
      </c>
      <c r="AN2106" s="1">
        <v>75.242664596</v>
      </c>
      <c r="AO2106" s="1">
        <v>20852.0</v>
      </c>
      <c r="AP2106" s="1">
        <v>20.6</v>
      </c>
      <c r="AQ2106" s="1">
        <v>9.6</v>
      </c>
      <c r="AR2106" s="1">
        <v>16.1</v>
      </c>
      <c r="AS2106" s="1">
        <v>15.0</v>
      </c>
      <c r="AT2106" s="1">
        <v>24.3</v>
      </c>
      <c r="AU2106" s="1">
        <v>16.8</v>
      </c>
      <c r="AV2106" s="1">
        <v>3.0</v>
      </c>
      <c r="AW2106" s="1">
        <v>0.1</v>
      </c>
      <c r="AX2106" s="1">
        <v>0.545</v>
      </c>
      <c r="AY2106" s="1">
        <v>15.0</v>
      </c>
      <c r="AZ2106" s="1">
        <v>16.0</v>
      </c>
      <c r="BA2106" s="1">
        <v>23.4</v>
      </c>
      <c r="BB2106" s="1">
        <v>2.79</v>
      </c>
      <c r="BC2106" s="1" t="s">
        <v>3418</v>
      </c>
      <c r="BD2106" s="1">
        <v>12.7</v>
      </c>
      <c r="BE2106" s="1">
        <v>47.5</v>
      </c>
      <c r="BF2106" s="1">
        <v>27.7</v>
      </c>
      <c r="BG2106" s="1">
        <v>12.2</v>
      </c>
      <c r="BH2106" s="1" t="s">
        <v>3504</v>
      </c>
    </row>
    <row r="2107">
      <c r="A2107" s="1">
        <v>39129.0</v>
      </c>
      <c r="B2107" s="2" t="str">
        <f>IFERROR(__xludf.DUMMYFUNCTION("TO_TEXT(A2107)"),"39129")</f>
        <v>39129</v>
      </c>
      <c r="C2107" s="1">
        <v>56804.0</v>
      </c>
      <c r="D2107" s="1">
        <v>501.180889908058</v>
      </c>
      <c r="E2107" s="1" t="s">
        <v>3505</v>
      </c>
      <c r="F2107" s="1" t="s">
        <v>3506</v>
      </c>
      <c r="G2107" s="1">
        <v>113.340315131371</v>
      </c>
      <c r="H2107" s="1">
        <v>16.944318556</v>
      </c>
      <c r="I2107" s="1">
        <v>4.1937816694</v>
      </c>
      <c r="J2107" s="1">
        <v>7.7642656688</v>
      </c>
      <c r="K2107" s="1">
        <v>19.859193858</v>
      </c>
      <c r="L2107" s="1">
        <v>33.9</v>
      </c>
      <c r="M2107" s="1">
        <v>8.2</v>
      </c>
      <c r="N2107" s="1">
        <v>31.6</v>
      </c>
      <c r="O2107" s="1">
        <v>83.52544077</v>
      </c>
      <c r="P2107" s="1">
        <v>6.8586058211</v>
      </c>
      <c r="Q2107" s="1">
        <v>41.50095</v>
      </c>
      <c r="R2107" s="1">
        <v>92.828146143</v>
      </c>
      <c r="S2107" s="1">
        <v>15.6</v>
      </c>
      <c r="T2107" s="1">
        <v>12208.0</v>
      </c>
      <c r="U2107" s="1">
        <v>27.44102228</v>
      </c>
      <c r="V2107" s="1">
        <v>126.65130433</v>
      </c>
      <c r="W2107" s="1">
        <v>10.430247718</v>
      </c>
      <c r="X2107" s="1">
        <v>8.9755069792</v>
      </c>
      <c r="Y2107" s="1">
        <v>76.087752173</v>
      </c>
      <c r="Z2107" s="1">
        <v>13.8</v>
      </c>
      <c r="AA2107" s="1">
        <v>2.0087731086</v>
      </c>
      <c r="AB2107" s="1">
        <v>58742.0</v>
      </c>
      <c r="AC2107" s="1">
        <v>34.634634635</v>
      </c>
      <c r="AD2107" s="1">
        <v>75.177412814</v>
      </c>
      <c r="AE2107" s="1">
        <v>9.6221898418</v>
      </c>
      <c r="AF2107" s="1">
        <v>3.8167544675</v>
      </c>
      <c r="AG2107" s="1">
        <v>0.2961126605</v>
      </c>
      <c r="AH2107" s="1">
        <v>0.5078676445</v>
      </c>
      <c r="AI2107" s="1">
        <v>0.0327101195</v>
      </c>
      <c r="AJ2107" s="1">
        <v>1.3910408704</v>
      </c>
      <c r="AK2107" s="1">
        <v>92.5334848329999</v>
      </c>
      <c r="AL2107" s="1">
        <v>0.3749586443</v>
      </c>
      <c r="AM2107" s="1">
        <v>47.527803602</v>
      </c>
      <c r="AN2107" s="1">
        <v>49.865345255</v>
      </c>
      <c r="AO2107" s="1">
        <v>24779.0</v>
      </c>
      <c r="AP2107" s="1">
        <v>12.2</v>
      </c>
      <c r="AQ2107" s="1">
        <v>6.0</v>
      </c>
      <c r="AR2107" s="1">
        <v>12.9</v>
      </c>
      <c r="AS2107" s="1">
        <v>14.5</v>
      </c>
      <c r="AT2107" s="1">
        <v>22.3</v>
      </c>
      <c r="AU2107" s="1">
        <v>14.8</v>
      </c>
      <c r="AV2107" s="1">
        <v>6.9</v>
      </c>
      <c r="AW2107" s="1">
        <v>0.2</v>
      </c>
      <c r="AX2107" s="1">
        <v>0.2311</v>
      </c>
      <c r="AY2107" s="1">
        <v>11.5</v>
      </c>
      <c r="AZ2107" s="1">
        <v>12.5</v>
      </c>
      <c r="BA2107" s="1">
        <v>18.0</v>
      </c>
      <c r="BB2107" s="1">
        <v>2.61</v>
      </c>
      <c r="BC2107" s="1" t="s">
        <v>3418</v>
      </c>
      <c r="BD2107" s="1">
        <v>12.8</v>
      </c>
      <c r="BE2107" s="1">
        <v>42.6</v>
      </c>
      <c r="BF2107" s="1">
        <v>26.2</v>
      </c>
      <c r="BG2107" s="1">
        <v>18.4</v>
      </c>
      <c r="BH2107" s="1" t="s">
        <v>3506</v>
      </c>
    </row>
    <row r="2108">
      <c r="A2108" s="1">
        <v>39131.0</v>
      </c>
      <c r="B2108" s="2" t="str">
        <f>IFERROR(__xludf.DUMMYFUNCTION("TO_TEXT(A2108)"),"39131")</f>
        <v>39131</v>
      </c>
      <c r="C2108" s="1">
        <v>28298.0</v>
      </c>
      <c r="D2108" s="1">
        <v>440.281553882715</v>
      </c>
      <c r="E2108" s="1" t="s">
        <v>168</v>
      </c>
      <c r="F2108" s="1" t="s">
        <v>3507</v>
      </c>
      <c r="G2108" s="1">
        <v>64.2725086946026</v>
      </c>
      <c r="H2108" s="1">
        <v>20.588140762</v>
      </c>
      <c r="I2108" s="1">
        <v>4.8622783942</v>
      </c>
      <c r="J2108" s="1">
        <v>9.1362126246</v>
      </c>
      <c r="K2108" s="1">
        <v>21.054984794</v>
      </c>
      <c r="L2108" s="1">
        <v>37.0</v>
      </c>
      <c r="M2108" s="1">
        <v>7.1</v>
      </c>
      <c r="N2108" s="1">
        <v>30.3</v>
      </c>
      <c r="O2108" s="1">
        <v>43.369675015</v>
      </c>
      <c r="P2108" s="1">
        <v>7.5481565414</v>
      </c>
      <c r="Q2108" s="1">
        <v>28.29855</v>
      </c>
      <c r="R2108" s="1">
        <v>89.100817439</v>
      </c>
      <c r="S2108" s="1">
        <v>30.9</v>
      </c>
      <c r="T2108" s="1">
        <v>6579.0</v>
      </c>
      <c r="U2108" s="1">
        <v>40.173278614</v>
      </c>
      <c r="V2108" s="1">
        <v>81.566068515</v>
      </c>
      <c r="W2108" s="1">
        <v>16.406966086</v>
      </c>
      <c r="X2108" s="1">
        <v>11.3730929259999</v>
      </c>
      <c r="Y2108" s="1">
        <v>72.760806481</v>
      </c>
      <c r="Z2108" s="1">
        <v>17.4</v>
      </c>
      <c r="AA2108" s="1">
        <v>7.0011359221</v>
      </c>
      <c r="AB2108" s="1">
        <v>45163.0</v>
      </c>
      <c r="AC2108" s="1">
        <v>52.4746192889999</v>
      </c>
      <c r="AD2108" s="1">
        <v>67.261134726</v>
      </c>
      <c r="AE2108" s="1">
        <v>11.08851443</v>
      </c>
      <c r="AF2108" s="1">
        <v>1.0617451099</v>
      </c>
      <c r="AG2108" s="1">
        <v>0.6128193252</v>
      </c>
      <c r="AH2108" s="1">
        <v>0.3634161114</v>
      </c>
      <c r="AI2108" s="1">
        <v>0.0783838672</v>
      </c>
      <c r="AJ2108" s="1">
        <v>1.1187515588</v>
      </c>
      <c r="AK2108" s="1">
        <v>95.001247016</v>
      </c>
      <c r="AL2108" s="1">
        <v>0.1776736098</v>
      </c>
      <c r="AM2108" s="1">
        <v>50.3260056289999</v>
      </c>
      <c r="AN2108" s="1">
        <v>74.238043819</v>
      </c>
      <c r="AO2108" s="1">
        <v>21375.0</v>
      </c>
      <c r="AP2108" s="1">
        <v>20.7</v>
      </c>
      <c r="AQ2108" s="1">
        <v>11.1</v>
      </c>
      <c r="AR2108" s="1">
        <v>21.9</v>
      </c>
      <c r="AS2108" s="1">
        <v>16.2</v>
      </c>
      <c r="AT2108" s="1">
        <v>24.2</v>
      </c>
      <c r="AU2108" s="1">
        <v>23.1</v>
      </c>
      <c r="AV2108" s="1">
        <v>4.5</v>
      </c>
      <c r="AW2108" s="1">
        <v>0.2</v>
      </c>
      <c r="AX2108" s="1">
        <v>0.8278</v>
      </c>
      <c r="AY2108" s="1">
        <v>19.1</v>
      </c>
      <c r="AZ2108" s="1">
        <v>18.3</v>
      </c>
      <c r="BA2108" s="1">
        <v>27.0</v>
      </c>
      <c r="BB2108" s="1">
        <v>2.71</v>
      </c>
      <c r="BC2108" s="1" t="s">
        <v>3418</v>
      </c>
      <c r="BD2108" s="1">
        <v>19.8</v>
      </c>
      <c r="BE2108" s="1">
        <v>40.2</v>
      </c>
      <c r="BF2108" s="1">
        <v>27.4</v>
      </c>
      <c r="BG2108" s="1">
        <v>12.6</v>
      </c>
      <c r="BH2108" s="1" t="s">
        <v>3507</v>
      </c>
    </row>
    <row r="2109">
      <c r="A2109" s="1">
        <v>39133.0</v>
      </c>
      <c r="B2109" s="2" t="str">
        <f>IFERROR(__xludf.DUMMYFUNCTION("TO_TEXT(A2109)"),"39133")</f>
        <v>39133</v>
      </c>
      <c r="C2109" s="1">
        <v>161796.0</v>
      </c>
      <c r="D2109" s="1">
        <v>487.405501053042</v>
      </c>
      <c r="E2109" s="1" t="s">
        <v>3508</v>
      </c>
      <c r="F2109" s="1" t="s">
        <v>3509</v>
      </c>
      <c r="G2109" s="1">
        <v>331.953577976529</v>
      </c>
      <c r="H2109" s="1">
        <v>15.811889488</v>
      </c>
      <c r="I2109" s="1">
        <v>4.2256950069</v>
      </c>
      <c r="J2109" s="1">
        <v>7.9625528488</v>
      </c>
      <c r="K2109" s="1">
        <v>18.890229241</v>
      </c>
      <c r="L2109" s="1">
        <v>28.3</v>
      </c>
      <c r="M2109" s="1">
        <v>7.4</v>
      </c>
      <c r="N2109" s="1">
        <v>26.2</v>
      </c>
      <c r="O2109" s="1">
        <v>83.788153811</v>
      </c>
      <c r="P2109" s="1">
        <v>6.8434890195</v>
      </c>
      <c r="Q2109" s="1">
        <v>40.6712</v>
      </c>
      <c r="R2109" s="1">
        <v>92.38210399</v>
      </c>
      <c r="S2109" s="1">
        <v>14.3</v>
      </c>
      <c r="T2109" s="1">
        <v>30590.0</v>
      </c>
      <c r="U2109" s="1">
        <v>29.2644655119999</v>
      </c>
      <c r="V2109" s="1">
        <v>117.08172964</v>
      </c>
      <c r="W2109" s="1">
        <v>14.954940326</v>
      </c>
      <c r="X2109" s="1">
        <v>13.568956995</v>
      </c>
      <c r="Y2109" s="1">
        <v>77.824225503</v>
      </c>
      <c r="Z2109" s="1">
        <v>11.8</v>
      </c>
      <c r="AA2109" s="1">
        <v>7.8300294551</v>
      </c>
      <c r="AB2109" s="1">
        <v>63689.0</v>
      </c>
      <c r="AC2109" s="1">
        <v>32.571597284</v>
      </c>
      <c r="AD2109" s="1">
        <v>69.711096414</v>
      </c>
      <c r="AE2109" s="1">
        <v>12.760096904</v>
      </c>
      <c r="AF2109" s="1">
        <v>4.4909683478</v>
      </c>
      <c r="AG2109" s="1">
        <v>0.2092961879</v>
      </c>
      <c r="AH2109" s="1">
        <v>2.1629318652</v>
      </c>
      <c r="AI2109" s="1">
        <v>0.0472604295</v>
      </c>
      <c r="AJ2109" s="1">
        <v>1.9260159458</v>
      </c>
      <c r="AK2109" s="1">
        <v>89.325894419</v>
      </c>
      <c r="AL2109" s="1">
        <v>0.6090801279</v>
      </c>
      <c r="AM2109" s="1">
        <v>50.948584335</v>
      </c>
      <c r="AN2109" s="1">
        <v>32.8133615</v>
      </c>
      <c r="AO2109" s="1">
        <v>26769.0</v>
      </c>
      <c r="AP2109" s="1">
        <v>15.0</v>
      </c>
      <c r="AQ2109" s="1">
        <v>7.9</v>
      </c>
      <c r="AR2109" s="1">
        <v>8.1</v>
      </c>
      <c r="AS2109" s="1">
        <v>14.5</v>
      </c>
      <c r="AT2109" s="1">
        <v>19.4</v>
      </c>
      <c r="AU2109" s="1">
        <v>12.8</v>
      </c>
      <c r="AV2109" s="1">
        <v>9.7</v>
      </c>
      <c r="AW2109" s="1">
        <v>0.7</v>
      </c>
      <c r="AX2109" s="1">
        <v>0.2706</v>
      </c>
      <c r="AY2109" s="1">
        <v>11.9</v>
      </c>
      <c r="AZ2109" s="1">
        <v>12.5</v>
      </c>
      <c r="BA2109" s="1">
        <v>17.7</v>
      </c>
      <c r="BB2109" s="1">
        <v>3.05</v>
      </c>
      <c r="BC2109" s="1" t="s">
        <v>3418</v>
      </c>
      <c r="BD2109" s="1">
        <v>7.6</v>
      </c>
      <c r="BE2109" s="1">
        <v>36.6</v>
      </c>
      <c r="BF2109" s="1">
        <v>26.8</v>
      </c>
      <c r="BG2109" s="1">
        <v>29.0</v>
      </c>
      <c r="BH2109" s="1" t="s">
        <v>3509</v>
      </c>
    </row>
    <row r="2110">
      <c r="A2110" s="1">
        <v>39135.0</v>
      </c>
      <c r="B2110" s="2" t="str">
        <f>IFERROR(__xludf.DUMMYFUNCTION("TO_TEXT(A2110)"),"39135")</f>
        <v>39135</v>
      </c>
      <c r="C2110" s="1">
        <v>41561.0</v>
      </c>
      <c r="D2110" s="1">
        <v>424.2250937168</v>
      </c>
      <c r="E2110" s="1" t="s">
        <v>3510</v>
      </c>
      <c r="F2110" s="1" t="s">
        <v>3511</v>
      </c>
      <c r="G2110" s="1">
        <v>97.9692163796064</v>
      </c>
      <c r="H2110" s="1">
        <v>16.389885294</v>
      </c>
      <c r="I2110" s="1">
        <v>4.2566121146</v>
      </c>
      <c r="J2110" s="1">
        <v>8.2417582418</v>
      </c>
      <c r="K2110" s="1">
        <v>18.491348671</v>
      </c>
      <c r="L2110" s="1">
        <v>28.7</v>
      </c>
      <c r="M2110" s="1">
        <v>8.4</v>
      </c>
      <c r="N2110" s="1">
        <v>27.7</v>
      </c>
      <c r="O2110" s="1">
        <v>41.760113556</v>
      </c>
      <c r="P2110" s="1">
        <v>6.6708925715</v>
      </c>
      <c r="Q2110" s="1">
        <v>17.02335</v>
      </c>
      <c r="R2110" s="1">
        <v>93.359375</v>
      </c>
      <c r="S2110" s="1">
        <v>14.4</v>
      </c>
      <c r="T2110" s="1">
        <v>9252.0</v>
      </c>
      <c r="U2110" s="1">
        <v>22.741028967</v>
      </c>
      <c r="V2110" s="1">
        <v>74.0134169</v>
      </c>
      <c r="W2110" s="1">
        <v>11.028037383</v>
      </c>
      <c r="X2110" s="1">
        <v>9.0595611285</v>
      </c>
      <c r="Y2110" s="1">
        <v>75.454282958</v>
      </c>
      <c r="Z2110" s="1">
        <v>11.8</v>
      </c>
      <c r="AA2110" s="1">
        <v>0.2315356605</v>
      </c>
      <c r="AB2110" s="1">
        <v>53904.0</v>
      </c>
      <c r="AC2110" s="1">
        <v>50.145772595</v>
      </c>
      <c r="AD2110" s="1">
        <v>77.3337476689999</v>
      </c>
      <c r="AE2110" s="1">
        <v>8.39299411919999</v>
      </c>
      <c r="AF2110" s="1">
        <v>0.6244359343</v>
      </c>
      <c r="AG2110" s="1">
        <v>0.3610020245</v>
      </c>
      <c r="AH2110" s="1">
        <v>0.6219967315</v>
      </c>
      <c r="AI2110" s="1">
        <v>0.0146352172</v>
      </c>
      <c r="AJ2110" s="1">
        <v>0.9049442642</v>
      </c>
      <c r="AK2110" s="1">
        <v>96.255823597</v>
      </c>
      <c r="AL2110" s="1">
        <v>0.3574918986</v>
      </c>
      <c r="AM2110" s="1">
        <v>50.486620972</v>
      </c>
      <c r="AN2110" s="1">
        <v>69.2240359589999</v>
      </c>
      <c r="AO2110" s="1">
        <v>24605.0</v>
      </c>
      <c r="AP2110" s="1">
        <v>13.5</v>
      </c>
      <c r="AQ2110" s="1">
        <v>6.6</v>
      </c>
      <c r="AR2110" s="1">
        <v>11.2</v>
      </c>
      <c r="AS2110" s="1">
        <v>17.2</v>
      </c>
      <c r="AT2110" s="1">
        <v>23.2</v>
      </c>
      <c r="AU2110" s="1">
        <v>15.8</v>
      </c>
      <c r="AV2110" s="1">
        <v>3.3</v>
      </c>
      <c r="AW2110" s="1">
        <v>0.3</v>
      </c>
      <c r="AX2110" s="1">
        <v>0.1885</v>
      </c>
      <c r="AY2110" s="1">
        <v>8.9</v>
      </c>
      <c r="AZ2110" s="1">
        <v>12.6</v>
      </c>
      <c r="BA2110" s="1">
        <v>17.9</v>
      </c>
      <c r="BB2110" s="1">
        <v>2.77</v>
      </c>
      <c r="BC2110" s="1" t="s">
        <v>3418</v>
      </c>
      <c r="BD2110" s="1">
        <v>9.6</v>
      </c>
      <c r="BE2110" s="1">
        <v>43.9</v>
      </c>
      <c r="BF2110" s="1">
        <v>30.2</v>
      </c>
      <c r="BG2110" s="1">
        <v>16.3</v>
      </c>
      <c r="BH2110" s="1" t="s">
        <v>3511</v>
      </c>
    </row>
    <row r="2111">
      <c r="A2111" s="1">
        <v>39137.0</v>
      </c>
      <c r="B2111" s="2" t="str">
        <f>IFERROR(__xludf.DUMMYFUNCTION("TO_TEXT(A2111)"),"39137")</f>
        <v>39137</v>
      </c>
      <c r="C2111" s="1">
        <v>34116.0</v>
      </c>
      <c r="D2111" s="1">
        <v>482.521133146122</v>
      </c>
      <c r="E2111" s="1" t="s">
        <v>771</v>
      </c>
      <c r="F2111" s="1" t="s">
        <v>3512</v>
      </c>
      <c r="G2111" s="1">
        <v>70.7036389837637</v>
      </c>
      <c r="H2111" s="1">
        <v>13.595321745</v>
      </c>
      <c r="I2111" s="1">
        <v>3.893373924</v>
      </c>
      <c r="J2111" s="1">
        <v>6.4139941691</v>
      </c>
      <c r="K2111" s="1">
        <v>16.200233424</v>
      </c>
      <c r="L2111" s="1">
        <v>37.6</v>
      </c>
      <c r="M2111" s="1">
        <v>8.7</v>
      </c>
      <c r="N2111" s="1">
        <v>24.7</v>
      </c>
      <c r="O2111" s="1">
        <v>46.528884895</v>
      </c>
      <c r="P2111" s="1">
        <v>5.4911032028</v>
      </c>
      <c r="Q2111" s="1">
        <v>56.08359</v>
      </c>
      <c r="R2111" s="1">
        <v>97.4947807929999</v>
      </c>
      <c r="S2111" s="1">
        <v>6.5</v>
      </c>
      <c r="T2111" s="1">
        <v>8633.0</v>
      </c>
      <c r="U2111" s="1">
        <v>17.548940114</v>
      </c>
      <c r="V2111" s="1">
        <v>70.683323345</v>
      </c>
      <c r="W2111" s="1">
        <v>7.1428571429</v>
      </c>
      <c r="X2111" s="1">
        <v>6.2519201229</v>
      </c>
      <c r="Y2111" s="1">
        <v>79.879486761</v>
      </c>
      <c r="Z2111" s="1">
        <v>8.8</v>
      </c>
      <c r="AA2111" s="1">
        <v>3.8451952152</v>
      </c>
      <c r="AB2111" s="1">
        <v>64304.0</v>
      </c>
      <c r="AC2111" s="1">
        <v>33.245128699</v>
      </c>
      <c r="AD2111" s="1">
        <v>80.7192505289999</v>
      </c>
      <c r="AE2111" s="1">
        <v>5.87330873309999</v>
      </c>
      <c r="AF2111" s="1">
        <v>0.3730017762</v>
      </c>
      <c r="AG2111" s="1">
        <v>0.3463587922</v>
      </c>
      <c r="AH2111" s="1">
        <v>0.2575488455</v>
      </c>
      <c r="AI2111" s="1">
        <v>0.0177619893</v>
      </c>
      <c r="AJ2111" s="1">
        <v>6.2403789224</v>
      </c>
      <c r="AK2111" s="1">
        <v>92.397868561</v>
      </c>
      <c r="AL2111" s="1">
        <v>0.4165877675</v>
      </c>
      <c r="AM2111" s="1">
        <v>50.0799289519999</v>
      </c>
      <c r="AN2111" s="1">
        <v>84.66042494</v>
      </c>
      <c r="AO2111" s="1">
        <v>27367.0</v>
      </c>
      <c r="AP2111" s="1">
        <v>7.8</v>
      </c>
      <c r="AQ2111" s="1">
        <v>2.9</v>
      </c>
      <c r="AR2111" s="1">
        <v>7.1</v>
      </c>
      <c r="AS2111" s="1">
        <v>15.6</v>
      </c>
      <c r="AT2111" s="1">
        <v>25.7</v>
      </c>
      <c r="AU2111" s="1">
        <v>10.1</v>
      </c>
      <c r="AV2111" s="1">
        <v>7.2</v>
      </c>
      <c r="AW2111" s="1">
        <v>0.3</v>
      </c>
      <c r="AX2111" s="1">
        <v>0.0153</v>
      </c>
      <c r="AY2111" s="1">
        <v>7.2</v>
      </c>
      <c r="AZ2111" s="1">
        <v>9.0</v>
      </c>
      <c r="BA2111" s="1">
        <v>12.7</v>
      </c>
      <c r="BB2111" s="1">
        <v>2.84</v>
      </c>
      <c r="BC2111" s="1" t="s">
        <v>3418</v>
      </c>
      <c r="BD2111" s="1">
        <v>7.2</v>
      </c>
      <c r="BE2111" s="1">
        <v>41.3</v>
      </c>
      <c r="BF2111" s="1">
        <v>30.5</v>
      </c>
      <c r="BG2111" s="1">
        <v>20.9</v>
      </c>
      <c r="BH2111" s="1" t="s">
        <v>3512</v>
      </c>
    </row>
    <row r="2112">
      <c r="A2112" s="1">
        <v>39139.0</v>
      </c>
      <c r="B2112" s="2" t="str">
        <f>IFERROR(__xludf.DUMMYFUNCTION("TO_TEXT(A2112)"),"39139")</f>
        <v>39139</v>
      </c>
      <c r="C2112" s="1">
        <v>121888.0</v>
      </c>
      <c r="D2112" s="1">
        <v>495.261087557209</v>
      </c>
      <c r="E2112" s="1" t="s">
        <v>1271</v>
      </c>
      <c r="F2112" s="1" t="s">
        <v>3513</v>
      </c>
      <c r="G2112" s="1">
        <v>246.108573966898</v>
      </c>
      <c r="H2112" s="1">
        <v>19.732618786</v>
      </c>
      <c r="I2112" s="1">
        <v>4.3434611119</v>
      </c>
      <c r="J2112" s="1">
        <v>8.085415155</v>
      </c>
      <c r="K2112" s="1">
        <v>21.207584419</v>
      </c>
      <c r="L2112" s="1">
        <v>32.4</v>
      </c>
      <c r="M2112" s="1">
        <v>6.9</v>
      </c>
      <c r="N2112" s="1">
        <v>31.7</v>
      </c>
      <c r="O2112" s="1">
        <v>67.305081342</v>
      </c>
      <c r="P2112" s="1">
        <v>8.2895472944</v>
      </c>
      <c r="Q2112" s="1">
        <v>53.9021</v>
      </c>
      <c r="R2112" s="1">
        <v>89.967897271</v>
      </c>
      <c r="S2112" s="1">
        <v>20.7</v>
      </c>
      <c r="T2112" s="1">
        <v>25713.0</v>
      </c>
      <c r="U2112" s="1">
        <v>31.330455412</v>
      </c>
      <c r="V2112" s="1">
        <v>237.38822267</v>
      </c>
      <c r="W2112" s="1">
        <v>12.11014916</v>
      </c>
      <c r="X2112" s="1">
        <v>10.759827168</v>
      </c>
      <c r="Y2112" s="1">
        <v>75.838835769</v>
      </c>
      <c r="Z2112" s="1">
        <v>12.3</v>
      </c>
      <c r="AA2112" s="1">
        <v>11.397393323</v>
      </c>
      <c r="AB2112" s="1">
        <v>49668.0</v>
      </c>
      <c r="AC2112" s="1">
        <v>54.06457676</v>
      </c>
      <c r="AD2112" s="1">
        <v>67.952831368</v>
      </c>
      <c r="AE2112" s="1">
        <v>10.272250863</v>
      </c>
      <c r="AF2112" s="1">
        <v>9.3642391762</v>
      </c>
      <c r="AG2112" s="1">
        <v>0.2436023419</v>
      </c>
      <c r="AH2112" s="1">
        <v>0.8298995037</v>
      </c>
      <c r="AI2112" s="1">
        <v>0.049546239</v>
      </c>
      <c r="AJ2112" s="1">
        <v>1.9793722492</v>
      </c>
      <c r="AK2112" s="1">
        <v>85.503596231</v>
      </c>
      <c r="AL2112" s="1">
        <v>0.3647400462</v>
      </c>
      <c r="AM2112" s="1">
        <v>49.205195749</v>
      </c>
      <c r="AN2112" s="1">
        <v>32.054629444</v>
      </c>
      <c r="AO2112" s="1">
        <v>22520.0</v>
      </c>
      <c r="AP2112" s="1">
        <v>16.5</v>
      </c>
      <c r="AQ2112" s="1">
        <v>8.3</v>
      </c>
      <c r="AR2112" s="1">
        <v>12.8</v>
      </c>
      <c r="AS2112" s="1">
        <v>18.0</v>
      </c>
      <c r="AT2112" s="1">
        <v>21.8</v>
      </c>
      <c r="AU2112" s="1">
        <v>15.4</v>
      </c>
      <c r="AV2112" s="1">
        <v>14.0</v>
      </c>
      <c r="AW2112" s="1">
        <v>0.3</v>
      </c>
      <c r="AX2112" s="1">
        <v>0.5957</v>
      </c>
      <c r="AY2112" s="1">
        <v>13.5</v>
      </c>
      <c r="AZ2112" s="1">
        <v>14.3</v>
      </c>
      <c r="BA2112" s="1">
        <v>20.2</v>
      </c>
      <c r="BB2112" s="1">
        <v>2.77</v>
      </c>
      <c r="BC2112" s="1" t="s">
        <v>3418</v>
      </c>
      <c r="BD2112" s="1">
        <v>13.1</v>
      </c>
      <c r="BE2112" s="1">
        <v>39.4</v>
      </c>
      <c r="BF2112" s="1">
        <v>29.3</v>
      </c>
      <c r="BG2112" s="1">
        <v>18.3</v>
      </c>
      <c r="BH2112" s="1" t="s">
        <v>3513</v>
      </c>
    </row>
    <row r="2113">
      <c r="A2113" s="1">
        <v>39141.0</v>
      </c>
      <c r="B2113" s="2" t="str">
        <f>IFERROR(__xludf.DUMMYFUNCTION("TO_TEXT(A2113)"),"39141")</f>
        <v>39141</v>
      </c>
      <c r="C2113" s="1">
        <v>77193.0</v>
      </c>
      <c r="D2113" s="1">
        <v>689.187155693744</v>
      </c>
      <c r="E2113" s="1" t="s">
        <v>3514</v>
      </c>
      <c r="F2113" s="1" t="s">
        <v>3515</v>
      </c>
      <c r="G2113" s="1">
        <v>112.005859892001</v>
      </c>
      <c r="H2113" s="1">
        <v>19.780334475</v>
      </c>
      <c r="I2113" s="1">
        <v>4.8191195638</v>
      </c>
      <c r="J2113" s="1">
        <v>9.2118558437</v>
      </c>
      <c r="K2113" s="1">
        <v>21.880148048</v>
      </c>
      <c r="L2113" s="1">
        <v>37.0</v>
      </c>
      <c r="M2113" s="1">
        <v>7.4</v>
      </c>
      <c r="N2113" s="1">
        <v>33.6</v>
      </c>
      <c r="O2113" s="1">
        <v>70.931543349</v>
      </c>
      <c r="P2113" s="1">
        <v>6.919532804</v>
      </c>
      <c r="Q2113" s="1">
        <v>56.91152</v>
      </c>
      <c r="R2113" s="1">
        <v>89.566236811</v>
      </c>
      <c r="S2113" s="1">
        <v>25.5</v>
      </c>
      <c r="T2113" s="1">
        <v>16322.0</v>
      </c>
      <c r="U2113" s="1">
        <v>35.36944002</v>
      </c>
      <c r="V2113" s="1">
        <v>247.32974285</v>
      </c>
      <c r="W2113" s="1">
        <v>13.352172377</v>
      </c>
      <c r="X2113" s="1">
        <v>10.626683426</v>
      </c>
      <c r="Y2113" s="1">
        <v>75.15470677</v>
      </c>
      <c r="Z2113" s="1">
        <v>14.2</v>
      </c>
      <c r="AA2113" s="1">
        <v>5.76504142159999</v>
      </c>
      <c r="AB2113" s="1">
        <v>49385.0</v>
      </c>
      <c r="AC2113" s="1">
        <v>76.345113021</v>
      </c>
      <c r="AD2113" s="1">
        <v>69.840331165</v>
      </c>
      <c r="AE2113" s="1">
        <v>12.118219394</v>
      </c>
      <c r="AF2113" s="1">
        <v>5.723310499</v>
      </c>
      <c r="AG2113" s="1">
        <v>0.3223667962</v>
      </c>
      <c r="AH2113" s="1">
        <v>0.5589424289</v>
      </c>
      <c r="AI2113" s="1">
        <v>0.0311967867</v>
      </c>
      <c r="AJ2113" s="1">
        <v>1.3219638377</v>
      </c>
      <c r="AK2113" s="1">
        <v>89.63096801</v>
      </c>
      <c r="AL2113" s="1">
        <v>0.1989326236</v>
      </c>
      <c r="AM2113" s="1">
        <v>47.64009307</v>
      </c>
      <c r="AN2113" s="1">
        <v>58.671090387</v>
      </c>
      <c r="AO2113" s="1">
        <v>22158.0</v>
      </c>
      <c r="AP2113" s="1">
        <v>18.8</v>
      </c>
      <c r="AQ2113" s="1">
        <v>9.9</v>
      </c>
      <c r="AR2113" s="1">
        <v>14.3</v>
      </c>
      <c r="AS2113" s="1">
        <v>15.2</v>
      </c>
      <c r="AT2113" s="1">
        <v>21.8</v>
      </c>
      <c r="AU2113" s="1">
        <v>19.3</v>
      </c>
      <c r="AV2113" s="1">
        <v>10.1</v>
      </c>
      <c r="AW2113" s="1">
        <v>0.3</v>
      </c>
      <c r="AX2113" s="1">
        <v>0.7348</v>
      </c>
      <c r="AY2113" s="1">
        <v>15.2</v>
      </c>
      <c r="AZ2113" s="1">
        <v>16.1</v>
      </c>
      <c r="BA2113" s="1">
        <v>22.6</v>
      </c>
      <c r="BB2113" s="1">
        <v>2.65</v>
      </c>
      <c r="BC2113" s="1" t="s">
        <v>3418</v>
      </c>
      <c r="BD2113" s="1">
        <v>12.4</v>
      </c>
      <c r="BE2113" s="1">
        <v>43.0</v>
      </c>
      <c r="BF2113" s="1">
        <v>28.9</v>
      </c>
      <c r="BG2113" s="1">
        <v>15.8</v>
      </c>
      <c r="BH2113" s="1" t="s">
        <v>3515</v>
      </c>
    </row>
    <row r="2114">
      <c r="A2114" s="1">
        <v>39143.0</v>
      </c>
      <c r="B2114" s="2" t="str">
        <f>IFERROR(__xludf.DUMMYFUNCTION("TO_TEXT(A2114)"),"39143")</f>
        <v>39143</v>
      </c>
      <c r="C2114" s="1">
        <v>59870.0</v>
      </c>
      <c r="D2114" s="1">
        <v>408.459852528792</v>
      </c>
      <c r="E2114" s="1" t="s">
        <v>3516</v>
      </c>
      <c r="F2114" s="1" t="s">
        <v>3517</v>
      </c>
      <c r="G2114" s="1">
        <v>146.574992938332</v>
      </c>
      <c r="H2114" s="1">
        <v>18.163074498</v>
      </c>
      <c r="I2114" s="1">
        <v>4.28069455649999</v>
      </c>
      <c r="J2114" s="1">
        <v>7.2536596024</v>
      </c>
      <c r="K2114" s="1">
        <v>20.154592925</v>
      </c>
      <c r="L2114" s="1">
        <v>34.6</v>
      </c>
      <c r="M2114" s="1">
        <v>8.2</v>
      </c>
      <c r="N2114" s="1">
        <v>25.8</v>
      </c>
      <c r="O2114" s="1">
        <v>81.533867157</v>
      </c>
      <c r="P2114" s="1">
        <v>6.8144344959</v>
      </c>
      <c r="Q2114" s="1">
        <v>48.99062</v>
      </c>
      <c r="R2114" s="1">
        <v>96.246246246</v>
      </c>
      <c r="S2114" s="1">
        <v>13.4</v>
      </c>
      <c r="T2114" s="1">
        <v>13303.0</v>
      </c>
      <c r="U2114" s="1">
        <v>38.089152823</v>
      </c>
      <c r="V2114" s="1">
        <v>185.13375914</v>
      </c>
      <c r="W2114" s="1">
        <v>10.817663216</v>
      </c>
      <c r="X2114" s="1">
        <v>9.433560477</v>
      </c>
      <c r="Y2114" s="1">
        <v>76.837461205</v>
      </c>
      <c r="Z2114" s="1">
        <v>13.1</v>
      </c>
      <c r="AA2114" s="1">
        <v>3.4031282001</v>
      </c>
      <c r="AB2114" s="1">
        <v>53978.0</v>
      </c>
      <c r="AC2114" s="1">
        <v>46.458481192</v>
      </c>
      <c r="AD2114" s="1">
        <v>71.352177235</v>
      </c>
      <c r="AE2114" s="1">
        <v>9.89982578399999</v>
      </c>
      <c r="AF2114" s="1">
        <v>3.0255616592</v>
      </c>
      <c r="AG2114" s="1">
        <v>0.3690538955</v>
      </c>
      <c r="AH2114" s="1">
        <v>0.4285787173</v>
      </c>
      <c r="AI2114" s="1">
        <v>0.0170070919999999</v>
      </c>
      <c r="AJ2114" s="1">
        <v>10.006972908</v>
      </c>
      <c r="AK2114" s="1">
        <v>84.305855542</v>
      </c>
      <c r="AL2114" s="1">
        <v>0.6361686919</v>
      </c>
      <c r="AM2114" s="1">
        <v>50.480450348</v>
      </c>
      <c r="AN2114" s="1">
        <v>44.143804148</v>
      </c>
      <c r="AO2114" s="1">
        <v>24467.0</v>
      </c>
      <c r="AP2114" s="1">
        <v>13.2</v>
      </c>
      <c r="AQ2114" s="1">
        <v>6.3</v>
      </c>
      <c r="AR2114" s="1">
        <v>10.7</v>
      </c>
      <c r="AS2114" s="1">
        <v>17.1</v>
      </c>
      <c r="AT2114" s="1">
        <v>23.2</v>
      </c>
      <c r="AU2114" s="1">
        <v>14.4</v>
      </c>
      <c r="AV2114" s="1">
        <v>14.8</v>
      </c>
      <c r="AW2114" s="1">
        <v>0.7</v>
      </c>
      <c r="AX2114" s="1">
        <v>0.3712</v>
      </c>
      <c r="AY2114" s="1">
        <v>9.6</v>
      </c>
      <c r="AZ2114" s="1">
        <v>13.1</v>
      </c>
      <c r="BA2114" s="1">
        <v>18.3</v>
      </c>
      <c r="BB2114" s="1">
        <v>2.58</v>
      </c>
      <c r="BC2114" s="1" t="s">
        <v>3418</v>
      </c>
      <c r="BD2114" s="1">
        <v>9.6</v>
      </c>
      <c r="BE2114" s="1">
        <v>42.4</v>
      </c>
      <c r="BF2114" s="1">
        <v>31.9</v>
      </c>
      <c r="BG2114" s="1">
        <v>16.1</v>
      </c>
      <c r="BH2114" s="1" t="s">
        <v>3517</v>
      </c>
    </row>
    <row r="2115">
      <c r="A2115" s="1">
        <v>39145.0</v>
      </c>
      <c r="B2115" s="2" t="str">
        <f>IFERROR(__xludf.DUMMYFUNCTION("TO_TEXT(A2115)"),"39145")</f>
        <v>39145</v>
      </c>
      <c r="C2115" s="1">
        <v>77366.0</v>
      </c>
      <c r="D2115" s="1">
        <v>610.215500110978</v>
      </c>
      <c r="E2115" s="1" t="s">
        <v>3518</v>
      </c>
      <c r="F2115" s="1" t="s">
        <v>3519</v>
      </c>
      <c r="G2115" s="1">
        <v>126.784717834813</v>
      </c>
      <c r="H2115" s="1">
        <v>23.240111901</v>
      </c>
      <c r="I2115" s="1">
        <v>5.3008398624</v>
      </c>
      <c r="J2115" s="1">
        <v>8.0980201233</v>
      </c>
      <c r="K2115" s="1">
        <v>22.30239851</v>
      </c>
      <c r="L2115" s="1">
        <v>38.5</v>
      </c>
      <c r="M2115" s="1">
        <v>6.8</v>
      </c>
      <c r="N2115" s="1">
        <v>35.5</v>
      </c>
      <c r="O2115" s="1">
        <v>77.134303576</v>
      </c>
      <c r="P2115" s="1">
        <v>7.0314738954</v>
      </c>
      <c r="Q2115" s="1">
        <v>63.21695</v>
      </c>
      <c r="R2115" s="1">
        <v>95.343137255</v>
      </c>
      <c r="S2115" s="1">
        <v>28.8</v>
      </c>
      <c r="T2115" s="1">
        <v>16371.0</v>
      </c>
      <c r="U2115" s="1">
        <v>38.336082096</v>
      </c>
      <c r="V2115" s="1">
        <v>188.20246901</v>
      </c>
      <c r="W2115" s="1">
        <v>14.623908664</v>
      </c>
      <c r="X2115" s="1">
        <v>12.744090442</v>
      </c>
      <c r="Y2115" s="1">
        <v>72.4802920739999</v>
      </c>
      <c r="Z2115" s="1">
        <v>16.2</v>
      </c>
      <c r="AA2115" s="1">
        <v>7.3113450744</v>
      </c>
      <c r="AB2115" s="1">
        <v>41267.0</v>
      </c>
      <c r="AC2115" s="1">
        <v>55.264922871</v>
      </c>
      <c r="AD2115" s="1">
        <v>67.812271488</v>
      </c>
      <c r="AE2115" s="1">
        <v>13.487896832</v>
      </c>
      <c r="AF2115" s="1">
        <v>2.5443034622</v>
      </c>
      <c r="AG2115" s="1">
        <v>0.539058568</v>
      </c>
      <c r="AH2115" s="1">
        <v>0.4052872772</v>
      </c>
      <c r="AI2115" s="1">
        <v>0.0172180869</v>
      </c>
      <c r="AJ2115" s="1">
        <v>1.3933405738</v>
      </c>
      <c r="AK2115" s="1">
        <v>93.303488649</v>
      </c>
      <c r="AL2115" s="1">
        <v>0.1678504051</v>
      </c>
      <c r="AM2115" s="1">
        <v>50.617202193</v>
      </c>
      <c r="AN2115" s="1">
        <v>54.2774122939999</v>
      </c>
      <c r="AO2115" s="1">
        <v>20728.0</v>
      </c>
      <c r="AP2115" s="1">
        <v>24.0</v>
      </c>
      <c r="AQ2115" s="1">
        <v>9.0</v>
      </c>
      <c r="AR2115" s="1">
        <v>15.9</v>
      </c>
      <c r="AS2115" s="1">
        <v>16.6</v>
      </c>
      <c r="AT2115" s="1">
        <v>22.0</v>
      </c>
      <c r="AU2115" s="1">
        <v>21.6</v>
      </c>
      <c r="AV2115" s="1">
        <v>6.5</v>
      </c>
      <c r="AW2115" s="1">
        <v>0.2</v>
      </c>
      <c r="AX2115" s="1">
        <v>0.7873</v>
      </c>
      <c r="AY2115" s="1">
        <v>21.9</v>
      </c>
      <c r="AZ2115" s="1">
        <v>19.3</v>
      </c>
      <c r="BA2115" s="1">
        <v>27.8</v>
      </c>
      <c r="BB2115" s="1">
        <v>2.64</v>
      </c>
      <c r="BC2115" s="1" t="s">
        <v>3418</v>
      </c>
      <c r="BD2115" s="1">
        <v>15.1</v>
      </c>
      <c r="BE2115" s="1">
        <v>41.2</v>
      </c>
      <c r="BF2115" s="1">
        <v>28.0</v>
      </c>
      <c r="BG2115" s="1">
        <v>15.7</v>
      </c>
      <c r="BH2115" s="1" t="s">
        <v>3519</v>
      </c>
    </row>
    <row r="2116">
      <c r="A2116" s="1">
        <v>39147.0</v>
      </c>
      <c r="B2116" s="2" t="str">
        <f>IFERROR(__xludf.DUMMYFUNCTION("TO_TEXT(A2116)"),"39147")</f>
        <v>39147</v>
      </c>
      <c r="C2116" s="1">
        <v>55711.0</v>
      </c>
      <c r="D2116" s="1">
        <v>551.0239441971</v>
      </c>
      <c r="E2116" s="1" t="s">
        <v>3147</v>
      </c>
      <c r="F2116" s="1" t="s">
        <v>3520</v>
      </c>
      <c r="G2116" s="1">
        <v>101.104499335645</v>
      </c>
      <c r="H2116" s="1">
        <v>15.559959779</v>
      </c>
      <c r="I2116" s="1">
        <v>4.3862888151</v>
      </c>
      <c r="J2116" s="1">
        <v>8.35356969399999</v>
      </c>
      <c r="K2116" s="1">
        <v>19.386314243</v>
      </c>
      <c r="L2116" s="1">
        <v>34.2</v>
      </c>
      <c r="M2116" s="1">
        <v>7.8</v>
      </c>
      <c r="N2116" s="1">
        <v>27.9</v>
      </c>
      <c r="O2116" s="1">
        <v>71.158692396</v>
      </c>
      <c r="P2116" s="1">
        <v>6.6171894807</v>
      </c>
      <c r="Q2116" s="1">
        <v>41.63423</v>
      </c>
      <c r="R2116" s="1">
        <v>93.587174349</v>
      </c>
      <c r="S2116" s="1">
        <v>16.2</v>
      </c>
      <c r="T2116" s="1">
        <v>11987.0</v>
      </c>
      <c r="U2116" s="1">
        <v>40.952698757</v>
      </c>
      <c r="V2116" s="1">
        <v>171.92524436</v>
      </c>
      <c r="W2116" s="1">
        <v>10.398126464</v>
      </c>
      <c r="X2116" s="1">
        <v>9.271054494</v>
      </c>
      <c r="Y2116" s="1">
        <v>77.457354146</v>
      </c>
      <c r="Z2116" s="1">
        <v>11.8</v>
      </c>
      <c r="AA2116" s="1">
        <v>5.2235736236</v>
      </c>
      <c r="AB2116" s="1">
        <v>52165.0</v>
      </c>
      <c r="AC2116" s="1">
        <v>47.40769835</v>
      </c>
      <c r="AD2116" s="1">
        <v>71.642342509</v>
      </c>
      <c r="AE2116" s="1">
        <v>9.8398278747</v>
      </c>
      <c r="AF2116" s="1">
        <v>2.4054920572</v>
      </c>
      <c r="AG2116" s="1">
        <v>0.3006865071</v>
      </c>
      <c r="AH2116" s="1">
        <v>0.780698099899999</v>
      </c>
      <c r="AI2116" s="1">
        <v>0.0489068415</v>
      </c>
      <c r="AJ2116" s="1">
        <v>5.2982411651</v>
      </c>
      <c r="AK2116" s="1">
        <v>89.379969931</v>
      </c>
      <c r="AL2116" s="1">
        <v>0.374496236</v>
      </c>
      <c r="AM2116" s="1">
        <v>50.020830692</v>
      </c>
      <c r="AN2116" s="1">
        <v>47.509031633</v>
      </c>
      <c r="AO2116" s="1">
        <v>23900.0</v>
      </c>
      <c r="AP2116" s="1">
        <v>15.6</v>
      </c>
      <c r="AQ2116" s="1">
        <v>6.8</v>
      </c>
      <c r="AR2116" s="1">
        <v>9.2</v>
      </c>
      <c r="AS2116" s="1">
        <v>16.2</v>
      </c>
      <c r="AT2116" s="1">
        <v>22.5</v>
      </c>
      <c r="AU2116" s="1">
        <v>14.0</v>
      </c>
      <c r="AV2116" s="1">
        <v>9.5</v>
      </c>
      <c r="AW2116" s="1">
        <v>0.3</v>
      </c>
      <c r="AX2116" s="1">
        <v>0.3652</v>
      </c>
      <c r="AY2116" s="1">
        <v>12.1</v>
      </c>
      <c r="AZ2116" s="1">
        <v>13.2</v>
      </c>
      <c r="BA2116" s="1">
        <v>19.8</v>
      </c>
      <c r="BB2116" s="1">
        <v>2.63</v>
      </c>
      <c r="BC2116" s="1" t="s">
        <v>3418</v>
      </c>
      <c r="BD2116" s="1">
        <v>8.3</v>
      </c>
      <c r="BE2116" s="1">
        <v>45.2</v>
      </c>
      <c r="BF2116" s="1">
        <v>29.7</v>
      </c>
      <c r="BG2116" s="1">
        <v>16.8</v>
      </c>
      <c r="BH2116" s="1" t="s">
        <v>3520</v>
      </c>
    </row>
    <row r="2117">
      <c r="A2117" s="1">
        <v>39149.0</v>
      </c>
      <c r="B2117" s="2" t="str">
        <f>IFERROR(__xludf.DUMMYFUNCTION("TO_TEXT(A2117)"),"39149")</f>
        <v>39149</v>
      </c>
      <c r="C2117" s="1">
        <v>48949.0</v>
      </c>
      <c r="D2117" s="1">
        <v>407.676149639028</v>
      </c>
      <c r="E2117" s="1" t="s">
        <v>176</v>
      </c>
      <c r="F2117" s="1" t="s">
        <v>3521</v>
      </c>
      <c r="G2117" s="1">
        <v>120.068343569623</v>
      </c>
      <c r="H2117" s="1">
        <v>15.571337992</v>
      </c>
      <c r="I2117" s="1">
        <v>4.1036470616</v>
      </c>
      <c r="J2117" s="1">
        <v>6.3953488372</v>
      </c>
      <c r="K2117" s="1">
        <v>18.040688859</v>
      </c>
      <c r="L2117" s="1">
        <v>32.8</v>
      </c>
      <c r="M2117" s="1">
        <v>8.1</v>
      </c>
      <c r="N2117" s="1">
        <v>27.7</v>
      </c>
      <c r="O2117" s="1">
        <v>68.411468345</v>
      </c>
      <c r="P2117" s="1">
        <v>6.268906323</v>
      </c>
      <c r="Q2117" s="1">
        <v>38.96717</v>
      </c>
      <c r="R2117" s="1">
        <v>91.887675507</v>
      </c>
      <c r="S2117" s="1">
        <v>11.8</v>
      </c>
      <c r="T2117" s="1">
        <v>12148.0</v>
      </c>
      <c r="U2117" s="1">
        <v>28.021073428</v>
      </c>
      <c r="V2117" s="1">
        <v>125.0551714</v>
      </c>
      <c r="W2117" s="1">
        <v>10.49918611</v>
      </c>
      <c r="X2117" s="1">
        <v>8.60890953809999</v>
      </c>
      <c r="Y2117" s="1">
        <v>77.5994975999999</v>
      </c>
      <c r="Z2117" s="1">
        <v>12.5</v>
      </c>
      <c r="AA2117" s="1">
        <v>5.6887427191</v>
      </c>
      <c r="AB2117" s="1">
        <v>63398.0</v>
      </c>
      <c r="AC2117" s="1">
        <v>43.887475685</v>
      </c>
      <c r="AD2117" s="1">
        <v>70.632408947</v>
      </c>
      <c r="AE2117" s="1">
        <v>7.474283213</v>
      </c>
      <c r="AF2117" s="1">
        <v>2.2374401053</v>
      </c>
      <c r="AG2117" s="1">
        <v>0.222098834</v>
      </c>
      <c r="AH2117" s="1">
        <v>1.2174306455</v>
      </c>
      <c r="AI2117" s="1">
        <v>0.1254447118</v>
      </c>
      <c r="AJ2117" s="1">
        <v>1.6019906636</v>
      </c>
      <c r="AK2117" s="1">
        <v>92.631665536</v>
      </c>
      <c r="AL2117" s="1">
        <v>0.4134491283</v>
      </c>
      <c r="AM2117" s="1">
        <v>49.77481646</v>
      </c>
      <c r="AN2117" s="1">
        <v>51.111830524</v>
      </c>
      <c r="AO2117" s="1">
        <v>27330.0</v>
      </c>
      <c r="AP2117" s="1">
        <v>9.5</v>
      </c>
      <c r="AQ2117" s="1">
        <v>5.8</v>
      </c>
      <c r="AR2117" s="1">
        <v>9.3</v>
      </c>
      <c r="AS2117" s="1">
        <v>14.6</v>
      </c>
      <c r="AT2117" s="1">
        <v>25.9</v>
      </c>
      <c r="AU2117" s="1">
        <v>12.5</v>
      </c>
      <c r="AV2117" s="1">
        <v>6.6</v>
      </c>
      <c r="AW2117" s="1">
        <v>0.5</v>
      </c>
      <c r="AX2117" s="1">
        <v>0.1802</v>
      </c>
      <c r="AY2117" s="1">
        <v>9.1</v>
      </c>
      <c r="AZ2117" s="1">
        <v>11.2</v>
      </c>
      <c r="BA2117" s="1">
        <v>15.3</v>
      </c>
      <c r="BB2117" s="1">
        <v>2.66</v>
      </c>
      <c r="BC2117" s="1" t="s">
        <v>3418</v>
      </c>
      <c r="BD2117" s="1">
        <v>9.8</v>
      </c>
      <c r="BE2117" s="1">
        <v>41.3</v>
      </c>
      <c r="BF2117" s="1">
        <v>30.2</v>
      </c>
      <c r="BG2117" s="1">
        <v>18.7</v>
      </c>
      <c r="BH2117" s="1" t="s">
        <v>3521</v>
      </c>
    </row>
    <row r="2118">
      <c r="A2118" s="1">
        <v>39151.0</v>
      </c>
      <c r="B2118" s="2" t="str">
        <f>IFERROR(__xludf.DUMMYFUNCTION("TO_TEXT(A2118)"),"39151")</f>
        <v>39151</v>
      </c>
      <c r="C2118" s="1">
        <v>374762.0</v>
      </c>
      <c r="D2118" s="1">
        <v>575.326622229746</v>
      </c>
      <c r="E2118" s="1" t="s">
        <v>1283</v>
      </c>
      <c r="F2118" s="1" t="s">
        <v>3522</v>
      </c>
      <c r="G2118" s="1">
        <v>651.38998530533</v>
      </c>
      <c r="H2118" s="1">
        <v>16.626672292</v>
      </c>
      <c r="I2118" s="1">
        <v>4.0773976449</v>
      </c>
      <c r="J2118" s="1">
        <v>8.56750257639999</v>
      </c>
      <c r="K2118" s="1">
        <v>19.004006925</v>
      </c>
      <c r="L2118" s="1">
        <v>34.8</v>
      </c>
      <c r="M2118" s="1">
        <v>7.3</v>
      </c>
      <c r="N2118" s="1">
        <v>27.3</v>
      </c>
      <c r="O2118" s="1">
        <v>79.855479171</v>
      </c>
      <c r="P2118" s="1">
        <v>7.3098960797</v>
      </c>
      <c r="Q2118" s="1">
        <v>80.25941</v>
      </c>
      <c r="R2118" s="1">
        <v>91.71624714</v>
      </c>
      <c r="S2118" s="1">
        <v>23.2</v>
      </c>
      <c r="T2118" s="1">
        <v>80039.0</v>
      </c>
      <c r="U2118" s="1">
        <v>39.6694111619999</v>
      </c>
      <c r="V2118" s="1">
        <v>327.60356311</v>
      </c>
      <c r="W2118" s="1">
        <v>12.183984116</v>
      </c>
      <c r="X2118" s="1">
        <v>10.35347624</v>
      </c>
      <c r="Y2118" s="1">
        <v>76.823043175</v>
      </c>
      <c r="Z2118" s="1">
        <v>12.5</v>
      </c>
      <c r="AA2118" s="1">
        <v>8.07561731419999</v>
      </c>
      <c r="AB2118" s="1">
        <v>52310.0</v>
      </c>
      <c r="AC2118" s="1">
        <v>36.167753653</v>
      </c>
      <c r="AD2118" s="1">
        <v>68.274276281</v>
      </c>
      <c r="AE2118" s="1">
        <v>10.264027952</v>
      </c>
      <c r="AF2118" s="1">
        <v>7.7949479781</v>
      </c>
      <c r="AG2118" s="1">
        <v>0.3046499486</v>
      </c>
      <c r="AH2118" s="1">
        <v>0.9710044298</v>
      </c>
      <c r="AI2118" s="1">
        <v>0.041445311</v>
      </c>
      <c r="AJ2118" s="1">
        <v>2.1559635497</v>
      </c>
      <c r="AK2118" s="1">
        <v>86.334350627</v>
      </c>
      <c r="AL2118" s="1">
        <v>0.5234918752</v>
      </c>
      <c r="AM2118" s="1">
        <v>51.41237008</v>
      </c>
      <c r="AN2118" s="1">
        <v>13.5300570309999</v>
      </c>
      <c r="AO2118" s="1">
        <v>26442.0</v>
      </c>
      <c r="AP2118" s="1">
        <v>14.1</v>
      </c>
      <c r="AQ2118" s="1">
        <v>7.6</v>
      </c>
      <c r="AR2118" s="1">
        <v>9.6</v>
      </c>
      <c r="AS2118" s="1">
        <v>17.7</v>
      </c>
      <c r="AT2118" s="1">
        <v>22.0</v>
      </c>
      <c r="AU2118" s="1">
        <v>13.3</v>
      </c>
      <c r="AV2118" s="1">
        <v>13.0</v>
      </c>
      <c r="AW2118" s="1">
        <v>0.5</v>
      </c>
      <c r="AX2118" s="1">
        <v>0.3636</v>
      </c>
      <c r="AY2118" s="1">
        <v>13.0</v>
      </c>
      <c r="AZ2118" s="1">
        <v>13.5</v>
      </c>
      <c r="BA2118" s="1">
        <v>19.8</v>
      </c>
      <c r="BB2118" s="1">
        <v>2.94</v>
      </c>
      <c r="BC2118" s="1" t="s">
        <v>3418</v>
      </c>
      <c r="BD2118" s="1">
        <v>8.4</v>
      </c>
      <c r="BE2118" s="1">
        <v>38.2</v>
      </c>
      <c r="BF2118" s="1">
        <v>30.6</v>
      </c>
      <c r="BG2118" s="1">
        <v>22.8</v>
      </c>
      <c r="BH2118" s="1" t="s">
        <v>3522</v>
      </c>
    </row>
    <row r="2119">
      <c r="A2119" s="1">
        <v>39153.0</v>
      </c>
      <c r="B2119" s="2" t="str">
        <f>IFERROR(__xludf.DUMMYFUNCTION("TO_TEXT(A2119)"),"39153")</f>
        <v>39153</v>
      </c>
      <c r="C2119" s="1">
        <v>541372.0</v>
      </c>
      <c r="D2119" s="1">
        <v>412.83748047971</v>
      </c>
      <c r="E2119" s="1" t="s">
        <v>644</v>
      </c>
      <c r="F2119" s="1" t="s">
        <v>3523</v>
      </c>
      <c r="G2119" s="1">
        <v>1311.34411384095</v>
      </c>
      <c r="H2119" s="1">
        <v>17.393936306</v>
      </c>
      <c r="I2119" s="1">
        <v>4.5249644091</v>
      </c>
      <c r="J2119" s="1">
        <v>9.1763261645</v>
      </c>
      <c r="K2119" s="1">
        <v>18.483947403</v>
      </c>
      <c r="L2119" s="1">
        <v>29.9</v>
      </c>
      <c r="M2119" s="1">
        <v>7.2</v>
      </c>
      <c r="N2119" s="1">
        <v>26.7</v>
      </c>
      <c r="O2119" s="1">
        <v>94.117364765</v>
      </c>
      <c r="P2119" s="1">
        <v>6.6877614624</v>
      </c>
      <c r="Q2119" s="1">
        <v>94.78445</v>
      </c>
      <c r="R2119" s="1">
        <v>89.918759232</v>
      </c>
      <c r="S2119" s="1">
        <v>17.5</v>
      </c>
      <c r="T2119" s="1">
        <v>114326.0</v>
      </c>
      <c r="U2119" s="1">
        <v>36.680195231</v>
      </c>
      <c r="V2119" s="1">
        <v>328.71369601</v>
      </c>
      <c r="W2119" s="1">
        <v>13.991482074</v>
      </c>
      <c r="X2119" s="1">
        <v>12.850195219</v>
      </c>
      <c r="Y2119" s="1">
        <v>76.958078276</v>
      </c>
      <c r="Z2119" s="1">
        <v>10.7</v>
      </c>
      <c r="AA2119" s="1">
        <v>7.7062300207</v>
      </c>
      <c r="AB2119" s="1">
        <v>58890.0</v>
      </c>
      <c r="AC2119" s="1">
        <v>27.8371105409999</v>
      </c>
      <c r="AD2119" s="1">
        <v>65.714285714</v>
      </c>
      <c r="AE2119" s="1">
        <v>12.501258455</v>
      </c>
      <c r="AF2119" s="1">
        <v>14.752785477</v>
      </c>
      <c r="AG2119" s="1">
        <v>0.2205130666</v>
      </c>
      <c r="AH2119" s="1">
        <v>3.8616543462</v>
      </c>
      <c r="AI2119" s="1">
        <v>0.0363523633</v>
      </c>
      <c r="AJ2119" s="1">
        <v>2.2420366181</v>
      </c>
      <c r="AK2119" s="1">
        <v>76.609560856</v>
      </c>
      <c r="AL2119" s="1">
        <v>1.345453763</v>
      </c>
      <c r="AM2119" s="1">
        <v>51.484911001</v>
      </c>
      <c r="AN2119" s="1">
        <v>3.8766586499</v>
      </c>
      <c r="AO2119" s="1">
        <v>29643.0</v>
      </c>
      <c r="AP2119" s="1">
        <v>14.3</v>
      </c>
      <c r="AQ2119" s="1">
        <v>7.3</v>
      </c>
      <c r="AR2119" s="1">
        <v>9.0</v>
      </c>
      <c r="AS2119" s="1">
        <v>16.2</v>
      </c>
      <c r="AT2119" s="1">
        <v>21.7</v>
      </c>
      <c r="AU2119" s="1">
        <v>12.6</v>
      </c>
      <c r="AV2119" s="1">
        <v>21.8</v>
      </c>
      <c r="AW2119" s="1">
        <v>1.2</v>
      </c>
      <c r="AX2119" s="1">
        <v>0.3311</v>
      </c>
      <c r="AY2119" s="1">
        <v>14.2</v>
      </c>
      <c r="AZ2119" s="1">
        <v>13.2</v>
      </c>
      <c r="BA2119" s="1">
        <v>18.2</v>
      </c>
      <c r="BB2119" s="1">
        <v>3.14</v>
      </c>
      <c r="BC2119" s="1" t="s">
        <v>3418</v>
      </c>
      <c r="BD2119" s="1">
        <v>8.3</v>
      </c>
      <c r="BE2119" s="1">
        <v>30.2</v>
      </c>
      <c r="BF2119" s="1">
        <v>29.1</v>
      </c>
      <c r="BG2119" s="1">
        <v>32.5</v>
      </c>
      <c r="BH2119" s="1" t="s">
        <v>3523</v>
      </c>
    </row>
    <row r="2120">
      <c r="A2120" s="1">
        <v>39155.0</v>
      </c>
      <c r="B2120" s="2" t="str">
        <f>IFERROR(__xludf.DUMMYFUNCTION("TO_TEXT(A2120)"),"39155")</f>
        <v>39155</v>
      </c>
      <c r="C2120" s="1">
        <v>204908.0</v>
      </c>
      <c r="D2120" s="1">
        <v>618.295731569602</v>
      </c>
      <c r="E2120" s="1" t="s">
        <v>3524</v>
      </c>
      <c r="F2120" s="1" t="s">
        <v>3525</v>
      </c>
      <c r="G2120" s="1">
        <v>331.407754473448</v>
      </c>
      <c r="H2120" s="1">
        <v>17.690961727</v>
      </c>
      <c r="I2120" s="1">
        <v>4.5267030065</v>
      </c>
      <c r="J2120" s="1">
        <v>8.6364255551</v>
      </c>
      <c r="K2120" s="1">
        <v>19.676252876</v>
      </c>
      <c r="L2120" s="1">
        <v>38.6</v>
      </c>
      <c r="M2120" s="1">
        <v>7.0</v>
      </c>
      <c r="N2120" s="1">
        <v>27.4</v>
      </c>
      <c r="O2120" s="1">
        <v>82.027178668</v>
      </c>
      <c r="P2120" s="1">
        <v>7.80814853019999</v>
      </c>
      <c r="Q2120" s="1">
        <v>45.91277</v>
      </c>
      <c r="R2120" s="1">
        <v>90.945945946</v>
      </c>
      <c r="S2120" s="1">
        <v>25.7</v>
      </c>
      <c r="T2120" s="1">
        <v>41516.0</v>
      </c>
      <c r="U2120" s="1">
        <v>41.070912419</v>
      </c>
      <c r="V2120" s="1">
        <v>237.33352125</v>
      </c>
      <c r="W2120" s="1">
        <v>12.680614958</v>
      </c>
      <c r="X2120" s="1">
        <v>11.090269637</v>
      </c>
      <c r="Y2120" s="1">
        <v>75.530450809</v>
      </c>
      <c r="Z2120" s="1">
        <v>13.9</v>
      </c>
      <c r="AA2120" s="1">
        <v>7.91551147259999</v>
      </c>
      <c r="AB2120" s="1">
        <v>47424.0</v>
      </c>
      <c r="AC2120" s="1">
        <v>47.475878245</v>
      </c>
      <c r="AD2120" s="1">
        <v>70.733377436</v>
      </c>
      <c r="AE2120" s="1">
        <v>11.4465484179999</v>
      </c>
      <c r="AF2120" s="1">
        <v>8.2184194495</v>
      </c>
      <c r="AG2120" s="1">
        <v>0.2386382516</v>
      </c>
      <c r="AH2120" s="1">
        <v>0.5548087622</v>
      </c>
      <c r="AI2120" s="1">
        <v>0.0286970049</v>
      </c>
      <c r="AJ2120" s="1">
        <v>1.898533432</v>
      </c>
      <c r="AK2120" s="1">
        <v>87.156831649</v>
      </c>
      <c r="AL2120" s="1">
        <v>0.3985814267</v>
      </c>
      <c r="AM2120" s="1">
        <v>51.304706812</v>
      </c>
      <c r="AN2120" s="1">
        <v>27.273289208</v>
      </c>
      <c r="AO2120" s="1">
        <v>24445.0</v>
      </c>
      <c r="AP2120" s="1">
        <v>17.5</v>
      </c>
      <c r="AQ2120" s="1">
        <v>6.9</v>
      </c>
      <c r="AR2120" s="1">
        <v>11.1</v>
      </c>
      <c r="AS2120" s="1">
        <v>19.4</v>
      </c>
      <c r="AT2120" s="1">
        <v>21.0</v>
      </c>
      <c r="AU2120" s="1">
        <v>14.6</v>
      </c>
      <c r="AV2120" s="1">
        <v>12.5</v>
      </c>
      <c r="AW2120" s="1">
        <v>0.3</v>
      </c>
      <c r="AX2120" s="1">
        <v>0.4591</v>
      </c>
      <c r="AY2120" s="1">
        <v>15.4</v>
      </c>
      <c r="AZ2120" s="1">
        <v>15.5</v>
      </c>
      <c r="BA2120" s="1">
        <v>24.0</v>
      </c>
      <c r="BB2120" s="1">
        <v>2.77</v>
      </c>
      <c r="BC2120" s="1" t="s">
        <v>3418</v>
      </c>
      <c r="BD2120" s="1">
        <v>10.6</v>
      </c>
      <c r="BE2120" s="1">
        <v>44.5</v>
      </c>
      <c r="BF2120" s="1">
        <v>26.1</v>
      </c>
      <c r="BG2120" s="1">
        <v>18.7</v>
      </c>
      <c r="BH2120" s="1" t="s">
        <v>3525</v>
      </c>
    </row>
    <row r="2121">
      <c r="A2121" s="1">
        <v>39157.0</v>
      </c>
      <c r="B2121" s="2" t="str">
        <f>IFERROR(__xludf.DUMMYFUNCTION("TO_TEXT(A2121)"),"39157")</f>
        <v>39157</v>
      </c>
      <c r="C2121" s="1">
        <v>92579.0</v>
      </c>
      <c r="D2121" s="1">
        <v>567.438383851642</v>
      </c>
      <c r="E2121" s="1" t="s">
        <v>3526</v>
      </c>
      <c r="F2121" s="1" t="s">
        <v>3527</v>
      </c>
      <c r="G2121" s="1">
        <v>163.152515999349</v>
      </c>
      <c r="H2121" s="1">
        <v>16.111808705</v>
      </c>
      <c r="I2121" s="1">
        <v>4.0933005734</v>
      </c>
      <c r="J2121" s="1">
        <v>7.0501399847</v>
      </c>
      <c r="K2121" s="1">
        <v>18.016099582</v>
      </c>
      <c r="L2121" s="1">
        <v>33.1</v>
      </c>
      <c r="M2121" s="1">
        <v>7.6</v>
      </c>
      <c r="N2121" s="1">
        <v>27.6</v>
      </c>
      <c r="O2121" s="1">
        <v>69.927199672</v>
      </c>
      <c r="P2121" s="1">
        <v>7.8326122228</v>
      </c>
      <c r="Q2121" s="1">
        <v>41.17144</v>
      </c>
      <c r="R2121" s="1">
        <v>85.549132948</v>
      </c>
      <c r="S2121" s="1">
        <v>17.3</v>
      </c>
      <c r="T2121" s="1">
        <v>20973.0</v>
      </c>
      <c r="U2121" s="1">
        <v>28.455633433</v>
      </c>
      <c r="V2121" s="1">
        <v>47.259238906</v>
      </c>
      <c r="W2121" s="1">
        <v>12.0440468</v>
      </c>
      <c r="X2121" s="1">
        <v>10.016652789</v>
      </c>
      <c r="Y2121" s="1">
        <v>77.803988675</v>
      </c>
      <c r="Z2121" s="1">
        <v>11.8</v>
      </c>
      <c r="AA2121" s="1">
        <v>7.0069285408</v>
      </c>
      <c r="AB2121" s="1">
        <v>51030.0</v>
      </c>
      <c r="AC2121" s="1">
        <v>43.807685853</v>
      </c>
      <c r="AD2121" s="1">
        <v>70.532634381</v>
      </c>
      <c r="AE2121" s="1">
        <v>10.3226887</v>
      </c>
      <c r="AF2121" s="1">
        <v>0.8169154661</v>
      </c>
      <c r="AG2121" s="1">
        <v>0.4643291095</v>
      </c>
      <c r="AH2121" s="1">
        <v>0.4382919632</v>
      </c>
      <c r="AI2121" s="1">
        <v>0.2278250304</v>
      </c>
      <c r="AJ2121" s="1">
        <v>2.8749349071</v>
      </c>
      <c r="AK2121" s="1">
        <v>94.3564485329999</v>
      </c>
      <c r="AL2121" s="1">
        <v>0.8731612353</v>
      </c>
      <c r="AM2121" s="1">
        <v>50.655268183</v>
      </c>
      <c r="AN2121" s="1">
        <v>41.580436802</v>
      </c>
      <c r="AO2121" s="1">
        <v>24173.0</v>
      </c>
      <c r="AP2121" s="1">
        <v>13.6</v>
      </c>
      <c r="AQ2121" s="1">
        <v>5.7</v>
      </c>
      <c r="AR2121" s="1">
        <v>14.1</v>
      </c>
      <c r="AS2121" s="1">
        <v>17.8</v>
      </c>
      <c r="AT2121" s="1">
        <v>23.0</v>
      </c>
      <c r="AU2121" s="1">
        <v>14.1</v>
      </c>
      <c r="AV2121" s="1">
        <v>4.8</v>
      </c>
      <c r="AW2121" s="1">
        <v>0.9</v>
      </c>
      <c r="AX2121" s="1">
        <v>0.3301</v>
      </c>
      <c r="AY2121" s="1">
        <v>11.2</v>
      </c>
      <c r="AZ2121" s="1">
        <v>13.1</v>
      </c>
      <c r="BA2121" s="1">
        <v>18.9</v>
      </c>
      <c r="BB2121" s="1">
        <v>2.93</v>
      </c>
      <c r="BC2121" s="1" t="s">
        <v>3418</v>
      </c>
      <c r="BD2121" s="1">
        <v>14.0</v>
      </c>
      <c r="BE2121" s="1">
        <v>44.7</v>
      </c>
      <c r="BF2121" s="1">
        <v>23.9</v>
      </c>
      <c r="BG2121" s="1">
        <v>17.4</v>
      </c>
      <c r="BH2121" s="1" t="s">
        <v>3527</v>
      </c>
    </row>
    <row r="2122">
      <c r="A2122" s="1">
        <v>39159.0</v>
      </c>
      <c r="B2122" s="2" t="str">
        <f>IFERROR(__xludf.DUMMYFUNCTION("TO_TEXT(A2122)"),"39159")</f>
        <v>39159</v>
      </c>
      <c r="C2122" s="1">
        <v>53955.0</v>
      </c>
      <c r="D2122" s="1">
        <v>431.742047531358</v>
      </c>
      <c r="E2122" s="1" t="s">
        <v>406</v>
      </c>
      <c r="F2122" s="1" t="s">
        <v>3528</v>
      </c>
      <c r="G2122" s="1">
        <v>124.970454715975</v>
      </c>
      <c r="H2122" s="1">
        <v>13.800854375</v>
      </c>
      <c r="I2122" s="1">
        <v>3.7530448753</v>
      </c>
      <c r="J2122" s="1">
        <v>6.1794019934</v>
      </c>
      <c r="K2122" s="1">
        <v>17.922362267</v>
      </c>
      <c r="L2122" s="1">
        <v>32.9</v>
      </c>
      <c r="M2122" s="1">
        <v>8.4</v>
      </c>
      <c r="N2122" s="1">
        <v>24.8</v>
      </c>
      <c r="O2122" s="1">
        <v>77.843212237</v>
      </c>
      <c r="P2122" s="1">
        <v>5.2273540995</v>
      </c>
      <c r="Q2122" s="1">
        <v>49.34703</v>
      </c>
      <c r="R2122" s="1">
        <v>95.174708819</v>
      </c>
      <c r="S2122" s="1">
        <v>5.1</v>
      </c>
      <c r="T2122" s="1">
        <v>13702.0</v>
      </c>
      <c r="U2122" s="1">
        <v>20.537147862</v>
      </c>
      <c r="V2122" s="1">
        <v>53.8233461119999</v>
      </c>
      <c r="W2122" s="1">
        <v>10.85106383</v>
      </c>
      <c r="X2122" s="1">
        <v>9.4385026738</v>
      </c>
      <c r="Y2122" s="1">
        <v>79.262401443</v>
      </c>
      <c r="Z2122" s="1">
        <v>8.9</v>
      </c>
      <c r="AA2122" s="1">
        <v>5.239292887</v>
      </c>
      <c r="AB2122" s="1">
        <v>84861.0</v>
      </c>
      <c r="AC2122" s="1">
        <v>19.3133047209999</v>
      </c>
      <c r="AD2122" s="1">
        <v>77.309935537</v>
      </c>
      <c r="AE2122" s="1">
        <v>9.0876195399</v>
      </c>
      <c r="AF2122" s="1">
        <v>2.6298953921</v>
      </c>
      <c r="AG2122" s="1">
        <v>0.2472551223</v>
      </c>
      <c r="AH2122" s="1">
        <v>4.6234978819</v>
      </c>
      <c r="AI2122" s="1">
        <v>0.0414973632</v>
      </c>
      <c r="AJ2122" s="1">
        <v>1.8085934123</v>
      </c>
      <c r="AK2122" s="1">
        <v>89.221059912</v>
      </c>
      <c r="AL2122" s="1">
        <v>0.3082224562</v>
      </c>
      <c r="AM2122" s="1">
        <v>52.051525893</v>
      </c>
      <c r="AN2122" s="1">
        <v>49.952198853</v>
      </c>
      <c r="AO2122" s="1">
        <v>30431.0</v>
      </c>
      <c r="AP2122" s="1">
        <v>7.9</v>
      </c>
      <c r="AQ2122" s="1">
        <v>3.7</v>
      </c>
      <c r="AR2122" s="1">
        <v>8.1</v>
      </c>
      <c r="AS2122" s="1">
        <v>11.2</v>
      </c>
      <c r="AT2122" s="1">
        <v>25.5</v>
      </c>
      <c r="AU2122" s="1">
        <v>11.4</v>
      </c>
      <c r="AV2122" s="1">
        <v>9.1</v>
      </c>
      <c r="AW2122" s="1">
        <v>0.3</v>
      </c>
      <c r="AX2122" s="1">
        <v>0.0923</v>
      </c>
      <c r="AY2122" s="1">
        <v>5.4</v>
      </c>
      <c r="AZ2122" s="1">
        <v>9.5</v>
      </c>
      <c r="BA2122" s="1">
        <v>12.6</v>
      </c>
      <c r="BB2122" s="1">
        <v>2.94</v>
      </c>
      <c r="BC2122" s="1" t="s">
        <v>3418</v>
      </c>
      <c r="BD2122" s="1">
        <v>6.6</v>
      </c>
      <c r="BE2122" s="1">
        <v>32.0</v>
      </c>
      <c r="BF2122" s="1">
        <v>25.9</v>
      </c>
      <c r="BG2122" s="1">
        <v>35.5</v>
      </c>
      <c r="BH2122" s="1" t="s">
        <v>3528</v>
      </c>
    </row>
    <row r="2123">
      <c r="A2123" s="1">
        <v>39161.0</v>
      </c>
      <c r="B2123" s="2" t="str">
        <f>IFERROR(__xludf.DUMMYFUNCTION("TO_TEXT(A2123)"),"39161")</f>
        <v>39161</v>
      </c>
      <c r="C2123" s="1">
        <v>28501.0</v>
      </c>
      <c r="D2123" s="1">
        <v>409.151875112554</v>
      </c>
      <c r="E2123" s="1" t="s">
        <v>3529</v>
      </c>
      <c r="F2123" s="1" t="s">
        <v>3530</v>
      </c>
      <c r="G2123" s="1">
        <v>69.65873000621</v>
      </c>
      <c r="H2123" s="1">
        <v>16.211410975</v>
      </c>
      <c r="I2123" s="1">
        <v>4.2290926263</v>
      </c>
      <c r="J2123" s="1">
        <v>7.1548821549</v>
      </c>
      <c r="K2123" s="1">
        <v>18.156577555</v>
      </c>
      <c r="L2123" s="1">
        <v>40.8</v>
      </c>
      <c r="M2123" s="1">
        <v>8.0</v>
      </c>
      <c r="N2123" s="1">
        <v>31.2</v>
      </c>
      <c r="O2123" s="1">
        <v>62.604369608</v>
      </c>
      <c r="P2123" s="1">
        <v>6.4224631932</v>
      </c>
      <c r="Q2123" s="1">
        <v>46.07152</v>
      </c>
      <c r="R2123" s="1">
        <v>94.0959409589999</v>
      </c>
      <c r="S2123" s="1">
        <v>11.5</v>
      </c>
      <c r="T2123" s="1">
        <v>6553.0</v>
      </c>
      <c r="U2123" s="1">
        <v>35.464672669</v>
      </c>
      <c r="V2123" s="1">
        <v>136.81810209</v>
      </c>
      <c r="W2123" s="1">
        <v>8.3150984683</v>
      </c>
      <c r="X2123" s="1">
        <v>7.215582116</v>
      </c>
      <c r="Y2123" s="1">
        <v>77.225609322</v>
      </c>
      <c r="Z2123" s="1">
        <v>14.9</v>
      </c>
      <c r="AA2123" s="1">
        <v>5.6151738481</v>
      </c>
      <c r="AB2123" s="1">
        <v>54331.0</v>
      </c>
      <c r="AC2123" s="1">
        <v>61.6194626</v>
      </c>
      <c r="AD2123" s="1">
        <v>74.65627463</v>
      </c>
      <c r="AE2123" s="1">
        <v>9.5311788803</v>
      </c>
      <c r="AF2123" s="1">
        <v>1.0218874863</v>
      </c>
      <c r="AG2123" s="1">
        <v>0.2687316573</v>
      </c>
      <c r="AH2123" s="1">
        <v>0.325306743</v>
      </c>
      <c r="AI2123" s="1">
        <v>0.0141437714</v>
      </c>
      <c r="AJ2123" s="1">
        <v>3.514727202</v>
      </c>
      <c r="AK2123" s="1">
        <v>93.730773311</v>
      </c>
      <c r="AL2123" s="1">
        <v>0.3608751222</v>
      </c>
      <c r="AM2123" s="1">
        <v>50.461440543</v>
      </c>
      <c r="AN2123" s="1">
        <v>50.727108266</v>
      </c>
      <c r="AO2123" s="1">
        <v>25316.0</v>
      </c>
      <c r="AP2123" s="1">
        <v>12.3</v>
      </c>
      <c r="AQ2123" s="1">
        <v>5.8</v>
      </c>
      <c r="AR2123" s="1">
        <v>8.5</v>
      </c>
      <c r="AS2123" s="1">
        <v>18.0</v>
      </c>
      <c r="AT2123" s="1">
        <v>23.7</v>
      </c>
      <c r="AU2123" s="1">
        <v>14.9</v>
      </c>
      <c r="AV2123" s="1">
        <v>5.5</v>
      </c>
      <c r="AW2123" s="1">
        <v>0.4</v>
      </c>
      <c r="AX2123" s="1">
        <v>0.141</v>
      </c>
      <c r="AY2123" s="1">
        <v>8.5</v>
      </c>
      <c r="AZ2123" s="1">
        <v>11.8</v>
      </c>
      <c r="BA2123" s="1">
        <v>16.1</v>
      </c>
      <c r="BB2123" s="1">
        <v>2.65</v>
      </c>
      <c r="BC2123" s="1" t="s">
        <v>3418</v>
      </c>
      <c r="BD2123" s="1">
        <v>8.7</v>
      </c>
      <c r="BE2123" s="1">
        <v>44.3</v>
      </c>
      <c r="BF2123" s="1">
        <v>30.4</v>
      </c>
      <c r="BG2123" s="1">
        <v>16.6</v>
      </c>
      <c r="BH2123" s="1" t="s">
        <v>3530</v>
      </c>
    </row>
    <row r="2124">
      <c r="A2124" s="1">
        <v>39163.0</v>
      </c>
      <c r="B2124" s="2" t="str">
        <f>IFERROR(__xludf.DUMMYFUNCTION("TO_TEXT(A2124)"),"39163")</f>
        <v>39163</v>
      </c>
      <c r="C2124" s="1">
        <v>13128.0</v>
      </c>
      <c r="D2124" s="1">
        <v>412.360307056561</v>
      </c>
      <c r="E2124" s="1" t="s">
        <v>3531</v>
      </c>
      <c r="F2124" s="1" t="s">
        <v>3532</v>
      </c>
      <c r="G2124" s="1">
        <v>31.8362358727201</v>
      </c>
      <c r="H2124" s="1">
        <v>20.247080282</v>
      </c>
      <c r="I2124" s="1">
        <v>4.9169765859</v>
      </c>
      <c r="J2124" s="1">
        <v>7.86627335299999</v>
      </c>
      <c r="K2124" s="1">
        <v>22.3448511169999</v>
      </c>
      <c r="L2124" s="1">
        <v>36.7</v>
      </c>
      <c r="M2124" s="1">
        <v>5.6</v>
      </c>
      <c r="N2124" s="1">
        <v>33.8</v>
      </c>
      <c r="O2124" s="1">
        <v>42.664681801</v>
      </c>
      <c r="P2124" s="1">
        <v>8.4017923824</v>
      </c>
      <c r="Q2124" s="1">
        <v>15.2765</v>
      </c>
      <c r="R2124" s="1">
        <v>88.6792452829999</v>
      </c>
      <c r="S2124" s="1">
        <v>28.8</v>
      </c>
      <c r="T2124" s="1">
        <v>2931.0</v>
      </c>
      <c r="U2124" s="1">
        <v>38.68986694</v>
      </c>
      <c r="V2124" s="1">
        <v>114.42520406</v>
      </c>
      <c r="W2124" s="1">
        <v>13.056680162</v>
      </c>
      <c r="X2124" s="1">
        <v>9.631147541</v>
      </c>
      <c r="Y2124" s="1">
        <v>74.517872072</v>
      </c>
      <c r="Z2124" s="1">
        <v>15.5</v>
      </c>
      <c r="AA2124" s="1">
        <v>23.757053858</v>
      </c>
      <c r="AB2124" s="1">
        <v>43457.0</v>
      </c>
      <c r="AC2124" s="1">
        <v>52.4746192889999</v>
      </c>
      <c r="AD2124" s="1">
        <v>74.466836236</v>
      </c>
      <c r="AE2124" s="1">
        <v>12.239366138</v>
      </c>
      <c r="AF2124" s="1">
        <v>0.5479869092</v>
      </c>
      <c r="AG2124" s="1">
        <v>0.464266687</v>
      </c>
      <c r="AH2124" s="1">
        <v>0.2207169495</v>
      </c>
      <c r="AI2124" s="1">
        <v>0.0</v>
      </c>
      <c r="AJ2124" s="1">
        <v>0.867645939599999</v>
      </c>
      <c r="AK2124" s="1">
        <v>96.445696019</v>
      </c>
      <c r="AL2124" s="1">
        <v>0.0886239123</v>
      </c>
      <c r="AM2124" s="1">
        <v>49.866808737</v>
      </c>
      <c r="AN2124" s="1">
        <v>100.0</v>
      </c>
      <c r="AO2124" s="1">
        <v>19431.0</v>
      </c>
      <c r="AP2124" s="1">
        <v>21.3</v>
      </c>
      <c r="AQ2124" s="1">
        <v>10.7</v>
      </c>
      <c r="AR2124" s="1">
        <v>19.2</v>
      </c>
      <c r="AS2124" s="1">
        <v>15.4</v>
      </c>
      <c r="AT2124" s="1">
        <v>23.0</v>
      </c>
      <c r="AU2124" s="1">
        <v>21.1</v>
      </c>
      <c r="AV2124" s="1">
        <v>3.1</v>
      </c>
      <c r="AW2124" s="1">
        <v>0.1</v>
      </c>
      <c r="AX2124" s="1">
        <v>0.7361</v>
      </c>
      <c r="AY2124" s="1">
        <v>18.7</v>
      </c>
      <c r="AZ2124" s="1">
        <v>17.7</v>
      </c>
      <c r="BA2124" s="1">
        <v>27.8</v>
      </c>
      <c r="BB2124" s="1">
        <v>2.72</v>
      </c>
      <c r="BC2124" s="1" t="s">
        <v>3418</v>
      </c>
      <c r="BD2124" s="1">
        <v>19.3</v>
      </c>
      <c r="BE2124" s="1">
        <v>43.7</v>
      </c>
      <c r="BF2124" s="1">
        <v>24.2</v>
      </c>
      <c r="BG2124" s="1">
        <v>12.8</v>
      </c>
      <c r="BH2124" s="1" t="s">
        <v>3532</v>
      </c>
    </row>
    <row r="2125">
      <c r="A2125" s="1">
        <v>39165.0</v>
      </c>
      <c r="B2125" s="2" t="str">
        <f>IFERROR(__xludf.DUMMYFUNCTION("TO_TEXT(A2125)"),"39165")</f>
        <v>39165</v>
      </c>
      <c r="C2125" s="1">
        <v>222184.0</v>
      </c>
      <c r="D2125" s="1">
        <v>401.328836234782</v>
      </c>
      <c r="E2125" s="1" t="s">
        <v>1045</v>
      </c>
      <c r="F2125" s="1" t="s">
        <v>3533</v>
      </c>
      <c r="G2125" s="1">
        <v>553.620821480218</v>
      </c>
      <c r="H2125" s="1">
        <v>12.382981104</v>
      </c>
      <c r="I2125" s="1">
        <v>3.7053984398</v>
      </c>
      <c r="J2125" s="1">
        <v>7.0790545057</v>
      </c>
      <c r="K2125" s="1">
        <v>15.228085463</v>
      </c>
      <c r="L2125" s="1">
        <v>27.9</v>
      </c>
      <c r="M2125" s="1">
        <v>8.5</v>
      </c>
      <c r="N2125" s="1">
        <v>18.4</v>
      </c>
      <c r="O2125" s="1">
        <v>87.7386655879999</v>
      </c>
      <c r="P2125" s="1">
        <v>5.0478291345</v>
      </c>
      <c r="Q2125" s="1">
        <v>85.63365</v>
      </c>
      <c r="R2125" s="1">
        <v>96.637426901</v>
      </c>
      <c r="S2125" s="1">
        <v>5.9</v>
      </c>
      <c r="T2125" s="1">
        <v>57112.0</v>
      </c>
      <c r="U2125" s="1">
        <v>18.682588598</v>
      </c>
      <c r="V2125" s="1">
        <v>67.59481338</v>
      </c>
      <c r="W2125" s="1">
        <v>9.8093500283</v>
      </c>
      <c r="X2125" s="1">
        <v>8.7898894155</v>
      </c>
      <c r="Y2125" s="1">
        <v>79.2035077</v>
      </c>
      <c r="Z2125" s="1">
        <v>10.8</v>
      </c>
      <c r="AA2125" s="1">
        <v>5.4061535385</v>
      </c>
      <c r="AB2125" s="1">
        <v>87391.0</v>
      </c>
      <c r="AC2125" s="1">
        <v>15.214821819</v>
      </c>
      <c r="AD2125" s="1">
        <v>77.530876263</v>
      </c>
      <c r="AE2125" s="1">
        <v>8.7417185678</v>
      </c>
      <c r="AF2125" s="1">
        <v>3.5822425519</v>
      </c>
      <c r="AG2125" s="1">
        <v>0.2114802324</v>
      </c>
      <c r="AH2125" s="1">
        <v>6.063581898</v>
      </c>
      <c r="AI2125" s="1">
        <v>0.113277599</v>
      </c>
      <c r="AJ2125" s="1">
        <v>2.8220335698</v>
      </c>
      <c r="AK2125" s="1">
        <v>85.752003894</v>
      </c>
      <c r="AL2125" s="1">
        <v>0.6459839301</v>
      </c>
      <c r="AM2125" s="1">
        <v>49.736188101</v>
      </c>
      <c r="AN2125" s="1">
        <v>17.26620058</v>
      </c>
      <c r="AO2125" s="1">
        <v>36057.0</v>
      </c>
      <c r="AP2125" s="1">
        <v>5.4</v>
      </c>
      <c r="AQ2125" s="1">
        <v>5.0</v>
      </c>
      <c r="AR2125" s="1">
        <v>7.1</v>
      </c>
      <c r="AS2125" s="1">
        <v>12.9</v>
      </c>
      <c r="AT2125" s="1">
        <v>25.9</v>
      </c>
      <c r="AU2125" s="1">
        <v>9.4</v>
      </c>
      <c r="AV2125" s="1">
        <v>12.5</v>
      </c>
      <c r="AW2125" s="1">
        <v>0.8</v>
      </c>
      <c r="AX2125" s="1">
        <v>0.0573</v>
      </c>
      <c r="AY2125" s="1">
        <v>4.5</v>
      </c>
      <c r="AZ2125" s="1">
        <v>8.6</v>
      </c>
      <c r="BA2125" s="1">
        <v>11.4</v>
      </c>
      <c r="BB2125" s="1">
        <v>3.1</v>
      </c>
      <c r="BC2125" s="1" t="s">
        <v>3418</v>
      </c>
      <c r="BD2125" s="1">
        <v>6.2</v>
      </c>
      <c r="BE2125" s="1">
        <v>25.8</v>
      </c>
      <c r="BF2125" s="1">
        <v>25.1</v>
      </c>
      <c r="BG2125" s="1">
        <v>43.0</v>
      </c>
      <c r="BH2125" s="1" t="s">
        <v>3533</v>
      </c>
    </row>
    <row r="2126">
      <c r="A2126" s="1">
        <v>39167.0</v>
      </c>
      <c r="B2126" s="2" t="str">
        <f>IFERROR(__xludf.DUMMYFUNCTION("TO_TEXT(A2126)"),"39167")</f>
        <v>39167</v>
      </c>
      <c r="C2126" s="1">
        <v>61154.0</v>
      </c>
      <c r="D2126" s="1">
        <v>631.971441243482</v>
      </c>
      <c r="E2126" s="1" t="s">
        <v>188</v>
      </c>
      <c r="F2126" s="1" t="s">
        <v>3534</v>
      </c>
      <c r="G2126" s="1">
        <v>96.7670309273341</v>
      </c>
      <c r="H2126" s="1">
        <v>18.691923076</v>
      </c>
      <c r="I2126" s="1">
        <v>4.6646574506</v>
      </c>
      <c r="J2126" s="1">
        <v>7.059373539</v>
      </c>
      <c r="K2126" s="1">
        <v>18.048098639</v>
      </c>
      <c r="L2126" s="1">
        <v>36.8</v>
      </c>
      <c r="M2126" s="1">
        <v>7.8</v>
      </c>
      <c r="N2126" s="1">
        <v>30.4</v>
      </c>
      <c r="O2126" s="1">
        <v>71.517368643</v>
      </c>
      <c r="P2126" s="1">
        <v>7.3214707334</v>
      </c>
      <c r="Q2126" s="1">
        <v>77.79139</v>
      </c>
      <c r="R2126" s="1">
        <v>92.109038737</v>
      </c>
      <c r="S2126" s="1">
        <v>21.7</v>
      </c>
      <c r="T2126" s="1">
        <v>11883.0</v>
      </c>
      <c r="U2126" s="1">
        <v>33.813010183</v>
      </c>
      <c r="V2126" s="1">
        <v>97.538006189</v>
      </c>
      <c r="W2126" s="1">
        <v>10.531515511</v>
      </c>
      <c r="X2126" s="1">
        <v>8.956956957</v>
      </c>
      <c r="Y2126" s="1">
        <v>76.32389994</v>
      </c>
      <c r="Z2126" s="1">
        <v>14.8</v>
      </c>
      <c r="AA2126" s="1">
        <v>3.5303939206</v>
      </c>
      <c r="AB2126" s="1">
        <v>50904.0</v>
      </c>
      <c r="AC2126" s="1">
        <v>48.430433626</v>
      </c>
      <c r="AD2126" s="1">
        <v>73.8732646489999</v>
      </c>
      <c r="AE2126" s="1">
        <v>9.9675551357</v>
      </c>
      <c r="AF2126" s="1">
        <v>1.1703100324</v>
      </c>
      <c r="AG2126" s="1">
        <v>0.2709666694</v>
      </c>
      <c r="AH2126" s="1">
        <v>0.76136647</v>
      </c>
      <c r="AI2126" s="1">
        <v>0.0232732109</v>
      </c>
      <c r="AJ2126" s="1">
        <v>1.1304130995</v>
      </c>
      <c r="AK2126" s="1">
        <v>94.9862854289999</v>
      </c>
      <c r="AL2126" s="1">
        <v>0.2114677945</v>
      </c>
      <c r="AM2126" s="1">
        <v>50.905161666</v>
      </c>
      <c r="AN2126" s="1">
        <v>56.562206611</v>
      </c>
      <c r="AO2126" s="1">
        <v>25462.0</v>
      </c>
      <c r="AP2126" s="1">
        <v>15.7</v>
      </c>
      <c r="AQ2126" s="1">
        <v>4.7</v>
      </c>
      <c r="AR2126" s="1">
        <v>9.8</v>
      </c>
      <c r="AS2126" s="1">
        <v>19.2</v>
      </c>
      <c r="AT2126" s="1">
        <v>19.9</v>
      </c>
      <c r="AU2126" s="1">
        <v>19.9</v>
      </c>
      <c r="AV2126" s="1">
        <v>4.6</v>
      </c>
      <c r="AW2126" s="1">
        <v>0.1</v>
      </c>
      <c r="AX2126" s="1">
        <v>0.3047</v>
      </c>
      <c r="AY2126" s="1">
        <v>11.0</v>
      </c>
      <c r="AZ2126" s="1">
        <v>15.3</v>
      </c>
      <c r="BA2126" s="1">
        <v>22.5</v>
      </c>
      <c r="BB2126" s="1">
        <v>2.8</v>
      </c>
      <c r="BC2126" s="1" t="s">
        <v>3418</v>
      </c>
      <c r="BD2126" s="1">
        <v>9.4</v>
      </c>
      <c r="BE2126" s="1">
        <v>40.3</v>
      </c>
      <c r="BF2126" s="1">
        <v>31.5</v>
      </c>
      <c r="BG2126" s="1">
        <v>18.8</v>
      </c>
      <c r="BH2126" s="1" t="s">
        <v>3534</v>
      </c>
    </row>
    <row r="2127">
      <c r="A2127" s="1">
        <v>39169.0</v>
      </c>
      <c r="B2127" s="2" t="str">
        <f>IFERROR(__xludf.DUMMYFUNCTION("TO_TEXT(A2127)"),"39169")</f>
        <v>39169</v>
      </c>
      <c r="C2127" s="1">
        <v>115747.0</v>
      </c>
      <c r="D2127" s="1">
        <v>554.927885998134</v>
      </c>
      <c r="E2127" s="1" t="s">
        <v>1048</v>
      </c>
      <c r="F2127" s="1" t="s">
        <v>3535</v>
      </c>
      <c r="G2127" s="1">
        <v>208.580255057482</v>
      </c>
      <c r="H2127" s="1">
        <v>16.600106649</v>
      </c>
      <c r="I2127" s="1">
        <v>4.3704637174</v>
      </c>
      <c r="J2127" s="1">
        <v>5.919442876</v>
      </c>
      <c r="K2127" s="1">
        <v>17.467266789</v>
      </c>
      <c r="L2127" s="1">
        <v>27.1</v>
      </c>
      <c r="M2127" s="1">
        <v>8.0</v>
      </c>
      <c r="N2127" s="1">
        <v>23.9</v>
      </c>
      <c r="O2127" s="1">
        <v>66.694027244</v>
      </c>
      <c r="P2127" s="1">
        <v>11.29983639</v>
      </c>
      <c r="Q2127" s="1">
        <v>54.29256</v>
      </c>
      <c r="R2127" s="1">
        <v>94.962840628</v>
      </c>
      <c r="S2127" s="1">
        <v>13.8</v>
      </c>
      <c r="T2127" s="1">
        <v>28174.0</v>
      </c>
      <c r="U2127" s="1">
        <v>23.230638177</v>
      </c>
      <c r="V2127" s="1">
        <v>117.56755506</v>
      </c>
      <c r="W2127" s="1">
        <v>13.6981526659999</v>
      </c>
      <c r="X2127" s="1">
        <v>10.097110097</v>
      </c>
      <c r="Y2127" s="1">
        <v>78.116923165</v>
      </c>
      <c r="Z2127" s="1">
        <v>15.0</v>
      </c>
      <c r="AA2127" s="1">
        <v>5.0361237601</v>
      </c>
      <c r="AB2127" s="1">
        <v>59142.0</v>
      </c>
      <c r="AC2127" s="1">
        <v>43.227351916</v>
      </c>
      <c r="AD2127" s="1">
        <v>73.075947908</v>
      </c>
      <c r="AE2127" s="1">
        <v>9.7091278561</v>
      </c>
      <c r="AF2127" s="1">
        <v>1.5547526451</v>
      </c>
      <c r="AG2127" s="1">
        <v>0.2043684841</v>
      </c>
      <c r="AH2127" s="1">
        <v>1.1132477343</v>
      </c>
      <c r="AI2127" s="1">
        <v>0.0396664568</v>
      </c>
      <c r="AJ2127" s="1">
        <v>2.0876628696</v>
      </c>
      <c r="AK2127" s="1">
        <v>93.53522985</v>
      </c>
      <c r="AL2127" s="1">
        <v>1.2618150938</v>
      </c>
      <c r="AM2127" s="1">
        <v>50.288444126</v>
      </c>
      <c r="AN2127" s="1">
        <v>51.000698568</v>
      </c>
      <c r="AO2127" s="1">
        <v>24311.0</v>
      </c>
      <c r="AP2127" s="1">
        <v>12.7</v>
      </c>
      <c r="AQ2127" s="1">
        <v>4.3</v>
      </c>
      <c r="AR2127" s="1">
        <v>14.6</v>
      </c>
      <c r="AS2127" s="1">
        <v>16.1</v>
      </c>
      <c r="AT2127" s="1">
        <v>24.7</v>
      </c>
      <c r="AU2127" s="1">
        <v>11.0</v>
      </c>
      <c r="AV2127" s="1">
        <v>6.0</v>
      </c>
      <c r="AW2127" s="1">
        <v>1.2</v>
      </c>
      <c r="AX2127" s="1">
        <v>0.4489</v>
      </c>
      <c r="AY2127" s="1">
        <v>9.9</v>
      </c>
      <c r="AZ2127" s="1">
        <v>11.8</v>
      </c>
      <c r="BA2127" s="1">
        <v>17.3</v>
      </c>
      <c r="BB2127" s="1">
        <v>3.03</v>
      </c>
      <c r="BC2127" s="1" t="s">
        <v>3418</v>
      </c>
      <c r="BD2127" s="1">
        <v>13.5</v>
      </c>
      <c r="BE2127" s="1">
        <v>39.0</v>
      </c>
      <c r="BF2127" s="1">
        <v>25.3</v>
      </c>
      <c r="BG2127" s="1">
        <v>22.2</v>
      </c>
      <c r="BH2127" s="1" t="s">
        <v>3535</v>
      </c>
    </row>
    <row r="2128">
      <c r="A2128" s="1">
        <v>39171.0</v>
      </c>
      <c r="B2128" s="2" t="str">
        <f>IFERROR(__xludf.DUMMYFUNCTION("TO_TEXT(A2128)"),"39171")</f>
        <v>39171</v>
      </c>
      <c r="C2128" s="1">
        <v>37270.0</v>
      </c>
      <c r="D2128" s="1">
        <v>420.96569978371</v>
      </c>
      <c r="E2128" s="1" t="s">
        <v>3415</v>
      </c>
      <c r="F2128" s="1" t="s">
        <v>3536</v>
      </c>
      <c r="G2128" s="1">
        <v>88.5345291056946</v>
      </c>
      <c r="H2128" s="1">
        <v>16.957320251</v>
      </c>
      <c r="I2128" s="1">
        <v>4.3182015762</v>
      </c>
      <c r="J2128" s="1">
        <v>5.44604076179999</v>
      </c>
      <c r="K2128" s="1">
        <v>19.662996461</v>
      </c>
      <c r="L2128" s="1">
        <v>35.2</v>
      </c>
      <c r="M2128" s="1">
        <v>7.8</v>
      </c>
      <c r="N2128" s="1">
        <v>30.9</v>
      </c>
      <c r="O2128" s="1">
        <v>61.452632698</v>
      </c>
      <c r="P2128" s="1">
        <v>6.3913774757</v>
      </c>
      <c r="Q2128" s="1">
        <v>48.93432</v>
      </c>
      <c r="R2128" s="1">
        <v>94.250513347</v>
      </c>
      <c r="S2128" s="1">
        <v>14.2</v>
      </c>
      <c r="T2128" s="1">
        <v>8364.0</v>
      </c>
      <c r="U2128" s="1">
        <v>30.081300813</v>
      </c>
      <c r="V2128" s="1">
        <v>204.509002055</v>
      </c>
      <c r="W2128" s="1">
        <v>11.343283582</v>
      </c>
      <c r="X2128" s="1">
        <v>9.8196392786</v>
      </c>
      <c r="Y2128" s="1">
        <v>77.094830254</v>
      </c>
      <c r="Z2128" s="1">
        <v>12.6</v>
      </c>
      <c r="AA2128" s="1">
        <v>7.4352425221</v>
      </c>
      <c r="AB2128" s="1">
        <v>54581.0</v>
      </c>
      <c r="AC2128" s="1">
        <v>63.831544178</v>
      </c>
      <c r="AD2128" s="1">
        <v>75.685425685</v>
      </c>
      <c r="AE2128" s="1">
        <v>8.7657127574</v>
      </c>
      <c r="AF2128" s="1">
        <v>1.2009564178</v>
      </c>
      <c r="AG2128" s="1">
        <v>0.3532224758</v>
      </c>
      <c r="AH2128" s="1">
        <v>0.5597217694</v>
      </c>
      <c r="AI2128" s="1">
        <v>0.0298880556</v>
      </c>
      <c r="AJ2128" s="1">
        <v>4.6407999131</v>
      </c>
      <c r="AK2128" s="1">
        <v>92.386697098</v>
      </c>
      <c r="AL2128" s="1">
        <v>0.2242345839</v>
      </c>
      <c r="AM2128" s="1">
        <v>50.211933485</v>
      </c>
      <c r="AN2128" s="1">
        <v>63.628393815</v>
      </c>
      <c r="AO2128" s="1">
        <v>22757.0</v>
      </c>
      <c r="AP2128" s="1">
        <v>14.4</v>
      </c>
      <c r="AQ2128" s="1">
        <v>5.8</v>
      </c>
      <c r="AR2128" s="1">
        <v>11.4</v>
      </c>
      <c r="AS2128" s="1">
        <v>17.5</v>
      </c>
      <c r="AT2128" s="1">
        <v>22.9</v>
      </c>
      <c r="AU2128" s="1">
        <v>14.4</v>
      </c>
      <c r="AV2128" s="1">
        <v>6.7</v>
      </c>
      <c r="AW2128" s="1">
        <v>0.4</v>
      </c>
      <c r="AX2128" s="1">
        <v>0.3442</v>
      </c>
      <c r="AY2128" s="1">
        <v>9.3</v>
      </c>
      <c r="AZ2128" s="1">
        <v>12.5</v>
      </c>
      <c r="BA2128" s="1">
        <v>18.7</v>
      </c>
      <c r="BB2128" s="1">
        <v>2.81</v>
      </c>
      <c r="BC2128" s="1" t="s">
        <v>3418</v>
      </c>
      <c r="BD2128" s="1">
        <v>9.5</v>
      </c>
      <c r="BE2128" s="1">
        <v>42.4</v>
      </c>
      <c r="BF2128" s="1">
        <v>32.9</v>
      </c>
      <c r="BG2128" s="1">
        <v>15.2</v>
      </c>
      <c r="BH2128" s="1" t="s">
        <v>3536</v>
      </c>
    </row>
    <row r="2129">
      <c r="A2129" s="1">
        <v>39173.0</v>
      </c>
      <c r="B2129" s="2" t="str">
        <f>IFERROR(__xludf.DUMMYFUNCTION("TO_TEXT(A2129)"),"39173")</f>
        <v>39173</v>
      </c>
      <c r="C2129" s="1">
        <v>129418.0</v>
      </c>
      <c r="D2129" s="1">
        <v>617.187303384268</v>
      </c>
      <c r="E2129" s="1" t="s">
        <v>3537</v>
      </c>
      <c r="F2129" s="1" t="s">
        <v>3538</v>
      </c>
      <c r="G2129" s="1">
        <v>209.689990850998</v>
      </c>
      <c r="H2129" s="1">
        <v>16.617240295</v>
      </c>
      <c r="I2129" s="1">
        <v>4.2248335039</v>
      </c>
      <c r="J2129" s="1">
        <v>6.6820035554</v>
      </c>
      <c r="K2129" s="1">
        <v>16.871287487</v>
      </c>
      <c r="L2129" s="1">
        <v>34.4</v>
      </c>
      <c r="M2129" s="1">
        <v>7.5</v>
      </c>
      <c r="N2129" s="1">
        <v>23.5</v>
      </c>
      <c r="O2129" s="1">
        <v>70.602766798</v>
      </c>
      <c r="P2129" s="1">
        <v>5.5362827135</v>
      </c>
      <c r="Q2129" s="1">
        <v>67.43708</v>
      </c>
      <c r="R2129" s="1">
        <v>96.420581655</v>
      </c>
      <c r="S2129" s="1">
        <v>10.9</v>
      </c>
      <c r="T2129" s="1">
        <v>26462.0</v>
      </c>
      <c r="U2129" s="1">
        <v>25.0661325669999</v>
      </c>
      <c r="V2129" s="1">
        <v>77.123846955</v>
      </c>
      <c r="W2129" s="1">
        <v>13.7031484259999</v>
      </c>
      <c r="X2129" s="1">
        <v>12.306603297</v>
      </c>
      <c r="Y2129" s="1">
        <v>78.818631518</v>
      </c>
      <c r="Z2129" s="1">
        <v>11.7</v>
      </c>
      <c r="AA2129" s="1">
        <v>10.178898509</v>
      </c>
      <c r="AB2129" s="1">
        <v>64282.0</v>
      </c>
      <c r="AC2129" s="1">
        <v>35.637248455</v>
      </c>
      <c r="AD2129" s="1">
        <v>65.826774775</v>
      </c>
      <c r="AE2129" s="1">
        <v>12.428325398</v>
      </c>
      <c r="AF2129" s="1">
        <v>2.6687886393</v>
      </c>
      <c r="AG2129" s="1">
        <v>0.3052886087</v>
      </c>
      <c r="AH2129" s="1">
        <v>1.818724368</v>
      </c>
      <c r="AI2129" s="1">
        <v>0.0436126584</v>
      </c>
      <c r="AJ2129" s="1">
        <v>5.68647854559999</v>
      </c>
      <c r="AK2129" s="1">
        <v>88.046305931</v>
      </c>
      <c r="AL2129" s="1">
        <v>0.7243549095</v>
      </c>
      <c r="AM2129" s="1">
        <v>50.729938177</v>
      </c>
      <c r="AN2129" s="1">
        <v>29.546251434</v>
      </c>
      <c r="AO2129" s="1">
        <v>28843.0</v>
      </c>
      <c r="AP2129" s="1">
        <v>13.7</v>
      </c>
      <c r="AQ2129" s="1">
        <v>6.3</v>
      </c>
      <c r="AR2129" s="1">
        <v>5.9</v>
      </c>
      <c r="AS2129" s="1">
        <v>13.9</v>
      </c>
      <c r="AT2129" s="1">
        <v>20.7</v>
      </c>
      <c r="AU2129" s="1">
        <v>10.9</v>
      </c>
      <c r="AV2129" s="1">
        <v>11.2</v>
      </c>
      <c r="AW2129" s="1">
        <v>0.5</v>
      </c>
      <c r="AX2129" s="1">
        <v>0.1493</v>
      </c>
      <c r="AY2129" s="1">
        <v>11.2</v>
      </c>
      <c r="AZ2129" s="1">
        <v>11.2</v>
      </c>
      <c r="BA2129" s="1">
        <v>14.1</v>
      </c>
      <c r="BB2129" s="1">
        <v>2.91</v>
      </c>
      <c r="BC2129" s="1" t="s">
        <v>3418</v>
      </c>
      <c r="BD2129" s="1">
        <v>5.7</v>
      </c>
      <c r="BE2129" s="1">
        <v>30.7</v>
      </c>
      <c r="BF2129" s="1">
        <v>30.1</v>
      </c>
      <c r="BG2129" s="1">
        <v>33.5</v>
      </c>
      <c r="BH2129" s="1" t="s">
        <v>3538</v>
      </c>
    </row>
    <row r="2130">
      <c r="A2130" s="1">
        <v>39175.0</v>
      </c>
      <c r="B2130" s="2" t="str">
        <f>IFERROR(__xludf.DUMMYFUNCTION("TO_TEXT(A2130)"),"39175")</f>
        <v>39175</v>
      </c>
      <c r="C2130" s="1">
        <v>22359.0</v>
      </c>
      <c r="D2130" s="1">
        <v>406.864185627272</v>
      </c>
      <c r="E2130" s="1" t="s">
        <v>3539</v>
      </c>
      <c r="F2130" s="1" t="s">
        <v>3540</v>
      </c>
      <c r="G2130" s="1">
        <v>54.9544560318786</v>
      </c>
      <c r="H2130" s="1">
        <v>16.005262032</v>
      </c>
      <c r="I2130" s="1">
        <v>4.317638664</v>
      </c>
      <c r="J2130" s="1">
        <v>7.6086956522</v>
      </c>
      <c r="K2130" s="1">
        <v>18.568423336</v>
      </c>
      <c r="L2130" s="1">
        <v>36.7</v>
      </c>
      <c r="M2130" s="1">
        <v>8.4</v>
      </c>
      <c r="N2130" s="1">
        <v>29.2</v>
      </c>
      <c r="O2130" s="1">
        <v>58.982975901</v>
      </c>
      <c r="P2130" s="1">
        <v>6.7633665036</v>
      </c>
      <c r="Q2130" s="1">
        <v>22.69735</v>
      </c>
      <c r="R2130" s="1">
        <v>95.402298851</v>
      </c>
      <c r="S2130" s="1">
        <v>10.2</v>
      </c>
      <c r="T2130" s="1">
        <v>5018.0</v>
      </c>
      <c r="U2130" s="1">
        <v>33.718612993</v>
      </c>
      <c r="V2130" s="1">
        <v>93.2075032039999</v>
      </c>
      <c r="W2130" s="1">
        <v>10.552214325</v>
      </c>
      <c r="X2130" s="1">
        <v>9.2257001647</v>
      </c>
      <c r="Y2130" s="1">
        <v>77.677991365</v>
      </c>
      <c r="Z2130" s="1">
        <v>14.4</v>
      </c>
      <c r="AA2130" s="1">
        <v>1.9385548616</v>
      </c>
      <c r="AB2130" s="1">
        <v>55995.0</v>
      </c>
      <c r="AC2130" s="1">
        <v>38.877118644</v>
      </c>
      <c r="AD2130" s="1">
        <v>72.719259586</v>
      </c>
      <c r="AE2130" s="1">
        <v>7.751239297</v>
      </c>
      <c r="AF2130" s="1">
        <v>0.341919307</v>
      </c>
      <c r="AG2130" s="1">
        <v>0.2689765215</v>
      </c>
      <c r="AH2130" s="1">
        <v>0.7841349442</v>
      </c>
      <c r="AI2130" s="1">
        <v>0.0319124687</v>
      </c>
      <c r="AJ2130" s="1">
        <v>2.9860952815</v>
      </c>
      <c r="AK2130" s="1">
        <v>94.875769318</v>
      </c>
      <c r="AL2130" s="1">
        <v>1.4739663093</v>
      </c>
      <c r="AM2130" s="1">
        <v>50.294050604</v>
      </c>
      <c r="AN2130" s="1">
        <v>57.417643157</v>
      </c>
      <c r="AO2130" s="1">
        <v>25064.0</v>
      </c>
      <c r="AP2130" s="1">
        <v>11.1</v>
      </c>
      <c r="AQ2130" s="1">
        <v>5.5</v>
      </c>
      <c r="AR2130" s="1">
        <v>9.7</v>
      </c>
      <c r="AS2130" s="1">
        <v>17.9</v>
      </c>
      <c r="AT2130" s="1">
        <v>23.6</v>
      </c>
      <c r="AU2130" s="1">
        <v>13.2</v>
      </c>
      <c r="AV2130" s="1">
        <v>4.5</v>
      </c>
      <c r="AW2130" s="1">
        <v>1.1</v>
      </c>
      <c r="AX2130" s="1">
        <v>0.2133</v>
      </c>
      <c r="AY2130" s="1">
        <v>7.5</v>
      </c>
      <c r="AZ2130" s="1">
        <v>11.1</v>
      </c>
      <c r="BA2130" s="1">
        <v>14.3</v>
      </c>
      <c r="BB2130" s="1">
        <v>2.9</v>
      </c>
      <c r="BC2130" s="1" t="s">
        <v>3418</v>
      </c>
      <c r="BD2130" s="1">
        <v>8.1</v>
      </c>
      <c r="BE2130" s="1">
        <v>45.7</v>
      </c>
      <c r="BF2130" s="1">
        <v>29.0</v>
      </c>
      <c r="BG2130" s="1">
        <v>17.2</v>
      </c>
      <c r="BH2130" s="1" t="s">
        <v>3540</v>
      </c>
    </row>
    <row r="2131">
      <c r="A2131" s="1">
        <v>40001.0</v>
      </c>
      <c r="B2131" s="2" t="str">
        <f>IFERROR(__xludf.DUMMYFUNCTION("TO_TEXT(A2131)"),"40001")</f>
        <v>40001</v>
      </c>
      <c r="C2131" s="1">
        <v>22161.0</v>
      </c>
      <c r="D2131" s="1">
        <v>573.479255820528</v>
      </c>
      <c r="E2131" s="1" t="s">
        <v>1442</v>
      </c>
      <c r="F2131" s="1" t="s">
        <v>3541</v>
      </c>
      <c r="G2131" s="1">
        <v>38.6430716980202</v>
      </c>
      <c r="H2131" s="1">
        <v>28.544651748</v>
      </c>
      <c r="I2131" s="1">
        <v>5.5285376362</v>
      </c>
      <c r="J2131" s="1">
        <v>7.1428571429</v>
      </c>
      <c r="K2131" s="1">
        <v>27.744408618</v>
      </c>
      <c r="L2131" s="1">
        <v>47.7</v>
      </c>
      <c r="M2131" s="1">
        <v>6.8</v>
      </c>
      <c r="N2131" s="1">
        <v>25.4</v>
      </c>
      <c r="O2131" s="1">
        <v>28.466252259</v>
      </c>
      <c r="P2131" s="1">
        <v>24.5351324669999</v>
      </c>
      <c r="Q2131" s="1">
        <v>36.51467</v>
      </c>
      <c r="R2131" s="1">
        <v>82.81358885</v>
      </c>
      <c r="S2131" s="1">
        <v>34.9</v>
      </c>
      <c r="T2131" s="1">
        <v>5817.0</v>
      </c>
      <c r="U2131" s="1">
        <v>38.335911982</v>
      </c>
      <c r="V2131" s="1">
        <v>453.92335766</v>
      </c>
      <c r="W2131" s="1">
        <v>15.428571429</v>
      </c>
      <c r="X2131" s="1">
        <v>9.692513369</v>
      </c>
      <c r="Y2131" s="1">
        <v>73.204924993</v>
      </c>
      <c r="Z2131" s="1">
        <v>24.3</v>
      </c>
      <c r="AA2131" s="1">
        <v>3.8033213932</v>
      </c>
      <c r="AB2131" s="1">
        <v>35156.0</v>
      </c>
      <c r="AC2131" s="1">
        <v>92.743362832</v>
      </c>
      <c r="AD2131" s="1">
        <v>68.574011883</v>
      </c>
      <c r="AE2131" s="1">
        <v>11.378963983</v>
      </c>
      <c r="AF2131" s="1">
        <v>0.5343718866</v>
      </c>
      <c r="AG2131" s="1">
        <v>45.661624853</v>
      </c>
      <c r="AH2131" s="1">
        <v>0.801557829899999</v>
      </c>
      <c r="AI2131" s="1">
        <v>0.072457205</v>
      </c>
      <c r="AJ2131" s="1">
        <v>6.8155058419</v>
      </c>
      <c r="AK2131" s="1">
        <v>39.575219636</v>
      </c>
      <c r="AL2131" s="1">
        <v>0.8281775223</v>
      </c>
      <c r="AM2131" s="1">
        <v>50.117742958</v>
      </c>
      <c r="AN2131" s="1">
        <v>83.295860336</v>
      </c>
      <c r="AO2131" s="1">
        <v>16018.0</v>
      </c>
      <c r="AP2131" s="1">
        <v>30.1</v>
      </c>
      <c r="AQ2131" s="1">
        <v>6.0</v>
      </c>
      <c r="AR2131" s="1">
        <v>20.5</v>
      </c>
      <c r="AS2131" s="1">
        <v>14.3</v>
      </c>
      <c r="AT2131" s="1">
        <v>26.8</v>
      </c>
      <c r="AU2131" s="1">
        <v>19.3</v>
      </c>
      <c r="AV2131" s="1">
        <v>58.9</v>
      </c>
      <c r="AW2131" s="1">
        <v>1.1</v>
      </c>
      <c r="AX2131" s="1">
        <v>0.8723</v>
      </c>
      <c r="AY2131" s="1">
        <v>23.6</v>
      </c>
      <c r="AZ2131" s="1">
        <v>19.8</v>
      </c>
      <c r="BA2131" s="1">
        <v>29.5</v>
      </c>
      <c r="BB2131" s="1">
        <v>2.96</v>
      </c>
      <c r="BC2131" s="1" t="s">
        <v>3542</v>
      </c>
      <c r="BD2131" s="1">
        <v>19.2</v>
      </c>
      <c r="BE2131" s="1">
        <v>46.6</v>
      </c>
      <c r="BF2131" s="1">
        <v>22.6</v>
      </c>
      <c r="BG2131" s="1">
        <v>11.6</v>
      </c>
      <c r="BH2131" s="1" t="s">
        <v>3541</v>
      </c>
    </row>
    <row r="2132">
      <c r="A2132" s="1">
        <v>40003.0</v>
      </c>
      <c r="B2132" s="2" t="str">
        <f>IFERROR(__xludf.DUMMYFUNCTION("TO_TEXT(A2132)"),"40003")</f>
        <v>40003</v>
      </c>
      <c r="C2132" s="1">
        <v>5784.0</v>
      </c>
      <c r="D2132" s="1">
        <v>866.454275045583</v>
      </c>
      <c r="E2132" s="1" t="s">
        <v>3543</v>
      </c>
      <c r="F2132" s="1" t="s">
        <v>3544</v>
      </c>
      <c r="G2132" s="1">
        <v>6.67548209591984</v>
      </c>
      <c r="H2132" s="1">
        <v>16.744819497</v>
      </c>
      <c r="I2132" s="1">
        <v>3.997353076</v>
      </c>
      <c r="J2132" s="1">
        <v>6.067961165</v>
      </c>
      <c r="K2132" s="1">
        <v>16.869086679</v>
      </c>
      <c r="L2132" s="1">
        <v>34.8</v>
      </c>
      <c r="M2132" s="1">
        <v>6.5</v>
      </c>
      <c r="N2132" s="1">
        <v>28.6</v>
      </c>
      <c r="O2132" s="1">
        <v>39.081885856</v>
      </c>
      <c r="P2132" s="1">
        <v>18.196202532</v>
      </c>
      <c r="Q2132" s="1">
        <v>33.85813</v>
      </c>
      <c r="R2132" s="1">
        <v>89.912280702</v>
      </c>
      <c r="S2132" s="1">
        <v>18.5</v>
      </c>
      <c r="T2132" s="1">
        <v>1171.0</v>
      </c>
      <c r="U2132" s="1">
        <v>32.707087959</v>
      </c>
      <c r="V2132" s="1">
        <v>135.62770196</v>
      </c>
      <c r="W2132" s="1">
        <v>5.41871921179999</v>
      </c>
      <c r="X2132" s="1">
        <v>4.1293532338</v>
      </c>
      <c r="Y2132" s="1">
        <v>79.405877339</v>
      </c>
      <c r="Z2132" s="1">
        <v>8.3</v>
      </c>
      <c r="AA2132" s="1">
        <v>21.074137645</v>
      </c>
      <c r="AB2132" s="1">
        <v>52952.0</v>
      </c>
      <c r="AC2132" s="1">
        <v>51.133786848</v>
      </c>
      <c r="AD2132" s="1">
        <v>77.936670072</v>
      </c>
      <c r="AE2132" s="1">
        <v>4.329004329</v>
      </c>
      <c r="AF2132" s="1">
        <v>4.3274244004</v>
      </c>
      <c r="AG2132" s="1">
        <v>4.310045186</v>
      </c>
      <c r="AH2132" s="1">
        <v>0.3823427181</v>
      </c>
      <c r="AI2132" s="1">
        <v>0.1390337157</v>
      </c>
      <c r="AJ2132" s="1">
        <v>5.5787278415</v>
      </c>
      <c r="AK2132" s="1">
        <v>83.6461591939999</v>
      </c>
      <c r="AL2132" s="1">
        <v>0.8140376266</v>
      </c>
      <c r="AM2132" s="1">
        <v>40.319777546</v>
      </c>
      <c r="AN2132" s="1">
        <v>100.0</v>
      </c>
      <c r="AO2132" s="1">
        <v>27807.0</v>
      </c>
      <c r="AP2132" s="1">
        <v>12.5</v>
      </c>
      <c r="AQ2132" s="1">
        <v>4.2</v>
      </c>
      <c r="AR2132" s="1">
        <v>11.5</v>
      </c>
      <c r="AS2132" s="1">
        <v>18.5</v>
      </c>
      <c r="AT2132" s="1">
        <v>19.5</v>
      </c>
      <c r="AU2132" s="1">
        <v>15.7</v>
      </c>
      <c r="AV2132" s="1">
        <v>25.2</v>
      </c>
      <c r="AW2132" s="1">
        <v>0.4</v>
      </c>
      <c r="AX2132" s="1">
        <v>0.1983</v>
      </c>
      <c r="AY2132" s="1">
        <v>15.8</v>
      </c>
      <c r="AZ2132" s="1">
        <v>11.5</v>
      </c>
      <c r="BA2132" s="1">
        <v>17.3</v>
      </c>
      <c r="BB2132" s="1">
        <v>3.03</v>
      </c>
      <c r="BC2132" s="1" t="s">
        <v>3542</v>
      </c>
      <c r="BD2132" s="1">
        <v>14.8</v>
      </c>
      <c r="BE2132" s="1">
        <v>37.5</v>
      </c>
      <c r="BF2132" s="1">
        <v>25.9</v>
      </c>
      <c r="BG2132" s="1">
        <v>21.8</v>
      </c>
      <c r="BH2132" s="1" t="s">
        <v>3544</v>
      </c>
    </row>
    <row r="2133">
      <c r="A2133" s="1">
        <v>40005.0</v>
      </c>
      <c r="B2133" s="2" t="str">
        <f>IFERROR(__xludf.DUMMYFUNCTION("TO_TEXT(A2133)"),"40005")</f>
        <v>40005</v>
      </c>
      <c r="C2133" s="1">
        <v>13847.0</v>
      </c>
      <c r="D2133" s="1">
        <v>975.51869927274</v>
      </c>
      <c r="E2133" s="1" t="s">
        <v>3545</v>
      </c>
      <c r="F2133" s="1" t="s">
        <v>3546</v>
      </c>
      <c r="G2133" s="1">
        <v>14.1944998187355</v>
      </c>
      <c r="H2133" s="1">
        <v>22.147475196</v>
      </c>
      <c r="I2133" s="1">
        <v>4.8755536604</v>
      </c>
      <c r="J2133" s="1">
        <v>9.009009009</v>
      </c>
      <c r="K2133" s="1">
        <v>20.874302968</v>
      </c>
      <c r="L2133" s="1">
        <v>40.6</v>
      </c>
      <c r="M2133" s="1">
        <v>5.9</v>
      </c>
      <c r="N2133" s="1">
        <v>30.4</v>
      </c>
      <c r="O2133" s="1">
        <v>35.925821464</v>
      </c>
      <c r="P2133" s="1">
        <v>20.742168675</v>
      </c>
      <c r="Q2133" s="1">
        <v>14.40196</v>
      </c>
      <c r="R2133" s="1">
        <v>80.181818182</v>
      </c>
      <c r="S2133" s="1">
        <v>27.8</v>
      </c>
      <c r="T2133" s="1">
        <v>3131.0</v>
      </c>
      <c r="U2133" s="1">
        <v>36.921111466</v>
      </c>
      <c r="V2133" s="1">
        <v>105.43537539</v>
      </c>
      <c r="W2133" s="1">
        <v>12.403846154</v>
      </c>
      <c r="X2133" s="1">
        <v>9.59037080179999</v>
      </c>
      <c r="Y2133" s="1">
        <v>75.25864151</v>
      </c>
      <c r="Z2133" s="1">
        <v>13.6</v>
      </c>
      <c r="AA2133" s="1">
        <v>17.919680615</v>
      </c>
      <c r="AB2133" s="1">
        <v>39702.0</v>
      </c>
      <c r="AC2133" s="1">
        <v>69.03930131</v>
      </c>
      <c r="AD2133" s="1">
        <v>73.745756318</v>
      </c>
      <c r="AE2133" s="1">
        <v>10.163934426</v>
      </c>
      <c r="AF2133" s="1">
        <v>3.8372597196</v>
      </c>
      <c r="AG2133" s="1">
        <v>14.344558462</v>
      </c>
      <c r="AH2133" s="1">
        <v>0.6720624368</v>
      </c>
      <c r="AI2133" s="1">
        <v>0.0361323891</v>
      </c>
      <c r="AJ2133" s="1">
        <v>3.5409741292</v>
      </c>
      <c r="AK2133" s="1">
        <v>70.949559185</v>
      </c>
      <c r="AL2133" s="1">
        <v>0.2679528403</v>
      </c>
      <c r="AM2133" s="1">
        <v>47.9693597339999</v>
      </c>
      <c r="AN2133" s="1">
        <v>100.0</v>
      </c>
      <c r="AO2133" s="1">
        <v>19159.0</v>
      </c>
      <c r="AP2133" s="1">
        <v>22.0</v>
      </c>
      <c r="AQ2133" s="1">
        <v>9.0</v>
      </c>
      <c r="AR2133" s="1">
        <v>18.2</v>
      </c>
      <c r="AS2133" s="1">
        <v>17.3</v>
      </c>
      <c r="AT2133" s="1">
        <v>22.9</v>
      </c>
      <c r="AU2133" s="1">
        <v>23.5</v>
      </c>
      <c r="AV2133" s="1">
        <v>28.0</v>
      </c>
      <c r="AW2133" s="1">
        <v>0.2</v>
      </c>
      <c r="AX2133" s="1">
        <v>0.8421</v>
      </c>
      <c r="AY2133" s="1">
        <v>19.2</v>
      </c>
      <c r="AZ2133" s="1">
        <v>17.3</v>
      </c>
      <c r="BA2133" s="1">
        <v>26.7</v>
      </c>
      <c r="BB2133" s="1">
        <v>3.0</v>
      </c>
      <c r="BC2133" s="1" t="s">
        <v>3542</v>
      </c>
      <c r="BD2133" s="1">
        <v>16.8</v>
      </c>
      <c r="BE2133" s="1">
        <v>40.3</v>
      </c>
      <c r="BF2133" s="1">
        <v>28.0</v>
      </c>
      <c r="BG2133" s="1">
        <v>15.0</v>
      </c>
      <c r="BH2133" s="1" t="s">
        <v>3546</v>
      </c>
    </row>
    <row r="2134">
      <c r="A2134" s="1">
        <v>40007.0</v>
      </c>
      <c r="B2134" s="2" t="str">
        <f>IFERROR(__xludf.DUMMYFUNCTION("TO_TEXT(A2134)"),"40007")</f>
        <v>40007</v>
      </c>
      <c r="C2134" s="1">
        <v>5479.0</v>
      </c>
      <c r="D2134" s="1">
        <v>1814.69590122728</v>
      </c>
      <c r="E2134" s="1" t="s">
        <v>3547</v>
      </c>
      <c r="F2134" s="1" t="s">
        <v>3548</v>
      </c>
      <c r="G2134" s="1">
        <v>3.01923864835675</v>
      </c>
      <c r="H2134" s="1">
        <v>19.560277549</v>
      </c>
      <c r="I2134" s="1">
        <v>4.2664989505</v>
      </c>
      <c r="J2134" s="1">
        <v>7.99031477</v>
      </c>
      <c r="K2134" s="1">
        <v>15.451707136</v>
      </c>
      <c r="L2134" s="1">
        <v>36.1</v>
      </c>
      <c r="M2134" s="1">
        <v>7.7</v>
      </c>
      <c r="N2134" s="1">
        <v>27.9</v>
      </c>
      <c r="O2134" s="1">
        <v>1.9872249823</v>
      </c>
      <c r="P2134" s="1">
        <v>20.415388246</v>
      </c>
      <c r="Q2134" s="1">
        <v>18.81468</v>
      </c>
      <c r="R2134" s="1">
        <v>89.912280702</v>
      </c>
      <c r="S2134" s="1">
        <v>17.0</v>
      </c>
      <c r="T2134" s="1">
        <v>1355.0</v>
      </c>
      <c r="U2134" s="1">
        <v>26.125461255</v>
      </c>
      <c r="V2134" s="1">
        <v>54.995417049</v>
      </c>
      <c r="W2134" s="1">
        <v>8.3932853717</v>
      </c>
      <c r="X2134" s="1">
        <v>7.26829268289999</v>
      </c>
      <c r="Y2134" s="1">
        <v>78.251289984</v>
      </c>
      <c r="Z2134" s="1">
        <v>10.9</v>
      </c>
      <c r="AA2134" s="1">
        <v>14.0553275229999</v>
      </c>
      <c r="AB2134" s="1">
        <v>52550.0</v>
      </c>
      <c r="AC2134" s="1">
        <v>57.7310155539999</v>
      </c>
      <c r="AD2134" s="1">
        <v>77.602368032</v>
      </c>
      <c r="AE2134" s="1">
        <v>9.5471903983</v>
      </c>
      <c r="AF2134" s="1">
        <v>0.6956194773</v>
      </c>
      <c r="AG2134" s="1">
        <v>2.2560631698</v>
      </c>
      <c r="AH2134" s="1">
        <v>0.451212634</v>
      </c>
      <c r="AI2134" s="1">
        <v>0.0376010528</v>
      </c>
      <c r="AJ2134" s="1">
        <v>24.609889077</v>
      </c>
      <c r="AK2134" s="1">
        <v>71.291596165</v>
      </c>
      <c r="AL2134" s="1">
        <v>4.712553774</v>
      </c>
      <c r="AM2134" s="1">
        <v>49.464184997</v>
      </c>
      <c r="AN2134" s="1">
        <v>100.0</v>
      </c>
      <c r="AO2134" s="1">
        <v>26738.0</v>
      </c>
      <c r="AP2134" s="1">
        <v>10.1</v>
      </c>
      <c r="AQ2134" s="1">
        <v>3.0</v>
      </c>
      <c r="AR2134" s="1">
        <v>15.8</v>
      </c>
      <c r="AS2134" s="1">
        <v>17.3</v>
      </c>
      <c r="AT2134" s="1">
        <v>25.5</v>
      </c>
      <c r="AU2134" s="1">
        <v>9.1</v>
      </c>
      <c r="AV2134" s="1">
        <v>23.3</v>
      </c>
      <c r="AW2134" s="1">
        <v>4.6</v>
      </c>
      <c r="AX2134" s="1">
        <v>0.2378</v>
      </c>
      <c r="AY2134" s="1">
        <v>10.6</v>
      </c>
      <c r="AZ2134" s="1">
        <v>10.1</v>
      </c>
      <c r="BA2134" s="1">
        <v>14.9</v>
      </c>
      <c r="BB2134" s="1">
        <v>2.96</v>
      </c>
      <c r="BC2134" s="1" t="s">
        <v>3542</v>
      </c>
      <c r="BD2134" s="1">
        <v>16.2</v>
      </c>
      <c r="BE2134" s="1">
        <v>34.9</v>
      </c>
      <c r="BF2134" s="1">
        <v>29.0</v>
      </c>
      <c r="BG2134" s="1">
        <v>19.9</v>
      </c>
      <c r="BH2134" s="1" t="s">
        <v>3548</v>
      </c>
    </row>
    <row r="2135">
      <c r="A2135" s="1">
        <v>40009.0</v>
      </c>
      <c r="B2135" s="2" t="str">
        <f>IFERROR(__xludf.DUMMYFUNCTION("TO_TEXT(A2135)"),"40009")</f>
        <v>40009</v>
      </c>
      <c r="C2135" s="1">
        <v>23290.0</v>
      </c>
      <c r="D2135" s="1">
        <v>901.80503014703</v>
      </c>
      <c r="E2135" s="1" t="s">
        <v>3549</v>
      </c>
      <c r="F2135" s="1" t="s">
        <v>3550</v>
      </c>
      <c r="G2135" s="1">
        <v>25.8259814720736</v>
      </c>
      <c r="H2135" s="1">
        <v>18.5366677259999</v>
      </c>
      <c r="I2135" s="1">
        <v>4.276039389</v>
      </c>
      <c r="J2135" s="1">
        <v>8.8421052632</v>
      </c>
      <c r="K2135" s="1">
        <v>17.9589021679999</v>
      </c>
      <c r="L2135" s="1">
        <v>34.8</v>
      </c>
      <c r="M2135" s="1">
        <v>7.8</v>
      </c>
      <c r="N2135" s="1">
        <v>29.0</v>
      </c>
      <c r="O2135" s="1">
        <v>65.075274651</v>
      </c>
      <c r="P2135" s="1">
        <v>17.604345003</v>
      </c>
      <c r="Q2135" s="1">
        <v>73.41807</v>
      </c>
      <c r="R2135" s="1">
        <v>86.378676471</v>
      </c>
      <c r="S2135" s="1">
        <v>21.3</v>
      </c>
      <c r="T2135" s="1">
        <v>5634.0</v>
      </c>
      <c r="U2135" s="1">
        <v>22.790202343</v>
      </c>
      <c r="V2135" s="1">
        <v>176.76295049</v>
      </c>
      <c r="W2135" s="1">
        <v>7.7896138482</v>
      </c>
      <c r="X2135" s="1">
        <v>5.8737151248</v>
      </c>
      <c r="Y2135" s="1">
        <v>73.774204731</v>
      </c>
      <c r="Z2135" s="1">
        <v>15.4</v>
      </c>
      <c r="AA2135" s="1">
        <v>4.0873034361</v>
      </c>
      <c r="AB2135" s="1">
        <v>47825.0</v>
      </c>
      <c r="AC2135" s="1">
        <v>59.672619048</v>
      </c>
      <c r="AD2135" s="1">
        <v>64.982808781</v>
      </c>
      <c r="AE2135" s="1">
        <v>8.3579985906</v>
      </c>
      <c r="AF2135" s="1">
        <v>3.869362937</v>
      </c>
      <c r="AG2135" s="1">
        <v>3.643650099</v>
      </c>
      <c r="AH2135" s="1">
        <v>1.0825003455</v>
      </c>
      <c r="AI2135" s="1">
        <v>0.0138191533</v>
      </c>
      <c r="AJ2135" s="1">
        <v>14.8648026159999</v>
      </c>
      <c r="AK2135" s="1">
        <v>75.171587821</v>
      </c>
      <c r="AL2135" s="1">
        <v>1.0207504672</v>
      </c>
      <c r="AM2135" s="1">
        <v>46.321802018</v>
      </c>
      <c r="AN2135" s="1">
        <v>32.6551833269999</v>
      </c>
      <c r="AO2135" s="1">
        <v>25269.0</v>
      </c>
      <c r="AP2135" s="1">
        <v>14.0</v>
      </c>
      <c r="AQ2135" s="1">
        <v>3.3</v>
      </c>
      <c r="AR2135" s="1">
        <v>15.5</v>
      </c>
      <c r="AS2135" s="1">
        <v>12.9</v>
      </c>
      <c r="AT2135" s="1">
        <v>25.3</v>
      </c>
      <c r="AU2135" s="1">
        <v>14.8</v>
      </c>
      <c r="AV2135" s="1">
        <v>23.5</v>
      </c>
      <c r="AW2135" s="1">
        <v>1.5</v>
      </c>
      <c r="AX2135" s="1">
        <v>0.5549</v>
      </c>
      <c r="AY2135" s="1">
        <v>20.8</v>
      </c>
      <c r="AZ2135" s="1">
        <v>13.3</v>
      </c>
      <c r="BA2135" s="1">
        <v>17.5</v>
      </c>
      <c r="BB2135" s="1">
        <v>3.18</v>
      </c>
      <c r="BC2135" s="1" t="s">
        <v>3542</v>
      </c>
      <c r="BD2135" s="1">
        <v>14.5</v>
      </c>
      <c r="BE2135" s="1">
        <v>36.2</v>
      </c>
      <c r="BF2135" s="1">
        <v>32.5</v>
      </c>
      <c r="BG2135" s="1">
        <v>16.8</v>
      </c>
      <c r="BH2135" s="1" t="s">
        <v>3550</v>
      </c>
    </row>
    <row r="2136">
      <c r="A2136" s="1">
        <v>40011.0</v>
      </c>
      <c r="B2136" s="2" t="str">
        <f>IFERROR(__xludf.DUMMYFUNCTION("TO_TEXT(A2136)"),"40011")</f>
        <v>40011</v>
      </c>
      <c r="C2136" s="1">
        <v>9777.0</v>
      </c>
      <c r="D2136" s="1">
        <v>928.42311631364</v>
      </c>
      <c r="E2136" s="1" t="s">
        <v>1085</v>
      </c>
      <c r="F2136" s="1" t="s">
        <v>3551</v>
      </c>
      <c r="G2136" s="1">
        <v>10.5307589052933</v>
      </c>
      <c r="H2136" s="1">
        <v>20.018292637</v>
      </c>
      <c r="I2136" s="1">
        <v>4.521708761</v>
      </c>
      <c r="J2136" s="1">
        <v>7.4757281553</v>
      </c>
      <c r="K2136" s="1">
        <v>18.273601379</v>
      </c>
      <c r="L2136" s="1">
        <v>34.1</v>
      </c>
      <c r="M2136" s="1">
        <v>6.7</v>
      </c>
      <c r="N2136" s="1">
        <v>31.8</v>
      </c>
      <c r="O2136" s="1">
        <v>58.067487231</v>
      </c>
      <c r="P2136" s="1">
        <v>17.278589288</v>
      </c>
      <c r="Q2136" s="1">
        <v>31.5856</v>
      </c>
      <c r="R2136" s="1">
        <v>89.912280702</v>
      </c>
      <c r="S2136" s="1">
        <v>23.4</v>
      </c>
      <c r="T2136" s="1">
        <v>2010.0</v>
      </c>
      <c r="U2136" s="1">
        <v>35.373134328</v>
      </c>
      <c r="V2136" s="1">
        <v>132.66118334</v>
      </c>
      <c r="W2136" s="1">
        <v>8.0862533693</v>
      </c>
      <c r="X2136" s="1">
        <v>5.7260273973</v>
      </c>
      <c r="Y2136" s="1">
        <v>73.208046731</v>
      </c>
      <c r="Z2136" s="1">
        <v>14.1</v>
      </c>
      <c r="AA2136" s="1">
        <v>17.657315415</v>
      </c>
      <c r="AB2136" s="1">
        <v>49513.0</v>
      </c>
      <c r="AC2136" s="1">
        <v>70.91237579</v>
      </c>
      <c r="AD2136" s="1">
        <v>76.765609007</v>
      </c>
      <c r="AE2136" s="1">
        <v>8.5848795348</v>
      </c>
      <c r="AF2136" s="1">
        <v>3.0152872957</v>
      </c>
      <c r="AG2136" s="1">
        <v>10.226673695</v>
      </c>
      <c r="AH2136" s="1">
        <v>0.3584607275</v>
      </c>
      <c r="AI2136" s="1">
        <v>0.0632577754</v>
      </c>
      <c r="AJ2136" s="1">
        <v>11.396942541</v>
      </c>
      <c r="AK2136" s="1">
        <v>71.955719557</v>
      </c>
      <c r="AL2136" s="1">
        <v>4.07444114079999</v>
      </c>
      <c r="AM2136" s="1">
        <v>50.764364787</v>
      </c>
      <c r="AN2136" s="1">
        <v>57.431131207</v>
      </c>
      <c r="AO2136" s="1">
        <v>20848.0</v>
      </c>
      <c r="AP2136" s="1">
        <v>14.1</v>
      </c>
      <c r="AQ2136" s="1">
        <v>2.7</v>
      </c>
      <c r="AR2136" s="1">
        <v>15.0</v>
      </c>
      <c r="AS2136" s="1">
        <v>18.1</v>
      </c>
      <c r="AT2136" s="1">
        <v>22.3</v>
      </c>
      <c r="AU2136" s="1">
        <v>21.2</v>
      </c>
      <c r="AV2136" s="1">
        <v>25.7</v>
      </c>
      <c r="AW2136" s="1">
        <v>2.6</v>
      </c>
      <c r="AX2136" s="1">
        <v>0.6339</v>
      </c>
      <c r="AY2136" s="1">
        <v>14.9</v>
      </c>
      <c r="AZ2136" s="1">
        <v>13.0</v>
      </c>
      <c r="BA2136" s="1">
        <v>20.3</v>
      </c>
      <c r="BB2136" s="1">
        <v>3.13</v>
      </c>
      <c r="BC2136" s="1" t="s">
        <v>3542</v>
      </c>
      <c r="BD2136" s="1">
        <v>17.3</v>
      </c>
      <c r="BE2136" s="1">
        <v>35.9</v>
      </c>
      <c r="BF2136" s="1">
        <v>30.2</v>
      </c>
      <c r="BG2136" s="1">
        <v>16.5</v>
      </c>
      <c r="BH2136" s="1" t="s">
        <v>3551</v>
      </c>
    </row>
    <row r="2137">
      <c r="A2137" s="1">
        <v>40013.0</v>
      </c>
      <c r="B2137" s="2" t="str">
        <f>IFERROR(__xludf.DUMMYFUNCTION("TO_TEXT(A2137)"),"40013")</f>
        <v>40013</v>
      </c>
      <c r="C2137" s="1">
        <v>44529.0</v>
      </c>
      <c r="D2137" s="1">
        <v>904.454785238403</v>
      </c>
      <c r="E2137" s="1" t="s">
        <v>822</v>
      </c>
      <c r="F2137" s="1" t="s">
        <v>3552</v>
      </c>
      <c r="G2137" s="1">
        <v>49.232975187657</v>
      </c>
      <c r="H2137" s="1">
        <v>19.567772057</v>
      </c>
      <c r="I2137" s="1">
        <v>4.7924245557</v>
      </c>
      <c r="J2137" s="1">
        <v>7.76652194889999</v>
      </c>
      <c r="K2137" s="1">
        <v>20.252155188</v>
      </c>
      <c r="L2137" s="1">
        <v>33.2</v>
      </c>
      <c r="M2137" s="1">
        <v>7.0</v>
      </c>
      <c r="N2137" s="1">
        <v>32.0</v>
      </c>
      <c r="O2137" s="1">
        <v>44.1390041489999</v>
      </c>
      <c r="P2137" s="1">
        <v>19.633571332</v>
      </c>
      <c r="Q2137" s="1">
        <v>41.01988</v>
      </c>
      <c r="R2137" s="1">
        <v>84.207489879</v>
      </c>
      <c r="S2137" s="1">
        <v>22.0</v>
      </c>
      <c r="T2137" s="1">
        <v>10631.0</v>
      </c>
      <c r="U2137" s="1">
        <v>32.198288026</v>
      </c>
      <c r="V2137" s="1">
        <v>205.83957937</v>
      </c>
      <c r="W2137" s="1">
        <v>15.389239555</v>
      </c>
      <c r="X2137" s="1">
        <v>11.570247934</v>
      </c>
      <c r="Y2137" s="1">
        <v>75.482947298</v>
      </c>
      <c r="Z2137" s="1">
        <v>12.6</v>
      </c>
      <c r="AA2137" s="1">
        <v>8.0169214501</v>
      </c>
      <c r="AB2137" s="1">
        <v>43445.0</v>
      </c>
      <c r="AC2137" s="1">
        <v>69.991229169</v>
      </c>
      <c r="AD2137" s="1">
        <v>61.89893338</v>
      </c>
      <c r="AE2137" s="1">
        <v>11.810291383</v>
      </c>
      <c r="AF2137" s="1">
        <v>1.7820817088</v>
      </c>
      <c r="AG2137" s="1">
        <v>14.652907272</v>
      </c>
      <c r="AH2137" s="1">
        <v>0.5445838278</v>
      </c>
      <c r="AI2137" s="1">
        <v>0.0487370741</v>
      </c>
      <c r="AJ2137" s="1">
        <v>6.0730632311</v>
      </c>
      <c r="AK2137" s="1">
        <v>70.706899474</v>
      </c>
      <c r="AL2137" s="1">
        <v>0.811316343199999</v>
      </c>
      <c r="AM2137" s="1">
        <v>51.116714697</v>
      </c>
      <c r="AN2137" s="1">
        <v>61.330629951</v>
      </c>
      <c r="AO2137" s="1">
        <v>21273.0</v>
      </c>
      <c r="AP2137" s="1">
        <v>17.5</v>
      </c>
      <c r="AQ2137" s="1">
        <v>7.2</v>
      </c>
      <c r="AR2137" s="1">
        <v>13.9</v>
      </c>
      <c r="AS2137" s="1">
        <v>16.9</v>
      </c>
      <c r="AT2137" s="1">
        <v>23.4</v>
      </c>
      <c r="AU2137" s="1">
        <v>20.7</v>
      </c>
      <c r="AV2137" s="1">
        <v>27.7</v>
      </c>
      <c r="AW2137" s="1">
        <v>0.9</v>
      </c>
      <c r="AX2137" s="1">
        <v>0.8096</v>
      </c>
      <c r="AY2137" s="1">
        <v>17.3</v>
      </c>
      <c r="AZ2137" s="1">
        <v>16.0</v>
      </c>
      <c r="BA2137" s="1">
        <v>23.0</v>
      </c>
      <c r="BB2137" s="1">
        <v>3.19</v>
      </c>
      <c r="BC2137" s="1" t="s">
        <v>3542</v>
      </c>
      <c r="BD2137" s="1">
        <v>13.6</v>
      </c>
      <c r="BE2137" s="1">
        <v>32.8</v>
      </c>
      <c r="BF2137" s="1">
        <v>31.8</v>
      </c>
      <c r="BG2137" s="1">
        <v>21.9</v>
      </c>
      <c r="BH2137" s="1" t="s">
        <v>3552</v>
      </c>
    </row>
    <row r="2138">
      <c r="A2138" s="1">
        <v>40015.0</v>
      </c>
      <c r="B2138" s="2" t="str">
        <f>IFERROR(__xludf.DUMMYFUNCTION("TO_TEXT(A2138)"),"40015")</f>
        <v>40015</v>
      </c>
      <c r="C2138" s="1">
        <v>29510.0</v>
      </c>
      <c r="D2138" s="1">
        <v>1278.28531386664</v>
      </c>
      <c r="E2138" s="1" t="s">
        <v>1952</v>
      </c>
      <c r="F2138" s="1" t="s">
        <v>3553</v>
      </c>
      <c r="G2138" s="1">
        <v>23.0856129534461</v>
      </c>
      <c r="H2138" s="1">
        <v>22.367835862</v>
      </c>
      <c r="I2138" s="1">
        <v>4.8879423675</v>
      </c>
      <c r="J2138" s="1">
        <v>8.1457663451</v>
      </c>
      <c r="K2138" s="1">
        <v>20.359450479</v>
      </c>
      <c r="L2138" s="1">
        <v>43.7</v>
      </c>
      <c r="M2138" s="1">
        <v>6.5</v>
      </c>
      <c r="N2138" s="1">
        <v>33.7</v>
      </c>
      <c r="O2138" s="1">
        <v>53.47972973</v>
      </c>
      <c r="P2138" s="1">
        <v>20.343071563</v>
      </c>
      <c r="Q2138" s="1">
        <v>17.13914</v>
      </c>
      <c r="R2138" s="1">
        <v>85.102539063</v>
      </c>
      <c r="S2138" s="1">
        <v>25.9</v>
      </c>
      <c r="T2138" s="1">
        <v>7355.0</v>
      </c>
      <c r="U2138" s="1">
        <v>40.135961931</v>
      </c>
      <c r="V2138" s="1">
        <v>258.79388429</v>
      </c>
      <c r="W2138" s="1">
        <v>11.234329797</v>
      </c>
      <c r="X2138" s="1">
        <v>7.8862187347</v>
      </c>
      <c r="Y2138" s="1">
        <v>72.804316798</v>
      </c>
      <c r="Z2138" s="1">
        <v>11.2</v>
      </c>
      <c r="AA2138" s="1">
        <v>14.6530052179999</v>
      </c>
      <c r="AB2138" s="1">
        <v>48533.0</v>
      </c>
      <c r="AC2138" s="1">
        <v>77.400914634</v>
      </c>
      <c r="AD2138" s="1">
        <v>71.712913031</v>
      </c>
      <c r="AE2138" s="1">
        <v>7.6669502339</v>
      </c>
      <c r="AF2138" s="1">
        <v>2.7090451047</v>
      </c>
      <c r="AG2138" s="1">
        <v>25.485730062</v>
      </c>
      <c r="AH2138" s="1">
        <v>0.4762397764</v>
      </c>
      <c r="AI2138" s="1">
        <v>0.0931773476</v>
      </c>
      <c r="AJ2138" s="1">
        <v>12.937847258</v>
      </c>
      <c r="AK2138" s="1">
        <v>57.072850882</v>
      </c>
      <c r="AL2138" s="1">
        <v>3.5517923906</v>
      </c>
      <c r="AM2138" s="1">
        <v>47.53080029</v>
      </c>
      <c r="AN2138" s="1">
        <v>79.969594595</v>
      </c>
      <c r="AO2138" s="1">
        <v>20499.0</v>
      </c>
      <c r="AP2138" s="1">
        <v>20.8</v>
      </c>
      <c r="AQ2138" s="1">
        <v>8.3</v>
      </c>
      <c r="AR2138" s="1">
        <v>14.2</v>
      </c>
      <c r="AS2138" s="1">
        <v>15.4</v>
      </c>
      <c r="AT2138" s="1">
        <v>25.4</v>
      </c>
      <c r="AU2138" s="1">
        <v>20.1</v>
      </c>
      <c r="AV2138" s="1">
        <v>42.3</v>
      </c>
      <c r="AW2138" s="1">
        <v>1.8</v>
      </c>
      <c r="AX2138" s="1">
        <v>0.8854</v>
      </c>
      <c r="AY2138" s="1">
        <v>20.6</v>
      </c>
      <c r="AZ2138" s="1">
        <v>16.4</v>
      </c>
      <c r="BA2138" s="1">
        <v>24.0</v>
      </c>
      <c r="BB2138" s="1">
        <v>2.98</v>
      </c>
      <c r="BC2138" s="1" t="s">
        <v>3542</v>
      </c>
      <c r="BD2138" s="1">
        <v>14.5</v>
      </c>
      <c r="BE2138" s="1">
        <v>41.4</v>
      </c>
      <c r="BF2138" s="1">
        <v>28.7</v>
      </c>
      <c r="BG2138" s="1">
        <v>15.4</v>
      </c>
      <c r="BH2138" s="1" t="s">
        <v>3553</v>
      </c>
    </row>
    <row r="2139">
      <c r="A2139" s="1">
        <v>40017.0</v>
      </c>
      <c r="B2139" s="2" t="str">
        <f>IFERROR(__xludf.DUMMYFUNCTION("TO_TEXT(A2139)"),"40017")</f>
        <v>40017</v>
      </c>
      <c r="C2139" s="1">
        <v>129571.0</v>
      </c>
      <c r="D2139" s="1">
        <v>896.63057029394</v>
      </c>
      <c r="E2139" s="1" t="s">
        <v>3554</v>
      </c>
      <c r="F2139" s="1" t="s">
        <v>3555</v>
      </c>
      <c r="G2139" s="1">
        <v>144.508791349288</v>
      </c>
      <c r="H2139" s="1">
        <v>14.528427312</v>
      </c>
      <c r="I2139" s="1">
        <v>3.9878829489</v>
      </c>
      <c r="J2139" s="1">
        <v>6.9597969377</v>
      </c>
      <c r="K2139" s="1">
        <v>14.520999536</v>
      </c>
      <c r="L2139" s="1">
        <v>34.9</v>
      </c>
      <c r="M2139" s="1">
        <v>8.1</v>
      </c>
      <c r="N2139" s="1">
        <v>27.3</v>
      </c>
      <c r="O2139" s="1">
        <v>84.3137933719999</v>
      </c>
      <c r="P2139" s="1">
        <v>12.775407341</v>
      </c>
      <c r="Q2139" s="1">
        <v>39.30649</v>
      </c>
      <c r="R2139" s="1">
        <v>93.008958567</v>
      </c>
      <c r="S2139" s="1">
        <v>8.8</v>
      </c>
      <c r="T2139" s="1">
        <v>35742.0</v>
      </c>
      <c r="U2139" s="1">
        <v>23.938223938</v>
      </c>
      <c r="V2139" s="1">
        <v>432.08596475</v>
      </c>
      <c r="W2139" s="1">
        <v>10.7989362929999</v>
      </c>
      <c r="X2139" s="1">
        <v>7.753201397</v>
      </c>
      <c r="Y2139" s="1">
        <v>78.621820184</v>
      </c>
      <c r="Z2139" s="1">
        <v>11.8</v>
      </c>
      <c r="AA2139" s="1">
        <v>5.5088375975</v>
      </c>
      <c r="AB2139" s="1">
        <v>70942.0</v>
      </c>
      <c r="AC2139" s="1">
        <v>39.405989373</v>
      </c>
      <c r="AD2139" s="1">
        <v>75.78025228</v>
      </c>
      <c r="AE2139" s="1">
        <v>7.9604279305</v>
      </c>
      <c r="AF2139" s="1">
        <v>3.1312522932</v>
      </c>
      <c r="AG2139" s="1">
        <v>5.1472166262</v>
      </c>
      <c r="AH2139" s="1">
        <v>3.2074047921</v>
      </c>
      <c r="AI2139" s="1">
        <v>0.110767271</v>
      </c>
      <c r="AJ2139" s="1">
        <v>9.3362963578</v>
      </c>
      <c r="AK2139" s="1">
        <v>75.697660734</v>
      </c>
      <c r="AL2139" s="1">
        <v>1.3535488432</v>
      </c>
      <c r="AM2139" s="1">
        <v>50.35410912</v>
      </c>
      <c r="AN2139" s="1">
        <v>22.508027453</v>
      </c>
      <c r="AO2139" s="1">
        <v>28724.0</v>
      </c>
      <c r="AP2139" s="1">
        <v>8.0</v>
      </c>
      <c r="AQ2139" s="1">
        <v>4.3</v>
      </c>
      <c r="AR2139" s="1">
        <v>8.2</v>
      </c>
      <c r="AS2139" s="1">
        <v>12.0</v>
      </c>
      <c r="AT2139" s="1">
        <v>26.5</v>
      </c>
      <c r="AU2139" s="1">
        <v>13.3</v>
      </c>
      <c r="AV2139" s="1">
        <v>22.3</v>
      </c>
      <c r="AW2139" s="1">
        <v>1.5</v>
      </c>
      <c r="AX2139" s="1">
        <v>0.2216</v>
      </c>
      <c r="AY2139" s="1">
        <v>8.1</v>
      </c>
      <c r="AZ2139" s="1">
        <v>10.6</v>
      </c>
      <c r="BA2139" s="1">
        <v>15.8</v>
      </c>
      <c r="BB2139" s="1">
        <v>3.18</v>
      </c>
      <c r="BC2139" s="1" t="s">
        <v>3542</v>
      </c>
      <c r="BD2139" s="1">
        <v>8.6</v>
      </c>
      <c r="BE2139" s="1">
        <v>29.8</v>
      </c>
      <c r="BF2139" s="1">
        <v>34.2</v>
      </c>
      <c r="BG2139" s="1">
        <v>27.4</v>
      </c>
      <c r="BH2139" s="1" t="s">
        <v>3555</v>
      </c>
    </row>
    <row r="2140">
      <c r="A2140" s="1">
        <v>40019.0</v>
      </c>
      <c r="B2140" s="2" t="str">
        <f>IFERROR(__xludf.DUMMYFUNCTION("TO_TEXT(A2140)"),"40019")</f>
        <v>40019</v>
      </c>
      <c r="C2140" s="1">
        <v>48530.0</v>
      </c>
      <c r="D2140" s="1">
        <v>822.176354829516</v>
      </c>
      <c r="E2140" s="1" t="s">
        <v>1796</v>
      </c>
      <c r="F2140" s="1" t="s">
        <v>3556</v>
      </c>
      <c r="G2140" s="1">
        <v>59.0262657335397</v>
      </c>
      <c r="H2140" s="1">
        <v>22.468645634</v>
      </c>
      <c r="I2140" s="1">
        <v>4.5261033084</v>
      </c>
      <c r="J2140" s="1">
        <v>9.0153452685</v>
      </c>
      <c r="K2140" s="1">
        <v>19.705636305</v>
      </c>
      <c r="L2140" s="1">
        <v>38.6</v>
      </c>
      <c r="M2140" s="1">
        <v>7.4</v>
      </c>
      <c r="N2140" s="1">
        <v>37.1</v>
      </c>
      <c r="O2140" s="1">
        <v>45.3981537939999</v>
      </c>
      <c r="P2140" s="1">
        <v>17.773810721</v>
      </c>
      <c r="Q2140" s="1">
        <v>53.9531</v>
      </c>
      <c r="R2140" s="1">
        <v>85.483231707</v>
      </c>
      <c r="S2140" s="1">
        <v>24.0</v>
      </c>
      <c r="T2140" s="1">
        <v>12122.0</v>
      </c>
      <c r="U2140" s="1">
        <v>34.614750041</v>
      </c>
      <c r="V2140" s="1">
        <v>669.49387495</v>
      </c>
      <c r="W2140" s="1">
        <v>14.222468179</v>
      </c>
      <c r="X2140" s="1">
        <v>9.8540145985</v>
      </c>
      <c r="Y2140" s="1">
        <v>74.564171443</v>
      </c>
      <c r="Z2140" s="1">
        <v>10.6</v>
      </c>
      <c r="AA2140" s="1">
        <v>3.4990523374</v>
      </c>
      <c r="AB2140" s="1">
        <v>48660.0</v>
      </c>
      <c r="AC2140" s="1">
        <v>67.541020203</v>
      </c>
      <c r="AD2140" s="1">
        <v>68.586387435</v>
      </c>
      <c r="AE2140" s="1">
        <v>11.133302899</v>
      </c>
      <c r="AF2140" s="1">
        <v>6.5716005563</v>
      </c>
      <c r="AG2140" s="1">
        <v>9.9881686282</v>
      </c>
      <c r="AH2140" s="1">
        <v>1.3512672022</v>
      </c>
      <c r="AI2140" s="1">
        <v>0.0643460572</v>
      </c>
      <c r="AJ2140" s="1">
        <v>7.58453203809999</v>
      </c>
      <c r="AK2140" s="1">
        <v>69.4563795999999</v>
      </c>
      <c r="AL2140" s="1">
        <v>0.9804139032</v>
      </c>
      <c r="AM2140" s="1">
        <v>51.323245532</v>
      </c>
      <c r="AN2140" s="1">
        <v>56.0779695939999</v>
      </c>
      <c r="AO2140" s="1">
        <v>24272.0</v>
      </c>
      <c r="AP2140" s="1">
        <v>15.5</v>
      </c>
      <c r="AQ2140" s="1">
        <v>6.1</v>
      </c>
      <c r="AR2140" s="1">
        <v>13.5</v>
      </c>
      <c r="AS2140" s="1">
        <v>15.7</v>
      </c>
      <c r="AT2140" s="1">
        <v>25.4</v>
      </c>
      <c r="AU2140" s="1">
        <v>18.5</v>
      </c>
      <c r="AV2140" s="1">
        <v>28.8</v>
      </c>
      <c r="AW2140" s="1">
        <v>0.7</v>
      </c>
      <c r="AX2140" s="1">
        <v>0.6702</v>
      </c>
      <c r="AY2140" s="1">
        <v>14.3</v>
      </c>
      <c r="AZ2140" s="1">
        <v>15.4</v>
      </c>
      <c r="BA2140" s="1">
        <v>22.3</v>
      </c>
      <c r="BB2140" s="1">
        <v>2.94</v>
      </c>
      <c r="BC2140" s="1" t="s">
        <v>3542</v>
      </c>
      <c r="BD2140" s="1">
        <v>12.0</v>
      </c>
      <c r="BE2140" s="1">
        <v>36.7</v>
      </c>
      <c r="BF2140" s="1">
        <v>30.8</v>
      </c>
      <c r="BG2140" s="1">
        <v>20.5</v>
      </c>
      <c r="BH2140" s="1" t="s">
        <v>3556</v>
      </c>
    </row>
    <row r="2141">
      <c r="A2141" s="1">
        <v>40021.0</v>
      </c>
      <c r="B2141" s="2" t="str">
        <f>IFERROR(__xludf.DUMMYFUNCTION("TO_TEXT(A2141)"),"40021")</f>
        <v>40021</v>
      </c>
      <c r="C2141" s="1">
        <v>48267.0</v>
      </c>
      <c r="D2141" s="1">
        <v>749.407863785908</v>
      </c>
      <c r="E2141" s="1" t="s">
        <v>78</v>
      </c>
      <c r="F2141" s="1" t="s">
        <v>3557</v>
      </c>
      <c r="G2141" s="1">
        <v>64.4068501712293</v>
      </c>
      <c r="H2141" s="1">
        <v>25.34320743</v>
      </c>
      <c r="I2141" s="1">
        <v>5.3392874705</v>
      </c>
      <c r="J2141" s="1">
        <v>7.8889700511</v>
      </c>
      <c r="K2141" s="1">
        <v>22.3983356119999</v>
      </c>
      <c r="L2141" s="1">
        <v>38.8</v>
      </c>
      <c r="M2141" s="1">
        <v>6.5</v>
      </c>
      <c r="N2141" s="1">
        <v>37.6</v>
      </c>
      <c r="O2141" s="1">
        <v>70.300295827</v>
      </c>
      <c r="P2141" s="1">
        <v>24.405745519</v>
      </c>
      <c r="Q2141" s="1">
        <v>53.18279</v>
      </c>
      <c r="R2141" s="1">
        <v>86.347140039</v>
      </c>
      <c r="S2141" s="1">
        <v>26.6</v>
      </c>
      <c r="T2141" s="1">
        <v>10882.0</v>
      </c>
      <c r="U2141" s="1">
        <v>35.0487042819999</v>
      </c>
      <c r="V2141" s="1">
        <v>233.56758991</v>
      </c>
      <c r="W2141" s="1">
        <v>15.563014953</v>
      </c>
      <c r="X2141" s="1">
        <v>11.6875</v>
      </c>
      <c r="Y2141" s="1">
        <v>75.345013424</v>
      </c>
      <c r="Z2141" s="1">
        <v>19.3</v>
      </c>
      <c r="AA2141" s="1">
        <v>11.261248892</v>
      </c>
      <c r="AB2141" s="1">
        <v>42913.0</v>
      </c>
      <c r="AC2141" s="1">
        <v>77.393371187</v>
      </c>
      <c r="AD2141" s="1">
        <v>67.462288726</v>
      </c>
      <c r="AE2141" s="1">
        <v>11.4724711909999</v>
      </c>
      <c r="AF2141" s="1">
        <v>1.2942989214</v>
      </c>
      <c r="AG2141" s="1">
        <v>36.320493066</v>
      </c>
      <c r="AH2141" s="1">
        <v>0.848484848499999</v>
      </c>
      <c r="AI2141" s="1">
        <v>0.0595788392</v>
      </c>
      <c r="AJ2141" s="1">
        <v>7.2727272727</v>
      </c>
      <c r="AK2141" s="1">
        <v>47.334360555</v>
      </c>
      <c r="AL2141" s="1">
        <v>0.9733000132</v>
      </c>
      <c r="AM2141" s="1">
        <v>51.116589625</v>
      </c>
      <c r="AN2141" s="1">
        <v>60.04852406</v>
      </c>
      <c r="AO2141" s="1">
        <v>19627.0</v>
      </c>
      <c r="AP2141" s="1">
        <v>22.4</v>
      </c>
      <c r="AQ2141" s="1">
        <v>7.6</v>
      </c>
      <c r="AR2141" s="1">
        <v>14.3</v>
      </c>
      <c r="AS2141" s="1">
        <v>15.1</v>
      </c>
      <c r="AT2141" s="1">
        <v>23.0</v>
      </c>
      <c r="AU2141" s="1">
        <v>16.8</v>
      </c>
      <c r="AV2141" s="1">
        <v>51.2</v>
      </c>
      <c r="AW2141" s="1">
        <v>0.8</v>
      </c>
      <c r="AX2141" s="1">
        <v>0.9004</v>
      </c>
      <c r="AY2141" s="1">
        <v>21.4</v>
      </c>
      <c r="AZ2141" s="1">
        <v>16.4</v>
      </c>
      <c r="BA2141" s="1">
        <v>23.7</v>
      </c>
      <c r="BB2141" s="1">
        <v>3.27</v>
      </c>
      <c r="BC2141" s="1" t="s">
        <v>3542</v>
      </c>
      <c r="BD2141" s="1">
        <v>13.5</v>
      </c>
      <c r="BE2141" s="1">
        <v>31.3</v>
      </c>
      <c r="BF2141" s="1">
        <v>28.9</v>
      </c>
      <c r="BG2141" s="1">
        <v>26.3</v>
      </c>
      <c r="BH2141" s="1" t="s">
        <v>3557</v>
      </c>
    </row>
    <row r="2142">
      <c r="A2142" s="1">
        <v>40023.0</v>
      </c>
      <c r="B2142" s="2" t="str">
        <f>IFERROR(__xludf.DUMMYFUNCTION("TO_TEXT(A2142)"),"40023")</f>
        <v>40023</v>
      </c>
      <c r="C2142" s="1">
        <v>15051.0</v>
      </c>
      <c r="D2142" s="1">
        <v>770.356584941929</v>
      </c>
      <c r="E2142" s="1" t="s">
        <v>82</v>
      </c>
      <c r="F2142" s="1" t="s">
        <v>3558</v>
      </c>
      <c r="G2142" s="1">
        <v>19.537705387609</v>
      </c>
      <c r="H2142" s="1">
        <v>27.696388</v>
      </c>
      <c r="I2142" s="1">
        <v>5.3291618346</v>
      </c>
      <c r="J2142" s="1">
        <v>9.5676824947</v>
      </c>
      <c r="K2142" s="1">
        <v>22.885813046</v>
      </c>
      <c r="L2142" s="1">
        <v>34.0</v>
      </c>
      <c r="M2142" s="1">
        <v>4.3</v>
      </c>
      <c r="N2142" s="1">
        <v>33.9</v>
      </c>
      <c r="O2142" s="1">
        <v>35.369944097</v>
      </c>
      <c r="P2142" s="1">
        <v>20.98363465</v>
      </c>
      <c r="Q2142" s="1">
        <v>40.3687</v>
      </c>
      <c r="R2142" s="1">
        <v>79.986842105</v>
      </c>
      <c r="S2142" s="1">
        <v>31.9</v>
      </c>
      <c r="T2142" s="1">
        <v>3543.0</v>
      </c>
      <c r="U2142" s="1">
        <v>47.33276884</v>
      </c>
      <c r="V2142" s="1">
        <v>306.36030636</v>
      </c>
      <c r="W2142" s="1">
        <v>15.021097046</v>
      </c>
      <c r="X2142" s="1">
        <v>12.557319224</v>
      </c>
      <c r="Y2142" s="1">
        <v>72.724923896</v>
      </c>
      <c r="Z2142" s="1">
        <v>12.5</v>
      </c>
      <c r="AA2142" s="1">
        <v>26.616470789</v>
      </c>
      <c r="AB2142" s="1">
        <v>35308.0</v>
      </c>
      <c r="AC2142" s="1">
        <v>70.11919441</v>
      </c>
      <c r="AD2142" s="1">
        <v>68.803204807</v>
      </c>
      <c r="AE2142" s="1">
        <v>13.457330416</v>
      </c>
      <c r="AF2142" s="1">
        <v>10.335424052</v>
      </c>
      <c r="AG2142" s="1">
        <v>18.277883829</v>
      </c>
      <c r="AH2142" s="1">
        <v>0.4908644669</v>
      </c>
      <c r="AI2142" s="1">
        <v>0.0409053722</v>
      </c>
      <c r="AJ2142" s="1">
        <v>4.5473138806</v>
      </c>
      <c r="AK2142" s="1">
        <v>60.533133352</v>
      </c>
      <c r="AL2142" s="1">
        <v>0.2519072981</v>
      </c>
      <c r="AM2142" s="1">
        <v>52.031633488</v>
      </c>
      <c r="AN2142" s="1">
        <v>66.931930286</v>
      </c>
      <c r="AO2142" s="1">
        <v>19085.0</v>
      </c>
      <c r="AP2142" s="1">
        <v>28.5</v>
      </c>
      <c r="AQ2142" s="1">
        <v>9.1</v>
      </c>
      <c r="AR2142" s="1">
        <v>19.4</v>
      </c>
      <c r="AS2142" s="1">
        <v>19.5</v>
      </c>
      <c r="AT2142" s="1">
        <v>24.2</v>
      </c>
      <c r="AU2142" s="1">
        <v>20.6</v>
      </c>
      <c r="AV2142" s="1">
        <v>38.1</v>
      </c>
      <c r="AW2142" s="1">
        <v>0.2</v>
      </c>
      <c r="AX2142" s="1">
        <v>0.929</v>
      </c>
      <c r="AY2142" s="1">
        <v>22.5</v>
      </c>
      <c r="AZ2142" s="1">
        <v>20.7</v>
      </c>
      <c r="BA2142" s="1">
        <v>30.5</v>
      </c>
      <c r="BB2142" s="1">
        <v>2.95</v>
      </c>
      <c r="BC2142" s="1" t="s">
        <v>3542</v>
      </c>
      <c r="BD2142" s="1">
        <v>17.8</v>
      </c>
      <c r="BE2142" s="1">
        <v>38.3</v>
      </c>
      <c r="BF2142" s="1">
        <v>30.5</v>
      </c>
      <c r="BG2142" s="1">
        <v>13.4</v>
      </c>
      <c r="BH2142" s="1" t="s">
        <v>3558</v>
      </c>
    </row>
    <row r="2143">
      <c r="A2143" s="1">
        <v>40025.0</v>
      </c>
      <c r="B2143" s="2" t="str">
        <f>IFERROR(__xludf.DUMMYFUNCTION("TO_TEXT(A2143)"),"40025")</f>
        <v>40025</v>
      </c>
      <c r="C2143" s="1">
        <v>2269.0</v>
      </c>
      <c r="D2143" s="1">
        <v>1834.80068873984</v>
      </c>
      <c r="E2143" s="1" t="s">
        <v>3559</v>
      </c>
      <c r="F2143" s="1" t="s">
        <v>3560</v>
      </c>
      <c r="G2143" s="1">
        <v>1.23664658179215</v>
      </c>
      <c r="H2143" s="1">
        <v>21.655833327</v>
      </c>
      <c r="I2143" s="1">
        <v>4.5520054097</v>
      </c>
      <c r="J2143" s="1">
        <v>5.9459459459</v>
      </c>
      <c r="K2143" s="1">
        <v>17.044492787</v>
      </c>
      <c r="L2143" s="1">
        <v>28.4</v>
      </c>
      <c r="M2143" s="1">
        <v>7.2</v>
      </c>
      <c r="N2143" s="1">
        <v>36.8</v>
      </c>
      <c r="O2143" s="1">
        <v>35.95959596</v>
      </c>
      <c r="P2143" s="1">
        <v>25.094577554</v>
      </c>
      <c r="Q2143" s="1">
        <v>48.31939</v>
      </c>
      <c r="R2143" s="1">
        <v>89.912280702</v>
      </c>
      <c r="S2143" s="1">
        <v>26.7</v>
      </c>
      <c r="T2143" s="1">
        <v>537.0</v>
      </c>
      <c r="U2143" s="1">
        <v>31.843575419</v>
      </c>
      <c r="V2143" s="1">
        <v>134.28827216</v>
      </c>
      <c r="W2143" s="1">
        <v>11.855670103</v>
      </c>
      <c r="X2143" s="1">
        <v>6.340956341</v>
      </c>
      <c r="Y2143" s="1">
        <v>79.695245074</v>
      </c>
      <c r="Z2143" s="1">
        <v>10.2</v>
      </c>
      <c r="AA2143" s="1">
        <v>15.362626089</v>
      </c>
      <c r="AB2143" s="1">
        <v>46777.0</v>
      </c>
      <c r="AC2143" s="1">
        <v>64.376590331</v>
      </c>
      <c r="AD2143" s="1">
        <v>73.511293634</v>
      </c>
      <c r="AE2143" s="1">
        <v>7.4245939675</v>
      </c>
      <c r="AF2143" s="1">
        <v>0.603808639099999</v>
      </c>
      <c r="AG2143" s="1">
        <v>1.2076172782</v>
      </c>
      <c r="AH2143" s="1">
        <v>0.3715745471</v>
      </c>
      <c r="AI2143" s="1">
        <v>0.0</v>
      </c>
      <c r="AJ2143" s="1">
        <v>22.387366465</v>
      </c>
      <c r="AK2143" s="1">
        <v>73.293079424</v>
      </c>
      <c r="AL2143" s="1">
        <v>2.8907398334</v>
      </c>
      <c r="AM2143" s="1">
        <v>48.815606131</v>
      </c>
      <c r="AN2143" s="1">
        <v>100.0</v>
      </c>
      <c r="AO2143" s="1">
        <v>26309.0</v>
      </c>
      <c r="AP2143" s="1">
        <v>15.7</v>
      </c>
      <c r="AQ2143" s="1">
        <v>2.0</v>
      </c>
      <c r="AR2143" s="1">
        <v>15.5</v>
      </c>
      <c r="AS2143" s="1">
        <v>23.0</v>
      </c>
      <c r="AT2143" s="1">
        <v>23.6</v>
      </c>
      <c r="AU2143" s="1">
        <v>14.2</v>
      </c>
      <c r="AV2143" s="1">
        <v>24.6</v>
      </c>
      <c r="AW2143" s="1">
        <v>3.4</v>
      </c>
      <c r="AX2143" s="1">
        <v>0.4725</v>
      </c>
      <c r="AY2143" s="1">
        <v>17.8</v>
      </c>
      <c r="AZ2143" s="1">
        <v>12.8</v>
      </c>
      <c r="BA2143" s="1">
        <v>17.9</v>
      </c>
      <c r="BB2143" s="1">
        <v>3.06</v>
      </c>
      <c r="BC2143" s="1" t="s">
        <v>3542</v>
      </c>
      <c r="BD2143" s="1">
        <v>16.9</v>
      </c>
      <c r="BE2143" s="1">
        <v>36.0</v>
      </c>
      <c r="BF2143" s="1">
        <v>24.2</v>
      </c>
      <c r="BG2143" s="1">
        <v>22.8</v>
      </c>
      <c r="BH2143" s="1" t="s">
        <v>3560</v>
      </c>
    </row>
    <row r="2144">
      <c r="A2144" s="1">
        <v>40027.0</v>
      </c>
      <c r="B2144" s="2" t="str">
        <f>IFERROR(__xludf.DUMMYFUNCTION("TO_TEXT(A2144)"),"40027")</f>
        <v>40027</v>
      </c>
      <c r="C2144" s="1">
        <v>271818.0</v>
      </c>
      <c r="D2144" s="1">
        <v>538.811581566625</v>
      </c>
      <c r="E2144" s="1" t="s">
        <v>306</v>
      </c>
      <c r="F2144" s="1" t="s">
        <v>3561</v>
      </c>
      <c r="G2144" s="1">
        <v>504.476906768918</v>
      </c>
      <c r="H2144" s="1">
        <v>15.515810381</v>
      </c>
      <c r="I2144" s="1">
        <v>4.3026338323</v>
      </c>
      <c r="J2144" s="1">
        <v>7.2654961684</v>
      </c>
      <c r="K2144" s="1">
        <v>15.500138403</v>
      </c>
      <c r="L2144" s="1">
        <v>34.6</v>
      </c>
      <c r="M2144" s="1">
        <v>7.6</v>
      </c>
      <c r="N2144" s="1">
        <v>25.3</v>
      </c>
      <c r="O2144" s="1">
        <v>86.579734512</v>
      </c>
      <c r="P2144" s="1">
        <v>12.740615105</v>
      </c>
      <c r="Q2144" s="1">
        <v>50.06419</v>
      </c>
      <c r="R2144" s="1">
        <v>85.677738172</v>
      </c>
      <c r="S2144" s="1">
        <v>12.5</v>
      </c>
      <c r="T2144" s="1">
        <v>60201.0</v>
      </c>
      <c r="U2144" s="1">
        <v>29.090878889</v>
      </c>
      <c r="V2144" s="1">
        <v>345.01457577</v>
      </c>
      <c r="W2144" s="1">
        <v>14.70180991</v>
      </c>
      <c r="X2144" s="1">
        <v>11.812087252</v>
      </c>
      <c r="Y2144" s="1">
        <v>79.104935585</v>
      </c>
      <c r="Z2144" s="1">
        <v>10.5</v>
      </c>
      <c r="AA2144" s="1">
        <v>5.5213948089</v>
      </c>
      <c r="AB2144" s="1">
        <v>62343.0</v>
      </c>
      <c r="AC2144" s="1">
        <v>44.035339688</v>
      </c>
      <c r="AD2144" s="1">
        <v>64.005133568</v>
      </c>
      <c r="AE2144" s="1">
        <v>12.411600027</v>
      </c>
      <c r="AF2144" s="1">
        <v>5.0772360466</v>
      </c>
      <c r="AG2144" s="1">
        <v>5.3101335255</v>
      </c>
      <c r="AH2144" s="1">
        <v>4.7435110005</v>
      </c>
      <c r="AI2144" s="1">
        <v>0.123904299</v>
      </c>
      <c r="AJ2144" s="1">
        <v>8.9598074335</v>
      </c>
      <c r="AK2144" s="1">
        <v>71.256332788</v>
      </c>
      <c r="AL2144" s="1">
        <v>1.1302137953</v>
      </c>
      <c r="AM2144" s="1">
        <v>50.145738438</v>
      </c>
      <c r="AN2144" s="1">
        <v>16.883736388</v>
      </c>
      <c r="AO2144" s="1">
        <v>28378.0</v>
      </c>
      <c r="AP2144" s="1">
        <v>12.5</v>
      </c>
      <c r="AQ2144" s="1">
        <v>4.9</v>
      </c>
      <c r="AR2144" s="1">
        <v>8.7</v>
      </c>
      <c r="AS2144" s="1">
        <v>11.9</v>
      </c>
      <c r="AT2144" s="1">
        <v>22.4</v>
      </c>
      <c r="AU2144" s="1">
        <v>13.0</v>
      </c>
      <c r="AV2144" s="1">
        <v>26.6</v>
      </c>
      <c r="AW2144" s="1">
        <v>1.2</v>
      </c>
      <c r="AX2144" s="1">
        <v>0.3216</v>
      </c>
      <c r="AY2144" s="1">
        <v>11.7</v>
      </c>
      <c r="AZ2144" s="1">
        <v>12.0</v>
      </c>
      <c r="BA2144" s="1">
        <v>16.7</v>
      </c>
      <c r="BB2144" s="1">
        <v>3.09</v>
      </c>
      <c r="BC2144" s="1" t="s">
        <v>3542</v>
      </c>
      <c r="BD2144" s="1">
        <v>8.2</v>
      </c>
      <c r="BE2144" s="1">
        <v>24.7</v>
      </c>
      <c r="BF2144" s="1">
        <v>33.7</v>
      </c>
      <c r="BG2144" s="1">
        <v>33.4</v>
      </c>
      <c r="BH2144" s="1" t="s">
        <v>3561</v>
      </c>
    </row>
    <row r="2145">
      <c r="A2145" s="1">
        <v>40029.0</v>
      </c>
      <c r="B2145" s="2" t="str">
        <f>IFERROR(__xludf.DUMMYFUNCTION("TO_TEXT(A2145)"),"40029")</f>
        <v>40029</v>
      </c>
      <c r="C2145" s="1">
        <v>5755.0</v>
      </c>
      <c r="D2145" s="1">
        <v>516.681934624934</v>
      </c>
      <c r="E2145" s="1" t="s">
        <v>3562</v>
      </c>
      <c r="F2145" s="1" t="s">
        <v>3563</v>
      </c>
      <c r="G2145" s="1">
        <v>11.1383805283953</v>
      </c>
      <c r="H2145" s="1">
        <v>21.217851657</v>
      </c>
      <c r="I2145" s="1">
        <v>4.8879908486</v>
      </c>
      <c r="J2145" s="1">
        <v>7.4534161491</v>
      </c>
      <c r="K2145" s="1">
        <v>19.819052826</v>
      </c>
      <c r="L2145" s="1">
        <v>35.1</v>
      </c>
      <c r="M2145" s="1">
        <v>6.4</v>
      </c>
      <c r="N2145" s="1">
        <v>35.4</v>
      </c>
      <c r="O2145" s="1">
        <v>48.202531646</v>
      </c>
      <c r="P2145" s="1">
        <v>21.3428190309999</v>
      </c>
      <c r="Q2145" s="1">
        <v>17.72421</v>
      </c>
      <c r="R2145" s="1">
        <v>89.912280702</v>
      </c>
      <c r="S2145" s="1">
        <v>28.5</v>
      </c>
      <c r="T2145" s="1">
        <v>1364.0</v>
      </c>
      <c r="U2145" s="1">
        <v>40.8357771259999</v>
      </c>
      <c r="V2145" s="1">
        <v>96.153846154</v>
      </c>
      <c r="W2145" s="1">
        <v>9.77777777779999</v>
      </c>
      <c r="X2145" s="1">
        <v>7.09188224799999</v>
      </c>
      <c r="Y2145" s="1">
        <v>72.73501446</v>
      </c>
      <c r="Z2145" s="1">
        <v>14.6</v>
      </c>
      <c r="AA2145" s="1">
        <v>13.065732575</v>
      </c>
      <c r="AB2145" s="1">
        <v>39396.0</v>
      </c>
      <c r="AC2145" s="1">
        <v>76.335174954</v>
      </c>
      <c r="AD2145" s="1">
        <v>72.629695886</v>
      </c>
      <c r="AE2145" s="1">
        <v>8.3615273079</v>
      </c>
      <c r="AF2145" s="1">
        <v>0.670289855099999</v>
      </c>
      <c r="AG2145" s="1">
        <v>19.710144928</v>
      </c>
      <c r="AH2145" s="1">
        <v>0.2717391304</v>
      </c>
      <c r="AI2145" s="1">
        <v>0.0</v>
      </c>
      <c r="AJ2145" s="1">
        <v>4.4565217391</v>
      </c>
      <c r="AK2145" s="1">
        <v>68.260869565</v>
      </c>
      <c r="AL2145" s="1">
        <v>0.3804451208</v>
      </c>
      <c r="AM2145" s="1">
        <v>50.163043478</v>
      </c>
      <c r="AN2145" s="1">
        <v>100.0</v>
      </c>
      <c r="AO2145" s="1">
        <v>23716.0</v>
      </c>
      <c r="AP2145" s="1">
        <v>19.6</v>
      </c>
      <c r="AQ2145" s="1">
        <v>9.0</v>
      </c>
      <c r="AR2145" s="1">
        <v>17.1</v>
      </c>
      <c r="AS2145" s="1">
        <v>20.3</v>
      </c>
      <c r="AT2145" s="1">
        <v>24.4</v>
      </c>
      <c r="AU2145" s="1">
        <v>20.4</v>
      </c>
      <c r="AV2145" s="1">
        <v>29.5</v>
      </c>
      <c r="AW2145" s="1">
        <v>0.2</v>
      </c>
      <c r="AX2145" s="1">
        <v>0.7323</v>
      </c>
      <c r="AY2145" s="1">
        <v>18.1</v>
      </c>
      <c r="AZ2145" s="1">
        <v>18.1</v>
      </c>
      <c r="BA2145" s="1">
        <v>27.3</v>
      </c>
      <c r="BB2145" s="1">
        <v>3.01</v>
      </c>
      <c r="BC2145" s="1" t="s">
        <v>3542</v>
      </c>
      <c r="BD2145" s="1">
        <v>17.3</v>
      </c>
      <c r="BE2145" s="1">
        <v>41.6</v>
      </c>
      <c r="BF2145" s="1">
        <v>23.7</v>
      </c>
      <c r="BG2145" s="1">
        <v>17.3</v>
      </c>
      <c r="BH2145" s="1" t="s">
        <v>3563</v>
      </c>
    </row>
    <row r="2146">
      <c r="A2146" s="1">
        <v>40031.0</v>
      </c>
      <c r="B2146" s="2" t="str">
        <f>IFERROR(__xludf.DUMMYFUNCTION("TO_TEXT(A2146)"),"40031")</f>
        <v>40031</v>
      </c>
      <c r="C2146" s="1">
        <v>124583.0</v>
      </c>
      <c r="D2146" s="1">
        <v>1069.28919625108</v>
      </c>
      <c r="E2146" s="1" t="s">
        <v>1613</v>
      </c>
      <c r="F2146" s="1" t="s">
        <v>3564</v>
      </c>
      <c r="G2146" s="1">
        <v>116.510108244605</v>
      </c>
      <c r="H2146" s="1">
        <v>22.013634763</v>
      </c>
      <c r="I2146" s="1">
        <v>4.6443652392</v>
      </c>
      <c r="J2146" s="1">
        <v>7.7043044292</v>
      </c>
      <c r="K2146" s="1">
        <v>19.534762337</v>
      </c>
      <c r="L2146" s="1">
        <v>32.2</v>
      </c>
      <c r="M2146" s="1">
        <v>6.1</v>
      </c>
      <c r="N2146" s="1">
        <v>29.6</v>
      </c>
      <c r="O2146" s="1">
        <v>68.68200938</v>
      </c>
      <c r="P2146" s="1">
        <v>14.95827136</v>
      </c>
      <c r="Q2146" s="1">
        <v>79.81831</v>
      </c>
      <c r="R2146" s="1">
        <v>76.940662086</v>
      </c>
      <c r="S2146" s="1">
        <v>23.6</v>
      </c>
      <c r="T2146" s="1">
        <v>28313.0</v>
      </c>
      <c r="U2146" s="1">
        <v>37.269099</v>
      </c>
      <c r="V2146" s="1">
        <v>701.38459861</v>
      </c>
      <c r="W2146" s="1">
        <v>14.616818076</v>
      </c>
      <c r="X2146" s="1">
        <v>12.23718403</v>
      </c>
      <c r="Y2146" s="1">
        <v>75.961584828</v>
      </c>
      <c r="Z2146" s="1">
        <v>9.9</v>
      </c>
      <c r="AA2146" s="1">
        <v>14.63423758</v>
      </c>
      <c r="AB2146" s="1">
        <v>51382.0</v>
      </c>
      <c r="AC2146" s="1">
        <v>60.748244063</v>
      </c>
      <c r="AD2146" s="1">
        <v>54.489556442</v>
      </c>
      <c r="AE2146" s="1">
        <v>12.4160828059999</v>
      </c>
      <c r="AF2146" s="1">
        <v>16.380727774</v>
      </c>
      <c r="AG2146" s="1">
        <v>6.7454451844</v>
      </c>
      <c r="AH2146" s="1">
        <v>2.6872166215</v>
      </c>
      <c r="AI2146" s="1">
        <v>0.6560263075</v>
      </c>
      <c r="AJ2146" s="1">
        <v>13.370480477</v>
      </c>
      <c r="AK2146" s="1">
        <v>55.880985202</v>
      </c>
      <c r="AL2146" s="1">
        <v>1.1478392322</v>
      </c>
      <c r="AM2146" s="1">
        <v>48.173921709</v>
      </c>
      <c r="AN2146" s="1">
        <v>21.7900369059999</v>
      </c>
      <c r="AO2146" s="1">
        <v>23925.0</v>
      </c>
      <c r="AP2146" s="1">
        <v>16.8</v>
      </c>
      <c r="AQ2146" s="1">
        <v>9.0</v>
      </c>
      <c r="AR2146" s="1">
        <v>10.4</v>
      </c>
      <c r="AS2146" s="1">
        <v>11.1</v>
      </c>
      <c r="AT2146" s="1">
        <v>24.3</v>
      </c>
      <c r="AU2146" s="1">
        <v>18.4</v>
      </c>
      <c r="AV2146" s="1">
        <v>42.8</v>
      </c>
      <c r="AW2146" s="1">
        <v>1.1</v>
      </c>
      <c r="AX2146" s="1">
        <v>0.7956</v>
      </c>
      <c r="AY2146" s="1">
        <v>17.6</v>
      </c>
      <c r="AZ2146" s="1">
        <v>15.8</v>
      </c>
      <c r="BA2146" s="1">
        <v>22.0</v>
      </c>
      <c r="BB2146" s="1">
        <v>2.9</v>
      </c>
      <c r="BC2146" s="1" t="s">
        <v>3542</v>
      </c>
      <c r="BD2146" s="1">
        <v>10.0</v>
      </c>
      <c r="BE2146" s="1">
        <v>32.8</v>
      </c>
      <c r="BF2146" s="1">
        <v>35.1</v>
      </c>
      <c r="BG2146" s="1">
        <v>22.2</v>
      </c>
      <c r="BH2146" s="1" t="s">
        <v>3564</v>
      </c>
    </row>
    <row r="2147">
      <c r="A2147" s="1">
        <v>40033.0</v>
      </c>
      <c r="B2147" s="2" t="str">
        <f>IFERROR(__xludf.DUMMYFUNCTION("TO_TEXT(A2147)"),"40033")</f>
        <v>40033</v>
      </c>
      <c r="C2147" s="1">
        <v>6062.0</v>
      </c>
      <c r="D2147" s="1">
        <v>632.65389158646</v>
      </c>
      <c r="E2147" s="1" t="s">
        <v>3565</v>
      </c>
      <c r="F2147" s="1" t="s">
        <v>3566</v>
      </c>
      <c r="G2147" s="1">
        <v>9.58185839147968</v>
      </c>
      <c r="H2147" s="1">
        <v>19.316589881</v>
      </c>
      <c r="I2147" s="1">
        <v>4.5563908986</v>
      </c>
      <c r="J2147" s="1">
        <v>8.2802547771</v>
      </c>
      <c r="K2147" s="1">
        <v>18.019570715</v>
      </c>
      <c r="L2147" s="1">
        <v>38.9</v>
      </c>
      <c r="M2147" s="1">
        <v>5.2</v>
      </c>
      <c r="N2147" s="1">
        <v>43.1</v>
      </c>
      <c r="O2147" s="1">
        <v>43.985144518</v>
      </c>
      <c r="P2147" s="1">
        <v>18.121946038</v>
      </c>
      <c r="Q2147" s="1">
        <v>17.17328</v>
      </c>
      <c r="R2147" s="1">
        <v>89.912280702</v>
      </c>
      <c r="S2147" s="1">
        <v>22.2</v>
      </c>
      <c r="T2147" s="1">
        <v>1351.0</v>
      </c>
      <c r="U2147" s="1">
        <v>36.935603257</v>
      </c>
      <c r="V2147" s="1">
        <v>24.830326105</v>
      </c>
      <c r="W2147" s="1">
        <v>12.23628692</v>
      </c>
      <c r="X2147" s="1">
        <v>8.8888888889</v>
      </c>
      <c r="Y2147" s="1">
        <v>73.87494092</v>
      </c>
      <c r="Z2147" s="1">
        <v>9.3</v>
      </c>
      <c r="AA2147" s="1">
        <v>32.431539269</v>
      </c>
      <c r="AB2147" s="1">
        <v>43386.0</v>
      </c>
      <c r="AC2147" s="1">
        <v>62.475633528</v>
      </c>
      <c r="AD2147" s="1">
        <v>78.254972875</v>
      </c>
      <c r="AE2147" s="1">
        <v>9.8853868195</v>
      </c>
      <c r="AF2147" s="1">
        <v>2.2333795014</v>
      </c>
      <c r="AG2147" s="1">
        <v>10.041551247</v>
      </c>
      <c r="AH2147" s="1">
        <v>0.2943213296</v>
      </c>
      <c r="AI2147" s="1">
        <v>0.2423822715</v>
      </c>
      <c r="AJ2147" s="1">
        <v>8.2929362881</v>
      </c>
      <c r="AK2147" s="1">
        <v>75.952216066</v>
      </c>
      <c r="AL2147" s="1">
        <v>0.0</v>
      </c>
      <c r="AM2147" s="1">
        <v>50.831024931</v>
      </c>
      <c r="AN2147" s="1">
        <v>59.5349588239999</v>
      </c>
      <c r="AO2147" s="1">
        <v>22411.0</v>
      </c>
      <c r="AP2147" s="1">
        <v>16.1</v>
      </c>
      <c r="AQ2147" s="1">
        <v>9.4</v>
      </c>
      <c r="AR2147" s="1">
        <v>12.3</v>
      </c>
      <c r="AS2147" s="1">
        <v>18.1</v>
      </c>
      <c r="AT2147" s="1">
        <v>23.5</v>
      </c>
      <c r="AU2147" s="1">
        <v>19.2</v>
      </c>
      <c r="AV2147" s="1">
        <v>23.1</v>
      </c>
      <c r="AW2147" s="1">
        <v>0.1</v>
      </c>
      <c r="AX2147" s="1">
        <v>0.638</v>
      </c>
      <c r="AY2147" s="1">
        <v>18.6</v>
      </c>
      <c r="AZ2147" s="1">
        <v>15.2</v>
      </c>
      <c r="BA2147" s="1">
        <v>20.9</v>
      </c>
      <c r="BB2147" s="1">
        <v>3.01</v>
      </c>
      <c r="BC2147" s="1" t="s">
        <v>3542</v>
      </c>
      <c r="BD2147" s="1">
        <v>15.5</v>
      </c>
      <c r="BE2147" s="1">
        <v>41.8</v>
      </c>
      <c r="BF2147" s="1">
        <v>28.9</v>
      </c>
      <c r="BG2147" s="1">
        <v>13.7</v>
      </c>
      <c r="BH2147" s="1" t="s">
        <v>3566</v>
      </c>
    </row>
    <row r="2148">
      <c r="A2148" s="1">
        <v>40035.0</v>
      </c>
      <c r="B2148" s="2" t="str">
        <f>IFERROR(__xludf.DUMMYFUNCTION("TO_TEXT(A2148)"),"40035")</f>
        <v>40035</v>
      </c>
      <c r="C2148" s="1">
        <v>14683.0</v>
      </c>
      <c r="D2148" s="1">
        <v>761.353383602142</v>
      </c>
      <c r="E2148" s="1" t="s">
        <v>3567</v>
      </c>
      <c r="F2148" s="1" t="s">
        <v>3568</v>
      </c>
      <c r="G2148" s="1">
        <v>19.2853940315222</v>
      </c>
      <c r="H2148" s="1">
        <v>22.099402871</v>
      </c>
      <c r="I2148" s="1">
        <v>4.8287962806</v>
      </c>
      <c r="J2148" s="1">
        <v>6.8493150685</v>
      </c>
      <c r="K2148" s="1">
        <v>21.198012755</v>
      </c>
      <c r="L2148" s="1">
        <v>35.8</v>
      </c>
      <c r="M2148" s="1">
        <v>7.1</v>
      </c>
      <c r="N2148" s="1">
        <v>39.9</v>
      </c>
      <c r="O2148" s="1">
        <v>51.05462772</v>
      </c>
      <c r="P2148" s="1">
        <v>19.2583732059999</v>
      </c>
      <c r="Q2148" s="1">
        <v>41.87897</v>
      </c>
      <c r="R2148" s="1">
        <v>82.16733871</v>
      </c>
      <c r="S2148" s="1">
        <v>28.1</v>
      </c>
      <c r="T2148" s="1">
        <v>3183.0</v>
      </c>
      <c r="U2148" s="1">
        <v>34.841344643</v>
      </c>
      <c r="V2148" s="1">
        <v>126.34023083</v>
      </c>
      <c r="W2148" s="1">
        <v>13.9405204459999</v>
      </c>
      <c r="X2148" s="1">
        <v>10.581613508</v>
      </c>
      <c r="Y2148" s="1">
        <v>73.876951906</v>
      </c>
      <c r="Z2148" s="1">
        <v>9.0</v>
      </c>
      <c r="AA2148" s="1">
        <v>7.2000501621</v>
      </c>
      <c r="AB2148" s="1">
        <v>43074.0</v>
      </c>
      <c r="AC2148" s="1">
        <v>63.6852207289999</v>
      </c>
      <c r="AD2148" s="1">
        <v>71.157739739</v>
      </c>
      <c r="AE2148" s="1">
        <v>12.580582145</v>
      </c>
      <c r="AF2148" s="1">
        <v>2.9987417867</v>
      </c>
      <c r="AG2148" s="1">
        <v>21.291765693</v>
      </c>
      <c r="AH2148" s="1">
        <v>0.6430868167</v>
      </c>
      <c r="AI2148" s="1">
        <v>0.1188312596</v>
      </c>
      <c r="AJ2148" s="1">
        <v>3.6767789739</v>
      </c>
      <c r="AK2148" s="1">
        <v>63.253180484</v>
      </c>
      <c r="AL2148" s="1">
        <v>0.591975444</v>
      </c>
      <c r="AM2148" s="1">
        <v>48.776737033</v>
      </c>
      <c r="AN2148" s="1">
        <v>60.063876505</v>
      </c>
      <c r="AO2148" s="1">
        <v>20130.0</v>
      </c>
      <c r="AP2148" s="1">
        <v>17.7</v>
      </c>
      <c r="AQ2148" s="1">
        <v>5.3</v>
      </c>
      <c r="AR2148" s="1">
        <v>14.4</v>
      </c>
      <c r="AS2148" s="1">
        <v>19.1</v>
      </c>
      <c r="AT2148" s="1">
        <v>22.2</v>
      </c>
      <c r="AU2148" s="1">
        <v>22.9</v>
      </c>
      <c r="AV2148" s="1">
        <v>35.4</v>
      </c>
      <c r="AW2148" s="1">
        <v>0.8</v>
      </c>
      <c r="AX2148" s="1">
        <v>0.8118</v>
      </c>
      <c r="AY2148" s="1">
        <v>18.2</v>
      </c>
      <c r="AZ2148" s="1">
        <v>16.7</v>
      </c>
      <c r="BA2148" s="1">
        <v>25.4</v>
      </c>
      <c r="BB2148" s="1">
        <v>3.02</v>
      </c>
      <c r="BC2148" s="1" t="s">
        <v>3542</v>
      </c>
      <c r="BD2148" s="1">
        <v>13.2</v>
      </c>
      <c r="BE2148" s="1">
        <v>39.5</v>
      </c>
      <c r="BF2148" s="1">
        <v>32.6</v>
      </c>
      <c r="BG2148" s="1">
        <v>14.7</v>
      </c>
      <c r="BH2148" s="1" t="s">
        <v>3568</v>
      </c>
    </row>
    <row r="2149">
      <c r="A2149" s="1">
        <v>40037.0</v>
      </c>
      <c r="B2149" s="2" t="str">
        <f>IFERROR(__xludf.DUMMYFUNCTION("TO_TEXT(A2149)"),"40037")</f>
        <v>40037</v>
      </c>
      <c r="C2149" s="1">
        <v>70931.0</v>
      </c>
      <c r="D2149" s="1">
        <v>950.149567747588</v>
      </c>
      <c r="E2149" s="1" t="s">
        <v>3569</v>
      </c>
      <c r="F2149" s="1" t="s">
        <v>3570</v>
      </c>
      <c r="G2149" s="1">
        <v>74.6524572632792</v>
      </c>
      <c r="H2149" s="1">
        <v>18.9729067259999</v>
      </c>
      <c r="I2149" s="1">
        <v>4.65954000649999</v>
      </c>
      <c r="J2149" s="1">
        <v>7.26875944269999</v>
      </c>
      <c r="K2149" s="1">
        <v>18.662035864</v>
      </c>
      <c r="L2149" s="1">
        <v>33.3</v>
      </c>
      <c r="M2149" s="1">
        <v>7.2</v>
      </c>
      <c r="N2149" s="1">
        <v>29.6</v>
      </c>
      <c r="O2149" s="1">
        <v>64.376063001</v>
      </c>
      <c r="P2149" s="1">
        <v>16.16149576</v>
      </c>
      <c r="Q2149" s="1">
        <v>23.70858</v>
      </c>
      <c r="R2149" s="1">
        <v>86.101015801</v>
      </c>
      <c r="S2149" s="1">
        <v>19.9</v>
      </c>
      <c r="T2149" s="1">
        <v>17028.0</v>
      </c>
      <c r="U2149" s="1">
        <v>35.470988959</v>
      </c>
      <c r="V2149" s="1">
        <v>215.14203621</v>
      </c>
      <c r="W2149" s="1">
        <v>13.135351228</v>
      </c>
      <c r="X2149" s="1">
        <v>9.0961986036</v>
      </c>
      <c r="Y2149" s="1">
        <v>74.631576183</v>
      </c>
      <c r="Z2149" s="1">
        <v>12.6</v>
      </c>
      <c r="AA2149" s="1">
        <v>7.5507567228</v>
      </c>
      <c r="AB2149" s="1">
        <v>54478.0</v>
      </c>
      <c r="AC2149" s="1">
        <v>61.058526581</v>
      </c>
      <c r="AD2149" s="1">
        <v>74.701598979</v>
      </c>
      <c r="AE2149" s="1">
        <v>9.483855575</v>
      </c>
      <c r="AF2149" s="1">
        <v>2.1618903972</v>
      </c>
      <c r="AG2149" s="1">
        <v>10.852745657</v>
      </c>
      <c r="AH2149" s="1">
        <v>0.6689570415</v>
      </c>
      <c r="AI2149" s="1">
        <v>0.1117256019</v>
      </c>
      <c r="AJ2149" s="1">
        <v>4.3209876543</v>
      </c>
      <c r="AK2149" s="1">
        <v>75.666163901</v>
      </c>
      <c r="AL2149" s="1">
        <v>0.4470111753</v>
      </c>
      <c r="AM2149" s="1">
        <v>50.522317189</v>
      </c>
      <c r="AN2149" s="1">
        <v>53.944002172</v>
      </c>
      <c r="AO2149" s="1">
        <v>23336.0</v>
      </c>
      <c r="AP2149" s="1">
        <v>15.0</v>
      </c>
      <c r="AQ2149" s="1">
        <v>4.8</v>
      </c>
      <c r="AR2149" s="1">
        <v>13.7</v>
      </c>
      <c r="AS2149" s="1">
        <v>16.8</v>
      </c>
      <c r="AT2149" s="1">
        <v>24.2</v>
      </c>
      <c r="AU2149" s="1">
        <v>14.5</v>
      </c>
      <c r="AV2149" s="1">
        <v>22.8</v>
      </c>
      <c r="AW2149" s="1">
        <v>0.5</v>
      </c>
      <c r="AX2149" s="1">
        <v>0.4868</v>
      </c>
      <c r="AY2149" s="1">
        <v>13.7</v>
      </c>
      <c r="AZ2149" s="1">
        <v>13.8</v>
      </c>
      <c r="BA2149" s="1">
        <v>21.8</v>
      </c>
      <c r="BB2149" s="1">
        <v>3.13</v>
      </c>
      <c r="BC2149" s="1" t="s">
        <v>3542</v>
      </c>
      <c r="BD2149" s="1">
        <v>12.6</v>
      </c>
      <c r="BE2149" s="1">
        <v>40.0</v>
      </c>
      <c r="BF2149" s="1">
        <v>30.4</v>
      </c>
      <c r="BG2149" s="1">
        <v>17.0</v>
      </c>
      <c r="BH2149" s="1" t="s">
        <v>3570</v>
      </c>
    </row>
    <row r="2150">
      <c r="A2150" s="1">
        <v>40039.0</v>
      </c>
      <c r="B2150" s="2" t="str">
        <f>IFERROR(__xludf.DUMMYFUNCTION("TO_TEXT(A2150)"),"40039")</f>
        <v>40039</v>
      </c>
      <c r="C2150" s="1">
        <v>29248.0</v>
      </c>
      <c r="D2150" s="1">
        <v>988.819868384908</v>
      </c>
      <c r="E2150" s="1" t="s">
        <v>561</v>
      </c>
      <c r="F2150" s="1" t="s">
        <v>3571</v>
      </c>
      <c r="G2150" s="1">
        <v>29.5786936884392</v>
      </c>
      <c r="H2150" s="1">
        <v>19.909214994</v>
      </c>
      <c r="I2150" s="1">
        <v>4.5559668961</v>
      </c>
      <c r="J2150" s="1">
        <v>6.976744186</v>
      </c>
      <c r="K2150" s="1">
        <v>18.124610369</v>
      </c>
      <c r="L2150" s="1">
        <v>37.5</v>
      </c>
      <c r="M2150" s="1">
        <v>6.9</v>
      </c>
      <c r="N2150" s="1">
        <v>31.1</v>
      </c>
      <c r="O2150" s="1">
        <v>75.969274455</v>
      </c>
      <c r="P2150" s="1">
        <v>20.303966809</v>
      </c>
      <c r="Q2150" s="1">
        <v>55.55556</v>
      </c>
      <c r="R2150" s="1">
        <v>91.655313351</v>
      </c>
      <c r="S2150" s="1">
        <v>18.7</v>
      </c>
      <c r="T2150" s="1">
        <v>7302.0</v>
      </c>
      <c r="U2150" s="1">
        <v>32.949876746</v>
      </c>
      <c r="V2150" s="1">
        <v>153.41515475</v>
      </c>
      <c r="W2150" s="1">
        <v>16.451458632</v>
      </c>
      <c r="X2150" s="1">
        <v>12.67537494</v>
      </c>
      <c r="Y2150" s="1">
        <v>75.361265618</v>
      </c>
      <c r="Z2150" s="1">
        <v>11.8</v>
      </c>
      <c r="AA2150" s="1">
        <v>14.1200431679999</v>
      </c>
      <c r="AB2150" s="1">
        <v>49577.0</v>
      </c>
      <c r="AC2150" s="1">
        <v>55.833485485</v>
      </c>
      <c r="AD2150" s="1">
        <v>60.057115659</v>
      </c>
      <c r="AE2150" s="1">
        <v>14.630192503</v>
      </c>
      <c r="AF2150" s="1">
        <v>2.8860724618</v>
      </c>
      <c r="AG2150" s="1">
        <v>7.8798732608</v>
      </c>
      <c r="AH2150" s="1">
        <v>1.2949442072</v>
      </c>
      <c r="AI2150" s="1">
        <v>0.0723240116</v>
      </c>
      <c r="AJ2150" s="1">
        <v>18.87312302</v>
      </c>
      <c r="AK2150" s="1">
        <v>67.533406805</v>
      </c>
      <c r="AL2150" s="1">
        <v>3.1463089238</v>
      </c>
      <c r="AM2150" s="1">
        <v>50.24796804</v>
      </c>
      <c r="AN2150" s="1">
        <v>30.3250937419999</v>
      </c>
      <c r="AO2150" s="1">
        <v>23540.0</v>
      </c>
      <c r="AP2150" s="1">
        <v>16.1</v>
      </c>
      <c r="AQ2150" s="1">
        <v>3.5</v>
      </c>
      <c r="AR2150" s="1">
        <v>12.1</v>
      </c>
      <c r="AS2150" s="1">
        <v>13.2</v>
      </c>
      <c r="AT2150" s="1">
        <v>24.5</v>
      </c>
      <c r="AU2150" s="1">
        <v>13.4</v>
      </c>
      <c r="AV2150" s="1">
        <v>29.9</v>
      </c>
      <c r="AW2150" s="1">
        <v>3.2</v>
      </c>
      <c r="AX2150" s="1">
        <v>0.6482</v>
      </c>
      <c r="AY2150" s="1">
        <v>15.8</v>
      </c>
      <c r="AZ2150" s="1">
        <v>13.1</v>
      </c>
      <c r="BA2150" s="1">
        <v>16.8</v>
      </c>
      <c r="BB2150" s="1">
        <v>3.32</v>
      </c>
      <c r="BC2150" s="1" t="s">
        <v>3542</v>
      </c>
      <c r="BD2150" s="1">
        <v>12.3</v>
      </c>
      <c r="BE2150" s="1">
        <v>31.1</v>
      </c>
      <c r="BF2150" s="1">
        <v>31.7</v>
      </c>
      <c r="BG2150" s="1">
        <v>24.8</v>
      </c>
      <c r="BH2150" s="1" t="s">
        <v>3571</v>
      </c>
    </row>
    <row r="2151">
      <c r="A2151" s="1">
        <v>40041.0</v>
      </c>
      <c r="B2151" s="2" t="str">
        <f>IFERROR(__xludf.DUMMYFUNCTION("TO_TEXT(A2151)"),"40041")</f>
        <v>40041</v>
      </c>
      <c r="C2151" s="1">
        <v>41433.0</v>
      </c>
      <c r="D2151" s="1">
        <v>738.15753722306</v>
      </c>
      <c r="E2151" s="1" t="s">
        <v>1331</v>
      </c>
      <c r="F2151" s="1" t="s">
        <v>3572</v>
      </c>
      <c r="G2151" s="1">
        <v>56.1302945653992</v>
      </c>
      <c r="H2151" s="1">
        <v>22.1073400559999</v>
      </c>
      <c r="I2151" s="1">
        <v>5.0098512579</v>
      </c>
      <c r="J2151" s="1">
        <v>8.0428954424</v>
      </c>
      <c r="K2151" s="1">
        <v>20.994549533</v>
      </c>
      <c r="L2151" s="1">
        <v>36.9</v>
      </c>
      <c r="M2151" s="1">
        <v>7.0</v>
      </c>
      <c r="N2151" s="1">
        <v>37.0</v>
      </c>
      <c r="O2151" s="1">
        <v>46.802612867</v>
      </c>
      <c r="P2151" s="1">
        <v>23.904156971</v>
      </c>
      <c r="Q2151" s="1">
        <v>46.94615</v>
      </c>
      <c r="R2151" s="1">
        <v>89.542168675</v>
      </c>
      <c r="S2151" s="1">
        <v>33.6</v>
      </c>
      <c r="T2151" s="1">
        <v>8534.0</v>
      </c>
      <c r="U2151" s="1">
        <v>34.462151394</v>
      </c>
      <c r="V2151" s="1">
        <v>160.98576547</v>
      </c>
      <c r="W2151" s="1">
        <v>14.757575758</v>
      </c>
      <c r="X2151" s="1">
        <v>10.933169079</v>
      </c>
      <c r="Y2151" s="1">
        <v>76.130962085</v>
      </c>
      <c r="Z2151" s="1">
        <v>11.8</v>
      </c>
      <c r="AA2151" s="1">
        <v>8.3853850012</v>
      </c>
      <c r="AB2151" s="1">
        <v>40287.0</v>
      </c>
      <c r="AC2151" s="1">
        <v>78.937587115</v>
      </c>
      <c r="AD2151" s="1">
        <v>75.787377821</v>
      </c>
      <c r="AE2151" s="1">
        <v>12.136139722</v>
      </c>
      <c r="AF2151" s="1">
        <v>0.4235602462</v>
      </c>
      <c r="AG2151" s="1">
        <v>23.927643741</v>
      </c>
      <c r="AH2151" s="1">
        <v>1.2168581658</v>
      </c>
      <c r="AI2151" s="1">
        <v>0.1099852573</v>
      </c>
      <c r="AJ2151" s="1">
        <v>3.7324784125</v>
      </c>
      <c r="AK2151" s="1">
        <v>63.803149791</v>
      </c>
      <c r="AL2151" s="1">
        <v>0.782539127</v>
      </c>
      <c r="AM2151" s="1">
        <v>50.740645403</v>
      </c>
      <c r="AN2151" s="1">
        <v>81.1169764019999</v>
      </c>
      <c r="AO2151" s="1">
        <v>22267.0</v>
      </c>
      <c r="AP2151" s="1">
        <v>19.8</v>
      </c>
      <c r="AQ2151" s="1">
        <v>8.1</v>
      </c>
      <c r="AR2151" s="1">
        <v>15.5</v>
      </c>
      <c r="AS2151" s="1">
        <v>22.8</v>
      </c>
      <c r="AT2151" s="1">
        <v>21.1</v>
      </c>
      <c r="AU2151" s="1">
        <v>22.9</v>
      </c>
      <c r="AV2151" s="1">
        <v>35.6</v>
      </c>
      <c r="AW2151" s="1">
        <v>0.7</v>
      </c>
      <c r="AX2151" s="1">
        <v>0.7252</v>
      </c>
      <c r="AY2151" s="1">
        <v>17.5</v>
      </c>
      <c r="AZ2151" s="1">
        <v>17.0</v>
      </c>
      <c r="BA2151" s="1">
        <v>27.6</v>
      </c>
      <c r="BB2151" s="1">
        <v>3.08</v>
      </c>
      <c r="BC2151" s="1" t="s">
        <v>3542</v>
      </c>
      <c r="BD2151" s="1">
        <v>15.1</v>
      </c>
      <c r="BE2151" s="1">
        <v>35.8</v>
      </c>
      <c r="BF2151" s="1">
        <v>31.0</v>
      </c>
      <c r="BG2151" s="1">
        <v>18.1</v>
      </c>
      <c r="BH2151" s="1" t="s">
        <v>3572</v>
      </c>
    </row>
    <row r="2152">
      <c r="A2152" s="1">
        <v>40043.0</v>
      </c>
      <c r="B2152" s="2" t="str">
        <f>IFERROR(__xludf.DUMMYFUNCTION("TO_TEXT(A2152)"),"40043")</f>
        <v>40043</v>
      </c>
      <c r="C2152" s="1">
        <v>4862.0</v>
      </c>
      <c r="D2152" s="1">
        <v>999.479949237296</v>
      </c>
      <c r="E2152" s="1" t="s">
        <v>3573</v>
      </c>
      <c r="F2152" s="1" t="s">
        <v>3574</v>
      </c>
      <c r="G2152" s="1">
        <v>4.86452980243395</v>
      </c>
      <c r="H2152" s="1">
        <v>19.764777176</v>
      </c>
      <c r="I2152" s="1">
        <v>4.6109988589</v>
      </c>
      <c r="J2152" s="1">
        <v>7.3903002309</v>
      </c>
      <c r="K2152" s="1">
        <v>18.201656819</v>
      </c>
      <c r="L2152" s="1">
        <v>38.6</v>
      </c>
      <c r="M2152" s="1">
        <v>4.8</v>
      </c>
      <c r="N2152" s="1">
        <v>31.3</v>
      </c>
      <c r="O2152" s="1">
        <v>31.476091476</v>
      </c>
      <c r="P2152" s="1">
        <v>20.241149307</v>
      </c>
      <c r="Q2152" s="1">
        <v>41.00041</v>
      </c>
      <c r="R2152" s="1">
        <v>89.912280702</v>
      </c>
      <c r="S2152" s="1">
        <v>16.1</v>
      </c>
      <c r="T2152" s="1">
        <v>1331.0</v>
      </c>
      <c r="U2152" s="1">
        <v>14.425244177</v>
      </c>
      <c r="V2152" s="1">
        <v>40.559724194</v>
      </c>
      <c r="W2152" s="1">
        <v>6.6298342541</v>
      </c>
      <c r="X2152" s="1">
        <v>5.2484645449</v>
      </c>
      <c r="Y2152" s="1">
        <v>75.015672715</v>
      </c>
      <c r="Z2152" s="1">
        <v>10.1</v>
      </c>
      <c r="AA2152" s="1">
        <v>35.891806963</v>
      </c>
      <c r="AB2152" s="1">
        <v>50728.0</v>
      </c>
      <c r="AC2152" s="1">
        <v>48.346738159</v>
      </c>
      <c r="AD2152" s="1">
        <v>75.249853028</v>
      </c>
      <c r="AE2152" s="1">
        <v>7.874015748</v>
      </c>
      <c r="AF2152" s="1">
        <v>0.6947282387</v>
      </c>
      <c r="AG2152" s="1">
        <v>6.64078463419999</v>
      </c>
      <c r="AH2152" s="1">
        <v>1.1033919085</v>
      </c>
      <c r="AI2152" s="1">
        <v>0.0</v>
      </c>
      <c r="AJ2152" s="1">
        <v>7.4172456069</v>
      </c>
      <c r="AK2152" s="1">
        <v>81.405803024</v>
      </c>
      <c r="AL2152" s="1">
        <v>1.0487218702</v>
      </c>
      <c r="AM2152" s="1">
        <v>50.6947282389999</v>
      </c>
      <c r="AN2152" s="1">
        <v>100.0</v>
      </c>
      <c r="AO2152" s="1">
        <v>25708.0</v>
      </c>
      <c r="AP2152" s="1">
        <v>18.1</v>
      </c>
      <c r="AQ2152" s="1">
        <v>2.6</v>
      </c>
      <c r="AR2152" s="1">
        <v>9.5</v>
      </c>
      <c r="AS2152" s="1">
        <v>19.1</v>
      </c>
      <c r="AT2152" s="1">
        <v>25.9</v>
      </c>
      <c r="AU2152" s="1">
        <v>14.9</v>
      </c>
      <c r="AV2152" s="1">
        <v>16.2</v>
      </c>
      <c r="AW2152" s="1">
        <v>0.4</v>
      </c>
      <c r="AX2152" s="1">
        <v>0.2369</v>
      </c>
      <c r="AY2152" s="1">
        <v>11.6</v>
      </c>
      <c r="AZ2152" s="1">
        <v>13.2</v>
      </c>
      <c r="BA2152" s="1">
        <v>21.8</v>
      </c>
      <c r="BB2152" s="1">
        <v>3.28</v>
      </c>
      <c r="BC2152" s="1" t="s">
        <v>3542</v>
      </c>
      <c r="BD2152" s="1">
        <v>6.2</v>
      </c>
      <c r="BE2152" s="1">
        <v>41.5</v>
      </c>
      <c r="BF2152" s="1">
        <v>28.3</v>
      </c>
      <c r="BG2152" s="1">
        <v>24.0</v>
      </c>
      <c r="BH2152" s="1" t="s">
        <v>3574</v>
      </c>
    </row>
    <row r="2153">
      <c r="A2153" s="1">
        <v>40045.0</v>
      </c>
      <c r="B2153" s="2" t="str">
        <f>IFERROR(__xludf.DUMMYFUNCTION("TO_TEXT(A2153)"),"40045")</f>
        <v>40045</v>
      </c>
      <c r="C2153" s="1">
        <v>4123.0</v>
      </c>
      <c r="D2153" s="1">
        <v>1231.5133129551</v>
      </c>
      <c r="E2153" s="1" t="s">
        <v>1626</v>
      </c>
      <c r="F2153" s="1" t="s">
        <v>3575</v>
      </c>
      <c r="G2153" s="1">
        <v>3.34791346275143</v>
      </c>
      <c r="H2153" s="1">
        <v>19.358704469</v>
      </c>
      <c r="I2153" s="1">
        <v>4.5391845019</v>
      </c>
      <c r="J2153" s="1">
        <v>5.0793650794</v>
      </c>
      <c r="K2153" s="1">
        <v>17.728023422</v>
      </c>
      <c r="L2153" s="1">
        <v>36.3</v>
      </c>
      <c r="M2153" s="1">
        <v>4.7</v>
      </c>
      <c r="N2153" s="1">
        <v>26.9</v>
      </c>
      <c r="O2153" s="1">
        <v>39.388099253</v>
      </c>
      <c r="P2153" s="1">
        <v>19.293125811</v>
      </c>
      <c r="Q2153" s="1">
        <v>50.42864</v>
      </c>
      <c r="R2153" s="1">
        <v>89.912280702</v>
      </c>
      <c r="S2153" s="1">
        <v>18.3</v>
      </c>
      <c r="T2153" s="1">
        <v>948.0</v>
      </c>
      <c r="U2153" s="1">
        <v>31.856540084</v>
      </c>
      <c r="V2153" s="1">
        <v>154.66983938</v>
      </c>
      <c r="W2153" s="1">
        <v>8.3076923077</v>
      </c>
      <c r="X2153" s="1">
        <v>7.7210460772</v>
      </c>
      <c r="Y2153" s="1">
        <v>74.39902847</v>
      </c>
      <c r="Z2153" s="1">
        <v>10.6</v>
      </c>
      <c r="AA2153" s="1">
        <v>38.20168711</v>
      </c>
      <c r="AB2153" s="1">
        <v>51867.0</v>
      </c>
      <c r="AC2153" s="1">
        <v>51.085568327</v>
      </c>
      <c r="AD2153" s="1">
        <v>73.3665214689999</v>
      </c>
      <c r="AE2153" s="1">
        <v>8.7378640777</v>
      </c>
      <c r="AF2153" s="1">
        <v>0.6831983806</v>
      </c>
      <c r="AG2153" s="1">
        <v>2.8593117409</v>
      </c>
      <c r="AH2153" s="1">
        <v>0.4048582996</v>
      </c>
      <c r="AI2153" s="1">
        <v>0.0759109312</v>
      </c>
      <c r="AJ2153" s="1">
        <v>7.4898785425</v>
      </c>
      <c r="AK2153" s="1">
        <v>86.589068826</v>
      </c>
      <c r="AL2153" s="1">
        <v>0.3661087866</v>
      </c>
      <c r="AM2153" s="1">
        <v>50.910931174</v>
      </c>
      <c r="AN2153" s="1">
        <v>100.0</v>
      </c>
      <c r="AO2153" s="1">
        <v>28610.0</v>
      </c>
      <c r="AP2153" s="1">
        <v>15.4</v>
      </c>
      <c r="AQ2153" s="1">
        <v>5.5</v>
      </c>
      <c r="AR2153" s="1">
        <v>12.1</v>
      </c>
      <c r="AS2153" s="1">
        <v>20.3</v>
      </c>
      <c r="AT2153" s="1">
        <v>23.9</v>
      </c>
      <c r="AU2153" s="1">
        <v>13.1</v>
      </c>
      <c r="AV2153" s="1">
        <v>12.8</v>
      </c>
      <c r="AW2153" s="1">
        <v>0.3</v>
      </c>
      <c r="AX2153" s="1">
        <v>0.1512</v>
      </c>
      <c r="AY2153" s="1">
        <v>13.0</v>
      </c>
      <c r="AZ2153" s="1">
        <v>13.8</v>
      </c>
      <c r="BA2153" s="1">
        <v>20.6</v>
      </c>
      <c r="BB2153" s="1">
        <v>3.36</v>
      </c>
      <c r="BC2153" s="1" t="s">
        <v>3542</v>
      </c>
      <c r="BD2153" s="1">
        <v>14.2</v>
      </c>
      <c r="BE2153" s="1">
        <v>34.5</v>
      </c>
      <c r="BF2153" s="1">
        <v>31.2</v>
      </c>
      <c r="BG2153" s="1">
        <v>20.1</v>
      </c>
      <c r="BH2153" s="1" t="s">
        <v>3575</v>
      </c>
    </row>
    <row r="2154">
      <c r="A2154" s="1">
        <v>40047.0</v>
      </c>
      <c r="B2154" s="2" t="str">
        <f>IFERROR(__xludf.DUMMYFUNCTION("TO_TEXT(A2154)"),"40047")</f>
        <v>40047</v>
      </c>
      <c r="C2154" s="1">
        <v>62481.0</v>
      </c>
      <c r="D2154" s="1">
        <v>1058.49049396984</v>
      </c>
      <c r="E2154" s="1" t="s">
        <v>579</v>
      </c>
      <c r="F2154" s="1" t="s">
        <v>3576</v>
      </c>
      <c r="G2154" s="1">
        <v>59.0283997409052</v>
      </c>
      <c r="H2154" s="1">
        <v>18.495676102</v>
      </c>
      <c r="I2154" s="1">
        <v>4.3105384665</v>
      </c>
      <c r="J2154" s="1">
        <v>8.174386921</v>
      </c>
      <c r="K2154" s="1">
        <v>17.391718594</v>
      </c>
      <c r="L2154" s="1">
        <v>36.2</v>
      </c>
      <c r="M2154" s="1">
        <v>7.6</v>
      </c>
      <c r="N2154" s="1">
        <v>28.6</v>
      </c>
      <c r="O2154" s="1">
        <v>66.761307362</v>
      </c>
      <c r="P2154" s="1">
        <v>18.021956285</v>
      </c>
      <c r="Q2154" s="1">
        <v>53.58796</v>
      </c>
      <c r="R2154" s="1">
        <v>83.693029491</v>
      </c>
      <c r="S2154" s="1">
        <v>21.9</v>
      </c>
      <c r="T2154" s="1">
        <v>16003.0</v>
      </c>
      <c r="U2154" s="1">
        <v>34.168593389</v>
      </c>
      <c r="V2154" s="1">
        <v>342.95287164</v>
      </c>
      <c r="W2154" s="1">
        <v>11.843202669</v>
      </c>
      <c r="X2154" s="1">
        <v>7.9815164881</v>
      </c>
      <c r="Y2154" s="1">
        <v>75.990048751</v>
      </c>
      <c r="Z2154" s="1">
        <v>9.7</v>
      </c>
      <c r="AA2154" s="1">
        <v>5.6288002971</v>
      </c>
      <c r="AB2154" s="1">
        <v>52387.0</v>
      </c>
      <c r="AC2154" s="1">
        <v>60.947104147</v>
      </c>
      <c r="AD2154" s="1">
        <v>64.451813298</v>
      </c>
      <c r="AE2154" s="1">
        <v>9.2854329847</v>
      </c>
      <c r="AF2154" s="1">
        <v>2.9369756866</v>
      </c>
      <c r="AG2154" s="1">
        <v>3.1980037102</v>
      </c>
      <c r="AH2154" s="1">
        <v>1.3740909166</v>
      </c>
      <c r="AI2154" s="1">
        <v>2.9107087157</v>
      </c>
      <c r="AJ2154" s="1">
        <v>12.93319981</v>
      </c>
      <c r="AK2154" s="1">
        <v>74.182850951</v>
      </c>
      <c r="AL2154" s="1">
        <v>2.9216605871</v>
      </c>
      <c r="AM2154" s="1">
        <v>50.2191650389999</v>
      </c>
      <c r="AN2154" s="1">
        <v>21.411356883</v>
      </c>
      <c r="AO2154" s="1">
        <v>24968.0</v>
      </c>
      <c r="AP2154" s="1">
        <v>13.1</v>
      </c>
      <c r="AQ2154" s="1">
        <v>4.9</v>
      </c>
      <c r="AR2154" s="1">
        <v>12.8</v>
      </c>
      <c r="AS2154" s="1">
        <v>15.4</v>
      </c>
      <c r="AT2154" s="1">
        <v>25.6</v>
      </c>
      <c r="AU2154" s="1">
        <v>14.2</v>
      </c>
      <c r="AV2154" s="1">
        <v>23.5</v>
      </c>
      <c r="AW2154" s="1">
        <v>3.5</v>
      </c>
      <c r="AX2154" s="1">
        <v>0.5438</v>
      </c>
      <c r="AY2154" s="1">
        <v>12.7</v>
      </c>
      <c r="AZ2154" s="1">
        <v>13.5</v>
      </c>
      <c r="BA2154" s="1">
        <v>19.1</v>
      </c>
      <c r="BB2154" s="1">
        <v>2.95</v>
      </c>
      <c r="BC2154" s="1" t="s">
        <v>3542</v>
      </c>
      <c r="BD2154" s="1">
        <v>12.1</v>
      </c>
      <c r="BE2154" s="1">
        <v>36.2</v>
      </c>
      <c r="BF2154" s="1">
        <v>28.8</v>
      </c>
      <c r="BG2154" s="1">
        <v>22.9</v>
      </c>
      <c r="BH2154" s="1" t="s">
        <v>3576</v>
      </c>
    </row>
    <row r="2155">
      <c r="A2155" s="1">
        <v>40049.0</v>
      </c>
      <c r="B2155" s="2" t="str">
        <f>IFERROR(__xludf.DUMMYFUNCTION("TO_TEXT(A2155)"),"40049")</f>
        <v>40049</v>
      </c>
      <c r="C2155" s="1">
        <v>27570.0</v>
      </c>
      <c r="D2155" s="1">
        <v>802.062272683506</v>
      </c>
      <c r="E2155" s="1" t="s">
        <v>3577</v>
      </c>
      <c r="F2155" s="1" t="s">
        <v>3578</v>
      </c>
      <c r="G2155" s="1">
        <v>34.3738895831086</v>
      </c>
      <c r="H2155" s="1">
        <v>22.20799663</v>
      </c>
      <c r="I2155" s="1">
        <v>4.7247675692</v>
      </c>
      <c r="J2155" s="1">
        <v>9.1656874266</v>
      </c>
      <c r="K2155" s="1">
        <v>20.285881569</v>
      </c>
      <c r="L2155" s="1">
        <v>34.8</v>
      </c>
      <c r="M2155" s="1">
        <v>7.1</v>
      </c>
      <c r="N2155" s="1">
        <v>35.8</v>
      </c>
      <c r="O2155" s="1">
        <v>34.620684653</v>
      </c>
      <c r="P2155" s="1">
        <v>18.654973337</v>
      </c>
      <c r="Q2155" s="1">
        <v>32.24766</v>
      </c>
      <c r="R2155" s="1">
        <v>84.266581633</v>
      </c>
      <c r="S2155" s="1">
        <v>19.9</v>
      </c>
      <c r="T2155" s="1">
        <v>6935.0</v>
      </c>
      <c r="U2155" s="1">
        <v>31.4203316509999</v>
      </c>
      <c r="V2155" s="1">
        <v>260.14189558</v>
      </c>
      <c r="W2155" s="1">
        <v>11.919578746</v>
      </c>
      <c r="X2155" s="1">
        <v>8.5600398605</v>
      </c>
      <c r="Y2155" s="1">
        <v>73.530989494</v>
      </c>
      <c r="Z2155" s="1">
        <v>13.9</v>
      </c>
      <c r="AA2155" s="1">
        <v>8.34623758309999</v>
      </c>
      <c r="AB2155" s="1">
        <v>47858.0</v>
      </c>
      <c r="AC2155" s="1">
        <v>61.210886873</v>
      </c>
      <c r="AD2155" s="1">
        <v>68.354916067</v>
      </c>
      <c r="AE2155" s="1">
        <v>8.3583324713</v>
      </c>
      <c r="AF2155" s="1">
        <v>2.1358455287</v>
      </c>
      <c r="AG2155" s="1">
        <v>8.9029520693</v>
      </c>
      <c r="AH2155" s="1">
        <v>0.5465463306</v>
      </c>
      <c r="AI2155" s="1">
        <v>0.1222537845</v>
      </c>
      <c r="AJ2155" s="1">
        <v>9.2265650282</v>
      </c>
      <c r="AK2155" s="1">
        <v>74.995505376</v>
      </c>
      <c r="AL2155" s="1">
        <v>0.9414669908</v>
      </c>
      <c r="AM2155" s="1">
        <v>50.641832368</v>
      </c>
      <c r="AN2155" s="1">
        <v>68.701044386</v>
      </c>
      <c r="AO2155" s="1">
        <v>22208.0</v>
      </c>
      <c r="AP2155" s="1">
        <v>18.6</v>
      </c>
      <c r="AQ2155" s="1">
        <v>4.1</v>
      </c>
      <c r="AR2155" s="1">
        <v>15.3</v>
      </c>
      <c r="AS2155" s="1">
        <v>17.2</v>
      </c>
      <c r="AT2155" s="1">
        <v>25.0</v>
      </c>
      <c r="AU2155" s="1">
        <v>14.3</v>
      </c>
      <c r="AV2155" s="1">
        <v>23.1</v>
      </c>
      <c r="AW2155" s="1">
        <v>1.1</v>
      </c>
      <c r="AX2155" s="1">
        <v>0.475</v>
      </c>
      <c r="AY2155" s="1">
        <v>15.6</v>
      </c>
      <c r="AZ2155" s="1">
        <v>14.2</v>
      </c>
      <c r="BA2155" s="1">
        <v>20.4</v>
      </c>
      <c r="BB2155" s="1">
        <v>3.08</v>
      </c>
      <c r="BC2155" s="1" t="s">
        <v>3542</v>
      </c>
      <c r="BD2155" s="1">
        <v>13.7</v>
      </c>
      <c r="BE2155" s="1">
        <v>45.0</v>
      </c>
      <c r="BF2155" s="1">
        <v>26.6</v>
      </c>
      <c r="BG2155" s="1">
        <v>14.7</v>
      </c>
      <c r="BH2155" s="1" t="s">
        <v>3578</v>
      </c>
    </row>
    <row r="2156">
      <c r="A2156" s="1">
        <v>40051.0</v>
      </c>
      <c r="B2156" s="2" t="str">
        <f>IFERROR(__xludf.DUMMYFUNCTION("TO_TEXT(A2156)"),"40051")</f>
        <v>40051</v>
      </c>
      <c r="C2156" s="1">
        <v>53955.0</v>
      </c>
      <c r="D2156" s="1">
        <v>1100.49606839411</v>
      </c>
      <c r="E2156" s="1" t="s">
        <v>908</v>
      </c>
      <c r="F2156" s="1" t="s">
        <v>3579</v>
      </c>
      <c r="G2156" s="1">
        <v>49.0278898303866</v>
      </c>
      <c r="H2156" s="1">
        <v>17.639306379</v>
      </c>
      <c r="I2156" s="1">
        <v>4.1713540867</v>
      </c>
      <c r="J2156" s="1">
        <v>8.1759502749</v>
      </c>
      <c r="K2156" s="1">
        <v>18.971434657</v>
      </c>
      <c r="L2156" s="1">
        <v>34.5</v>
      </c>
      <c r="M2156" s="1">
        <v>7.8</v>
      </c>
      <c r="N2156" s="1">
        <v>29.4</v>
      </c>
      <c r="O2156" s="1">
        <v>48.709732792</v>
      </c>
      <c r="P2156" s="1">
        <v>14.636674385</v>
      </c>
      <c r="Q2156" s="1">
        <v>36.40136</v>
      </c>
      <c r="R2156" s="1">
        <v>85.200927357</v>
      </c>
      <c r="S2156" s="1">
        <v>13.6</v>
      </c>
      <c r="T2156" s="1">
        <v>13205.0</v>
      </c>
      <c r="U2156" s="1">
        <v>25.694812571</v>
      </c>
      <c r="V2156" s="1">
        <v>266.38986616</v>
      </c>
      <c r="W2156" s="1">
        <v>10.150856558</v>
      </c>
      <c r="X2156" s="1">
        <v>7.7290423047</v>
      </c>
      <c r="Y2156" s="1">
        <v>76.133605449</v>
      </c>
      <c r="Z2156" s="1">
        <v>12.6</v>
      </c>
      <c r="AA2156" s="1">
        <v>5.1261009426</v>
      </c>
      <c r="AB2156" s="1">
        <v>56489.0</v>
      </c>
      <c r="AC2156" s="1">
        <v>58.201168614</v>
      </c>
      <c r="AD2156" s="1">
        <v>77.71728171</v>
      </c>
      <c r="AE2156" s="1">
        <v>7.8857991934</v>
      </c>
      <c r="AF2156" s="1">
        <v>2.2249824486</v>
      </c>
      <c r="AG2156" s="1">
        <v>6.1709060143</v>
      </c>
      <c r="AH2156" s="1">
        <v>0.5202426599</v>
      </c>
      <c r="AI2156" s="1">
        <v>0.0684056093</v>
      </c>
      <c r="AJ2156" s="1">
        <v>5.9350866771</v>
      </c>
      <c r="AK2156" s="1">
        <v>81.2298608489999</v>
      </c>
      <c r="AL2156" s="1">
        <v>0.6679481952</v>
      </c>
      <c r="AM2156" s="1">
        <v>50.004500369</v>
      </c>
      <c r="AN2156" s="1">
        <v>63.885869047</v>
      </c>
      <c r="AO2156" s="1">
        <v>26250.0</v>
      </c>
      <c r="AP2156" s="1">
        <v>12.7</v>
      </c>
      <c r="AQ2156" s="1">
        <v>4.1</v>
      </c>
      <c r="AR2156" s="1">
        <v>12.3</v>
      </c>
      <c r="AS2156" s="1">
        <v>14.8</v>
      </c>
      <c r="AT2156" s="1">
        <v>24.6</v>
      </c>
      <c r="AU2156" s="1">
        <v>15.4</v>
      </c>
      <c r="AV2156" s="1">
        <v>17.9</v>
      </c>
      <c r="AW2156" s="1">
        <v>0.5</v>
      </c>
      <c r="AX2156" s="1">
        <v>0.2601</v>
      </c>
      <c r="AY2156" s="1">
        <v>12.1</v>
      </c>
      <c r="AZ2156" s="1">
        <v>12.6</v>
      </c>
      <c r="BA2156" s="1">
        <v>19.1</v>
      </c>
      <c r="BB2156" s="1">
        <v>3.16</v>
      </c>
      <c r="BC2156" s="1" t="s">
        <v>3542</v>
      </c>
      <c r="BD2156" s="1">
        <v>9.9</v>
      </c>
      <c r="BE2156" s="1">
        <v>40.3</v>
      </c>
      <c r="BF2156" s="1">
        <v>29.9</v>
      </c>
      <c r="BG2156" s="1">
        <v>19.9</v>
      </c>
      <c r="BH2156" s="1" t="s">
        <v>3579</v>
      </c>
    </row>
    <row r="2157">
      <c r="A2157" s="1">
        <v>40053.0</v>
      </c>
      <c r="B2157" s="2" t="str">
        <f>IFERROR(__xludf.DUMMYFUNCTION("TO_TEXT(A2157)"),"40053")</f>
        <v>40053</v>
      </c>
      <c r="C2157" s="1">
        <v>4497.0</v>
      </c>
      <c r="D2157" s="1">
        <v>1000.87098632594</v>
      </c>
      <c r="E2157" s="1" t="s">
        <v>332</v>
      </c>
      <c r="F2157" s="1" t="s">
        <v>3580</v>
      </c>
      <c r="G2157" s="1">
        <v>4.49308658302492</v>
      </c>
      <c r="H2157" s="1">
        <v>15.516721436</v>
      </c>
      <c r="I2157" s="1">
        <v>4.1176739558</v>
      </c>
      <c r="J2157" s="1">
        <v>5.1771117166</v>
      </c>
      <c r="K2157" s="1">
        <v>15.150839585</v>
      </c>
      <c r="L2157" s="1">
        <v>27.7</v>
      </c>
      <c r="M2157" s="1">
        <v>6.4</v>
      </c>
      <c r="N2157" s="1">
        <v>30.1</v>
      </c>
      <c r="O2157" s="1">
        <v>28.9816655619999</v>
      </c>
      <c r="P2157" s="1">
        <v>16.290653384</v>
      </c>
      <c r="Q2157" s="1">
        <v>48.31939</v>
      </c>
      <c r="R2157" s="1">
        <v>89.912280702</v>
      </c>
      <c r="S2157" s="1">
        <v>16.8</v>
      </c>
      <c r="T2157" s="1">
        <v>1046.0</v>
      </c>
      <c r="U2157" s="1">
        <v>30.497131931</v>
      </c>
      <c r="V2157" s="1">
        <v>66.459902525</v>
      </c>
      <c r="W2157" s="1">
        <v>3.8167938931</v>
      </c>
      <c r="X2157" s="1">
        <v>2.9066802652</v>
      </c>
      <c r="Y2157" s="1">
        <v>73.896828721</v>
      </c>
      <c r="Z2157" s="1">
        <v>13.9</v>
      </c>
      <c r="AA2157" s="1">
        <v>23.252317549</v>
      </c>
      <c r="AB2157" s="1">
        <v>49073.0</v>
      </c>
      <c r="AC2157" s="1">
        <v>53.566796368</v>
      </c>
      <c r="AD2157" s="1">
        <v>75.890410959</v>
      </c>
      <c r="AE2157" s="1">
        <v>3.7278106509</v>
      </c>
      <c r="AF2157" s="1">
        <v>1.6643550624</v>
      </c>
      <c r="AG2157" s="1">
        <v>2.6814609339</v>
      </c>
      <c r="AH2157" s="1">
        <v>0.2542764679</v>
      </c>
      <c r="AI2157" s="1">
        <v>0.0231160425</v>
      </c>
      <c r="AJ2157" s="1">
        <v>5.154877485</v>
      </c>
      <c r="AK2157" s="1">
        <v>87.794729542</v>
      </c>
      <c r="AL2157" s="1">
        <v>0.2401536984</v>
      </c>
      <c r="AM2157" s="1">
        <v>50.416088766</v>
      </c>
      <c r="AN2157" s="1">
        <v>100.0</v>
      </c>
      <c r="AO2157" s="1">
        <v>29559.0</v>
      </c>
      <c r="AP2157" s="1">
        <v>9.1</v>
      </c>
      <c r="AQ2157" s="1">
        <v>3.7</v>
      </c>
      <c r="AR2157" s="1">
        <v>9.0</v>
      </c>
      <c r="AS2157" s="1">
        <v>21.3</v>
      </c>
      <c r="AT2157" s="1">
        <v>23.3</v>
      </c>
      <c r="AU2157" s="1">
        <v>14.8</v>
      </c>
      <c r="AV2157" s="1">
        <v>10.8</v>
      </c>
      <c r="AW2157" s="1">
        <v>0.1</v>
      </c>
      <c r="AX2157" s="1">
        <v>0.0643</v>
      </c>
      <c r="AY2157" s="1">
        <v>11.2</v>
      </c>
      <c r="AZ2157" s="1">
        <v>12.2</v>
      </c>
      <c r="BA2157" s="1">
        <v>18.1</v>
      </c>
      <c r="BB2157" s="1">
        <v>2.91</v>
      </c>
      <c r="BC2157" s="1" t="s">
        <v>3542</v>
      </c>
      <c r="BD2157" s="1">
        <v>9.3</v>
      </c>
      <c r="BE2157" s="1">
        <v>36.9</v>
      </c>
      <c r="BF2157" s="1">
        <v>29.1</v>
      </c>
      <c r="BG2157" s="1">
        <v>24.6</v>
      </c>
      <c r="BH2157" s="1" t="s">
        <v>3580</v>
      </c>
    </row>
    <row r="2158">
      <c r="A2158" s="1">
        <v>40055.0</v>
      </c>
      <c r="B2158" s="2" t="str">
        <f>IFERROR(__xludf.DUMMYFUNCTION("TO_TEXT(A2158)"),"40055")</f>
        <v>40055</v>
      </c>
      <c r="C2158" s="1">
        <v>6081.0</v>
      </c>
      <c r="D2158" s="1">
        <v>639.324283175143</v>
      </c>
      <c r="E2158" s="1" t="s">
        <v>3581</v>
      </c>
      <c r="F2158" s="1" t="s">
        <v>3582</v>
      </c>
      <c r="G2158" s="1">
        <v>9.5116049241854</v>
      </c>
      <c r="H2158" s="1">
        <v>21.864636277</v>
      </c>
      <c r="I2158" s="1">
        <v>4.6366770105</v>
      </c>
      <c r="J2158" s="1">
        <v>7.87746170679999</v>
      </c>
      <c r="K2158" s="1">
        <v>20.229336946</v>
      </c>
      <c r="L2158" s="1">
        <v>31.3</v>
      </c>
      <c r="M2158" s="1">
        <v>7.3</v>
      </c>
      <c r="N2158" s="1">
        <v>30.1</v>
      </c>
      <c r="O2158" s="1">
        <v>64.593684885</v>
      </c>
      <c r="P2158" s="1">
        <v>13.7977407209999</v>
      </c>
      <c r="Q2158" s="1">
        <v>48.31939</v>
      </c>
      <c r="R2158" s="1">
        <v>89.912280702</v>
      </c>
      <c r="S2158" s="1">
        <v>30.8</v>
      </c>
      <c r="T2158" s="1">
        <v>1151.0</v>
      </c>
      <c r="U2158" s="1">
        <v>36.663770634</v>
      </c>
      <c r="V2158" s="1">
        <v>106.70606583</v>
      </c>
      <c r="W2158" s="1">
        <v>10.9263657959999</v>
      </c>
      <c r="X2158" s="1">
        <v>7.556193209</v>
      </c>
      <c r="Y2158" s="1">
        <v>77.155472272</v>
      </c>
      <c r="Z2158" s="1">
        <v>9.7</v>
      </c>
      <c r="AA2158" s="1">
        <v>3.5875594057</v>
      </c>
      <c r="AB2158" s="1">
        <v>37445.0</v>
      </c>
      <c r="AC2158" s="1">
        <v>74.265450861</v>
      </c>
      <c r="AD2158" s="1">
        <v>69.18177364</v>
      </c>
      <c r="AE2158" s="1">
        <v>8.35522858639999</v>
      </c>
      <c r="AF2158" s="1">
        <v>8.1429307679</v>
      </c>
      <c r="AG2158" s="1">
        <v>3.8309568803</v>
      </c>
      <c r="AH2158" s="1">
        <v>0.309225219</v>
      </c>
      <c r="AI2158" s="1">
        <v>0.1374334307</v>
      </c>
      <c r="AJ2158" s="1">
        <v>12.025425185</v>
      </c>
      <c r="AK2158" s="1">
        <v>74.025081601</v>
      </c>
      <c r="AL2158" s="1">
        <v>0.0355429181</v>
      </c>
      <c r="AM2158" s="1">
        <v>42.501288438</v>
      </c>
      <c r="AN2158" s="1">
        <v>52.6526686969999</v>
      </c>
      <c r="AO2158" s="1">
        <v>20147.0</v>
      </c>
      <c r="AP2158" s="1">
        <v>19.0</v>
      </c>
      <c r="AQ2158" s="1">
        <v>6.2</v>
      </c>
      <c r="AR2158" s="1">
        <v>14.2</v>
      </c>
      <c r="AS2158" s="1">
        <v>18.6</v>
      </c>
      <c r="AT2158" s="1">
        <v>19.2</v>
      </c>
      <c r="AU2158" s="1">
        <v>21.2</v>
      </c>
      <c r="AV2158" s="1">
        <v>24.1</v>
      </c>
      <c r="AW2158" s="1">
        <v>0.2</v>
      </c>
      <c r="AX2158" s="1">
        <v>0.6581</v>
      </c>
      <c r="AY2158" s="1">
        <v>24.1</v>
      </c>
      <c r="AZ2158" s="1">
        <v>18.0</v>
      </c>
      <c r="BA2158" s="1">
        <v>24.9</v>
      </c>
      <c r="BB2158" s="1">
        <v>3.2</v>
      </c>
      <c r="BC2158" s="1" t="s">
        <v>3542</v>
      </c>
      <c r="BD2158" s="1">
        <v>16.1</v>
      </c>
      <c r="BE2158" s="1">
        <v>36.5</v>
      </c>
      <c r="BF2158" s="1">
        <v>35.1</v>
      </c>
      <c r="BG2158" s="1">
        <v>12.3</v>
      </c>
      <c r="BH2158" s="1" t="s">
        <v>3582</v>
      </c>
    </row>
    <row r="2159">
      <c r="A2159" s="1">
        <v>40057.0</v>
      </c>
      <c r="B2159" s="2" t="str">
        <f>IFERROR(__xludf.DUMMYFUNCTION("TO_TEXT(A2159)"),"40057")</f>
        <v>40057</v>
      </c>
      <c r="C2159" s="1">
        <v>2813.0</v>
      </c>
      <c r="D2159" s="1">
        <v>537.193904534494</v>
      </c>
      <c r="E2159" s="1" t="s">
        <v>3583</v>
      </c>
      <c r="F2159" s="1" t="s">
        <v>3584</v>
      </c>
      <c r="G2159" s="1">
        <v>5.2364704369414</v>
      </c>
      <c r="H2159" s="1">
        <v>22.216259369</v>
      </c>
      <c r="I2159" s="1">
        <v>4.4088443374</v>
      </c>
      <c r="J2159" s="1">
        <v>10.041841004</v>
      </c>
      <c r="K2159" s="1">
        <v>16.9866102009999</v>
      </c>
      <c r="L2159" s="1">
        <v>31.8</v>
      </c>
      <c r="M2159" s="1">
        <v>8.2</v>
      </c>
      <c r="N2159" s="1">
        <v>22.0</v>
      </c>
      <c r="O2159" s="1">
        <v>79.192334018</v>
      </c>
      <c r="P2159" s="1">
        <v>24.20503085</v>
      </c>
      <c r="Q2159" s="1">
        <v>37.18855</v>
      </c>
      <c r="R2159" s="1">
        <v>89.912280702</v>
      </c>
      <c r="S2159" s="1">
        <v>31.5</v>
      </c>
      <c r="T2159" s="1">
        <v>641.0</v>
      </c>
      <c r="U2159" s="1">
        <v>28.237129485</v>
      </c>
      <c r="V2159" s="1">
        <v>320.91281868</v>
      </c>
      <c r="W2159" s="1">
        <v>7.6923076923</v>
      </c>
      <c r="X2159" s="1">
        <v>4.6915725456</v>
      </c>
      <c r="Y2159" s="1">
        <v>74.098078837</v>
      </c>
      <c r="Z2159" s="1">
        <v>6.9</v>
      </c>
      <c r="AA2159" s="1">
        <v>1.9215788172</v>
      </c>
      <c r="AB2159" s="1">
        <v>38537.0</v>
      </c>
      <c r="AC2159" s="1">
        <v>69.982238011</v>
      </c>
      <c r="AD2159" s="1">
        <v>72.950126796</v>
      </c>
      <c r="AE2159" s="1">
        <v>4.8507462687</v>
      </c>
      <c r="AF2159" s="1">
        <v>7.2822822823</v>
      </c>
      <c r="AG2159" s="1">
        <v>2.6651651652</v>
      </c>
      <c r="AH2159" s="1">
        <v>1.4264264264</v>
      </c>
      <c r="AI2159" s="1">
        <v>0.0</v>
      </c>
      <c r="AJ2159" s="1">
        <v>29.7672672669999</v>
      </c>
      <c r="AK2159" s="1">
        <v>55.968468468</v>
      </c>
      <c r="AL2159" s="1">
        <v>2.1939953811</v>
      </c>
      <c r="AM2159" s="1">
        <v>52.214714715</v>
      </c>
      <c r="AN2159" s="1">
        <v>100.0</v>
      </c>
      <c r="AO2159" s="1">
        <v>21227.0</v>
      </c>
      <c r="AP2159" s="1">
        <v>16.0</v>
      </c>
      <c r="AQ2159" s="1">
        <v>9.0</v>
      </c>
      <c r="AR2159" s="1">
        <v>23.0</v>
      </c>
      <c r="AS2159" s="1">
        <v>19.2</v>
      </c>
      <c r="AT2159" s="1">
        <v>24.4</v>
      </c>
      <c r="AU2159" s="1">
        <v>18.9</v>
      </c>
      <c r="AV2159" s="1">
        <v>40.1</v>
      </c>
      <c r="AW2159" s="1">
        <v>2.3</v>
      </c>
      <c r="AX2159" s="1">
        <v>0.8367</v>
      </c>
      <c r="AY2159" s="1">
        <v>23.7</v>
      </c>
      <c r="AZ2159" s="1">
        <v>13.9</v>
      </c>
      <c r="BA2159" s="1">
        <v>18.2</v>
      </c>
      <c r="BB2159" s="1">
        <v>3.18</v>
      </c>
      <c r="BC2159" s="1" t="s">
        <v>3542</v>
      </c>
      <c r="BD2159" s="1">
        <v>20.3</v>
      </c>
      <c r="BE2159" s="1">
        <v>25.1</v>
      </c>
      <c r="BF2159" s="1">
        <v>33.9</v>
      </c>
      <c r="BG2159" s="1">
        <v>20.7</v>
      </c>
      <c r="BH2159" s="1" t="s">
        <v>3584</v>
      </c>
    </row>
    <row r="2160">
      <c r="A2160" s="1">
        <v>40059.0</v>
      </c>
      <c r="B2160" s="2" t="str">
        <f>IFERROR(__xludf.DUMMYFUNCTION("TO_TEXT(A2160)"),"40059")</f>
        <v>40059</v>
      </c>
      <c r="C2160" s="1">
        <v>3785.0</v>
      </c>
      <c r="D2160" s="1">
        <v>1039.01640098546</v>
      </c>
      <c r="E2160" s="1" t="s">
        <v>1647</v>
      </c>
      <c r="F2160" s="1" t="s">
        <v>3585</v>
      </c>
      <c r="G2160" s="1">
        <v>3.64286838630276</v>
      </c>
      <c r="H2160" s="1">
        <v>19.18093537</v>
      </c>
      <c r="I2160" s="1">
        <v>4.2967404546</v>
      </c>
      <c r="J2160" s="1">
        <v>8.5714285714</v>
      </c>
      <c r="K2160" s="1">
        <v>16.238178633</v>
      </c>
      <c r="L2160" s="1">
        <v>26.5</v>
      </c>
      <c r="M2160" s="1">
        <v>6.7</v>
      </c>
      <c r="N2160" s="1">
        <v>27.3</v>
      </c>
      <c r="O2160" s="1">
        <v>24.8846675709999</v>
      </c>
      <c r="P2160" s="1">
        <v>25.868725869</v>
      </c>
      <c r="Q2160" s="1">
        <v>26.2605</v>
      </c>
      <c r="R2160" s="1">
        <v>89.912280702</v>
      </c>
      <c r="S2160" s="1">
        <v>15.7</v>
      </c>
      <c r="T2160" s="1">
        <v>1006.0</v>
      </c>
      <c r="U2160" s="1">
        <v>11.9284294229999</v>
      </c>
      <c r="V2160" s="1">
        <v>26.326181387</v>
      </c>
      <c r="W2160" s="1">
        <v>4.7794117647</v>
      </c>
      <c r="X2160" s="1">
        <v>3.0188679245</v>
      </c>
      <c r="Y2160" s="1">
        <v>77.811329493</v>
      </c>
      <c r="Z2160" s="1">
        <v>9.0</v>
      </c>
      <c r="AA2160" s="1">
        <v>23.3756155719999</v>
      </c>
      <c r="AB2160" s="1">
        <v>55112.0</v>
      </c>
      <c r="AC2160" s="1">
        <v>57.915057915</v>
      </c>
      <c r="AD2160" s="1">
        <v>82.883577487</v>
      </c>
      <c r="AE2160" s="1">
        <v>5.3311793215</v>
      </c>
      <c r="AF2160" s="1">
        <v>0.1843560706</v>
      </c>
      <c r="AG2160" s="1">
        <v>2.0542533579</v>
      </c>
      <c r="AH2160" s="1">
        <v>0.2106926521</v>
      </c>
      <c r="AI2160" s="1">
        <v>0.2106926521</v>
      </c>
      <c r="AJ2160" s="1">
        <v>24.624703713</v>
      </c>
      <c r="AK2160" s="1">
        <v>72.056887016</v>
      </c>
      <c r="AL2160" s="1">
        <v>5.2911534155</v>
      </c>
      <c r="AM2160" s="1">
        <v>50.013168291</v>
      </c>
      <c r="AN2160" s="1">
        <v>100.0</v>
      </c>
      <c r="AO2160" s="1">
        <v>24948.0</v>
      </c>
      <c r="AP2160" s="1">
        <v>13.8</v>
      </c>
      <c r="AQ2160" s="1">
        <v>1.9</v>
      </c>
      <c r="AR2160" s="1">
        <v>18.0</v>
      </c>
      <c r="AS2160" s="1">
        <v>17.6</v>
      </c>
      <c r="AT2160" s="1">
        <v>25.9</v>
      </c>
      <c r="AU2160" s="1">
        <v>12.5</v>
      </c>
      <c r="AV2160" s="1">
        <v>23.6</v>
      </c>
      <c r="AW2160" s="1">
        <v>8.3</v>
      </c>
      <c r="AX2160" s="1">
        <v>0.362</v>
      </c>
      <c r="AY2160" s="1">
        <v>11.1</v>
      </c>
      <c r="AZ2160" s="1">
        <v>10.1</v>
      </c>
      <c r="BA2160" s="1">
        <v>15.2</v>
      </c>
      <c r="BB2160" s="1">
        <v>3.29</v>
      </c>
      <c r="BC2160" s="1" t="s">
        <v>3542</v>
      </c>
      <c r="BD2160" s="1">
        <v>18.2</v>
      </c>
      <c r="BE2160" s="1">
        <v>33.1</v>
      </c>
      <c r="BF2160" s="1">
        <v>29.4</v>
      </c>
      <c r="BG2160" s="1">
        <v>19.3</v>
      </c>
      <c r="BH2160" s="1" t="s">
        <v>3585</v>
      </c>
    </row>
    <row r="2161">
      <c r="A2161" s="1">
        <v>40061.0</v>
      </c>
      <c r="B2161" s="2" t="str">
        <f>IFERROR(__xludf.DUMMYFUNCTION("TO_TEXT(A2161)"),"40061")</f>
        <v>40061</v>
      </c>
      <c r="C2161" s="1">
        <v>12835.0</v>
      </c>
      <c r="D2161" s="1">
        <v>576.520800966566</v>
      </c>
      <c r="E2161" s="1" t="s">
        <v>1651</v>
      </c>
      <c r="F2161" s="1" t="s">
        <v>3586</v>
      </c>
      <c r="G2161" s="1">
        <v>22.2628567407827</v>
      </c>
      <c r="H2161" s="1">
        <v>21.356823925</v>
      </c>
      <c r="I2161" s="1">
        <v>5.0054745169</v>
      </c>
      <c r="J2161" s="1">
        <v>6.320754717</v>
      </c>
      <c r="K2161" s="1">
        <v>20.8887600479999</v>
      </c>
      <c r="L2161" s="1">
        <v>30.3</v>
      </c>
      <c r="M2161" s="1">
        <v>6.0</v>
      </c>
      <c r="N2161" s="1">
        <v>41.5</v>
      </c>
      <c r="O2161" s="1">
        <v>55.470279583</v>
      </c>
      <c r="P2161" s="1">
        <v>21.033973412</v>
      </c>
      <c r="Q2161" s="1">
        <v>31.34059</v>
      </c>
      <c r="R2161" s="1">
        <v>88.935483871</v>
      </c>
      <c r="S2161" s="1">
        <v>32.7</v>
      </c>
      <c r="T2161" s="1">
        <v>3049.0</v>
      </c>
      <c r="U2161" s="1">
        <v>30.96097081</v>
      </c>
      <c r="V2161" s="1">
        <v>100.21971245</v>
      </c>
      <c r="W2161" s="1">
        <v>11.598746082</v>
      </c>
      <c r="X2161" s="1">
        <v>8.0276671557</v>
      </c>
      <c r="Y2161" s="1">
        <v>75.507999304</v>
      </c>
      <c r="Z2161" s="1">
        <v>11.0</v>
      </c>
      <c r="AA2161" s="1">
        <v>17.709902374</v>
      </c>
      <c r="AB2161" s="1">
        <v>37776.0</v>
      </c>
      <c r="AC2161" s="1">
        <v>84.396258503</v>
      </c>
      <c r="AD2161" s="1">
        <v>74.4860197369999</v>
      </c>
      <c r="AE2161" s="1">
        <v>10.986842105</v>
      </c>
      <c r="AF2161" s="1">
        <v>0.6946637196</v>
      </c>
      <c r="AG2161" s="1">
        <v>17.619197979</v>
      </c>
      <c r="AH2161" s="1">
        <v>0.8999052731</v>
      </c>
      <c r="AI2161" s="1">
        <v>0.0631512472</v>
      </c>
      <c r="AJ2161" s="1">
        <v>4.5468898011</v>
      </c>
      <c r="AK2161" s="1">
        <v>70.003157562</v>
      </c>
      <c r="AL2161" s="1">
        <v>0.679929488799999</v>
      </c>
      <c r="AM2161" s="1">
        <v>50.023681718</v>
      </c>
      <c r="AN2161" s="1">
        <v>77.735139792</v>
      </c>
      <c r="AO2161" s="1">
        <v>18981.0</v>
      </c>
      <c r="AP2161" s="1">
        <v>20.2</v>
      </c>
      <c r="AQ2161" s="1">
        <v>8.6</v>
      </c>
      <c r="AR2161" s="1">
        <v>19.6</v>
      </c>
      <c r="AS2161" s="1">
        <v>19.7</v>
      </c>
      <c r="AT2161" s="1">
        <v>24.2</v>
      </c>
      <c r="AU2161" s="1">
        <v>23.2</v>
      </c>
      <c r="AV2161" s="1">
        <v>28.2</v>
      </c>
      <c r="AW2161" s="1">
        <v>0.8</v>
      </c>
      <c r="AX2161" s="1">
        <v>0.8485</v>
      </c>
      <c r="AY2161" s="1">
        <v>20.2</v>
      </c>
      <c r="AZ2161" s="1">
        <v>18.1</v>
      </c>
      <c r="BA2161" s="1">
        <v>28.2</v>
      </c>
      <c r="BB2161" s="1">
        <v>3.0</v>
      </c>
      <c r="BC2161" s="1" t="s">
        <v>3542</v>
      </c>
      <c r="BD2161" s="1">
        <v>15.3</v>
      </c>
      <c r="BE2161" s="1">
        <v>37.4</v>
      </c>
      <c r="BF2161" s="1">
        <v>31.2</v>
      </c>
      <c r="BG2161" s="1">
        <v>16.2</v>
      </c>
      <c r="BH2161" s="1" t="s">
        <v>3586</v>
      </c>
    </row>
    <row r="2162">
      <c r="A2162" s="1">
        <v>40063.0</v>
      </c>
      <c r="B2162" s="2" t="str">
        <f>IFERROR(__xludf.DUMMYFUNCTION("TO_TEXT(A2162)"),"40063")</f>
        <v>40063</v>
      </c>
      <c r="C2162" s="1">
        <v>13727.0</v>
      </c>
      <c r="D2162" s="1">
        <v>804.646659547974</v>
      </c>
      <c r="E2162" s="1" t="s">
        <v>3587</v>
      </c>
      <c r="F2162" s="1" t="s">
        <v>3588</v>
      </c>
      <c r="G2162" s="1">
        <v>17.0596619486514</v>
      </c>
      <c r="H2162" s="1">
        <v>22.406944566</v>
      </c>
      <c r="I2162" s="1">
        <v>4.9291907947</v>
      </c>
      <c r="J2162" s="1">
        <v>6.4090480679</v>
      </c>
      <c r="K2162" s="1">
        <v>20.706450251</v>
      </c>
      <c r="L2162" s="1">
        <v>35.7</v>
      </c>
      <c r="M2162" s="1">
        <v>6.5</v>
      </c>
      <c r="N2162" s="1">
        <v>37.5</v>
      </c>
      <c r="O2162" s="1">
        <v>14.903949154</v>
      </c>
      <c r="P2162" s="1">
        <v>20.413381632</v>
      </c>
      <c r="Q2162" s="1">
        <v>30.07067</v>
      </c>
      <c r="R2162" s="1">
        <v>86.8211920529999</v>
      </c>
      <c r="S2162" s="1">
        <v>31.2</v>
      </c>
      <c r="T2162" s="1">
        <v>2919.0</v>
      </c>
      <c r="U2162" s="1">
        <v>34.224049332</v>
      </c>
      <c r="V2162" s="1">
        <v>145.97474637</v>
      </c>
      <c r="W2162" s="1">
        <v>10.177514793</v>
      </c>
      <c r="X2162" s="1">
        <v>7.90419161679999</v>
      </c>
      <c r="Y2162" s="1">
        <v>72.943871853</v>
      </c>
      <c r="Z2162" s="1">
        <v>23.4</v>
      </c>
      <c r="AA2162" s="1">
        <v>11.373828529</v>
      </c>
      <c r="AB2162" s="1">
        <v>37566.0</v>
      </c>
      <c r="AC2162" s="1">
        <v>86.847779215</v>
      </c>
      <c r="AD2162" s="1">
        <v>74.56420329</v>
      </c>
      <c r="AE2162" s="1">
        <v>6.74712013169999</v>
      </c>
      <c r="AF2162" s="1">
        <v>5.7067866517</v>
      </c>
      <c r="AG2162" s="1">
        <v>20.1649793779999</v>
      </c>
      <c r="AH2162" s="1">
        <v>0.3374578178</v>
      </c>
      <c r="AI2162" s="1">
        <v>0.0674915636</v>
      </c>
      <c r="AJ2162" s="1">
        <v>5.9692538433</v>
      </c>
      <c r="AK2162" s="1">
        <v>62.107236595</v>
      </c>
      <c r="AL2162" s="1">
        <v>0.353412393</v>
      </c>
      <c r="AM2162" s="1">
        <v>46.141732283</v>
      </c>
      <c r="AN2162" s="1">
        <v>58.80882668</v>
      </c>
      <c r="AO2162" s="1">
        <v>16672.0</v>
      </c>
      <c r="AP2162" s="1">
        <v>19.8</v>
      </c>
      <c r="AQ2162" s="1">
        <v>8.1</v>
      </c>
      <c r="AR2162" s="1">
        <v>20.3</v>
      </c>
      <c r="AS2162" s="1">
        <v>19.2</v>
      </c>
      <c r="AT2162" s="1">
        <v>21.2</v>
      </c>
      <c r="AU2162" s="1">
        <v>20.8</v>
      </c>
      <c r="AV2162" s="1">
        <v>35.6</v>
      </c>
      <c r="AW2162" s="1">
        <v>0.3</v>
      </c>
      <c r="AX2162" s="1">
        <v>0.7698</v>
      </c>
      <c r="AY2162" s="1">
        <v>21.4</v>
      </c>
      <c r="AZ2162" s="1">
        <v>17.6</v>
      </c>
      <c r="BA2162" s="1">
        <v>27.3</v>
      </c>
      <c r="BB2162" s="1">
        <v>2.92</v>
      </c>
      <c r="BC2162" s="1" t="s">
        <v>3542</v>
      </c>
      <c r="BD2162" s="1">
        <v>17.8</v>
      </c>
      <c r="BE2162" s="1">
        <v>40.3</v>
      </c>
      <c r="BF2162" s="1">
        <v>28.9</v>
      </c>
      <c r="BG2162" s="1">
        <v>12.9</v>
      </c>
      <c r="BH2162" s="1" t="s">
        <v>3588</v>
      </c>
    </row>
    <row r="2163">
      <c r="A2163" s="1">
        <v>40065.0</v>
      </c>
      <c r="B2163" s="2" t="str">
        <f>IFERROR(__xludf.DUMMYFUNCTION("TO_TEXT(A2163)"),"40065")</f>
        <v>40065</v>
      </c>
      <c r="C2163" s="1">
        <v>25864.0</v>
      </c>
      <c r="D2163" s="1">
        <v>802.650433443166</v>
      </c>
      <c r="E2163" s="1" t="s">
        <v>130</v>
      </c>
      <c r="F2163" s="1" t="s">
        <v>3589</v>
      </c>
      <c r="G2163" s="1">
        <v>32.2232430487205</v>
      </c>
      <c r="H2163" s="1">
        <v>20.453888499</v>
      </c>
      <c r="I2163" s="1">
        <v>4.4670463599</v>
      </c>
      <c r="J2163" s="1">
        <v>9.0562109646</v>
      </c>
      <c r="K2163" s="1">
        <v>17.4476044229999</v>
      </c>
      <c r="L2163" s="1">
        <v>36.9</v>
      </c>
      <c r="M2163" s="1">
        <v>7.2</v>
      </c>
      <c r="N2163" s="1">
        <v>27.7</v>
      </c>
      <c r="O2163" s="1">
        <v>52.302805717</v>
      </c>
      <c r="P2163" s="1">
        <v>16.589750985</v>
      </c>
      <c r="Q2163" s="1">
        <v>51.74129</v>
      </c>
      <c r="R2163" s="1">
        <v>76.554517134</v>
      </c>
      <c r="S2163" s="1">
        <v>22.9</v>
      </c>
      <c r="T2163" s="1">
        <v>6452.0</v>
      </c>
      <c r="U2163" s="1">
        <v>30.4866708</v>
      </c>
      <c r="V2163" s="1">
        <v>294.39862744</v>
      </c>
      <c r="W2163" s="1">
        <v>14.334975369</v>
      </c>
      <c r="X2163" s="1">
        <v>9.8844801607</v>
      </c>
      <c r="Y2163" s="1">
        <v>75.887111295</v>
      </c>
      <c r="Z2163" s="1">
        <v>10.7</v>
      </c>
      <c r="AA2163" s="1">
        <v>8.8562653771</v>
      </c>
      <c r="AB2163" s="1">
        <v>47747.0</v>
      </c>
      <c r="AC2163" s="1">
        <v>67.879712356</v>
      </c>
      <c r="AD2163" s="1">
        <v>56.820024321</v>
      </c>
      <c r="AE2163" s="1">
        <v>9.8622111316</v>
      </c>
      <c r="AF2163" s="1">
        <v>6.9020802437</v>
      </c>
      <c r="AG2163" s="1">
        <v>2.7576255561</v>
      </c>
      <c r="AH2163" s="1">
        <v>1.5631889054</v>
      </c>
      <c r="AI2163" s="1">
        <v>0.348711371199999</v>
      </c>
      <c r="AJ2163" s="1">
        <v>24.570123051</v>
      </c>
      <c r="AK2163" s="1">
        <v>62.178844843</v>
      </c>
      <c r="AL2163" s="1">
        <v>2.4345291672</v>
      </c>
      <c r="AM2163" s="1">
        <v>50.330674576</v>
      </c>
      <c r="AN2163" s="1">
        <v>24.752325493</v>
      </c>
      <c r="AO2163" s="1">
        <v>23616.0</v>
      </c>
      <c r="AP2163" s="1">
        <v>16.8</v>
      </c>
      <c r="AQ2163" s="1">
        <v>5.5</v>
      </c>
      <c r="AR2163" s="1">
        <v>17.5</v>
      </c>
      <c r="AS2163" s="1">
        <v>13.8</v>
      </c>
      <c r="AT2163" s="1">
        <v>25.7</v>
      </c>
      <c r="AU2163" s="1">
        <v>15.2</v>
      </c>
      <c r="AV2163" s="1">
        <v>36.2</v>
      </c>
      <c r="AW2163" s="1">
        <v>3.5</v>
      </c>
      <c r="AX2163" s="1">
        <v>0.73</v>
      </c>
      <c r="AY2163" s="1">
        <v>17.3</v>
      </c>
      <c r="AZ2163" s="1">
        <v>14.9</v>
      </c>
      <c r="BA2163" s="1">
        <v>20.4</v>
      </c>
      <c r="BB2163" s="1">
        <v>3.14</v>
      </c>
      <c r="BC2163" s="1" t="s">
        <v>3542</v>
      </c>
      <c r="BD2163" s="1">
        <v>14.9</v>
      </c>
      <c r="BE2163" s="1">
        <v>26.9</v>
      </c>
      <c r="BF2163" s="1">
        <v>34.8</v>
      </c>
      <c r="BG2163" s="1">
        <v>23.3</v>
      </c>
      <c r="BH2163" s="1" t="s">
        <v>3589</v>
      </c>
    </row>
    <row r="2164">
      <c r="A2164" s="1">
        <v>40067.0</v>
      </c>
      <c r="B2164" s="2" t="str">
        <f>IFERROR(__xludf.DUMMYFUNCTION("TO_TEXT(A2164)"),"40067")</f>
        <v>40067</v>
      </c>
      <c r="C2164" s="1">
        <v>6280.0</v>
      </c>
      <c r="D2164" s="1">
        <v>758.831422095136</v>
      </c>
      <c r="E2164" s="1" t="s">
        <v>132</v>
      </c>
      <c r="F2164" s="1" t="s">
        <v>3590</v>
      </c>
      <c r="G2164" s="1">
        <v>8.27588291304662</v>
      </c>
      <c r="H2164" s="1">
        <v>21.866912575</v>
      </c>
      <c r="I2164" s="1">
        <v>4.7582761859</v>
      </c>
      <c r="J2164" s="1">
        <v>9.900990099</v>
      </c>
      <c r="K2164" s="1">
        <v>19.131091747</v>
      </c>
      <c r="L2164" s="1">
        <v>31.8</v>
      </c>
      <c r="M2164" s="1">
        <v>6.5</v>
      </c>
      <c r="N2164" s="1">
        <v>25.5</v>
      </c>
      <c r="O2164" s="1">
        <v>36.032138443</v>
      </c>
      <c r="P2164" s="1">
        <v>19.995812395</v>
      </c>
      <c r="Q2164" s="1">
        <v>32.34676</v>
      </c>
      <c r="R2164" s="1">
        <v>89.912280702</v>
      </c>
      <c r="S2164" s="1">
        <v>37.9</v>
      </c>
      <c r="T2164" s="1">
        <v>1471.0</v>
      </c>
      <c r="U2164" s="1">
        <v>37.185588035</v>
      </c>
      <c r="V2164" s="1">
        <v>150.25701858</v>
      </c>
      <c r="W2164" s="1">
        <v>9.0721649485</v>
      </c>
      <c r="X2164" s="1">
        <v>7.6507276507</v>
      </c>
      <c r="Y2164" s="1">
        <v>74.718709424</v>
      </c>
      <c r="Z2164" s="1">
        <v>10.5</v>
      </c>
      <c r="AA2164" s="1">
        <v>12.620153721</v>
      </c>
      <c r="AB2164" s="1">
        <v>37338.0</v>
      </c>
      <c r="AC2164" s="1">
        <v>76.224398931</v>
      </c>
      <c r="AD2164" s="1">
        <v>69.792986903</v>
      </c>
      <c r="AE2164" s="1">
        <v>10.215300046</v>
      </c>
      <c r="AF2164" s="1">
        <v>1.3065490772</v>
      </c>
      <c r="AG2164" s="1">
        <v>6.8103870652</v>
      </c>
      <c r="AH2164" s="1">
        <v>0.6042789482</v>
      </c>
      <c r="AI2164" s="1">
        <v>0.0326637269</v>
      </c>
      <c r="AJ2164" s="1">
        <v>10.74636616</v>
      </c>
      <c r="AK2164" s="1">
        <v>77.3803691</v>
      </c>
      <c r="AL2164" s="1">
        <v>0.8413461538</v>
      </c>
      <c r="AM2164" s="1">
        <v>49.991834068</v>
      </c>
      <c r="AN2164" s="1">
        <v>100.0</v>
      </c>
      <c r="AO2164" s="1">
        <v>19651.0</v>
      </c>
      <c r="AP2164" s="1">
        <v>19.5</v>
      </c>
      <c r="AQ2164" s="1">
        <v>7.3</v>
      </c>
      <c r="AR2164" s="1">
        <v>16.1</v>
      </c>
      <c r="AS2164" s="1">
        <v>19.4</v>
      </c>
      <c r="AT2164" s="1">
        <v>23.6</v>
      </c>
      <c r="AU2164" s="1">
        <v>22.8</v>
      </c>
      <c r="AV2164" s="1">
        <v>21.3</v>
      </c>
      <c r="AW2164" s="1">
        <v>1.0</v>
      </c>
      <c r="AX2164" s="1">
        <v>0.7962</v>
      </c>
      <c r="AY2164" s="1">
        <v>20.8</v>
      </c>
      <c r="AZ2164" s="1">
        <v>17.9</v>
      </c>
      <c r="BA2164" s="1">
        <v>27.6</v>
      </c>
      <c r="BB2164" s="1">
        <v>3.01</v>
      </c>
      <c r="BC2164" s="1" t="s">
        <v>3542</v>
      </c>
      <c r="BD2164" s="1">
        <v>16.8</v>
      </c>
      <c r="BE2164" s="1">
        <v>41.4</v>
      </c>
      <c r="BF2164" s="1">
        <v>27.0</v>
      </c>
      <c r="BG2164" s="1">
        <v>14.7</v>
      </c>
      <c r="BH2164" s="1" t="s">
        <v>3590</v>
      </c>
    </row>
    <row r="2165">
      <c r="A2165" s="1">
        <v>40069.0</v>
      </c>
      <c r="B2165" s="2" t="str">
        <f>IFERROR(__xludf.DUMMYFUNCTION("TO_TEXT(A2165)"),"40069")</f>
        <v>40069</v>
      </c>
      <c r="C2165" s="1">
        <v>11027.0</v>
      </c>
      <c r="D2165" s="1">
        <v>642.941695593162</v>
      </c>
      <c r="E2165" s="1" t="s">
        <v>3253</v>
      </c>
      <c r="F2165" s="1" t="s">
        <v>3591</v>
      </c>
      <c r="G2165" s="1">
        <v>17.1508553195119</v>
      </c>
      <c r="H2165" s="1">
        <v>22.027813876</v>
      </c>
      <c r="I2165" s="1">
        <v>4.8699477014</v>
      </c>
      <c r="J2165" s="1">
        <v>9.2972972973</v>
      </c>
      <c r="K2165" s="1">
        <v>20.661868355</v>
      </c>
      <c r="L2165" s="1">
        <v>31.7</v>
      </c>
      <c r="M2165" s="1">
        <v>6.3</v>
      </c>
      <c r="N2165" s="1">
        <v>29.1</v>
      </c>
      <c r="O2165" s="1">
        <v>42.374737611</v>
      </c>
      <c r="P2165" s="1">
        <v>19.852517571</v>
      </c>
      <c r="Q2165" s="1">
        <v>27.12477</v>
      </c>
      <c r="R2165" s="1">
        <v>77.685185185</v>
      </c>
      <c r="S2165" s="1">
        <v>25.9</v>
      </c>
      <c r="T2165" s="1">
        <v>2589.0</v>
      </c>
      <c r="U2165" s="1">
        <v>36.693704133</v>
      </c>
      <c r="V2165" s="1">
        <v>132.2811659</v>
      </c>
      <c r="W2165" s="1">
        <v>11.19133574</v>
      </c>
      <c r="X2165" s="1">
        <v>8.4146341463</v>
      </c>
      <c r="Y2165" s="1">
        <v>72.57880978</v>
      </c>
      <c r="Z2165" s="1">
        <v>16.2</v>
      </c>
      <c r="AA2165" s="1">
        <v>15.262507174</v>
      </c>
      <c r="AB2165" s="1">
        <v>39756.0</v>
      </c>
      <c r="AC2165" s="1">
        <v>76.534859521</v>
      </c>
      <c r="AD2165" s="1">
        <v>71.976744186</v>
      </c>
      <c r="AE2165" s="1">
        <v>8.5656360872</v>
      </c>
      <c r="AF2165" s="1">
        <v>2.5481779158</v>
      </c>
      <c r="AG2165" s="1">
        <v>15.590464883</v>
      </c>
      <c r="AH2165" s="1">
        <v>0.5936615216</v>
      </c>
      <c r="AI2165" s="1">
        <v>0.0456662709</v>
      </c>
      <c r="AJ2165" s="1">
        <v>5.58041830299999</v>
      </c>
      <c r="AK2165" s="1">
        <v>69.367065485</v>
      </c>
      <c r="AL2165" s="1">
        <v>0.3570050174</v>
      </c>
      <c r="AM2165" s="1">
        <v>50.534295369</v>
      </c>
      <c r="AN2165" s="1">
        <v>100.0</v>
      </c>
      <c r="AO2165" s="1">
        <v>19602.0</v>
      </c>
      <c r="AP2165" s="1">
        <v>21.2</v>
      </c>
      <c r="AQ2165" s="1">
        <v>7.2</v>
      </c>
      <c r="AR2165" s="1">
        <v>19.0</v>
      </c>
      <c r="AS2165" s="1">
        <v>17.9</v>
      </c>
      <c r="AT2165" s="1">
        <v>23.7</v>
      </c>
      <c r="AU2165" s="1">
        <v>26.1</v>
      </c>
      <c r="AV2165" s="1">
        <v>29.7</v>
      </c>
      <c r="AW2165" s="1">
        <v>0.6</v>
      </c>
      <c r="AX2165" s="1">
        <v>0.837</v>
      </c>
      <c r="AY2165" s="1">
        <v>21.0</v>
      </c>
      <c r="AZ2165" s="1">
        <v>16.9</v>
      </c>
      <c r="BA2165" s="1">
        <v>25.9</v>
      </c>
      <c r="BB2165" s="1">
        <v>2.97</v>
      </c>
      <c r="BC2165" s="1" t="s">
        <v>3542</v>
      </c>
      <c r="BD2165" s="1">
        <v>14.0</v>
      </c>
      <c r="BE2165" s="1">
        <v>34.9</v>
      </c>
      <c r="BF2165" s="1">
        <v>31.0</v>
      </c>
      <c r="BG2165" s="1">
        <v>20.1</v>
      </c>
      <c r="BH2165" s="1" t="s">
        <v>3591</v>
      </c>
    </row>
    <row r="2166">
      <c r="A2166" s="1">
        <v>40071.0</v>
      </c>
      <c r="B2166" s="2" t="str">
        <f>IFERROR(__xludf.DUMMYFUNCTION("TO_TEXT(A2166)"),"40071")</f>
        <v>40071</v>
      </c>
      <c r="C2166" s="1">
        <v>45398.0</v>
      </c>
      <c r="D2166" s="1">
        <v>919.725069145144</v>
      </c>
      <c r="E2166" s="1" t="s">
        <v>3592</v>
      </c>
      <c r="F2166" s="1" t="s">
        <v>3593</v>
      </c>
      <c r="G2166" s="1">
        <v>49.3604029323633</v>
      </c>
      <c r="H2166" s="1">
        <v>20.430837948</v>
      </c>
      <c r="I2166" s="1">
        <v>4.8440103633</v>
      </c>
      <c r="J2166" s="1">
        <v>7.79342723</v>
      </c>
      <c r="K2166" s="1">
        <v>18.841652395</v>
      </c>
      <c r="L2166" s="1">
        <v>35.7</v>
      </c>
      <c r="M2166" s="1">
        <v>6.5</v>
      </c>
      <c r="N2166" s="1">
        <v>31.2</v>
      </c>
      <c r="O2166" s="1">
        <v>77.827412912</v>
      </c>
      <c r="P2166" s="1">
        <v>15.629341878</v>
      </c>
      <c r="Q2166" s="1">
        <v>40.40948</v>
      </c>
      <c r="R2166" s="1">
        <v>85.335740072</v>
      </c>
      <c r="S2166" s="1">
        <v>30.3</v>
      </c>
      <c r="T2166" s="1">
        <v>11029.0</v>
      </c>
      <c r="U2166" s="1">
        <v>37.900081603</v>
      </c>
      <c r="V2166" s="1">
        <v>567.40255718</v>
      </c>
      <c r="W2166" s="1">
        <v>12.051847766</v>
      </c>
      <c r="X2166" s="1">
        <v>8.9818688982</v>
      </c>
      <c r="Y2166" s="1">
        <v>74.34864201</v>
      </c>
      <c r="Z2166" s="1">
        <v>16.7</v>
      </c>
      <c r="AA2166" s="1">
        <v>14.26249247</v>
      </c>
      <c r="AB2166" s="1">
        <v>45700.0</v>
      </c>
      <c r="AC2166" s="1">
        <v>65.276563866</v>
      </c>
      <c r="AD2166" s="1">
        <v>68.564650059</v>
      </c>
      <c r="AE2166" s="1">
        <v>9.298338949</v>
      </c>
      <c r="AF2166" s="1">
        <v>2.0289395621</v>
      </c>
      <c r="AG2166" s="1">
        <v>10.873847965</v>
      </c>
      <c r="AH2166" s="1">
        <v>0.6453658205</v>
      </c>
      <c r="AI2166" s="1">
        <v>0.4075994656</v>
      </c>
      <c r="AJ2166" s="1">
        <v>8.2470958538</v>
      </c>
      <c r="AK2166" s="1">
        <v>74.178573855</v>
      </c>
      <c r="AL2166" s="1">
        <v>0.8315610887</v>
      </c>
      <c r="AM2166" s="1">
        <v>50.3362695589999</v>
      </c>
      <c r="AN2166" s="1">
        <v>24.47489369</v>
      </c>
      <c r="AO2166" s="1">
        <v>23514.0</v>
      </c>
      <c r="AP2166" s="1">
        <v>17.8</v>
      </c>
      <c r="AQ2166" s="1">
        <v>7.4</v>
      </c>
      <c r="AR2166" s="1">
        <v>13.0</v>
      </c>
      <c r="AS2166" s="1">
        <v>18.1</v>
      </c>
      <c r="AT2166" s="1">
        <v>25.1</v>
      </c>
      <c r="AU2166" s="1">
        <v>18.0</v>
      </c>
      <c r="AV2166" s="1">
        <v>24.1</v>
      </c>
      <c r="AW2166" s="1">
        <v>0.9</v>
      </c>
      <c r="AX2166" s="1">
        <v>0.7806</v>
      </c>
      <c r="AY2166" s="1">
        <v>16.1</v>
      </c>
      <c r="AZ2166" s="1">
        <v>16.5</v>
      </c>
      <c r="BA2166" s="1">
        <v>24.9</v>
      </c>
      <c r="BB2166" s="1">
        <v>2.76</v>
      </c>
      <c r="BC2166" s="1" t="s">
        <v>3542</v>
      </c>
      <c r="BD2166" s="1">
        <v>13.2</v>
      </c>
      <c r="BE2166" s="1">
        <v>32.4</v>
      </c>
      <c r="BF2166" s="1">
        <v>35.5</v>
      </c>
      <c r="BG2166" s="1">
        <v>18.9</v>
      </c>
      <c r="BH2166" s="1" t="s">
        <v>3593</v>
      </c>
    </row>
    <row r="2167">
      <c r="A2167" s="1">
        <v>40073.0</v>
      </c>
      <c r="B2167" s="2" t="str">
        <f>IFERROR(__xludf.DUMMYFUNCTION("TO_TEXT(A2167)"),"40073")</f>
        <v>40073</v>
      </c>
      <c r="C2167" s="1">
        <v>15392.0</v>
      </c>
      <c r="D2167" s="1">
        <v>898.159763172426</v>
      </c>
      <c r="E2167" s="1" t="s">
        <v>3594</v>
      </c>
      <c r="F2167" s="1" t="s">
        <v>3595</v>
      </c>
      <c r="G2167" s="1">
        <v>17.1372629137085</v>
      </c>
      <c r="H2167" s="1">
        <v>17.573710465</v>
      </c>
      <c r="I2167" s="1">
        <v>4.2117402237</v>
      </c>
      <c r="J2167" s="1">
        <v>6.4722617354</v>
      </c>
      <c r="K2167" s="1">
        <v>15.918310175</v>
      </c>
      <c r="L2167" s="1">
        <v>38.8</v>
      </c>
      <c r="M2167" s="1">
        <v>8.7</v>
      </c>
      <c r="N2167" s="1">
        <v>28.6</v>
      </c>
      <c r="O2167" s="1">
        <v>51.855793535</v>
      </c>
      <c r="P2167" s="1">
        <v>17.599085366</v>
      </c>
      <c r="Q2167" s="1">
        <v>51.05623</v>
      </c>
      <c r="R2167" s="1">
        <v>87.645547945</v>
      </c>
      <c r="S2167" s="1">
        <v>12.8</v>
      </c>
      <c r="T2167" s="1">
        <v>4214.0</v>
      </c>
      <c r="U2167" s="1">
        <v>26.530612245</v>
      </c>
      <c r="V2167" s="1">
        <v>100.12273109</v>
      </c>
      <c r="W2167" s="1">
        <v>7.7945084145</v>
      </c>
      <c r="X2167" s="1">
        <v>5.7702582369</v>
      </c>
      <c r="Y2167" s="1">
        <v>76.969611952</v>
      </c>
      <c r="Z2167" s="1">
        <v>15.8</v>
      </c>
      <c r="AA2167" s="1">
        <v>2.4949644044</v>
      </c>
      <c r="AB2167" s="1">
        <v>59266.0</v>
      </c>
      <c r="AC2167" s="1">
        <v>55.468327017</v>
      </c>
      <c r="AD2167" s="1">
        <v>78.942746751</v>
      </c>
      <c r="AE2167" s="1">
        <v>6.7684384771</v>
      </c>
      <c r="AF2167" s="1">
        <v>1.3277693475</v>
      </c>
      <c r="AG2167" s="1">
        <v>3.9264036419</v>
      </c>
      <c r="AH2167" s="1">
        <v>0.4172989378</v>
      </c>
      <c r="AI2167" s="1">
        <v>0.0379362671</v>
      </c>
      <c r="AJ2167" s="1">
        <v>16.103945372</v>
      </c>
      <c r="AK2167" s="1">
        <v>76.093829034</v>
      </c>
      <c r="AL2167" s="1">
        <v>2.7911784976</v>
      </c>
      <c r="AM2167" s="1">
        <v>50.189681335</v>
      </c>
      <c r="AN2167" s="1">
        <v>72.435812159</v>
      </c>
      <c r="AO2167" s="1">
        <v>30011.0</v>
      </c>
      <c r="AP2167" s="1">
        <v>8.4</v>
      </c>
      <c r="AQ2167" s="1">
        <v>3.6</v>
      </c>
      <c r="AR2167" s="1">
        <v>11.7</v>
      </c>
      <c r="AS2167" s="1">
        <v>15.2</v>
      </c>
      <c r="AT2167" s="1">
        <v>26.9</v>
      </c>
      <c r="AU2167" s="1">
        <v>17.0</v>
      </c>
      <c r="AV2167" s="1">
        <v>22.3</v>
      </c>
      <c r="AW2167" s="1">
        <v>3.8</v>
      </c>
      <c r="AX2167" s="1">
        <v>0.319</v>
      </c>
      <c r="AY2167" s="1">
        <v>8.9</v>
      </c>
      <c r="AZ2167" s="1">
        <v>11.2</v>
      </c>
      <c r="BA2167" s="1">
        <v>17.3</v>
      </c>
      <c r="BB2167" s="1">
        <v>3.08</v>
      </c>
      <c r="BC2167" s="1" t="s">
        <v>3542</v>
      </c>
      <c r="BD2167" s="1">
        <v>11.7</v>
      </c>
      <c r="BE2167" s="1">
        <v>38.3</v>
      </c>
      <c r="BF2167" s="1">
        <v>27.6</v>
      </c>
      <c r="BG2167" s="1">
        <v>22.4</v>
      </c>
      <c r="BH2167" s="1" t="s">
        <v>3595</v>
      </c>
    </row>
    <row r="2168">
      <c r="A2168" s="1">
        <v>40075.0</v>
      </c>
      <c r="B2168" s="2" t="str">
        <f>IFERROR(__xludf.DUMMYFUNCTION("TO_TEXT(A2168)"),"40075")</f>
        <v>40075</v>
      </c>
      <c r="C2168" s="1">
        <v>9239.0</v>
      </c>
      <c r="D2168" s="1">
        <v>1015.14314907213</v>
      </c>
      <c r="E2168" s="1" t="s">
        <v>593</v>
      </c>
      <c r="F2168" s="1" t="s">
        <v>3596</v>
      </c>
      <c r="G2168" s="1">
        <v>9.10117948236632</v>
      </c>
      <c r="H2168" s="1">
        <v>22.817189608</v>
      </c>
      <c r="I2168" s="1">
        <v>4.8537457711</v>
      </c>
      <c r="J2168" s="1">
        <v>7.62711864409999</v>
      </c>
      <c r="K2168" s="1">
        <v>20.506001583</v>
      </c>
      <c r="L2168" s="1">
        <v>31.8</v>
      </c>
      <c r="M2168" s="1">
        <v>5.3</v>
      </c>
      <c r="N2168" s="1">
        <v>35.6</v>
      </c>
      <c r="O2168" s="1">
        <v>34.533135719</v>
      </c>
      <c r="P2168" s="1">
        <v>17.39565466</v>
      </c>
      <c r="Q2168" s="1">
        <v>33.7344</v>
      </c>
      <c r="R2168" s="1">
        <v>89.912280702</v>
      </c>
      <c r="S2168" s="1">
        <v>28.5</v>
      </c>
      <c r="T2168" s="1">
        <v>1996.0</v>
      </c>
      <c r="U2168" s="1">
        <v>35.671342685</v>
      </c>
      <c r="V2168" s="1">
        <v>179.63094007</v>
      </c>
      <c r="W2168" s="1">
        <v>12.642225032</v>
      </c>
      <c r="X2168" s="1">
        <v>8.2170542636</v>
      </c>
      <c r="Y2168" s="1">
        <v>72.851595726</v>
      </c>
      <c r="Z2168" s="1">
        <v>17.3</v>
      </c>
      <c r="AA2168" s="1">
        <v>24.708173243</v>
      </c>
      <c r="AB2168" s="1">
        <v>37831.0</v>
      </c>
      <c r="AC2168" s="1">
        <v>74.689826303</v>
      </c>
      <c r="AD2168" s="1">
        <v>69.565217391</v>
      </c>
      <c r="AE2168" s="1">
        <v>8.3599419448</v>
      </c>
      <c r="AF2168" s="1">
        <v>3.9408866995</v>
      </c>
      <c r="AG2168" s="1">
        <v>7.893229465</v>
      </c>
      <c r="AH2168" s="1">
        <v>0.3093137816</v>
      </c>
      <c r="AI2168" s="1">
        <v>0.1031045939</v>
      </c>
      <c r="AJ2168" s="1">
        <v>11.616450911</v>
      </c>
      <c r="AK2168" s="1">
        <v>74.074922672</v>
      </c>
      <c r="AL2168" s="1">
        <v>0.8420303605</v>
      </c>
      <c r="AM2168" s="1">
        <v>50.3035857489999</v>
      </c>
      <c r="AN2168" s="1">
        <v>61.6557272919999</v>
      </c>
      <c r="AO2168" s="1">
        <v>22857.0</v>
      </c>
      <c r="AP2168" s="1">
        <v>21.6</v>
      </c>
      <c r="AQ2168" s="1">
        <v>5.9</v>
      </c>
      <c r="AR2168" s="1">
        <v>15.4</v>
      </c>
      <c r="AS2168" s="1">
        <v>19.3</v>
      </c>
      <c r="AT2168" s="1">
        <v>23.5</v>
      </c>
      <c r="AU2168" s="1">
        <v>20.5</v>
      </c>
      <c r="AV2168" s="1">
        <v>24.7</v>
      </c>
      <c r="AW2168" s="1">
        <v>1.0</v>
      </c>
      <c r="AX2168" s="1">
        <v>0.6523</v>
      </c>
      <c r="AY2168" s="1">
        <v>21.9</v>
      </c>
      <c r="AZ2168" s="1">
        <v>17.8</v>
      </c>
      <c r="BA2168" s="1">
        <v>26.5</v>
      </c>
      <c r="BB2168" s="1">
        <v>3.01</v>
      </c>
      <c r="BC2168" s="1" t="s">
        <v>3542</v>
      </c>
      <c r="BD2168" s="1">
        <v>15.3</v>
      </c>
      <c r="BE2168" s="1">
        <v>37.2</v>
      </c>
      <c r="BF2168" s="1">
        <v>30.2</v>
      </c>
      <c r="BG2168" s="1">
        <v>17.2</v>
      </c>
      <c r="BH2168" s="1" t="s">
        <v>3596</v>
      </c>
    </row>
    <row r="2169">
      <c r="A2169" s="1">
        <v>40077.0</v>
      </c>
      <c r="B2169" s="2" t="str">
        <f>IFERROR(__xludf.DUMMYFUNCTION("TO_TEXT(A2169)"),"40077")</f>
        <v>40077</v>
      </c>
      <c r="C2169" s="1">
        <v>10643.0</v>
      </c>
      <c r="D2169" s="1">
        <v>722.08036191264</v>
      </c>
      <c r="E2169" s="1" t="s">
        <v>3597</v>
      </c>
      <c r="F2169" s="1" t="s">
        <v>3598</v>
      </c>
      <c r="G2169" s="1">
        <v>14.739356671893</v>
      </c>
      <c r="H2169" s="1">
        <v>22.65447839</v>
      </c>
      <c r="I2169" s="1">
        <v>4.904454633</v>
      </c>
      <c r="J2169" s="1">
        <v>7.4332171893</v>
      </c>
      <c r="K2169" s="1">
        <v>21.0411730129999</v>
      </c>
      <c r="L2169" s="1">
        <v>34.5</v>
      </c>
      <c r="M2169" s="1">
        <v>6.4</v>
      </c>
      <c r="N2169" s="1">
        <v>29.1</v>
      </c>
      <c r="O2169" s="1">
        <v>58.024027255</v>
      </c>
      <c r="P2169" s="1">
        <v>19.473819964</v>
      </c>
      <c r="Q2169" s="1">
        <v>19.21045</v>
      </c>
      <c r="R2169" s="1">
        <v>85.218253968</v>
      </c>
      <c r="S2169" s="1">
        <v>24.1</v>
      </c>
      <c r="T2169" s="1">
        <v>2221.0</v>
      </c>
      <c r="U2169" s="1">
        <v>36.06483566</v>
      </c>
      <c r="V2169" s="1">
        <v>214.27551069</v>
      </c>
      <c r="W2169" s="1">
        <v>12.252475248</v>
      </c>
      <c r="X2169" s="1">
        <v>8.578553616</v>
      </c>
      <c r="Y2169" s="1">
        <v>74.119348058</v>
      </c>
      <c r="Z2169" s="1">
        <v>17.5</v>
      </c>
      <c r="AA2169" s="1">
        <v>10.42748909</v>
      </c>
      <c r="AB2169" s="1">
        <v>38284.0</v>
      </c>
      <c r="AC2169" s="1">
        <v>70.406732118</v>
      </c>
      <c r="AD2169" s="1">
        <v>70.435428006</v>
      </c>
      <c r="AE2169" s="1">
        <v>7.820343461</v>
      </c>
      <c r="AF2169" s="1">
        <v>1.1924543055</v>
      </c>
      <c r="AG2169" s="1">
        <v>23.067148861</v>
      </c>
      <c r="AH2169" s="1">
        <v>0.5375818591</v>
      </c>
      <c r="AI2169" s="1">
        <v>0.0293226469</v>
      </c>
      <c r="AJ2169" s="1">
        <v>4.0367510507</v>
      </c>
      <c r="AK2169" s="1">
        <v>64.441403577</v>
      </c>
      <c r="AL2169" s="1">
        <v>0.6056323811</v>
      </c>
      <c r="AM2169" s="1">
        <v>49.301143583</v>
      </c>
      <c r="AN2169" s="1">
        <v>73.292092523</v>
      </c>
      <c r="AO2169" s="1">
        <v>22560.0</v>
      </c>
      <c r="AP2169" s="1">
        <v>19.1</v>
      </c>
      <c r="AQ2169" s="1">
        <v>8.6</v>
      </c>
      <c r="AR2169" s="1">
        <v>15.9</v>
      </c>
      <c r="AS2169" s="1">
        <v>19.4</v>
      </c>
      <c r="AT2169" s="1">
        <v>22.5</v>
      </c>
      <c r="AU2169" s="1">
        <v>23.8</v>
      </c>
      <c r="AV2169" s="1">
        <v>33.4</v>
      </c>
      <c r="AW2169" s="1">
        <v>0.5</v>
      </c>
      <c r="AX2169" s="1">
        <v>0.9099</v>
      </c>
      <c r="AY2169" s="1">
        <v>18.5</v>
      </c>
      <c r="AZ2169" s="1">
        <v>18.1</v>
      </c>
      <c r="BA2169" s="1">
        <v>28.8</v>
      </c>
      <c r="BB2169" s="1">
        <v>3.1</v>
      </c>
      <c r="BC2169" s="1" t="s">
        <v>3542</v>
      </c>
      <c r="BD2169" s="1">
        <v>12.2</v>
      </c>
      <c r="BE2169" s="1">
        <v>36.8</v>
      </c>
      <c r="BF2169" s="1">
        <v>33.8</v>
      </c>
      <c r="BG2169" s="1">
        <v>17.2</v>
      </c>
      <c r="BH2169" s="1" t="s">
        <v>3598</v>
      </c>
    </row>
    <row r="2170">
      <c r="A2170" s="1">
        <v>40079.0</v>
      </c>
      <c r="B2170" s="2" t="str">
        <f>IFERROR(__xludf.DUMMYFUNCTION("TO_TEXT(A2170)"),"40079")</f>
        <v>40079</v>
      </c>
      <c r="C2170" s="1">
        <v>49885.0</v>
      </c>
      <c r="D2170" s="1">
        <v>1589.28186710866</v>
      </c>
      <c r="E2170" s="1" t="s">
        <v>3599</v>
      </c>
      <c r="F2170" s="1" t="s">
        <v>3600</v>
      </c>
      <c r="G2170" s="1">
        <v>31.3883905884829</v>
      </c>
      <c r="H2170" s="1">
        <v>22.264852526</v>
      </c>
      <c r="I2170" s="1">
        <v>4.9466117699</v>
      </c>
      <c r="J2170" s="1">
        <v>7.7613279498</v>
      </c>
      <c r="K2170" s="1">
        <v>21.704976432</v>
      </c>
      <c r="L2170" s="1">
        <v>37.0</v>
      </c>
      <c r="M2170" s="1">
        <v>6.8</v>
      </c>
      <c r="N2170" s="1">
        <v>35.6</v>
      </c>
      <c r="O2170" s="1">
        <v>30.462051445</v>
      </c>
      <c r="P2170" s="1">
        <v>20.1864849109999</v>
      </c>
      <c r="Q2170" s="1">
        <v>30.16227</v>
      </c>
      <c r="R2170" s="1">
        <v>82.865761689</v>
      </c>
      <c r="S2170" s="1">
        <v>30.6</v>
      </c>
      <c r="T2170" s="1">
        <v>11888.0</v>
      </c>
      <c r="U2170" s="1">
        <v>34.210969044</v>
      </c>
      <c r="V2170" s="1">
        <v>254.96266618</v>
      </c>
      <c r="W2170" s="1">
        <v>13.049413049</v>
      </c>
      <c r="X2170" s="1">
        <v>10.212646894</v>
      </c>
      <c r="Y2170" s="1">
        <v>72.9425128589999</v>
      </c>
      <c r="Z2170" s="1">
        <v>16.1</v>
      </c>
      <c r="AA2170" s="1">
        <v>7.9678199246</v>
      </c>
      <c r="AB2170" s="1">
        <v>38709.0</v>
      </c>
      <c r="AC2170" s="1">
        <v>81.141259321</v>
      </c>
      <c r="AD2170" s="1">
        <v>71.4052376539999</v>
      </c>
      <c r="AE2170" s="1">
        <v>9.7776995718</v>
      </c>
      <c r="AF2170" s="1">
        <v>2.018807523</v>
      </c>
      <c r="AG2170" s="1">
        <v>13.857543017</v>
      </c>
      <c r="AH2170" s="1">
        <v>0.7382953181</v>
      </c>
      <c r="AI2170" s="1">
        <v>0.2220888355</v>
      </c>
      <c r="AJ2170" s="1">
        <v>7.12084833929999</v>
      </c>
      <c r="AK2170" s="1">
        <v>71.216486595</v>
      </c>
      <c r="AL2170" s="1">
        <v>2.0706455542</v>
      </c>
      <c r="AM2170" s="1">
        <v>49.729891957</v>
      </c>
      <c r="AN2170" s="1">
        <v>72.89615751</v>
      </c>
      <c r="AO2170" s="1">
        <v>19138.0</v>
      </c>
      <c r="AP2170" s="1">
        <v>22.8</v>
      </c>
      <c r="AQ2170" s="1">
        <v>7.9</v>
      </c>
      <c r="AR2170" s="1">
        <v>18.2</v>
      </c>
      <c r="AS2170" s="1">
        <v>16.8</v>
      </c>
      <c r="AT2170" s="1">
        <v>24.0</v>
      </c>
      <c r="AU2170" s="1">
        <v>21.0</v>
      </c>
      <c r="AV2170" s="1">
        <v>27.8</v>
      </c>
      <c r="AW2170" s="1">
        <v>1.7</v>
      </c>
      <c r="AX2170" s="1">
        <v>0.8953</v>
      </c>
      <c r="AY2170" s="1">
        <v>20.5</v>
      </c>
      <c r="AZ2170" s="1">
        <v>18.0</v>
      </c>
      <c r="BA2170" s="1">
        <v>27.1</v>
      </c>
      <c r="BB2170" s="1">
        <v>3.08</v>
      </c>
      <c r="BC2170" s="1" t="s">
        <v>3542</v>
      </c>
      <c r="BD2170" s="1">
        <v>16.5</v>
      </c>
      <c r="BE2170" s="1">
        <v>41.1</v>
      </c>
      <c r="BF2170" s="1">
        <v>27.8</v>
      </c>
      <c r="BG2170" s="1">
        <v>14.6</v>
      </c>
      <c r="BH2170" s="1" t="s">
        <v>3600</v>
      </c>
    </row>
    <row r="2171">
      <c r="A2171" s="1">
        <v>40081.0</v>
      </c>
      <c r="B2171" s="2" t="str">
        <f>IFERROR(__xludf.DUMMYFUNCTION("TO_TEXT(A2171)"),"40081")</f>
        <v>40081</v>
      </c>
      <c r="C2171" s="1">
        <v>34640.0</v>
      </c>
      <c r="D2171" s="1">
        <v>952.316972174096</v>
      </c>
      <c r="E2171" s="1" t="s">
        <v>353</v>
      </c>
      <c r="F2171" s="1" t="s">
        <v>3601</v>
      </c>
      <c r="G2171" s="1">
        <v>36.3744436066476</v>
      </c>
      <c r="H2171" s="1">
        <v>19.10299959</v>
      </c>
      <c r="I2171" s="1">
        <v>4.5457788669</v>
      </c>
      <c r="J2171" s="1">
        <v>7.938820102</v>
      </c>
      <c r="K2171" s="1">
        <v>17.5844264759999</v>
      </c>
      <c r="L2171" s="1">
        <v>34.8</v>
      </c>
      <c r="M2171" s="1">
        <v>7.8</v>
      </c>
      <c r="N2171" s="1">
        <v>32.8</v>
      </c>
      <c r="O2171" s="1">
        <v>38.318793219</v>
      </c>
      <c r="P2171" s="1">
        <v>18.683012259</v>
      </c>
      <c r="Q2171" s="1">
        <v>25.61038</v>
      </c>
      <c r="R2171" s="1">
        <v>93.021628499</v>
      </c>
      <c r="S2171" s="1">
        <v>20.8</v>
      </c>
      <c r="T2171" s="1">
        <v>8391.0</v>
      </c>
      <c r="U2171" s="1">
        <v>27.481825766</v>
      </c>
      <c r="V2171" s="1">
        <v>208.90963578</v>
      </c>
      <c r="W2171" s="1">
        <v>12.188577999</v>
      </c>
      <c r="X2171" s="1">
        <v>8.9251067132</v>
      </c>
      <c r="Y2171" s="1">
        <v>75.1889642989999</v>
      </c>
      <c r="Z2171" s="1">
        <v>17.7</v>
      </c>
      <c r="AA2171" s="1">
        <v>3.1739775375</v>
      </c>
      <c r="AB2171" s="1">
        <v>48039.0</v>
      </c>
      <c r="AC2171" s="1">
        <v>58.6032205539999</v>
      </c>
      <c r="AD2171" s="1">
        <v>79.081194915</v>
      </c>
      <c r="AE2171" s="1">
        <v>8.3700807055</v>
      </c>
      <c r="AF2171" s="1">
        <v>1.8585337915</v>
      </c>
      <c r="AG2171" s="1">
        <v>7.373997709</v>
      </c>
      <c r="AH2171" s="1">
        <v>0.3751431844</v>
      </c>
      <c r="AI2171" s="1">
        <v>0.0801832761</v>
      </c>
      <c r="AJ2171" s="1">
        <v>3.5366552119</v>
      </c>
      <c r="AK2171" s="1">
        <v>82.024627721</v>
      </c>
      <c r="AL2171" s="1">
        <v>0.3145038168</v>
      </c>
      <c r="AM2171" s="1">
        <v>50.206185567</v>
      </c>
      <c r="AN2171" s="1">
        <v>92.1104076089999</v>
      </c>
      <c r="AO2171" s="1">
        <v>23878.0</v>
      </c>
      <c r="AP2171" s="1">
        <v>15.0</v>
      </c>
      <c r="AQ2171" s="1">
        <v>6.1</v>
      </c>
      <c r="AR2171" s="1">
        <v>14.9</v>
      </c>
      <c r="AS2171" s="1">
        <v>17.1</v>
      </c>
      <c r="AT2171" s="1">
        <v>24.6</v>
      </c>
      <c r="AU2171" s="1">
        <v>19.6</v>
      </c>
      <c r="AV2171" s="1">
        <v>16.8</v>
      </c>
      <c r="AW2171" s="1">
        <v>0.3</v>
      </c>
      <c r="AX2171" s="1">
        <v>0.4664</v>
      </c>
      <c r="AY2171" s="1">
        <v>13.9</v>
      </c>
      <c r="AZ2171" s="1">
        <v>14.3</v>
      </c>
      <c r="BA2171" s="1">
        <v>21.8</v>
      </c>
      <c r="BB2171" s="1">
        <v>3.15</v>
      </c>
      <c r="BC2171" s="1" t="s">
        <v>3542</v>
      </c>
      <c r="BD2171" s="1">
        <v>12.8</v>
      </c>
      <c r="BE2171" s="1">
        <v>40.8</v>
      </c>
      <c r="BF2171" s="1">
        <v>30.9</v>
      </c>
      <c r="BG2171" s="1">
        <v>15.5</v>
      </c>
      <c r="BH2171" s="1" t="s">
        <v>3601</v>
      </c>
    </row>
    <row r="2172">
      <c r="A2172" s="1">
        <v>40083.0</v>
      </c>
      <c r="B2172" s="2" t="str">
        <f>IFERROR(__xludf.DUMMYFUNCTION("TO_TEXT(A2172)"),"40083")</f>
        <v>40083</v>
      </c>
      <c r="C2172" s="1">
        <v>45171.0</v>
      </c>
      <c r="D2172" s="1">
        <v>743.83370573699</v>
      </c>
      <c r="E2172" s="1" t="s">
        <v>357</v>
      </c>
      <c r="F2172" s="1" t="s">
        <v>3602</v>
      </c>
      <c r="G2172" s="1">
        <v>60.7272830628784</v>
      </c>
      <c r="H2172" s="1">
        <v>18.586131671</v>
      </c>
      <c r="I2172" s="1">
        <v>4.2480230086</v>
      </c>
      <c r="J2172" s="1">
        <v>7.05782312929999</v>
      </c>
      <c r="K2172" s="1">
        <v>17.699739021</v>
      </c>
      <c r="L2172" s="1">
        <v>36.0</v>
      </c>
      <c r="M2172" s="1">
        <v>7.4</v>
      </c>
      <c r="N2172" s="1">
        <v>27.3</v>
      </c>
      <c r="O2172" s="1">
        <v>37.191741541</v>
      </c>
      <c r="P2172" s="1">
        <v>13.4903249359999</v>
      </c>
      <c r="Q2172" s="1">
        <v>2.13748</v>
      </c>
      <c r="R2172" s="1">
        <v>74.810495627</v>
      </c>
      <c r="S2172" s="1">
        <v>13.7</v>
      </c>
      <c r="T2172" s="1">
        <v>10642.0</v>
      </c>
      <c r="U2172" s="1">
        <v>23.9710580719999</v>
      </c>
      <c r="V2172" s="1">
        <v>173.43310282</v>
      </c>
      <c r="W2172" s="1">
        <v>13.060556465</v>
      </c>
      <c r="X2172" s="1">
        <v>8.54472630169999</v>
      </c>
      <c r="Y2172" s="1">
        <v>79.715150815</v>
      </c>
      <c r="Z2172" s="1">
        <v>16.2</v>
      </c>
      <c r="AA2172" s="1">
        <v>8.7538270515</v>
      </c>
      <c r="AB2172" s="1">
        <v>69114.0</v>
      </c>
      <c r="AC2172" s="1">
        <v>60.990576375</v>
      </c>
      <c r="AD2172" s="1">
        <v>79.585062241</v>
      </c>
      <c r="AE2172" s="1">
        <v>10.064935065</v>
      </c>
      <c r="AF2172" s="1">
        <v>8.0755323423</v>
      </c>
      <c r="AG2172" s="1">
        <v>3.6433993783</v>
      </c>
      <c r="AH2172" s="1">
        <v>0.6703178195</v>
      </c>
      <c r="AI2172" s="1">
        <v>0.0634370175999999</v>
      </c>
      <c r="AJ2172" s="1">
        <v>6.5022943055</v>
      </c>
      <c r="AK2172" s="1">
        <v>77.391046922</v>
      </c>
      <c r="AL2172" s="1">
        <v>0.4832034772</v>
      </c>
      <c r="AM2172" s="1">
        <v>50.438772705</v>
      </c>
      <c r="AN2172" s="1">
        <v>55.3742114319999</v>
      </c>
      <c r="AO2172" s="1">
        <v>27483.0</v>
      </c>
      <c r="AP2172" s="1">
        <v>12.3</v>
      </c>
      <c r="AQ2172" s="1">
        <v>5.7</v>
      </c>
      <c r="AR2172" s="1">
        <v>9.7</v>
      </c>
      <c r="AS2172" s="1">
        <v>15.0</v>
      </c>
      <c r="AT2172" s="1">
        <v>23.7</v>
      </c>
      <c r="AU2172" s="1">
        <v>13.3</v>
      </c>
      <c r="AV2172" s="1">
        <v>22.1</v>
      </c>
      <c r="AW2172" s="1">
        <v>0.5</v>
      </c>
      <c r="AX2172" s="1">
        <v>0.3387</v>
      </c>
      <c r="AY2172" s="1">
        <v>12.4</v>
      </c>
      <c r="AZ2172" s="1">
        <v>12.2</v>
      </c>
      <c r="BA2172" s="1">
        <v>17.9</v>
      </c>
      <c r="BB2172" s="1">
        <v>3.13</v>
      </c>
      <c r="BC2172" s="1" t="s">
        <v>3542</v>
      </c>
      <c r="BD2172" s="1">
        <v>9.9</v>
      </c>
      <c r="BE2172" s="1">
        <v>32.5</v>
      </c>
      <c r="BF2172" s="1">
        <v>30.0</v>
      </c>
      <c r="BG2172" s="1">
        <v>27.7</v>
      </c>
      <c r="BH2172" s="1" t="s">
        <v>3602</v>
      </c>
    </row>
    <row r="2173">
      <c r="A2173" s="1">
        <v>40085.0</v>
      </c>
      <c r="B2173" s="2" t="str">
        <f>IFERROR(__xludf.DUMMYFUNCTION("TO_TEXT(A2173)"),"40085")</f>
        <v>40085</v>
      </c>
      <c r="C2173" s="1">
        <v>9768.0</v>
      </c>
      <c r="D2173" s="1">
        <v>513.994733044988</v>
      </c>
      <c r="E2173" s="1" t="s">
        <v>3603</v>
      </c>
      <c r="F2173" s="1" t="s">
        <v>3604</v>
      </c>
      <c r="G2173" s="1">
        <v>19.0040857853401</v>
      </c>
      <c r="H2173" s="1">
        <v>19.890658588</v>
      </c>
      <c r="I2173" s="1">
        <v>4.3887162733</v>
      </c>
      <c r="J2173" s="1">
        <v>9.8016336056</v>
      </c>
      <c r="K2173" s="1">
        <v>17.281335998</v>
      </c>
      <c r="L2173" s="1">
        <v>26.7</v>
      </c>
      <c r="M2173" s="1">
        <v>8.0</v>
      </c>
      <c r="N2173" s="1">
        <v>32.6</v>
      </c>
      <c r="O2173" s="1">
        <v>37.811737239</v>
      </c>
      <c r="P2173" s="1">
        <v>17.525900345</v>
      </c>
      <c r="Q2173" s="1">
        <v>29.89835</v>
      </c>
      <c r="R2173" s="1">
        <v>85.222222222</v>
      </c>
      <c r="S2173" s="1">
        <v>20.9</v>
      </c>
      <c r="T2173" s="1">
        <v>2474.0</v>
      </c>
      <c r="U2173" s="1">
        <v>29.951495554</v>
      </c>
      <c r="V2173" s="1">
        <v>101.30685847</v>
      </c>
      <c r="W2173" s="1">
        <v>9.1492776886</v>
      </c>
      <c r="X2173" s="1">
        <v>6.6126418152</v>
      </c>
      <c r="Y2173" s="1">
        <v>74.539550157</v>
      </c>
      <c r="Z2173" s="1">
        <v>13.8</v>
      </c>
      <c r="AA2173" s="1">
        <v>6.5664346977</v>
      </c>
      <c r="AB2173" s="1">
        <v>48725.0</v>
      </c>
      <c r="AC2173" s="1">
        <v>71.179270227</v>
      </c>
      <c r="AD2173" s="1">
        <v>78.327591607</v>
      </c>
      <c r="AE2173" s="1">
        <v>9.2580213904</v>
      </c>
      <c r="AF2173" s="1">
        <v>2.2597197553</v>
      </c>
      <c r="AG2173" s="1">
        <v>7.64752318929999</v>
      </c>
      <c r="AH2173" s="1">
        <v>0.6611407144</v>
      </c>
      <c r="AI2173" s="1">
        <v>0.0098677719</v>
      </c>
      <c r="AJ2173" s="1">
        <v>15.5022695879999</v>
      </c>
      <c r="AK2173" s="1">
        <v>70.899940793</v>
      </c>
      <c r="AL2173" s="1">
        <v>3.2535165897</v>
      </c>
      <c r="AM2173" s="1">
        <v>50.148016578</v>
      </c>
      <c r="AN2173" s="1">
        <v>100.0</v>
      </c>
      <c r="AO2173" s="1">
        <v>20440.0</v>
      </c>
      <c r="AP2173" s="1">
        <v>12.7</v>
      </c>
      <c r="AQ2173" s="1">
        <v>3.7</v>
      </c>
      <c r="AR2173" s="1">
        <v>16.8</v>
      </c>
      <c r="AS2173" s="1">
        <v>17.8</v>
      </c>
      <c r="AT2173" s="1">
        <v>25.3</v>
      </c>
      <c r="AU2173" s="1">
        <v>17.0</v>
      </c>
      <c r="AV2173" s="1">
        <v>27.3</v>
      </c>
      <c r="AW2173" s="1">
        <v>2.7</v>
      </c>
      <c r="AX2173" s="1">
        <v>0.5345</v>
      </c>
      <c r="AY2173" s="1">
        <v>13.4</v>
      </c>
      <c r="AZ2173" s="1">
        <v>13.0</v>
      </c>
      <c r="BA2173" s="1">
        <v>18.9</v>
      </c>
      <c r="BB2173" s="1">
        <v>3.04</v>
      </c>
      <c r="BC2173" s="1" t="s">
        <v>3542</v>
      </c>
      <c r="BD2173" s="1">
        <v>17.6</v>
      </c>
      <c r="BE2173" s="1">
        <v>41.6</v>
      </c>
      <c r="BF2173" s="1">
        <v>27.3</v>
      </c>
      <c r="BG2173" s="1">
        <v>13.5</v>
      </c>
      <c r="BH2173" s="1" t="s">
        <v>3604</v>
      </c>
    </row>
    <row r="2174">
      <c r="A2174" s="1">
        <v>40087.0</v>
      </c>
      <c r="B2174" s="2" t="str">
        <f>IFERROR(__xludf.DUMMYFUNCTION("TO_TEXT(A2174)"),"40087")</f>
        <v>40087</v>
      </c>
      <c r="C2174" s="1">
        <v>37222.0</v>
      </c>
      <c r="D2174" s="1">
        <v>570.702973559346</v>
      </c>
      <c r="E2174" s="1" t="s">
        <v>3605</v>
      </c>
      <c r="F2174" s="1" t="s">
        <v>3606</v>
      </c>
      <c r="G2174" s="1">
        <v>65.2213177861238</v>
      </c>
      <c r="H2174" s="1">
        <v>16.529295746</v>
      </c>
      <c r="I2174" s="1">
        <v>4.1378893347</v>
      </c>
      <c r="J2174" s="1">
        <v>7.6094276094</v>
      </c>
      <c r="K2174" s="1">
        <v>15.289611965</v>
      </c>
      <c r="L2174" s="1">
        <v>35.5</v>
      </c>
      <c r="M2174" s="1">
        <v>8.2</v>
      </c>
      <c r="N2174" s="1">
        <v>32.1</v>
      </c>
      <c r="O2174" s="1">
        <v>61.203848606</v>
      </c>
      <c r="P2174" s="1">
        <v>14.730546121</v>
      </c>
      <c r="Q2174" s="1">
        <v>45.75147</v>
      </c>
      <c r="R2174" s="1">
        <v>88.547758285</v>
      </c>
      <c r="S2174" s="1">
        <v>12.7</v>
      </c>
      <c r="T2174" s="1">
        <v>9952.0</v>
      </c>
      <c r="U2174" s="1">
        <v>22.065916399</v>
      </c>
      <c r="V2174" s="1">
        <v>128.32555001</v>
      </c>
      <c r="W2174" s="1">
        <v>10.384331116</v>
      </c>
      <c r="X2174" s="1">
        <v>8.45322400299999</v>
      </c>
      <c r="Y2174" s="1">
        <v>75.924916719</v>
      </c>
      <c r="Z2174" s="1">
        <v>11.4</v>
      </c>
      <c r="AA2174" s="1">
        <v>3.883254849</v>
      </c>
      <c r="AB2174" s="1">
        <v>65831.0</v>
      </c>
      <c r="AC2174" s="1">
        <v>42.437610285</v>
      </c>
      <c r="AD2174" s="1">
        <v>79.24994703</v>
      </c>
      <c r="AE2174" s="1">
        <v>9.40491972309999</v>
      </c>
      <c r="AF2174" s="1">
        <v>0.842816056</v>
      </c>
      <c r="AG2174" s="1">
        <v>7.0126297362</v>
      </c>
      <c r="AH2174" s="1">
        <v>0.5326997624</v>
      </c>
      <c r="AI2174" s="1">
        <v>0.0975365762</v>
      </c>
      <c r="AJ2174" s="1">
        <v>8.2205827185</v>
      </c>
      <c r="AK2174" s="1">
        <v>78.799549831</v>
      </c>
      <c r="AL2174" s="1">
        <v>1.024849854</v>
      </c>
      <c r="AM2174" s="1">
        <v>50.371389271</v>
      </c>
      <c r="AN2174" s="1">
        <v>77.166289921</v>
      </c>
      <c r="AO2174" s="1">
        <v>27217.0</v>
      </c>
      <c r="AP2174" s="1">
        <v>9.6</v>
      </c>
      <c r="AQ2174" s="1">
        <v>4.0</v>
      </c>
      <c r="AR2174" s="1">
        <v>12.0</v>
      </c>
      <c r="AS2174" s="1">
        <v>14.6</v>
      </c>
      <c r="AT2174" s="1">
        <v>25.8</v>
      </c>
      <c r="AU2174" s="1">
        <v>13.6</v>
      </c>
      <c r="AV2174" s="1">
        <v>20.2</v>
      </c>
      <c r="AW2174" s="1">
        <v>1.2</v>
      </c>
      <c r="AX2174" s="1">
        <v>0.2012</v>
      </c>
      <c r="AY2174" s="1">
        <v>7.1</v>
      </c>
      <c r="AZ2174" s="1">
        <v>10.6</v>
      </c>
      <c r="BA2174" s="1">
        <v>16.1</v>
      </c>
      <c r="BB2174" s="1">
        <v>3.18</v>
      </c>
      <c r="BC2174" s="1" t="s">
        <v>3542</v>
      </c>
      <c r="BD2174" s="1">
        <v>9.9</v>
      </c>
      <c r="BE2174" s="1">
        <v>32.8</v>
      </c>
      <c r="BF2174" s="1">
        <v>32.3</v>
      </c>
      <c r="BG2174" s="1">
        <v>25.0</v>
      </c>
      <c r="BH2174" s="1" t="s">
        <v>3606</v>
      </c>
    </row>
    <row r="2175">
      <c r="A2175" s="1">
        <v>40089.0</v>
      </c>
      <c r="B2175" s="2" t="str">
        <f>IFERROR(__xludf.DUMMYFUNCTION("TO_TEXT(A2175)"),"40089")</f>
        <v>40089</v>
      </c>
      <c r="C2175" s="1">
        <v>33071.0</v>
      </c>
      <c r="D2175" s="1">
        <v>1850.63905996326</v>
      </c>
      <c r="E2175" s="1" t="s">
        <v>3607</v>
      </c>
      <c r="F2175" s="1" t="s">
        <v>3608</v>
      </c>
      <c r="G2175" s="1">
        <v>17.8700432274765</v>
      </c>
      <c r="H2175" s="1">
        <v>25.14086651</v>
      </c>
      <c r="I2175" s="1">
        <v>5.0080556774</v>
      </c>
      <c r="J2175" s="1">
        <v>7.6828895011</v>
      </c>
      <c r="K2175" s="1">
        <v>21.820864671</v>
      </c>
      <c r="L2175" s="1">
        <v>35.4</v>
      </c>
      <c r="M2175" s="1">
        <v>6.3</v>
      </c>
      <c r="N2175" s="1">
        <v>34.7</v>
      </c>
      <c r="O2175" s="1">
        <v>56.420620796</v>
      </c>
      <c r="P2175" s="1">
        <v>21.3236127379999</v>
      </c>
      <c r="Q2175" s="1">
        <v>45.72056</v>
      </c>
      <c r="R2175" s="1">
        <v>88.227539063</v>
      </c>
      <c r="S2175" s="1">
        <v>28.8</v>
      </c>
      <c r="T2175" s="1">
        <v>8290.0</v>
      </c>
      <c r="U2175" s="1">
        <v>40.168878166</v>
      </c>
      <c r="V2175" s="1">
        <v>235.11566174</v>
      </c>
      <c r="W2175" s="1">
        <v>13.834296724</v>
      </c>
      <c r="X2175" s="1">
        <v>9.2897047087</v>
      </c>
      <c r="Y2175" s="1">
        <v>72.807421207</v>
      </c>
      <c r="Z2175" s="1">
        <v>14.3</v>
      </c>
      <c r="AA2175" s="1">
        <v>8.8760735503</v>
      </c>
      <c r="AB2175" s="1">
        <v>37390.0</v>
      </c>
      <c r="AC2175" s="1">
        <v>89.926437472</v>
      </c>
      <c r="AD2175" s="1">
        <v>71.2141349389999</v>
      </c>
      <c r="AE2175" s="1">
        <v>7.908507765</v>
      </c>
      <c r="AF2175" s="1">
        <v>7.9228205363</v>
      </c>
      <c r="AG2175" s="1">
        <v>17.025960921</v>
      </c>
      <c r="AH2175" s="1">
        <v>0.8072653885</v>
      </c>
      <c r="AI2175" s="1">
        <v>0.9265205027</v>
      </c>
      <c r="AJ2175" s="1">
        <v>6.014738709</v>
      </c>
      <c r="AK2175" s="1">
        <v>62.1594349139999</v>
      </c>
      <c r="AL2175" s="1">
        <v>0.9434578219</v>
      </c>
      <c r="AM2175" s="1">
        <v>50.857719475</v>
      </c>
      <c r="AN2175" s="1">
        <v>69.252812886</v>
      </c>
      <c r="AO2175" s="1">
        <v>18507.0</v>
      </c>
      <c r="AP2175" s="1">
        <v>23.7</v>
      </c>
      <c r="AQ2175" s="1">
        <v>6.6</v>
      </c>
      <c r="AR2175" s="1">
        <v>18.4</v>
      </c>
      <c r="AS2175" s="1">
        <v>16.8</v>
      </c>
      <c r="AT2175" s="1">
        <v>25.5</v>
      </c>
      <c r="AU2175" s="1">
        <v>19.5</v>
      </c>
      <c r="AV2175" s="1">
        <v>36.6</v>
      </c>
      <c r="AW2175" s="1">
        <v>0.8</v>
      </c>
      <c r="AX2175" s="1">
        <v>0.8911</v>
      </c>
      <c r="AY2175" s="1">
        <v>21.9</v>
      </c>
      <c r="AZ2175" s="1">
        <v>18.8</v>
      </c>
      <c r="BA2175" s="1">
        <v>27.8</v>
      </c>
      <c r="BB2175" s="1">
        <v>3.11</v>
      </c>
      <c r="BC2175" s="1" t="s">
        <v>3542</v>
      </c>
      <c r="BD2175" s="1">
        <v>17.1</v>
      </c>
      <c r="BE2175" s="1">
        <v>43.0</v>
      </c>
      <c r="BF2175" s="1">
        <v>26.5</v>
      </c>
      <c r="BG2175" s="1">
        <v>13.4</v>
      </c>
      <c r="BH2175" s="1" t="s">
        <v>3608</v>
      </c>
    </row>
    <row r="2176">
      <c r="A2176" s="1">
        <v>40091.0</v>
      </c>
      <c r="B2176" s="2" t="str">
        <f>IFERROR(__xludf.DUMMYFUNCTION("TO_TEXT(A2176)"),"40091")</f>
        <v>40091</v>
      </c>
      <c r="C2176" s="1">
        <v>20161.0</v>
      </c>
      <c r="D2176" s="1">
        <v>618.496002290899</v>
      </c>
      <c r="E2176" s="1" t="s">
        <v>957</v>
      </c>
      <c r="F2176" s="1" t="s">
        <v>3609</v>
      </c>
      <c r="G2176" s="1">
        <v>32.5968153800897</v>
      </c>
      <c r="H2176" s="1">
        <v>22.623646423</v>
      </c>
      <c r="I2176" s="1">
        <v>4.8523986545</v>
      </c>
      <c r="J2176" s="1">
        <v>8.275862069</v>
      </c>
      <c r="K2176" s="1">
        <v>20.60713931</v>
      </c>
      <c r="L2176" s="1">
        <v>33.5</v>
      </c>
      <c r="M2176" s="1">
        <v>6.9</v>
      </c>
      <c r="N2176" s="1">
        <v>32.4</v>
      </c>
      <c r="O2176" s="1">
        <v>80.253802094</v>
      </c>
      <c r="P2176" s="1">
        <v>20.726700424</v>
      </c>
      <c r="Q2176" s="1">
        <v>30.39206</v>
      </c>
      <c r="R2176" s="1">
        <v>83.842592593</v>
      </c>
      <c r="S2176" s="1">
        <v>37.6</v>
      </c>
      <c r="T2176" s="1">
        <v>4006.0</v>
      </c>
      <c r="U2176" s="1">
        <v>34.398402396</v>
      </c>
      <c r="V2176" s="1">
        <v>247.51862578</v>
      </c>
      <c r="W2176" s="1">
        <v>13.554216867</v>
      </c>
      <c r="X2176" s="1">
        <v>8.3772198408</v>
      </c>
      <c r="Y2176" s="1">
        <v>73.904415449</v>
      </c>
      <c r="Z2176" s="1">
        <v>15.9</v>
      </c>
      <c r="AA2176" s="1">
        <v>5.6884524935</v>
      </c>
      <c r="AB2176" s="1">
        <v>37468.0</v>
      </c>
      <c r="AC2176" s="1">
        <v>87.918536417</v>
      </c>
      <c r="AD2176" s="1">
        <v>77.70117675</v>
      </c>
      <c r="AE2176" s="1">
        <v>9.6675970566</v>
      </c>
      <c r="AF2176" s="1">
        <v>2.9119354025</v>
      </c>
      <c r="AG2176" s="1">
        <v>18.824123139</v>
      </c>
      <c r="AH2176" s="1">
        <v>0.5450416351</v>
      </c>
      <c r="AI2176" s="1">
        <v>0.0807469089</v>
      </c>
      <c r="AJ2176" s="1">
        <v>2.8362351754</v>
      </c>
      <c r="AK2176" s="1">
        <v>67.686096392</v>
      </c>
      <c r="AL2176" s="1">
        <v>0.325732899</v>
      </c>
      <c r="AM2176" s="1">
        <v>50.603078476</v>
      </c>
      <c r="AN2176" s="1">
        <v>87.300019751</v>
      </c>
      <c r="AO2176" s="1">
        <v>21456.0</v>
      </c>
      <c r="AP2176" s="1">
        <v>18.9</v>
      </c>
      <c r="AQ2176" s="1">
        <v>10.3</v>
      </c>
      <c r="AR2176" s="1">
        <v>15.7</v>
      </c>
      <c r="AS2176" s="1">
        <v>24.7</v>
      </c>
      <c r="AT2176" s="1">
        <v>20.4</v>
      </c>
      <c r="AU2176" s="1">
        <v>24.3</v>
      </c>
      <c r="AV2176" s="1">
        <v>31.4</v>
      </c>
      <c r="AW2176" s="1">
        <v>0.3</v>
      </c>
      <c r="AX2176" s="1">
        <v>0.7918</v>
      </c>
      <c r="AY2176" s="1">
        <v>19.7</v>
      </c>
      <c r="AZ2176" s="1">
        <v>18.9</v>
      </c>
      <c r="BA2176" s="1">
        <v>30.6</v>
      </c>
      <c r="BB2176" s="1">
        <v>3.08</v>
      </c>
      <c r="BC2176" s="1" t="s">
        <v>3542</v>
      </c>
      <c r="BD2176" s="1">
        <v>14.2</v>
      </c>
      <c r="BE2176" s="1">
        <v>42.7</v>
      </c>
      <c r="BF2176" s="1">
        <v>29.3</v>
      </c>
      <c r="BG2176" s="1">
        <v>13.9</v>
      </c>
      <c r="BH2176" s="1" t="s">
        <v>3609</v>
      </c>
    </row>
    <row r="2177">
      <c r="A2177" s="1">
        <v>40093.0</v>
      </c>
      <c r="B2177" s="2" t="str">
        <f>IFERROR(__xludf.DUMMYFUNCTION("TO_TEXT(A2177)"),"40093")</f>
        <v>40093</v>
      </c>
      <c r="C2177" s="1">
        <v>7721.0</v>
      </c>
      <c r="D2177" s="1">
        <v>954.987761330226</v>
      </c>
      <c r="E2177" s="1" t="s">
        <v>3610</v>
      </c>
      <c r="F2177" s="1" t="s">
        <v>3611</v>
      </c>
      <c r="G2177" s="1">
        <v>8.0849203651</v>
      </c>
      <c r="H2177" s="1">
        <v>16.523142944</v>
      </c>
      <c r="I2177" s="1">
        <v>4.3246706325</v>
      </c>
      <c r="J2177" s="1">
        <v>8.7014725569</v>
      </c>
      <c r="K2177" s="1">
        <v>15.39629737</v>
      </c>
      <c r="L2177" s="1">
        <v>41.2</v>
      </c>
      <c r="M2177" s="1">
        <v>8.0</v>
      </c>
      <c r="N2177" s="1">
        <v>33.8</v>
      </c>
      <c r="O2177" s="1">
        <v>1.992825827</v>
      </c>
      <c r="P2177" s="1">
        <v>19.192913386</v>
      </c>
      <c r="Q2177" s="1">
        <v>38.99649</v>
      </c>
      <c r="R2177" s="1">
        <v>89.912280702</v>
      </c>
      <c r="S2177" s="1">
        <v>15.3</v>
      </c>
      <c r="T2177" s="1">
        <v>1924.0</v>
      </c>
      <c r="U2177" s="1">
        <v>17.5155925159999</v>
      </c>
      <c r="V2177" s="1">
        <v>38.657303009</v>
      </c>
      <c r="W2177" s="1">
        <v>10.0840336129999</v>
      </c>
      <c r="X2177" s="1">
        <v>6.6416893733</v>
      </c>
      <c r="Y2177" s="1">
        <v>74.066133847</v>
      </c>
      <c r="Z2177" s="1">
        <v>9.8</v>
      </c>
      <c r="AA2177" s="1">
        <v>4.9412855913</v>
      </c>
      <c r="AB2177" s="1">
        <v>56102.0</v>
      </c>
      <c r="AC2177" s="1">
        <v>55.7364341089999</v>
      </c>
      <c r="AD2177" s="1">
        <v>79.770491803</v>
      </c>
      <c r="AE2177" s="1">
        <v>6.1543810848</v>
      </c>
      <c r="AF2177" s="1">
        <v>0.654107797</v>
      </c>
      <c r="AG2177" s="1">
        <v>3.0743066457</v>
      </c>
      <c r="AH2177" s="1">
        <v>0.7456828885</v>
      </c>
      <c r="AI2177" s="1">
        <v>0.0915750916</v>
      </c>
      <c r="AJ2177" s="1">
        <v>9.4583987441</v>
      </c>
      <c r="AK2177" s="1">
        <v>84.746206175</v>
      </c>
      <c r="AL2177" s="1">
        <v>1.7243776943</v>
      </c>
      <c r="AM2177" s="1">
        <v>51.020408163</v>
      </c>
      <c r="AN2177" s="1">
        <v>100.0</v>
      </c>
      <c r="AO2177" s="1">
        <v>27797.0</v>
      </c>
      <c r="AP2177" s="1">
        <v>13.6</v>
      </c>
      <c r="AQ2177" s="1">
        <v>5.9</v>
      </c>
      <c r="AR2177" s="1">
        <v>12.1</v>
      </c>
      <c r="AS2177" s="1">
        <v>19.1</v>
      </c>
      <c r="AT2177" s="1">
        <v>25.6</v>
      </c>
      <c r="AU2177" s="1">
        <v>17.9</v>
      </c>
      <c r="AV2177" s="1">
        <v>14.2</v>
      </c>
      <c r="AW2177" s="1">
        <v>1.0</v>
      </c>
      <c r="AX2177" s="1">
        <v>0.4142</v>
      </c>
      <c r="AY2177" s="1">
        <v>13.4</v>
      </c>
      <c r="AZ2177" s="1">
        <v>11.9</v>
      </c>
      <c r="BA2177" s="1">
        <v>18.2</v>
      </c>
      <c r="BB2177" s="1">
        <v>3.1</v>
      </c>
      <c r="BC2177" s="1" t="s">
        <v>3542</v>
      </c>
      <c r="BD2177" s="1">
        <v>11.4</v>
      </c>
      <c r="BE2177" s="1">
        <v>38.6</v>
      </c>
      <c r="BF2177" s="1">
        <v>30.0</v>
      </c>
      <c r="BG2177" s="1">
        <v>20.0</v>
      </c>
      <c r="BH2177" s="1" t="s">
        <v>3611</v>
      </c>
    </row>
    <row r="2178">
      <c r="A2178" s="1">
        <v>40095.0</v>
      </c>
      <c r="B2178" s="2" t="str">
        <f>IFERROR(__xludf.DUMMYFUNCTION("TO_TEXT(A2178)"),"40095")</f>
        <v>40095</v>
      </c>
      <c r="C2178" s="1">
        <v>16079.0</v>
      </c>
      <c r="D2178" s="1">
        <v>371.26126422081</v>
      </c>
      <c r="E2178" s="1" t="s">
        <v>154</v>
      </c>
      <c r="F2178" s="1" t="s">
        <v>3612</v>
      </c>
      <c r="G2178" s="1">
        <v>43.3091236537861</v>
      </c>
      <c r="H2178" s="1">
        <v>21.302115014</v>
      </c>
      <c r="I2178" s="1">
        <v>4.703365851</v>
      </c>
      <c r="J2178" s="1">
        <v>7.1163825056</v>
      </c>
      <c r="K2178" s="1">
        <v>18.8028718759999</v>
      </c>
      <c r="L2178" s="1">
        <v>34.1</v>
      </c>
      <c r="M2178" s="1">
        <v>7.3</v>
      </c>
      <c r="N2178" s="1">
        <v>32.6</v>
      </c>
      <c r="O2178" s="1">
        <v>53.207070707</v>
      </c>
      <c r="P2178" s="1">
        <v>22.855788975</v>
      </c>
      <c r="Q2178" s="1">
        <v>30.42473</v>
      </c>
      <c r="R2178" s="1">
        <v>83.274647887</v>
      </c>
      <c r="S2178" s="1">
        <v>25.6</v>
      </c>
      <c r="T2178" s="1">
        <v>3723.0</v>
      </c>
      <c r="U2178" s="1">
        <v>33.843674456</v>
      </c>
      <c r="V2178" s="1">
        <v>145.64159772</v>
      </c>
      <c r="W2178" s="1">
        <v>11.8090452259999</v>
      </c>
      <c r="X2178" s="1">
        <v>7.2819644369</v>
      </c>
      <c r="Y2178" s="1">
        <v>77.07335517</v>
      </c>
      <c r="Z2178" s="1">
        <v>16.9</v>
      </c>
      <c r="AA2178" s="1">
        <v>11.542176435</v>
      </c>
      <c r="AB2178" s="1">
        <v>42258.0</v>
      </c>
      <c r="AC2178" s="1">
        <v>61.667744021</v>
      </c>
      <c r="AD2178" s="1">
        <v>72.003205128</v>
      </c>
      <c r="AE2178" s="1">
        <v>8.7938408896</v>
      </c>
      <c r="AF2178" s="1">
        <v>1.6065690825</v>
      </c>
      <c r="AG2178" s="1">
        <v>10.918719505</v>
      </c>
      <c r="AH2178" s="1">
        <v>0.4105676544</v>
      </c>
      <c r="AI2178" s="1">
        <v>0.0892538379</v>
      </c>
      <c r="AJ2178" s="1">
        <v>18.118529097</v>
      </c>
      <c r="AK2178" s="1">
        <v>64.762584791</v>
      </c>
      <c r="AL2178" s="1">
        <v>3.4312771616</v>
      </c>
      <c r="AM2178" s="1">
        <v>51.029394264</v>
      </c>
      <c r="AN2178" s="1">
        <v>72.102272727</v>
      </c>
      <c r="AO2178" s="1">
        <v>21394.0</v>
      </c>
      <c r="AP2178" s="1">
        <v>16.6</v>
      </c>
      <c r="AQ2178" s="1">
        <v>5.7</v>
      </c>
      <c r="AR2178" s="1">
        <v>19.7</v>
      </c>
      <c r="AS2178" s="1">
        <v>21.0</v>
      </c>
      <c r="AT2178" s="1">
        <v>23.7</v>
      </c>
      <c r="AU2178" s="1">
        <v>31.1</v>
      </c>
      <c r="AV2178" s="1">
        <v>33.3</v>
      </c>
      <c r="AW2178" s="1">
        <v>3.1</v>
      </c>
      <c r="AX2178" s="1">
        <v>0.8586</v>
      </c>
      <c r="AY2178" s="1">
        <v>18.2</v>
      </c>
      <c r="AZ2178" s="1">
        <v>16.8</v>
      </c>
      <c r="BA2178" s="1">
        <v>24.5</v>
      </c>
      <c r="BB2178" s="1">
        <v>2.98</v>
      </c>
      <c r="BC2178" s="1" t="s">
        <v>3542</v>
      </c>
      <c r="BD2178" s="1">
        <v>20.9</v>
      </c>
      <c r="BE2178" s="1">
        <v>35.6</v>
      </c>
      <c r="BF2178" s="1">
        <v>28.6</v>
      </c>
      <c r="BG2178" s="1">
        <v>14.8</v>
      </c>
      <c r="BH2178" s="1" t="s">
        <v>3612</v>
      </c>
    </row>
    <row r="2179">
      <c r="A2179" s="1">
        <v>40097.0</v>
      </c>
      <c r="B2179" s="2" t="str">
        <f>IFERROR(__xludf.DUMMYFUNCTION("TO_TEXT(A2179)"),"40097")</f>
        <v>40097</v>
      </c>
      <c r="C2179" s="1">
        <v>40923.0</v>
      </c>
      <c r="D2179" s="1">
        <v>655.381944890484</v>
      </c>
      <c r="E2179" s="1" t="s">
        <v>3613</v>
      </c>
      <c r="F2179" s="1" t="s">
        <v>3614</v>
      </c>
      <c r="G2179" s="1">
        <v>62.4414516131328</v>
      </c>
      <c r="H2179" s="1">
        <v>21.808612869</v>
      </c>
      <c r="I2179" s="1">
        <v>4.8275051306</v>
      </c>
      <c r="J2179" s="1">
        <v>8.0663948748</v>
      </c>
      <c r="K2179" s="1">
        <v>20.874508174</v>
      </c>
      <c r="L2179" s="1">
        <v>36.7</v>
      </c>
      <c r="M2179" s="1">
        <v>7.3</v>
      </c>
      <c r="N2179" s="1">
        <v>33.3</v>
      </c>
      <c r="O2179" s="1">
        <v>60.728568312</v>
      </c>
      <c r="P2179" s="1">
        <v>19.499727784</v>
      </c>
      <c r="Q2179" s="1">
        <v>36.656</v>
      </c>
      <c r="R2179" s="1">
        <v>80.801236749</v>
      </c>
      <c r="S2179" s="1">
        <v>20.3</v>
      </c>
      <c r="T2179" s="1">
        <v>9502.0</v>
      </c>
      <c r="U2179" s="1">
        <v>32.22479478</v>
      </c>
      <c r="V2179" s="1">
        <v>287.73086098</v>
      </c>
      <c r="W2179" s="1">
        <v>12.742294248</v>
      </c>
      <c r="X2179" s="1">
        <v>9.2843326886</v>
      </c>
      <c r="Y2179" s="1">
        <v>74.601508796</v>
      </c>
      <c r="Z2179" s="1">
        <v>10.5</v>
      </c>
      <c r="AA2179" s="1">
        <v>4.8327184098</v>
      </c>
      <c r="AB2179" s="1">
        <v>50951.0</v>
      </c>
      <c r="AC2179" s="1">
        <v>75.507631984</v>
      </c>
      <c r="AD2179" s="1">
        <v>72.704886981</v>
      </c>
      <c r="AE2179" s="1">
        <v>9.0536086635</v>
      </c>
      <c r="AF2179" s="1">
        <v>0.6033035736</v>
      </c>
      <c r="AG2179" s="1">
        <v>22.1446468969999</v>
      </c>
      <c r="AH2179" s="1">
        <v>0.4281509232</v>
      </c>
      <c r="AI2179" s="1">
        <v>0.0681149196</v>
      </c>
      <c r="AJ2179" s="1">
        <v>3.7098304425</v>
      </c>
      <c r="AK2179" s="1">
        <v>64.672683485</v>
      </c>
      <c r="AL2179" s="1">
        <v>0.3040856638</v>
      </c>
      <c r="AM2179" s="1">
        <v>50.035273798</v>
      </c>
      <c r="AN2179" s="1">
        <v>77.398870549</v>
      </c>
      <c r="AO2179" s="1">
        <v>21756.0</v>
      </c>
      <c r="AP2179" s="1">
        <v>21.0</v>
      </c>
      <c r="AQ2179" s="1">
        <v>6.5</v>
      </c>
      <c r="AR2179" s="1">
        <v>13.8</v>
      </c>
      <c r="AS2179" s="1">
        <v>17.0</v>
      </c>
      <c r="AT2179" s="1">
        <v>24.5</v>
      </c>
      <c r="AU2179" s="1">
        <v>21.0</v>
      </c>
      <c r="AV2179" s="1">
        <v>34.4</v>
      </c>
      <c r="AW2179" s="1">
        <v>0.4</v>
      </c>
      <c r="AX2179" s="1">
        <v>0.7635</v>
      </c>
      <c r="AY2179" s="1">
        <v>17.7</v>
      </c>
      <c r="AZ2179" s="1">
        <v>16.2</v>
      </c>
      <c r="BA2179" s="1">
        <v>24.1</v>
      </c>
      <c r="BB2179" s="1">
        <v>3.11</v>
      </c>
      <c r="BC2179" s="1" t="s">
        <v>3542</v>
      </c>
      <c r="BD2179" s="1">
        <v>13.5</v>
      </c>
      <c r="BE2179" s="1">
        <v>39.5</v>
      </c>
      <c r="BF2179" s="1">
        <v>32.7</v>
      </c>
      <c r="BG2179" s="1">
        <v>14.3</v>
      </c>
      <c r="BH2179" s="1" t="s">
        <v>3614</v>
      </c>
    </row>
    <row r="2180">
      <c r="A2180" s="1">
        <v>40099.0</v>
      </c>
      <c r="B2180" s="2" t="str">
        <f>IFERROR(__xludf.DUMMYFUNCTION("TO_TEXT(A2180)"),"40099")</f>
        <v>40099</v>
      </c>
      <c r="C2180" s="1">
        <v>13792.0</v>
      </c>
      <c r="D2180" s="1">
        <v>416.459144652952</v>
      </c>
      <c r="E2180" s="1" t="s">
        <v>970</v>
      </c>
      <c r="F2180" s="1" t="s">
        <v>3615</v>
      </c>
      <c r="G2180" s="1">
        <v>33.117294162176</v>
      </c>
      <c r="H2180" s="1">
        <v>19.27114899</v>
      </c>
      <c r="I2180" s="1">
        <v>4.4931924499</v>
      </c>
      <c r="J2180" s="1">
        <v>7.7554744526</v>
      </c>
      <c r="K2180" s="1">
        <v>18.198197754</v>
      </c>
      <c r="L2180" s="1">
        <v>34.2</v>
      </c>
      <c r="M2180" s="1">
        <v>7.9</v>
      </c>
      <c r="N2180" s="1">
        <v>32.2</v>
      </c>
      <c r="O2180" s="1">
        <v>77.6023131669999</v>
      </c>
      <c r="P2180" s="1">
        <v>17.405493609</v>
      </c>
      <c r="Q2180" s="1">
        <v>36.09326</v>
      </c>
      <c r="R2180" s="1">
        <v>82.164179104</v>
      </c>
      <c r="S2180" s="1">
        <v>20.7</v>
      </c>
      <c r="T2180" s="1">
        <v>3157.0</v>
      </c>
      <c r="U2180" s="1">
        <v>39.499524865</v>
      </c>
      <c r="V2180" s="1">
        <v>216.37216012</v>
      </c>
      <c r="W2180" s="1">
        <v>11.792014856</v>
      </c>
      <c r="X2180" s="1">
        <v>6.1320754717</v>
      </c>
      <c r="Y2180" s="1">
        <v>74.373310672</v>
      </c>
      <c r="Z2180" s="1">
        <v>12.6</v>
      </c>
      <c r="AA2180" s="1">
        <v>2.0362885872</v>
      </c>
      <c r="AB2180" s="1">
        <v>50031.0</v>
      </c>
      <c r="AC2180" s="1">
        <v>56.06805293</v>
      </c>
      <c r="AD2180" s="1">
        <v>69.555472544</v>
      </c>
      <c r="AE2180" s="1">
        <v>5.96777402029999</v>
      </c>
      <c r="AF2180" s="1">
        <v>1.6555579445</v>
      </c>
      <c r="AG2180" s="1">
        <v>13.796316204</v>
      </c>
      <c r="AH2180" s="1">
        <v>0.5375188132</v>
      </c>
      <c r="AI2180" s="1">
        <v>0.0788360926</v>
      </c>
      <c r="AJ2180" s="1">
        <v>7.1812513438</v>
      </c>
      <c r="AK2180" s="1">
        <v>71.210492367</v>
      </c>
      <c r="AL2180" s="1">
        <v>1.0502913217</v>
      </c>
      <c r="AM2180" s="1">
        <v>49.731240593</v>
      </c>
      <c r="AN2180" s="1">
        <v>45.699881376</v>
      </c>
      <c r="AO2180" s="1">
        <v>24454.0</v>
      </c>
      <c r="AP2180" s="1">
        <v>14.4</v>
      </c>
      <c r="AQ2180" s="1">
        <v>3.1</v>
      </c>
      <c r="AR2180" s="1">
        <v>17.2</v>
      </c>
      <c r="AS2180" s="1">
        <v>18.8</v>
      </c>
      <c r="AT2180" s="1">
        <v>23.3</v>
      </c>
      <c r="AU2180" s="1">
        <v>19.3</v>
      </c>
      <c r="AV2180" s="1">
        <v>26.3</v>
      </c>
      <c r="AW2180" s="1">
        <v>0.7</v>
      </c>
      <c r="AX2180" s="1">
        <v>0.6094</v>
      </c>
      <c r="AY2180" s="1">
        <v>14.9</v>
      </c>
      <c r="AZ2180" s="1">
        <v>15.6</v>
      </c>
      <c r="BA2180" s="1">
        <v>22.1</v>
      </c>
      <c r="BB2180" s="1">
        <v>2.94</v>
      </c>
      <c r="BC2180" s="1" t="s">
        <v>3542</v>
      </c>
      <c r="BD2180" s="1">
        <v>15.8</v>
      </c>
      <c r="BE2180" s="1">
        <v>38.0</v>
      </c>
      <c r="BF2180" s="1">
        <v>28.8</v>
      </c>
      <c r="BG2180" s="1">
        <v>17.4</v>
      </c>
      <c r="BH2180" s="1" t="s">
        <v>3615</v>
      </c>
    </row>
    <row r="2181">
      <c r="A2181" s="1">
        <v>40101.0</v>
      </c>
      <c r="B2181" s="2" t="str">
        <f>IFERROR(__xludf.DUMMYFUNCTION("TO_TEXT(A2181)"),"40101")</f>
        <v>40101</v>
      </c>
      <c r="C2181" s="1">
        <v>69939.0</v>
      </c>
      <c r="D2181" s="1">
        <v>810.448609282648</v>
      </c>
      <c r="E2181" s="1" t="s">
        <v>3616</v>
      </c>
      <c r="F2181" s="1" t="s">
        <v>3617</v>
      </c>
      <c r="G2181" s="1">
        <v>86.2966500268352</v>
      </c>
      <c r="H2181" s="1">
        <v>23.692750551</v>
      </c>
      <c r="I2181" s="1">
        <v>4.8310880458</v>
      </c>
      <c r="J2181" s="1">
        <v>7.9329608939</v>
      </c>
      <c r="K2181" s="1">
        <v>21.27680751</v>
      </c>
      <c r="L2181" s="1">
        <v>42.4</v>
      </c>
      <c r="M2181" s="1">
        <v>6.7</v>
      </c>
      <c r="N2181" s="1">
        <v>33.0</v>
      </c>
      <c r="O2181" s="1">
        <v>61.6312156639999</v>
      </c>
      <c r="P2181" s="1">
        <v>19.126635951</v>
      </c>
      <c r="Q2181" s="1">
        <v>49.21402</v>
      </c>
      <c r="R2181" s="1">
        <v>82.66920877</v>
      </c>
      <c r="S2181" s="1">
        <v>21.4</v>
      </c>
      <c r="T2181" s="1">
        <v>16622.0</v>
      </c>
      <c r="U2181" s="1">
        <v>40.813379858</v>
      </c>
      <c r="V2181" s="1">
        <v>716.68629535</v>
      </c>
      <c r="W2181" s="1">
        <v>14.539549102</v>
      </c>
      <c r="X2181" s="1">
        <v>12.038266302</v>
      </c>
      <c r="Y2181" s="1">
        <v>72.673693074</v>
      </c>
      <c r="Z2181" s="1">
        <v>13.9</v>
      </c>
      <c r="AA2181" s="1">
        <v>6.43807810679999</v>
      </c>
      <c r="AB2181" s="1">
        <v>43911.0</v>
      </c>
      <c r="AC2181" s="1">
        <v>81.732665756</v>
      </c>
      <c r="AD2181" s="1">
        <v>65.91379707</v>
      </c>
      <c r="AE2181" s="1">
        <v>13.175267692</v>
      </c>
      <c r="AF2181" s="1">
        <v>10.665281882</v>
      </c>
      <c r="AG2181" s="1">
        <v>19.551797782</v>
      </c>
      <c r="AH2181" s="1">
        <v>0.6582604371</v>
      </c>
      <c r="AI2181" s="1">
        <v>0.1111728738</v>
      </c>
      <c r="AJ2181" s="1">
        <v>6.3017465844</v>
      </c>
      <c r="AK2181" s="1">
        <v>55.76782423</v>
      </c>
      <c r="AL2181" s="1">
        <v>0.9062412712</v>
      </c>
      <c r="AM2181" s="1">
        <v>51.287264855</v>
      </c>
      <c r="AN2181" s="1">
        <v>41.117058741</v>
      </c>
      <c r="AO2181" s="1">
        <v>21109.0</v>
      </c>
      <c r="AP2181" s="1">
        <v>21.4</v>
      </c>
      <c r="AQ2181" s="1">
        <v>7.6</v>
      </c>
      <c r="AR2181" s="1">
        <v>14.5</v>
      </c>
      <c r="AS2181" s="1">
        <v>15.8</v>
      </c>
      <c r="AT2181" s="1">
        <v>24.5</v>
      </c>
      <c r="AU2181" s="1">
        <v>18.4</v>
      </c>
      <c r="AV2181" s="1">
        <v>43.0</v>
      </c>
      <c r="AW2181" s="1">
        <v>1.0</v>
      </c>
      <c r="AX2181" s="1">
        <v>0.9058</v>
      </c>
      <c r="AY2181" s="1">
        <v>22.7</v>
      </c>
      <c r="AZ2181" s="1">
        <v>16.9</v>
      </c>
      <c r="BA2181" s="1">
        <v>25.2</v>
      </c>
      <c r="BB2181" s="1">
        <v>2.9</v>
      </c>
      <c r="BC2181" s="1" t="s">
        <v>3542</v>
      </c>
      <c r="BD2181" s="1">
        <v>14.7</v>
      </c>
      <c r="BE2181" s="1">
        <v>34.4</v>
      </c>
      <c r="BF2181" s="1">
        <v>30.4</v>
      </c>
      <c r="BG2181" s="1">
        <v>20.4</v>
      </c>
      <c r="BH2181" s="1" t="s">
        <v>3617</v>
      </c>
    </row>
    <row r="2182">
      <c r="A2182" s="1">
        <v>40103.0</v>
      </c>
      <c r="B2182" s="2" t="str">
        <f>IFERROR(__xludf.DUMMYFUNCTION("TO_TEXT(A2182)"),"40103")</f>
        <v>40103</v>
      </c>
      <c r="C2182" s="1">
        <v>11470.0</v>
      </c>
      <c r="D2182" s="1">
        <v>731.892498680096</v>
      </c>
      <c r="E2182" s="1" t="s">
        <v>1384</v>
      </c>
      <c r="F2182" s="1" t="s">
        <v>3618</v>
      </c>
      <c r="G2182" s="1">
        <v>15.6717004487478</v>
      </c>
      <c r="H2182" s="1">
        <v>17.009741085</v>
      </c>
      <c r="I2182" s="1">
        <v>4.2735179582</v>
      </c>
      <c r="J2182" s="1">
        <v>6.6069428891</v>
      </c>
      <c r="K2182" s="1">
        <v>16.952389642</v>
      </c>
      <c r="L2182" s="1">
        <v>38.7</v>
      </c>
      <c r="M2182" s="1">
        <v>7.2</v>
      </c>
      <c r="N2182" s="1">
        <v>27.8</v>
      </c>
      <c r="O2182" s="1">
        <v>48.94905285</v>
      </c>
      <c r="P2182" s="1">
        <v>15.063961182</v>
      </c>
      <c r="Q2182" s="1">
        <v>35.47043</v>
      </c>
      <c r="R2182" s="1">
        <v>89.611486486</v>
      </c>
      <c r="S2182" s="1">
        <v>16.3</v>
      </c>
      <c r="T2182" s="1">
        <v>2769.0</v>
      </c>
      <c r="U2182" s="1">
        <v>31.852654388</v>
      </c>
      <c r="V2182" s="1">
        <v>170.12737742</v>
      </c>
      <c r="W2182" s="1">
        <v>10.319148936</v>
      </c>
      <c r="X2182" s="1">
        <v>7.3922413793</v>
      </c>
      <c r="Y2182" s="1">
        <v>74.92620324</v>
      </c>
      <c r="Z2182" s="1">
        <v>13.2</v>
      </c>
      <c r="AA2182" s="1">
        <v>11.6057988679999</v>
      </c>
      <c r="AB2182" s="1">
        <v>54210.0</v>
      </c>
      <c r="AC2182" s="1">
        <v>56.161245992</v>
      </c>
      <c r="AD2182" s="1">
        <v>73.062730627</v>
      </c>
      <c r="AE2182" s="1">
        <v>8.3869485294</v>
      </c>
      <c r="AF2182" s="1">
        <v>1.70077066169999</v>
      </c>
      <c r="AG2182" s="1">
        <v>9.2745150146</v>
      </c>
      <c r="AH2182" s="1">
        <v>0.5226326513</v>
      </c>
      <c r="AI2182" s="1">
        <v>0.0797236248</v>
      </c>
      <c r="AJ2182" s="1">
        <v>3.9330321552</v>
      </c>
      <c r="AK2182" s="1">
        <v>80.901762778</v>
      </c>
      <c r="AL2182" s="1">
        <v>0.0652498136</v>
      </c>
      <c r="AM2182" s="1">
        <v>50.305607228</v>
      </c>
      <c r="AN2182" s="1">
        <v>56.3013580139999</v>
      </c>
      <c r="AO2182" s="1">
        <v>26701.0</v>
      </c>
      <c r="AP2182" s="1">
        <v>12.8</v>
      </c>
      <c r="AQ2182" s="1">
        <v>4.8</v>
      </c>
      <c r="AR2182" s="1">
        <v>11.5</v>
      </c>
      <c r="AS2182" s="1">
        <v>17.6</v>
      </c>
      <c r="AT2182" s="1">
        <v>24.2</v>
      </c>
      <c r="AU2182" s="1">
        <v>17.0</v>
      </c>
      <c r="AV2182" s="1">
        <v>17.9</v>
      </c>
      <c r="AW2182" s="1">
        <v>0.1</v>
      </c>
      <c r="AX2182" s="1">
        <v>0.2741</v>
      </c>
      <c r="AY2182" s="1">
        <v>12.3</v>
      </c>
      <c r="AZ2182" s="1">
        <v>13.3</v>
      </c>
      <c r="BA2182" s="1">
        <v>18.9</v>
      </c>
      <c r="BB2182" s="1">
        <v>3.02</v>
      </c>
      <c r="BC2182" s="1" t="s">
        <v>3542</v>
      </c>
      <c r="BD2182" s="1">
        <v>9.5</v>
      </c>
      <c r="BE2182" s="1">
        <v>41.5</v>
      </c>
      <c r="BF2182" s="1">
        <v>25.8</v>
      </c>
      <c r="BG2182" s="1">
        <v>23.2</v>
      </c>
      <c r="BH2182" s="1" t="s">
        <v>3618</v>
      </c>
    </row>
    <row r="2183">
      <c r="A2183" s="1">
        <v>40105.0</v>
      </c>
      <c r="B2183" s="2" t="str">
        <f>IFERROR(__xludf.DUMMYFUNCTION("TO_TEXT(A2183)"),"40105")</f>
        <v>40105</v>
      </c>
      <c r="C2183" s="1">
        <v>10510.0</v>
      </c>
      <c r="D2183" s="1">
        <v>565.777827489695</v>
      </c>
      <c r="E2183" s="1" t="s">
        <v>3619</v>
      </c>
      <c r="F2183" s="1" t="s">
        <v>3620</v>
      </c>
      <c r="G2183" s="1">
        <v>18.5761963253877</v>
      </c>
      <c r="H2183" s="1">
        <v>19.76338503</v>
      </c>
      <c r="I2183" s="1">
        <v>4.7758660182</v>
      </c>
      <c r="J2183" s="1">
        <v>7.6300578035</v>
      </c>
      <c r="K2183" s="1">
        <v>20.1379813609999</v>
      </c>
      <c r="L2183" s="1">
        <v>36.3</v>
      </c>
      <c r="M2183" s="1">
        <v>6.8</v>
      </c>
      <c r="N2183" s="1">
        <v>31.7</v>
      </c>
      <c r="O2183" s="1">
        <v>54.6222475319999</v>
      </c>
      <c r="P2183" s="1">
        <v>20.641306998</v>
      </c>
      <c r="Q2183" s="1">
        <v>19.40617</v>
      </c>
      <c r="R2183" s="1">
        <v>86.00931677</v>
      </c>
      <c r="S2183" s="1">
        <v>25.4</v>
      </c>
      <c r="T2183" s="1">
        <v>2387.0</v>
      </c>
      <c r="U2183" s="1">
        <v>28.6552157519999</v>
      </c>
      <c r="V2183" s="1">
        <v>223.0977358</v>
      </c>
      <c r="W2183" s="1">
        <v>12.851897185</v>
      </c>
      <c r="X2183" s="1">
        <v>10.087390762</v>
      </c>
      <c r="Y2183" s="1">
        <v>74.75403218</v>
      </c>
      <c r="Z2183" s="1">
        <v>18.5</v>
      </c>
      <c r="AA2183" s="1">
        <v>8.8944345941</v>
      </c>
      <c r="AB2183" s="1">
        <v>45734.0</v>
      </c>
      <c r="AC2183" s="1">
        <v>59.07269605</v>
      </c>
      <c r="AD2183" s="1">
        <v>74.559255632</v>
      </c>
      <c r="AE2183" s="1">
        <v>9.7011012061</v>
      </c>
      <c r="AF2183" s="1">
        <v>2.3487962419</v>
      </c>
      <c r="AG2183" s="1">
        <v>19.426502251</v>
      </c>
      <c r="AH2183" s="1">
        <v>0.1957330202</v>
      </c>
      <c r="AI2183" s="1">
        <v>0.029359953</v>
      </c>
      <c r="AJ2183" s="1">
        <v>3.1415149736</v>
      </c>
      <c r="AK2183" s="1">
        <v>66.735173224</v>
      </c>
      <c r="AL2183" s="1">
        <v>0.3775124987</v>
      </c>
      <c r="AM2183" s="1">
        <v>50.137013114</v>
      </c>
      <c r="AN2183" s="1">
        <v>57.934700076</v>
      </c>
      <c r="AO2183" s="1">
        <v>21085.0</v>
      </c>
      <c r="AP2183" s="1">
        <v>18.9</v>
      </c>
      <c r="AQ2183" s="1">
        <v>8.1</v>
      </c>
      <c r="AR2183" s="1">
        <v>14.3</v>
      </c>
      <c r="AS2183" s="1">
        <v>18.6</v>
      </c>
      <c r="AT2183" s="1">
        <v>23.2</v>
      </c>
      <c r="AU2183" s="1">
        <v>19.1</v>
      </c>
      <c r="AV2183" s="1">
        <v>32.9</v>
      </c>
      <c r="AW2183" s="1">
        <v>0.3</v>
      </c>
      <c r="AX2183" s="1">
        <v>0.7625</v>
      </c>
      <c r="AY2183" s="1">
        <v>15.0</v>
      </c>
      <c r="AZ2183" s="1">
        <v>15.4</v>
      </c>
      <c r="BA2183" s="1">
        <v>22.6</v>
      </c>
      <c r="BB2183" s="1">
        <v>3.12</v>
      </c>
      <c r="BC2183" s="1" t="s">
        <v>3542</v>
      </c>
      <c r="BD2183" s="1">
        <v>11.1</v>
      </c>
      <c r="BE2183" s="1">
        <v>44.0</v>
      </c>
      <c r="BF2183" s="1">
        <v>33.4</v>
      </c>
      <c r="BG2183" s="1">
        <v>11.5</v>
      </c>
      <c r="BH2183" s="1" t="s">
        <v>3620</v>
      </c>
    </row>
    <row r="2184">
      <c r="A2184" s="1">
        <v>40107.0</v>
      </c>
      <c r="B2184" s="2" t="str">
        <f>IFERROR(__xludf.DUMMYFUNCTION("TO_TEXT(A2184)"),"40107")</f>
        <v>40107</v>
      </c>
      <c r="C2184" s="1">
        <v>12212.0</v>
      </c>
      <c r="D2184" s="1">
        <v>618.568843135914</v>
      </c>
      <c r="E2184" s="1" t="s">
        <v>3621</v>
      </c>
      <c r="F2184" s="1" t="s">
        <v>3622</v>
      </c>
      <c r="G2184" s="1">
        <v>19.7423457962895</v>
      </c>
      <c r="H2184" s="1">
        <v>24.614247238</v>
      </c>
      <c r="I2184" s="1">
        <v>5.1589774557</v>
      </c>
      <c r="J2184" s="1">
        <v>6.906614786</v>
      </c>
      <c r="K2184" s="1">
        <v>23.8832633919999</v>
      </c>
      <c r="L2184" s="1">
        <v>48.4</v>
      </c>
      <c r="M2184" s="1">
        <v>6.2</v>
      </c>
      <c r="N2184" s="1">
        <v>30.5</v>
      </c>
      <c r="O2184" s="1">
        <v>23.8946764009999</v>
      </c>
      <c r="P2184" s="1">
        <v>19.789265723</v>
      </c>
      <c r="Q2184" s="1">
        <v>48.31939</v>
      </c>
      <c r="R2184" s="1">
        <v>84.4536423839999</v>
      </c>
      <c r="S2184" s="1">
        <v>31.2</v>
      </c>
      <c r="T2184" s="1">
        <v>2786.0</v>
      </c>
      <c r="U2184" s="1">
        <v>26.381909548</v>
      </c>
      <c r="V2184" s="1">
        <v>264.87367563</v>
      </c>
      <c r="W2184" s="1">
        <v>15.404040404</v>
      </c>
      <c r="X2184" s="1">
        <v>10.615384615</v>
      </c>
      <c r="Y2184" s="1">
        <v>71.19085504</v>
      </c>
      <c r="Z2184" s="1">
        <v>19.8</v>
      </c>
      <c r="AA2184" s="1">
        <v>10.613965911</v>
      </c>
      <c r="AB2184" s="1">
        <v>37545.0</v>
      </c>
      <c r="AC2184" s="1">
        <v>73.951219512</v>
      </c>
      <c r="AD2184" s="1">
        <v>72.211004543</v>
      </c>
      <c r="AE2184" s="1">
        <v>11.350455675</v>
      </c>
      <c r="AF2184" s="1">
        <v>7.1747396264</v>
      </c>
      <c r="AG2184" s="1">
        <v>21.904447016</v>
      </c>
      <c r="AH2184" s="1">
        <v>0.2397090428</v>
      </c>
      <c r="AI2184" s="1">
        <v>0.1570507522</v>
      </c>
      <c r="AJ2184" s="1">
        <v>3.9262688048</v>
      </c>
      <c r="AK2184" s="1">
        <v>61.249793354</v>
      </c>
      <c r="AL2184" s="1">
        <v>0.3509079744</v>
      </c>
      <c r="AM2184" s="1">
        <v>46.0819970239999</v>
      </c>
      <c r="AN2184" s="1">
        <v>74.144860963</v>
      </c>
      <c r="AO2184" s="1">
        <v>17381.0</v>
      </c>
      <c r="AP2184" s="1">
        <v>26.2</v>
      </c>
      <c r="AQ2184" s="1">
        <v>10.4</v>
      </c>
      <c r="AR2184" s="1">
        <v>20.9</v>
      </c>
      <c r="AS2184" s="1">
        <v>17.0</v>
      </c>
      <c r="AT2184" s="1">
        <v>23.7</v>
      </c>
      <c r="AU2184" s="1">
        <v>21.1</v>
      </c>
      <c r="AV2184" s="1">
        <v>38.2</v>
      </c>
      <c r="AW2184" s="1">
        <v>0.4</v>
      </c>
      <c r="AX2184" s="1">
        <v>0.9312</v>
      </c>
      <c r="AY2184" s="1">
        <v>27.4</v>
      </c>
      <c r="AZ2184" s="1">
        <v>18.4</v>
      </c>
      <c r="BA2184" s="1">
        <v>26.1</v>
      </c>
      <c r="BB2184" s="1">
        <v>3.02</v>
      </c>
      <c r="BC2184" s="1" t="s">
        <v>3542</v>
      </c>
      <c r="BD2184" s="1">
        <v>20.5</v>
      </c>
      <c r="BE2184" s="1">
        <v>39.6</v>
      </c>
      <c r="BF2184" s="1">
        <v>28.3</v>
      </c>
      <c r="BG2184" s="1">
        <v>11.6</v>
      </c>
      <c r="BH2184" s="1" t="s">
        <v>3622</v>
      </c>
    </row>
    <row r="2185">
      <c r="A2185" s="1">
        <v>40109.0</v>
      </c>
      <c r="B2185" s="2" t="str">
        <f>IFERROR(__xludf.DUMMYFUNCTION("TO_TEXT(A2185)"),"40109")</f>
        <v>40109</v>
      </c>
      <c r="C2185" s="1">
        <v>764698.0</v>
      </c>
      <c r="D2185" s="1">
        <v>708.823886423584</v>
      </c>
      <c r="E2185" s="1" t="s">
        <v>3623</v>
      </c>
      <c r="F2185" s="1" t="s">
        <v>3624</v>
      </c>
      <c r="G2185" s="1">
        <v>1078.82651057138</v>
      </c>
      <c r="H2185" s="1">
        <v>19.21280447</v>
      </c>
      <c r="I2185" s="1">
        <v>4.6129924455</v>
      </c>
      <c r="J2185" s="1">
        <v>8.5672958361</v>
      </c>
      <c r="K2185" s="1">
        <v>17.411912594</v>
      </c>
      <c r="L2185" s="1">
        <v>30.8</v>
      </c>
      <c r="M2185" s="1">
        <v>7.0</v>
      </c>
      <c r="N2185" s="1">
        <v>26.5</v>
      </c>
      <c r="O2185" s="1">
        <v>92.110715762</v>
      </c>
      <c r="P2185" s="1">
        <v>16.082044473</v>
      </c>
      <c r="Q2185" s="1">
        <v>85.28373</v>
      </c>
      <c r="R2185" s="1">
        <v>77.269072475</v>
      </c>
      <c r="S2185" s="1">
        <v>25.4</v>
      </c>
      <c r="T2185" s="1">
        <v>199246.0</v>
      </c>
      <c r="U2185" s="1">
        <v>37.536512653</v>
      </c>
      <c r="V2185" s="1">
        <v>597.96877783</v>
      </c>
      <c r="W2185" s="1">
        <v>16.438728069</v>
      </c>
      <c r="X2185" s="1">
        <v>13.5026622779999</v>
      </c>
      <c r="Y2185" s="1">
        <v>76.087175011</v>
      </c>
      <c r="Z2185" s="1">
        <v>11.2</v>
      </c>
      <c r="AA2185" s="1">
        <v>7.4813767969</v>
      </c>
      <c r="AB2185" s="1">
        <v>52346.0</v>
      </c>
      <c r="AC2185" s="1">
        <v>67.114139927</v>
      </c>
      <c r="AD2185" s="1">
        <v>58.648807614</v>
      </c>
      <c r="AE2185" s="1">
        <v>13.451772269</v>
      </c>
      <c r="AF2185" s="1">
        <v>15.258988975</v>
      </c>
      <c r="AG2185" s="1">
        <v>4.2986088506</v>
      </c>
      <c r="AH2185" s="1">
        <v>3.6492123212</v>
      </c>
      <c r="AI2185" s="1">
        <v>0.128314799</v>
      </c>
      <c r="AJ2185" s="1">
        <v>17.79020972</v>
      </c>
      <c r="AK2185" s="1">
        <v>55.65203348</v>
      </c>
      <c r="AL2185" s="1">
        <v>3.9505984706</v>
      </c>
      <c r="AM2185" s="1">
        <v>51.02904179</v>
      </c>
      <c r="AN2185" s="1">
        <v>6.2753867412</v>
      </c>
      <c r="AO2185" s="1">
        <v>28059.0</v>
      </c>
      <c r="AP2185" s="1">
        <v>17.7</v>
      </c>
      <c r="AQ2185" s="1">
        <v>5.6</v>
      </c>
      <c r="AR2185" s="1">
        <v>13.6</v>
      </c>
      <c r="AS2185" s="1">
        <v>12.5</v>
      </c>
      <c r="AT2185" s="1">
        <v>25.6</v>
      </c>
      <c r="AU2185" s="1">
        <v>13.4</v>
      </c>
      <c r="AV2185" s="1">
        <v>42.6</v>
      </c>
      <c r="AW2185" s="1">
        <v>4.3</v>
      </c>
      <c r="AX2185" s="1">
        <v>0.6711</v>
      </c>
      <c r="AY2185" s="1">
        <v>14.9</v>
      </c>
      <c r="AZ2185" s="1">
        <v>14.2</v>
      </c>
      <c r="BA2185" s="1">
        <v>20.2</v>
      </c>
      <c r="BB2185" s="1">
        <v>3.03</v>
      </c>
      <c r="BC2185" s="1" t="s">
        <v>3542</v>
      </c>
      <c r="BD2185" s="1">
        <v>12.6</v>
      </c>
      <c r="BE2185" s="1">
        <v>25.7</v>
      </c>
      <c r="BF2185" s="1">
        <v>29.7</v>
      </c>
      <c r="BG2185" s="1">
        <v>32.0</v>
      </c>
      <c r="BH2185" s="1" t="s">
        <v>3624</v>
      </c>
    </row>
    <row r="2186">
      <c r="A2186" s="1">
        <v>40111.0</v>
      </c>
      <c r="B2186" s="2" t="str">
        <f>IFERROR(__xludf.DUMMYFUNCTION("TO_TEXT(A2186)"),"40111")</f>
        <v>40111</v>
      </c>
      <c r="C2186" s="1">
        <v>39322.0</v>
      </c>
      <c r="D2186" s="1">
        <v>697.347865481044</v>
      </c>
      <c r="E2186" s="1" t="s">
        <v>3625</v>
      </c>
      <c r="F2186" s="1" t="s">
        <v>3626</v>
      </c>
      <c r="G2186" s="1">
        <v>56.3879262366064</v>
      </c>
      <c r="H2186" s="1">
        <v>23.307107758</v>
      </c>
      <c r="I2186" s="1">
        <v>4.972334691</v>
      </c>
      <c r="J2186" s="1">
        <v>7.7107710771</v>
      </c>
      <c r="K2186" s="1">
        <v>21.959875424</v>
      </c>
      <c r="L2186" s="1">
        <v>32.9</v>
      </c>
      <c r="M2186" s="1">
        <v>6.4</v>
      </c>
      <c r="N2186" s="1">
        <v>27.0</v>
      </c>
      <c r="O2186" s="1">
        <v>51.955376975</v>
      </c>
      <c r="P2186" s="1">
        <v>16.497370742</v>
      </c>
      <c r="Q2186" s="1">
        <v>35.96198</v>
      </c>
      <c r="R2186" s="1">
        <v>82.429805616</v>
      </c>
      <c r="S2186" s="1">
        <v>29.1</v>
      </c>
      <c r="T2186" s="1">
        <v>9035.0</v>
      </c>
      <c r="U2186" s="1">
        <v>43.154399557</v>
      </c>
      <c r="V2186" s="1">
        <v>311.05194439</v>
      </c>
      <c r="W2186" s="1">
        <v>13.24570273</v>
      </c>
      <c r="X2186" s="1">
        <v>10.3931623929999</v>
      </c>
      <c r="Y2186" s="1">
        <v>72.945166956</v>
      </c>
      <c r="Z2186" s="1">
        <v>13.9</v>
      </c>
      <c r="AA2186" s="1">
        <v>10.132136897</v>
      </c>
      <c r="AB2186" s="1">
        <v>42354.0</v>
      </c>
      <c r="AC2186" s="1">
        <v>79.633113829</v>
      </c>
      <c r="AD2186" s="1">
        <v>70.658029322</v>
      </c>
      <c r="AE2186" s="1">
        <v>10.162130863</v>
      </c>
      <c r="AF2186" s="1">
        <v>8.0683448546</v>
      </c>
      <c r="AG2186" s="1">
        <v>17.401852093</v>
      </c>
      <c r="AH2186" s="1">
        <v>0.4512847268</v>
      </c>
      <c r="AI2186" s="1">
        <v>0.0626059737</v>
      </c>
      <c r="AJ2186" s="1">
        <v>4.3485065867</v>
      </c>
      <c r="AK2186" s="1">
        <v>62.131211686</v>
      </c>
      <c r="AL2186" s="1">
        <v>0.1233823207</v>
      </c>
      <c r="AM2186" s="1">
        <v>50.523020738</v>
      </c>
      <c r="AN2186" s="1">
        <v>48.551249095</v>
      </c>
      <c r="AO2186" s="1">
        <v>20721.0</v>
      </c>
      <c r="AP2186" s="1">
        <v>20.2</v>
      </c>
      <c r="AQ2186" s="1">
        <v>10.5</v>
      </c>
      <c r="AR2186" s="1">
        <v>12.7</v>
      </c>
      <c r="AS2186" s="1">
        <v>17.0</v>
      </c>
      <c r="AT2186" s="1">
        <v>24.2</v>
      </c>
      <c r="AU2186" s="1">
        <v>19.2</v>
      </c>
      <c r="AV2186" s="1">
        <v>36.9</v>
      </c>
      <c r="AW2186" s="1">
        <v>0.2</v>
      </c>
      <c r="AX2186" s="1">
        <v>0.8379</v>
      </c>
      <c r="AY2186" s="1">
        <v>18.7</v>
      </c>
      <c r="AZ2186" s="1">
        <v>17.3</v>
      </c>
      <c r="BA2186" s="1">
        <v>26.4</v>
      </c>
      <c r="BB2186" s="1">
        <v>2.94</v>
      </c>
      <c r="BC2186" s="1" t="s">
        <v>3542</v>
      </c>
      <c r="BD2186" s="1">
        <v>13.7</v>
      </c>
      <c r="BE2186" s="1">
        <v>36.0</v>
      </c>
      <c r="BF2186" s="1">
        <v>36.2</v>
      </c>
      <c r="BG2186" s="1">
        <v>14.1</v>
      </c>
      <c r="BH2186" s="1" t="s">
        <v>3626</v>
      </c>
    </row>
    <row r="2187">
      <c r="A2187" s="1">
        <v>40113.0</v>
      </c>
      <c r="B2187" s="2" t="str">
        <f>IFERROR(__xludf.DUMMYFUNCTION("TO_TEXT(A2187)"),"40113")</f>
        <v>40113</v>
      </c>
      <c r="C2187" s="1">
        <v>47923.0</v>
      </c>
      <c r="D2187" s="1">
        <v>2246.55076660473</v>
      </c>
      <c r="E2187" s="1" t="s">
        <v>1696</v>
      </c>
      <c r="F2187" s="1" t="s">
        <v>3627</v>
      </c>
      <c r="G2187" s="1">
        <v>21.3318126224351</v>
      </c>
      <c r="H2187" s="1">
        <v>20.208998775</v>
      </c>
      <c r="I2187" s="1">
        <v>4.438893392</v>
      </c>
      <c r="J2187" s="1">
        <v>7.30337078649999</v>
      </c>
      <c r="K2187" s="1">
        <v>19.0572379559999</v>
      </c>
      <c r="L2187" s="1">
        <v>32.6</v>
      </c>
      <c r="M2187" s="1">
        <v>6.5</v>
      </c>
      <c r="N2187" s="1">
        <v>29.5</v>
      </c>
      <c r="O2187" s="1">
        <v>46.025025278</v>
      </c>
      <c r="P2187" s="1">
        <v>16.6589529279999</v>
      </c>
      <c r="Q2187" s="1">
        <v>19.05447</v>
      </c>
      <c r="R2187" s="1">
        <v>87.969432314</v>
      </c>
      <c r="S2187" s="1">
        <v>22.1</v>
      </c>
      <c r="T2187" s="1">
        <v>10521.0</v>
      </c>
      <c r="U2187" s="1">
        <v>33.998669328</v>
      </c>
      <c r="V2187" s="1">
        <v>277.32888495</v>
      </c>
      <c r="W2187" s="1">
        <v>11.196487377</v>
      </c>
      <c r="X2187" s="1">
        <v>8.3488045007</v>
      </c>
      <c r="Y2187" s="1">
        <v>78.973908023</v>
      </c>
      <c r="Z2187" s="1">
        <v>11.2</v>
      </c>
      <c r="AA2187" s="1">
        <v>13.05038735</v>
      </c>
      <c r="AB2187" s="1">
        <v>48826.0</v>
      </c>
      <c r="AC2187" s="1">
        <v>66.560739564</v>
      </c>
      <c r="AD2187" s="1">
        <v>77.153867327</v>
      </c>
      <c r="AE2187" s="1">
        <v>9.9097515237</v>
      </c>
      <c r="AF2187" s="1">
        <v>11.2455864209999</v>
      </c>
      <c r="AG2187" s="1">
        <v>14.74879823</v>
      </c>
      <c r="AH2187" s="1">
        <v>0.3913727826</v>
      </c>
      <c r="AI2187" s="1">
        <v>0.0319053899</v>
      </c>
      <c r="AJ2187" s="1">
        <v>3.6967711745</v>
      </c>
      <c r="AK2187" s="1">
        <v>63.359850257</v>
      </c>
      <c r="AL2187" s="1">
        <v>0.135975569</v>
      </c>
      <c r="AM2187" s="1">
        <v>49.87237844</v>
      </c>
      <c r="AN2187" s="1">
        <v>59.472952477</v>
      </c>
      <c r="AO2187" s="1">
        <v>23416.0</v>
      </c>
      <c r="AP2187" s="1">
        <v>15.0</v>
      </c>
      <c r="AQ2187" s="1">
        <v>6.8</v>
      </c>
      <c r="AR2187" s="1">
        <v>12.0</v>
      </c>
      <c r="AS2187" s="1">
        <v>18.4</v>
      </c>
      <c r="AT2187" s="1">
        <v>22.9</v>
      </c>
      <c r="AU2187" s="1">
        <v>19.1</v>
      </c>
      <c r="AV2187" s="1">
        <v>35.9</v>
      </c>
      <c r="AW2187" s="1">
        <v>0.3</v>
      </c>
      <c r="AX2187" s="1">
        <v>0.6065</v>
      </c>
      <c r="AY2187" s="1">
        <v>14.9</v>
      </c>
      <c r="AZ2187" s="1">
        <v>15.4</v>
      </c>
      <c r="BA2187" s="1">
        <v>24.7</v>
      </c>
      <c r="BB2187" s="1">
        <v>3.21</v>
      </c>
      <c r="BC2187" s="1" t="s">
        <v>3542</v>
      </c>
      <c r="BD2187" s="1">
        <v>11.7</v>
      </c>
      <c r="BE2187" s="1">
        <v>38.1</v>
      </c>
      <c r="BF2187" s="1">
        <v>32.1</v>
      </c>
      <c r="BG2187" s="1">
        <v>18.0</v>
      </c>
      <c r="BH2187" s="1" t="s">
        <v>3627</v>
      </c>
    </row>
    <row r="2188">
      <c r="A2188" s="1">
        <v>40115.0</v>
      </c>
      <c r="B2188" s="2" t="str">
        <f>IFERROR(__xludf.DUMMYFUNCTION("TO_TEXT(A2188)"),"40115")</f>
        <v>40115</v>
      </c>
      <c r="C2188" s="1">
        <v>32022.0</v>
      </c>
      <c r="D2188" s="1">
        <v>470.838840685</v>
      </c>
      <c r="E2188" s="1" t="s">
        <v>1700</v>
      </c>
      <c r="F2188" s="1" t="s">
        <v>3628</v>
      </c>
      <c r="G2188" s="1">
        <v>68.0105319123902</v>
      </c>
      <c r="H2188" s="1">
        <v>23.623405391</v>
      </c>
      <c r="I2188" s="1">
        <v>5.2358508053</v>
      </c>
      <c r="J2188" s="1">
        <v>7.95712893799999</v>
      </c>
      <c r="K2188" s="1">
        <v>22.049756302</v>
      </c>
      <c r="L2188" s="1">
        <v>36.6</v>
      </c>
      <c r="M2188" s="1">
        <v>6.8</v>
      </c>
      <c r="N2188" s="1">
        <v>29.2</v>
      </c>
      <c r="O2188" s="1">
        <v>42.520723436</v>
      </c>
      <c r="P2188" s="1">
        <v>19.51189996</v>
      </c>
      <c r="Q2188" s="1">
        <v>51.09862</v>
      </c>
      <c r="R2188" s="1">
        <v>80.970588235</v>
      </c>
      <c r="S2188" s="1">
        <v>30.8</v>
      </c>
      <c r="T2188" s="1">
        <v>7759.0</v>
      </c>
      <c r="U2188" s="1">
        <v>41.293981183</v>
      </c>
      <c r="V2188" s="1">
        <v>182.25064097</v>
      </c>
      <c r="W2188" s="1">
        <v>15.525876461</v>
      </c>
      <c r="X2188" s="1">
        <v>10.870488323</v>
      </c>
      <c r="Y2188" s="1">
        <v>73.035611656</v>
      </c>
      <c r="Z2188" s="1">
        <v>16.7</v>
      </c>
      <c r="AA2188" s="1">
        <v>8.8542376277</v>
      </c>
      <c r="AB2188" s="1">
        <v>38194.0</v>
      </c>
      <c r="AC2188" s="1">
        <v>70.844212359</v>
      </c>
      <c r="AD2188" s="1">
        <v>68.666945257</v>
      </c>
      <c r="AE2188" s="1">
        <v>11.349584879</v>
      </c>
      <c r="AF2188" s="1">
        <v>0.9655172414</v>
      </c>
      <c r="AG2188" s="1">
        <v>20.208500401</v>
      </c>
      <c r="AH2188" s="1">
        <v>0.6479550922</v>
      </c>
      <c r="AI2188" s="1">
        <v>1.0425020048</v>
      </c>
      <c r="AJ2188" s="1">
        <v>5.7995188452</v>
      </c>
      <c r="AK2188" s="1">
        <v>64.811547715</v>
      </c>
      <c r="AL2188" s="1">
        <v>0.9540300129</v>
      </c>
      <c r="AM2188" s="1">
        <v>50.880513232</v>
      </c>
      <c r="AN2188" s="1">
        <v>49.309218789</v>
      </c>
      <c r="AO2188" s="1">
        <v>18616.0</v>
      </c>
      <c r="AP2188" s="1">
        <v>22.5</v>
      </c>
      <c r="AQ2188" s="1">
        <v>8.1</v>
      </c>
      <c r="AR2188" s="1">
        <v>16.2</v>
      </c>
      <c r="AS2188" s="1">
        <v>17.8</v>
      </c>
      <c r="AT2188" s="1">
        <v>24.8</v>
      </c>
      <c r="AU2188" s="1">
        <v>18.5</v>
      </c>
      <c r="AV2188" s="1">
        <v>34.0</v>
      </c>
      <c r="AW2188" s="1">
        <v>1.1</v>
      </c>
      <c r="AX2188" s="1">
        <v>0.9522</v>
      </c>
      <c r="AY2188" s="1">
        <v>18.5</v>
      </c>
      <c r="AZ2188" s="1">
        <v>17.0</v>
      </c>
      <c r="BA2188" s="1">
        <v>26.4</v>
      </c>
      <c r="BB2188" s="1">
        <v>2.98</v>
      </c>
      <c r="BC2188" s="1" t="s">
        <v>3542</v>
      </c>
      <c r="BD2188" s="1">
        <v>14.7</v>
      </c>
      <c r="BE2188" s="1">
        <v>36.3</v>
      </c>
      <c r="BF2188" s="1">
        <v>34.5</v>
      </c>
      <c r="BG2188" s="1">
        <v>14.5</v>
      </c>
      <c r="BH2188" s="1" t="s">
        <v>3628</v>
      </c>
    </row>
    <row r="2189">
      <c r="A2189" s="1">
        <v>40117.0</v>
      </c>
      <c r="B2189" s="2" t="str">
        <f>IFERROR(__xludf.DUMMYFUNCTION("TO_TEXT(A2189)"),"40117")</f>
        <v>40117</v>
      </c>
      <c r="C2189" s="1">
        <v>16444.0</v>
      </c>
      <c r="D2189" s="1">
        <v>568.159761770464</v>
      </c>
      <c r="E2189" s="1" t="s">
        <v>1702</v>
      </c>
      <c r="F2189" s="1" t="s">
        <v>3629</v>
      </c>
      <c r="G2189" s="1">
        <v>28.9425635295929</v>
      </c>
      <c r="H2189" s="1">
        <v>20.034950803</v>
      </c>
      <c r="I2189" s="1">
        <v>4.710858933</v>
      </c>
      <c r="J2189" s="1">
        <v>8.6419753086</v>
      </c>
      <c r="K2189" s="1">
        <v>19.49964543</v>
      </c>
      <c r="L2189" s="1">
        <v>39.3</v>
      </c>
      <c r="M2189" s="1">
        <v>7.8</v>
      </c>
      <c r="N2189" s="1">
        <v>37.6</v>
      </c>
      <c r="O2189" s="1">
        <v>57.869337033</v>
      </c>
      <c r="P2189" s="1">
        <v>17.645283019</v>
      </c>
      <c r="Q2189" s="1">
        <v>24.28363</v>
      </c>
      <c r="R2189" s="1">
        <v>89.1525423729999</v>
      </c>
      <c r="S2189" s="1">
        <v>19.5</v>
      </c>
      <c r="T2189" s="1">
        <v>3866.0</v>
      </c>
      <c r="U2189" s="1">
        <v>31.143300569</v>
      </c>
      <c r="V2189" s="1">
        <v>289.36066522</v>
      </c>
      <c r="W2189" s="1">
        <v>12.179487179</v>
      </c>
      <c r="X2189" s="1">
        <v>8.09756097559999</v>
      </c>
      <c r="Y2189" s="1">
        <v>75.236670272</v>
      </c>
      <c r="Z2189" s="1">
        <v>15.2</v>
      </c>
      <c r="AA2189" s="1">
        <v>0.4979703831</v>
      </c>
      <c r="AB2189" s="1">
        <v>46949.0</v>
      </c>
      <c r="AC2189" s="1">
        <v>75.722983257</v>
      </c>
      <c r="AD2189" s="1">
        <v>75.858178888</v>
      </c>
      <c r="AE2189" s="1">
        <v>9.0547779506</v>
      </c>
      <c r="AF2189" s="1">
        <v>0.8297742526</v>
      </c>
      <c r="AG2189" s="1">
        <v>13.831604637</v>
      </c>
      <c r="AH2189" s="1">
        <v>0.475899939</v>
      </c>
      <c r="AI2189" s="1">
        <v>0.0793166565</v>
      </c>
      <c r="AJ2189" s="1">
        <v>3.2214765101</v>
      </c>
      <c r="AK2189" s="1">
        <v>76.430750458</v>
      </c>
      <c r="AL2189" s="1">
        <v>0.1875202069</v>
      </c>
      <c r="AM2189" s="1">
        <v>50.427089689</v>
      </c>
      <c r="AN2189" s="1">
        <v>81.130481993</v>
      </c>
      <c r="AO2189" s="1">
        <v>22750.0</v>
      </c>
      <c r="AP2189" s="1">
        <v>14.6</v>
      </c>
      <c r="AQ2189" s="1">
        <v>6.1</v>
      </c>
      <c r="AR2189" s="1">
        <v>12.4</v>
      </c>
      <c r="AS2189" s="1">
        <v>18.0</v>
      </c>
      <c r="AT2189" s="1">
        <v>24.1</v>
      </c>
      <c r="AU2189" s="1">
        <v>18.3</v>
      </c>
      <c r="AV2189" s="1">
        <v>22.4</v>
      </c>
      <c r="AW2189" s="1">
        <v>0.3</v>
      </c>
      <c r="AX2189" s="1">
        <v>0.5638</v>
      </c>
      <c r="AY2189" s="1">
        <v>15.2</v>
      </c>
      <c r="AZ2189" s="1">
        <v>14.6</v>
      </c>
      <c r="BA2189" s="1">
        <v>22.2</v>
      </c>
      <c r="BB2189" s="1">
        <v>3.17</v>
      </c>
      <c r="BC2189" s="1" t="s">
        <v>3542</v>
      </c>
      <c r="BD2189" s="1">
        <v>11.2</v>
      </c>
      <c r="BE2189" s="1">
        <v>44.2</v>
      </c>
      <c r="BF2189" s="1">
        <v>27.9</v>
      </c>
      <c r="BG2189" s="1">
        <v>16.6</v>
      </c>
      <c r="BH2189" s="1" t="s">
        <v>3629</v>
      </c>
    </row>
    <row r="2190">
      <c r="A2190" s="1">
        <v>40119.0</v>
      </c>
      <c r="B2190" s="2" t="str">
        <f>IFERROR(__xludf.DUMMYFUNCTION("TO_TEXT(A2190)"),"40119")</f>
        <v>40119</v>
      </c>
      <c r="C2190" s="1">
        <v>79953.0</v>
      </c>
      <c r="D2190" s="1">
        <v>684.710871345888</v>
      </c>
      <c r="E2190" s="1" t="s">
        <v>3630</v>
      </c>
      <c r="F2190" s="1" t="s">
        <v>3631</v>
      </c>
      <c r="G2190" s="1">
        <v>116.768994543408</v>
      </c>
      <c r="H2190" s="1">
        <v>19.937979594</v>
      </c>
      <c r="I2190" s="1">
        <v>4.7639280672</v>
      </c>
      <c r="J2190" s="1">
        <v>6.5850909676</v>
      </c>
      <c r="K2190" s="1">
        <v>19.549653265</v>
      </c>
      <c r="L2190" s="1">
        <v>32.2</v>
      </c>
      <c r="M2190" s="1">
        <v>6.2</v>
      </c>
      <c r="N2190" s="1">
        <v>23.0</v>
      </c>
      <c r="O2190" s="1">
        <v>71.671622495</v>
      </c>
      <c r="P2190" s="1">
        <v>16.353336653</v>
      </c>
      <c r="Q2190" s="1">
        <v>50.2605</v>
      </c>
      <c r="R2190" s="1">
        <v>85.023287671</v>
      </c>
      <c r="S2190" s="1">
        <v>18.0</v>
      </c>
      <c r="T2190" s="1">
        <v>15559.0</v>
      </c>
      <c r="U2190" s="1">
        <v>29.166398869</v>
      </c>
      <c r="V2190" s="1">
        <v>280.0144363</v>
      </c>
      <c r="W2190" s="1">
        <v>23.6035140059999</v>
      </c>
      <c r="X2190" s="1">
        <v>21.088785849</v>
      </c>
      <c r="Y2190" s="1">
        <v>77.941791761</v>
      </c>
      <c r="Z2190" s="1">
        <v>8.9</v>
      </c>
      <c r="AA2190" s="1">
        <v>10.10093552</v>
      </c>
      <c r="AB2190" s="1">
        <v>47748.0</v>
      </c>
      <c r="AC2190" s="1">
        <v>47.606622278</v>
      </c>
      <c r="AD2190" s="1">
        <v>50.893882237</v>
      </c>
      <c r="AE2190" s="1">
        <v>20.848429421</v>
      </c>
      <c r="AF2190" s="1">
        <v>3.7262311068</v>
      </c>
      <c r="AG2190" s="1">
        <v>5.3035104827</v>
      </c>
      <c r="AH2190" s="1">
        <v>4.6221355436</v>
      </c>
      <c r="AI2190" s="1">
        <v>0.1023890785</v>
      </c>
      <c r="AJ2190" s="1">
        <v>4.8573866407</v>
      </c>
      <c r="AK2190" s="1">
        <v>76.604095563</v>
      </c>
      <c r="AL2190" s="1">
        <v>0.6086956522</v>
      </c>
      <c r="AM2190" s="1">
        <v>48.921257923</v>
      </c>
      <c r="AN2190" s="1">
        <v>33.733678087</v>
      </c>
      <c r="AO2190" s="1">
        <v>22409.0</v>
      </c>
      <c r="AP2190" s="1">
        <v>26.4</v>
      </c>
      <c r="AQ2190" s="1">
        <v>5.8</v>
      </c>
      <c r="AR2190" s="1">
        <v>8.8</v>
      </c>
      <c r="AS2190" s="1">
        <v>11.2</v>
      </c>
      <c r="AT2190" s="1">
        <v>19.4</v>
      </c>
      <c r="AU2190" s="1">
        <v>11.6</v>
      </c>
      <c r="AV2190" s="1">
        <v>22.3</v>
      </c>
      <c r="AW2190" s="1">
        <v>0.6</v>
      </c>
      <c r="AX2190" s="1">
        <v>0.4979</v>
      </c>
      <c r="AY2190" s="1">
        <v>23.0</v>
      </c>
      <c r="AZ2190" s="1">
        <v>15.2</v>
      </c>
      <c r="BA2190" s="1">
        <v>19.4</v>
      </c>
      <c r="BB2190" s="1">
        <v>3.05</v>
      </c>
      <c r="BC2190" s="1" t="s">
        <v>3542</v>
      </c>
      <c r="BD2190" s="1">
        <v>7.8</v>
      </c>
      <c r="BE2190" s="1">
        <v>27.4</v>
      </c>
      <c r="BF2190" s="1">
        <v>27.3</v>
      </c>
      <c r="BG2190" s="1">
        <v>37.4</v>
      </c>
      <c r="BH2190" s="1" t="s">
        <v>3631</v>
      </c>
    </row>
    <row r="2191">
      <c r="A2191" s="1">
        <v>40121.0</v>
      </c>
      <c r="B2191" s="2" t="str">
        <f>IFERROR(__xludf.DUMMYFUNCTION("TO_TEXT(A2191)"),"40121")</f>
        <v>40121</v>
      </c>
      <c r="C2191" s="1">
        <v>44643.0</v>
      </c>
      <c r="D2191" s="1">
        <v>1305.46986958256</v>
      </c>
      <c r="E2191" s="1" t="s">
        <v>3632</v>
      </c>
      <c r="F2191" s="1" t="s">
        <v>3633</v>
      </c>
      <c r="G2191" s="1">
        <v>34.1968827011497</v>
      </c>
      <c r="H2191" s="1">
        <v>20.656584258</v>
      </c>
      <c r="I2191" s="1">
        <v>4.8268963009</v>
      </c>
      <c r="J2191" s="1">
        <v>7.1025020178</v>
      </c>
      <c r="K2191" s="1">
        <v>19.664621144</v>
      </c>
      <c r="L2191" s="1">
        <v>35.3</v>
      </c>
      <c r="M2191" s="1">
        <v>6.3</v>
      </c>
      <c r="N2191" s="1">
        <v>31.5</v>
      </c>
      <c r="O2191" s="1">
        <v>74.136614525</v>
      </c>
      <c r="P2191" s="1">
        <v>19.780252679</v>
      </c>
      <c r="Q2191" s="1">
        <v>47.52852</v>
      </c>
      <c r="R2191" s="1">
        <v>79.62628866</v>
      </c>
      <c r="S2191" s="1">
        <v>27.4</v>
      </c>
      <c r="T2191" s="1">
        <v>9727.0</v>
      </c>
      <c r="U2191" s="1">
        <v>33.936465508</v>
      </c>
      <c r="V2191" s="1">
        <v>225.63686004</v>
      </c>
      <c r="W2191" s="1">
        <v>12.063669366</v>
      </c>
      <c r="X2191" s="1">
        <v>9.2756083758</v>
      </c>
      <c r="Y2191" s="1">
        <v>73.285323982</v>
      </c>
      <c r="Z2191" s="1">
        <v>14.4</v>
      </c>
      <c r="AA2191" s="1">
        <v>16.016066487</v>
      </c>
      <c r="AB2191" s="1">
        <v>42376.0</v>
      </c>
      <c r="AC2191" s="1">
        <v>76.135468627</v>
      </c>
      <c r="AD2191" s="1">
        <v>72.544378698</v>
      </c>
      <c r="AE2191" s="1">
        <v>10.127944518</v>
      </c>
      <c r="AF2191" s="1">
        <v>3.1884586458</v>
      </c>
      <c r="AG2191" s="1">
        <v>15.4294960909999</v>
      </c>
      <c r="AH2191" s="1">
        <v>0.4854479568</v>
      </c>
      <c r="AI2191" s="1">
        <v>0.0888848372</v>
      </c>
      <c r="AJ2191" s="1">
        <v>5.3011828521</v>
      </c>
      <c r="AK2191" s="1">
        <v>69.163798801</v>
      </c>
      <c r="AL2191" s="1">
        <v>0.7687149768</v>
      </c>
      <c r="AM2191" s="1">
        <v>49.034801832</v>
      </c>
      <c r="AN2191" s="1">
        <v>51.9165739469999</v>
      </c>
      <c r="AO2191" s="1">
        <v>23339.0</v>
      </c>
      <c r="AP2191" s="1">
        <v>17.5</v>
      </c>
      <c r="AQ2191" s="1">
        <v>5.8</v>
      </c>
      <c r="AR2191" s="1">
        <v>13.9</v>
      </c>
      <c r="AS2191" s="1">
        <v>18.2</v>
      </c>
      <c r="AT2191" s="1">
        <v>22.3</v>
      </c>
      <c r="AU2191" s="1">
        <v>21.6</v>
      </c>
      <c r="AV2191" s="1">
        <v>29.8</v>
      </c>
      <c r="AW2191" s="1">
        <v>0.6</v>
      </c>
      <c r="AX2191" s="1">
        <v>0.6864</v>
      </c>
      <c r="AY2191" s="1">
        <v>19.7</v>
      </c>
      <c r="AZ2191" s="1">
        <v>16.8</v>
      </c>
      <c r="BA2191" s="1">
        <v>24.8</v>
      </c>
      <c r="BB2191" s="1">
        <v>3.22</v>
      </c>
      <c r="BC2191" s="1" t="s">
        <v>3542</v>
      </c>
      <c r="BD2191" s="1">
        <v>13.0</v>
      </c>
      <c r="BE2191" s="1">
        <v>38.2</v>
      </c>
      <c r="BF2191" s="1">
        <v>32.7</v>
      </c>
      <c r="BG2191" s="1">
        <v>16.1</v>
      </c>
      <c r="BH2191" s="1" t="s">
        <v>3633</v>
      </c>
    </row>
    <row r="2192">
      <c r="A2192" s="1">
        <v>40123.0</v>
      </c>
      <c r="B2192" s="2" t="str">
        <f>IFERROR(__xludf.DUMMYFUNCTION("TO_TEXT(A2192)"),"40123")</f>
        <v>40123</v>
      </c>
      <c r="C2192" s="1">
        <v>38213.0</v>
      </c>
      <c r="D2192" s="1">
        <v>720.422216371582</v>
      </c>
      <c r="E2192" s="1" t="s">
        <v>2515</v>
      </c>
      <c r="F2192" s="1" t="s">
        <v>3634</v>
      </c>
      <c r="G2192" s="1">
        <v>53.0425063686409</v>
      </c>
      <c r="H2192" s="1">
        <v>20.438180719</v>
      </c>
      <c r="I2192" s="1">
        <v>4.7179605862</v>
      </c>
      <c r="J2192" s="1">
        <v>8.391987006</v>
      </c>
      <c r="K2192" s="1">
        <v>19.27143755</v>
      </c>
      <c r="L2192" s="1">
        <v>32.8</v>
      </c>
      <c r="M2192" s="1">
        <v>7.0</v>
      </c>
      <c r="N2192" s="1">
        <v>30.9</v>
      </c>
      <c r="O2192" s="1">
        <v>53.19001387</v>
      </c>
      <c r="P2192" s="1">
        <v>17.674342642</v>
      </c>
      <c r="Q2192" s="1">
        <v>65.40393</v>
      </c>
      <c r="R2192" s="1">
        <v>86.395089286</v>
      </c>
      <c r="S2192" s="1">
        <v>20.2</v>
      </c>
      <c r="T2192" s="1">
        <v>9007.0</v>
      </c>
      <c r="U2192" s="1">
        <v>34.450982569</v>
      </c>
      <c r="V2192" s="1">
        <v>317.35623894</v>
      </c>
      <c r="W2192" s="1">
        <v>12.957264957</v>
      </c>
      <c r="X2192" s="1">
        <v>9.378256339</v>
      </c>
      <c r="Y2192" s="1">
        <v>74.692468758</v>
      </c>
      <c r="Z2192" s="1">
        <v>15.9</v>
      </c>
      <c r="AA2192" s="1">
        <v>8.1607503555</v>
      </c>
      <c r="AB2192" s="1">
        <v>48450.0</v>
      </c>
      <c r="AC2192" s="1">
        <v>60.5110497239999</v>
      </c>
      <c r="AD2192" s="1">
        <v>64.950536436</v>
      </c>
      <c r="AE2192" s="1">
        <v>9.4938560562</v>
      </c>
      <c r="AF2192" s="1">
        <v>2.3426673988</v>
      </c>
      <c r="AG2192" s="1">
        <v>19.468193584</v>
      </c>
      <c r="AH2192" s="1">
        <v>0.9490940466</v>
      </c>
      <c r="AI2192" s="1">
        <v>0.0470625147</v>
      </c>
      <c r="AJ2192" s="1">
        <v>5.4121891913</v>
      </c>
      <c r="AK2192" s="1">
        <v>65.1502078589999</v>
      </c>
      <c r="AL2192" s="1">
        <v>0.7198476276</v>
      </c>
      <c r="AM2192" s="1">
        <v>51.447172327</v>
      </c>
      <c r="AN2192" s="1">
        <v>53.590099221</v>
      </c>
      <c r="AO2192" s="1">
        <v>22710.0</v>
      </c>
      <c r="AP2192" s="1">
        <v>18.1</v>
      </c>
      <c r="AQ2192" s="1">
        <v>6.0</v>
      </c>
      <c r="AR2192" s="1">
        <v>11.5</v>
      </c>
      <c r="AS2192" s="1">
        <v>15.7</v>
      </c>
      <c r="AT2192" s="1">
        <v>23.8</v>
      </c>
      <c r="AU2192" s="1">
        <v>14.8</v>
      </c>
      <c r="AV2192" s="1">
        <v>33.0</v>
      </c>
      <c r="AW2192" s="1">
        <v>0.7</v>
      </c>
      <c r="AX2192" s="1">
        <v>0.6797</v>
      </c>
      <c r="AY2192" s="1">
        <v>13.9</v>
      </c>
      <c r="AZ2192" s="1">
        <v>14.2</v>
      </c>
      <c r="BA2192" s="1">
        <v>20.4</v>
      </c>
      <c r="BB2192" s="1">
        <v>2.75</v>
      </c>
      <c r="BC2192" s="1" t="s">
        <v>3542</v>
      </c>
      <c r="BD2192" s="1">
        <v>10.8</v>
      </c>
      <c r="BE2192" s="1">
        <v>32.9</v>
      </c>
      <c r="BF2192" s="1">
        <v>28.2</v>
      </c>
      <c r="BG2192" s="1">
        <v>28.2</v>
      </c>
      <c r="BH2192" s="1" t="s">
        <v>3634</v>
      </c>
    </row>
    <row r="2193">
      <c r="A2193" s="1">
        <v>40125.0</v>
      </c>
      <c r="B2193" s="2" t="str">
        <f>IFERROR(__xludf.DUMMYFUNCTION("TO_TEXT(A2193)"),"40125")</f>
        <v>40125</v>
      </c>
      <c r="C2193" s="1">
        <v>71551.0</v>
      </c>
      <c r="D2193" s="1">
        <v>787.671458089998</v>
      </c>
      <c r="E2193" s="1" t="s">
        <v>1705</v>
      </c>
      <c r="F2193" s="1" t="s">
        <v>3635</v>
      </c>
      <c r="G2193" s="1">
        <v>90.8386348967144</v>
      </c>
      <c r="H2193" s="1">
        <v>18.9936525159999</v>
      </c>
      <c r="I2193" s="1">
        <v>4.572110047</v>
      </c>
      <c r="J2193" s="1">
        <v>7.399103139</v>
      </c>
      <c r="K2193" s="1">
        <v>20.8446484109999</v>
      </c>
      <c r="L2193" s="1">
        <v>35.9</v>
      </c>
      <c r="M2193" s="1">
        <v>7.1</v>
      </c>
      <c r="N2193" s="1">
        <v>33.9</v>
      </c>
      <c r="O2193" s="1">
        <v>68.984188243</v>
      </c>
      <c r="P2193" s="1">
        <v>16.704639602</v>
      </c>
      <c r="Q2193" s="1">
        <v>41.53629</v>
      </c>
      <c r="R2193" s="1">
        <v>79.6297117519999</v>
      </c>
      <c r="S2193" s="1">
        <v>25.1</v>
      </c>
      <c r="T2193" s="1">
        <v>17245.0</v>
      </c>
      <c r="U2193" s="1">
        <v>32.061467092</v>
      </c>
      <c r="V2193" s="1">
        <v>473.59696898</v>
      </c>
      <c r="W2193" s="1">
        <v>13.627602159</v>
      </c>
      <c r="X2193" s="1">
        <v>10.661478599</v>
      </c>
      <c r="Y2193" s="1">
        <v>73.866794261</v>
      </c>
      <c r="Z2193" s="1">
        <v>13.5</v>
      </c>
      <c r="AA2193" s="1">
        <v>7.761754666</v>
      </c>
      <c r="AB2193" s="1">
        <v>48499.0</v>
      </c>
      <c r="AC2193" s="1">
        <v>63.1747483989999</v>
      </c>
      <c r="AD2193" s="1">
        <v>68.903588048</v>
      </c>
      <c r="AE2193" s="1">
        <v>10.528848081</v>
      </c>
      <c r="AF2193" s="1">
        <v>2.9279434224</v>
      </c>
      <c r="AG2193" s="1">
        <v>13.6036544259999</v>
      </c>
      <c r="AH2193" s="1">
        <v>0.6824529782</v>
      </c>
      <c r="AI2193" s="1">
        <v>0.0825547957</v>
      </c>
      <c r="AJ2193" s="1">
        <v>5.2023280452</v>
      </c>
      <c r="AK2193" s="1">
        <v>72.235446277</v>
      </c>
      <c r="AL2193" s="1">
        <v>0.6432202511</v>
      </c>
      <c r="AM2193" s="1">
        <v>52.100331595</v>
      </c>
      <c r="AN2193" s="1">
        <v>50.671063621</v>
      </c>
      <c r="AO2193" s="1">
        <v>21422.0</v>
      </c>
      <c r="AP2193" s="1">
        <v>18.1</v>
      </c>
      <c r="AQ2193" s="1">
        <v>7.1</v>
      </c>
      <c r="AR2193" s="1">
        <v>13.5</v>
      </c>
      <c r="AS2193" s="1">
        <v>15.6</v>
      </c>
      <c r="AT2193" s="1">
        <v>24.4</v>
      </c>
      <c r="AU2193" s="1">
        <v>17.8</v>
      </c>
      <c r="AV2193" s="1">
        <v>26.7</v>
      </c>
      <c r="AW2193" s="1">
        <v>0.7</v>
      </c>
      <c r="AX2193" s="1">
        <v>0.7902</v>
      </c>
      <c r="AY2193" s="1">
        <v>14.8</v>
      </c>
      <c r="AZ2193" s="1">
        <v>15.3</v>
      </c>
      <c r="BA2193" s="1">
        <v>22.6</v>
      </c>
      <c r="BB2193" s="1">
        <v>2.97</v>
      </c>
      <c r="BC2193" s="1" t="s">
        <v>3542</v>
      </c>
      <c r="BD2193" s="1">
        <v>12.0</v>
      </c>
      <c r="BE2193" s="1">
        <v>36.5</v>
      </c>
      <c r="BF2193" s="1">
        <v>33.2</v>
      </c>
      <c r="BG2193" s="1">
        <v>18.3</v>
      </c>
      <c r="BH2193" s="1" t="s">
        <v>3635</v>
      </c>
    </row>
    <row r="2194">
      <c r="A2194" s="1">
        <v>40127.0</v>
      </c>
      <c r="B2194" s="2" t="str">
        <f>IFERROR(__xludf.DUMMYFUNCTION("TO_TEXT(A2194)"),"40127")</f>
        <v>40127</v>
      </c>
      <c r="C2194" s="1">
        <v>11149.0</v>
      </c>
      <c r="D2194" s="1">
        <v>1395.83796739685</v>
      </c>
      <c r="E2194" s="1" t="s">
        <v>3636</v>
      </c>
      <c r="F2194" s="1" t="s">
        <v>3637</v>
      </c>
      <c r="G2194" s="1">
        <v>7.98731676628068</v>
      </c>
      <c r="H2194" s="1">
        <v>23.145007218</v>
      </c>
      <c r="I2194" s="1">
        <v>4.9964417787</v>
      </c>
      <c r="J2194" s="1">
        <v>9.3612334802</v>
      </c>
      <c r="K2194" s="1">
        <v>20.577309652</v>
      </c>
      <c r="L2194" s="1">
        <v>33.6</v>
      </c>
      <c r="M2194" s="1">
        <v>5.6</v>
      </c>
      <c r="N2194" s="1">
        <v>41.7</v>
      </c>
      <c r="O2194" s="1">
        <v>53.97511234</v>
      </c>
      <c r="P2194" s="1">
        <v>20.981308411</v>
      </c>
      <c r="Q2194" s="1">
        <v>17.9003</v>
      </c>
      <c r="R2194" s="1">
        <v>88.7056737589999</v>
      </c>
      <c r="S2194" s="1">
        <v>30.0</v>
      </c>
      <c r="T2194" s="1">
        <v>2441.0</v>
      </c>
      <c r="U2194" s="1">
        <v>32.527652601</v>
      </c>
      <c r="V2194" s="1">
        <v>207.11391265</v>
      </c>
      <c r="W2194" s="1">
        <v>12.889366273</v>
      </c>
      <c r="X2194" s="1">
        <v>8.0392156863</v>
      </c>
      <c r="Y2194" s="1">
        <v>74.954427046</v>
      </c>
      <c r="Z2194" s="1">
        <v>14.0</v>
      </c>
      <c r="AA2194" s="1">
        <v>21.050006979</v>
      </c>
      <c r="AB2194" s="1">
        <v>37026.0</v>
      </c>
      <c r="AC2194" s="1">
        <v>83.348294434</v>
      </c>
      <c r="AD2194" s="1">
        <v>75.420120995</v>
      </c>
      <c r="AE2194" s="1">
        <v>8.7446094873</v>
      </c>
      <c r="AF2194" s="1">
        <v>1.046605242</v>
      </c>
      <c r="AG2194" s="1">
        <v>19.232489489</v>
      </c>
      <c r="AH2194" s="1">
        <v>0.3130870382</v>
      </c>
      <c r="AI2194" s="1">
        <v>0.0447267197</v>
      </c>
      <c r="AJ2194" s="1">
        <v>4.1864209679</v>
      </c>
      <c r="AK2194" s="1">
        <v>70.113605868</v>
      </c>
      <c r="AL2194" s="1">
        <v>0.229379719</v>
      </c>
      <c r="AM2194" s="1">
        <v>50.899007067</v>
      </c>
      <c r="AN2194" s="1">
        <v>100.0</v>
      </c>
      <c r="AO2194" s="1">
        <v>22207.0</v>
      </c>
      <c r="AP2194" s="1">
        <v>22.0</v>
      </c>
      <c r="AQ2194" s="1">
        <v>9.5</v>
      </c>
      <c r="AR2194" s="1">
        <v>17.8</v>
      </c>
      <c r="AS2194" s="1">
        <v>21.9</v>
      </c>
      <c r="AT2194" s="1">
        <v>22.0</v>
      </c>
      <c r="AU2194" s="1">
        <v>28.4</v>
      </c>
      <c r="AV2194" s="1">
        <v>27.1</v>
      </c>
      <c r="AW2194" s="1">
        <v>0.7</v>
      </c>
      <c r="AX2194" s="1">
        <v>0.7787</v>
      </c>
      <c r="AY2194" s="1">
        <v>23.9</v>
      </c>
      <c r="AZ2194" s="1">
        <v>18.4</v>
      </c>
      <c r="BA2194" s="1">
        <v>28.0</v>
      </c>
      <c r="BB2194" s="1">
        <v>3.02</v>
      </c>
      <c r="BC2194" s="1" t="s">
        <v>3542</v>
      </c>
      <c r="BD2194" s="1">
        <v>16.8</v>
      </c>
      <c r="BE2194" s="1">
        <v>42.5</v>
      </c>
      <c r="BF2194" s="1">
        <v>26.4</v>
      </c>
      <c r="BG2194" s="1">
        <v>14.3</v>
      </c>
      <c r="BH2194" s="1" t="s">
        <v>3637</v>
      </c>
    </row>
    <row r="2195">
      <c r="A2195" s="1">
        <v>40129.0</v>
      </c>
      <c r="B2195" s="2" t="str">
        <f>IFERROR(__xludf.DUMMYFUNCTION("TO_TEXT(A2195)"),"40129")</f>
        <v>40129</v>
      </c>
      <c r="C2195" s="1">
        <v>3732.0</v>
      </c>
      <c r="D2195" s="1">
        <v>1141.1353691537</v>
      </c>
      <c r="E2195" s="1" t="s">
        <v>3638</v>
      </c>
      <c r="F2195" s="1" t="s">
        <v>3639</v>
      </c>
      <c r="G2195" s="1">
        <v>3.27042706840974</v>
      </c>
      <c r="H2195" s="1">
        <v>17.792783584</v>
      </c>
      <c r="I2195" s="1">
        <v>4.4141333136</v>
      </c>
      <c r="J2195" s="1">
        <v>7.78443113769999</v>
      </c>
      <c r="K2195" s="1">
        <v>17.70353755</v>
      </c>
      <c r="L2195" s="1">
        <v>34.4</v>
      </c>
      <c r="M2195" s="1">
        <v>6.3</v>
      </c>
      <c r="N2195" s="1">
        <v>29.8</v>
      </c>
      <c r="O2195" s="1">
        <v>51.987935289</v>
      </c>
      <c r="P2195" s="1">
        <v>18.470467736</v>
      </c>
      <c r="Q2195" s="1">
        <v>53.82131</v>
      </c>
      <c r="R2195" s="1">
        <v>89.912280702</v>
      </c>
      <c r="S2195" s="1">
        <v>18.7</v>
      </c>
      <c r="T2195" s="1">
        <v>952.0</v>
      </c>
      <c r="U2195" s="1">
        <v>34.1386554619999</v>
      </c>
      <c r="V2195" s="1">
        <v>171.61716172</v>
      </c>
      <c r="W2195" s="1">
        <v>9.0566037736</v>
      </c>
      <c r="X2195" s="1">
        <v>8.26952526799999</v>
      </c>
      <c r="Y2195" s="1">
        <v>77.916948566</v>
      </c>
      <c r="Z2195" s="1">
        <v>16.4</v>
      </c>
      <c r="AA2195" s="1">
        <v>19.650800675</v>
      </c>
      <c r="AB2195" s="1">
        <v>53871.0</v>
      </c>
      <c r="AC2195" s="1">
        <v>49.175824176</v>
      </c>
      <c r="AD2195" s="1">
        <v>72.928994083</v>
      </c>
      <c r="AE2195" s="1">
        <v>10.363153233</v>
      </c>
      <c r="AF2195" s="1">
        <v>0.738512035</v>
      </c>
      <c r="AG2195" s="1">
        <v>6.7286652079</v>
      </c>
      <c r="AH2195" s="1">
        <v>0.547045951899999</v>
      </c>
      <c r="AI2195" s="1">
        <v>0.0820568928</v>
      </c>
      <c r="AJ2195" s="1">
        <v>7.4124726477</v>
      </c>
      <c r="AK2195" s="1">
        <v>83.451859956</v>
      </c>
      <c r="AL2195" s="1">
        <v>0.3456221198</v>
      </c>
      <c r="AM2195" s="1">
        <v>50.300875274</v>
      </c>
      <c r="AN2195" s="1">
        <v>100.0</v>
      </c>
      <c r="AO2195" s="1">
        <v>27869.0</v>
      </c>
      <c r="AP2195" s="1">
        <v>12.8</v>
      </c>
      <c r="AQ2195" s="1">
        <v>1.5</v>
      </c>
      <c r="AR2195" s="1">
        <v>8.1</v>
      </c>
      <c r="AS2195" s="1">
        <v>18.4</v>
      </c>
      <c r="AT2195" s="1">
        <v>25.9</v>
      </c>
      <c r="AU2195" s="1">
        <v>13.0</v>
      </c>
      <c r="AV2195" s="1">
        <v>15.0</v>
      </c>
      <c r="AW2195" s="1">
        <v>0.1</v>
      </c>
      <c r="AX2195" s="1">
        <v>0.0557</v>
      </c>
      <c r="AY2195" s="1">
        <v>13.4</v>
      </c>
      <c r="AZ2195" s="1">
        <v>14.6</v>
      </c>
      <c r="BA2195" s="1">
        <v>22.1</v>
      </c>
      <c r="BB2195" s="1">
        <v>3.28</v>
      </c>
      <c r="BC2195" s="1" t="s">
        <v>3542</v>
      </c>
      <c r="BD2195" s="1">
        <v>11.6</v>
      </c>
      <c r="BE2195" s="1">
        <v>36.4</v>
      </c>
      <c r="BF2195" s="1">
        <v>35.9</v>
      </c>
      <c r="BG2195" s="1">
        <v>16.2</v>
      </c>
      <c r="BH2195" s="1" t="s">
        <v>3639</v>
      </c>
    </row>
    <row r="2196">
      <c r="A2196" s="1">
        <v>40131.0</v>
      </c>
      <c r="B2196" s="2" t="str">
        <f>IFERROR(__xludf.DUMMYFUNCTION("TO_TEXT(A2196)"),"40131")</f>
        <v>40131</v>
      </c>
      <c r="C2196" s="1">
        <v>89970.0</v>
      </c>
      <c r="D2196" s="1">
        <v>675.657624237063</v>
      </c>
      <c r="E2196" s="1" t="s">
        <v>3640</v>
      </c>
      <c r="F2196" s="1" t="s">
        <v>3641</v>
      </c>
      <c r="G2196" s="1">
        <v>133.159157497249</v>
      </c>
      <c r="H2196" s="1">
        <v>17.2802070929999</v>
      </c>
      <c r="I2196" s="1">
        <v>4.2994697501</v>
      </c>
      <c r="J2196" s="1">
        <v>7.2476029329</v>
      </c>
      <c r="K2196" s="1">
        <v>17.769915311</v>
      </c>
      <c r="L2196" s="1">
        <v>31.5</v>
      </c>
      <c r="M2196" s="1">
        <v>8.0</v>
      </c>
      <c r="N2196" s="1">
        <v>31.2</v>
      </c>
      <c r="O2196" s="1">
        <v>54.258097923</v>
      </c>
      <c r="P2196" s="1">
        <v>13.53993535</v>
      </c>
      <c r="Q2196" s="1">
        <v>37.18123</v>
      </c>
      <c r="R2196" s="1">
        <v>85.964058235</v>
      </c>
      <c r="S2196" s="1">
        <v>12.5</v>
      </c>
      <c r="T2196" s="1">
        <v>21676.0</v>
      </c>
      <c r="U2196" s="1">
        <v>26.467060343</v>
      </c>
      <c r="V2196" s="1">
        <v>215.19295451</v>
      </c>
      <c r="W2196" s="1">
        <v>11.230265118</v>
      </c>
      <c r="X2196" s="1">
        <v>8.1316699233</v>
      </c>
      <c r="Y2196" s="1">
        <v>77.319789263</v>
      </c>
      <c r="Z2196" s="1">
        <v>12.7</v>
      </c>
      <c r="AA2196" s="1">
        <v>4.4291806037</v>
      </c>
      <c r="AB2196" s="1">
        <v>61849.0</v>
      </c>
      <c r="AC2196" s="1">
        <v>49.555419806</v>
      </c>
      <c r="AD2196" s="1">
        <v>78.201555788</v>
      </c>
      <c r="AE2196" s="1">
        <v>8.4692503367</v>
      </c>
      <c r="AF2196" s="1">
        <v>1.1154113759</v>
      </c>
      <c r="AG2196" s="1">
        <v>13.483866759</v>
      </c>
      <c r="AH2196" s="1">
        <v>1.489389459</v>
      </c>
      <c r="AI2196" s="1">
        <v>0.0858845017</v>
      </c>
      <c r="AJ2196" s="1">
        <v>4.8780222647</v>
      </c>
      <c r="AK2196" s="1">
        <v>71.54831275</v>
      </c>
      <c r="AL2196" s="1">
        <v>0.7380030643</v>
      </c>
      <c r="AM2196" s="1">
        <v>50.1424160719999</v>
      </c>
      <c r="AN2196" s="1">
        <v>50.295149876</v>
      </c>
      <c r="AO2196" s="1">
        <v>28938.0</v>
      </c>
      <c r="AP2196" s="1">
        <v>9.4</v>
      </c>
      <c r="AQ2196" s="1">
        <v>5.2</v>
      </c>
      <c r="AR2196" s="1">
        <v>8.7</v>
      </c>
      <c r="AS2196" s="1">
        <v>15.4</v>
      </c>
      <c r="AT2196" s="1">
        <v>24.6</v>
      </c>
      <c r="AU2196" s="1">
        <v>15.2</v>
      </c>
      <c r="AV2196" s="1">
        <v>27.2</v>
      </c>
      <c r="AW2196" s="1">
        <v>0.8</v>
      </c>
      <c r="AX2196" s="1">
        <v>0.2897</v>
      </c>
      <c r="AY2196" s="1">
        <v>10.4</v>
      </c>
      <c r="AZ2196" s="1">
        <v>11.6</v>
      </c>
      <c r="BA2196" s="1">
        <v>18.3</v>
      </c>
      <c r="BB2196" s="1">
        <v>3.33</v>
      </c>
      <c r="BC2196" s="1" t="s">
        <v>3542</v>
      </c>
      <c r="BD2196" s="1">
        <v>8.0</v>
      </c>
      <c r="BE2196" s="1">
        <v>32.1</v>
      </c>
      <c r="BF2196" s="1">
        <v>35.1</v>
      </c>
      <c r="BG2196" s="1">
        <v>24.9</v>
      </c>
      <c r="BH2196" s="1" t="s">
        <v>3641</v>
      </c>
    </row>
    <row r="2197">
      <c r="A2197" s="1">
        <v>40133.0</v>
      </c>
      <c r="B2197" s="2" t="str">
        <f>IFERROR(__xludf.DUMMYFUNCTION("TO_TEXT(A2197)"),"40133")</f>
        <v>40133</v>
      </c>
      <c r="C2197" s="1">
        <v>25403.0</v>
      </c>
      <c r="D2197" s="1">
        <v>632.836952197209</v>
      </c>
      <c r="E2197" s="1" t="s">
        <v>781</v>
      </c>
      <c r="F2197" s="1" t="s">
        <v>3642</v>
      </c>
      <c r="G2197" s="1">
        <v>40.1414612591771</v>
      </c>
      <c r="H2197" s="1">
        <v>23.993340139</v>
      </c>
      <c r="I2197" s="1">
        <v>4.9747266317</v>
      </c>
      <c r="J2197" s="1">
        <v>7.022106632</v>
      </c>
      <c r="K2197" s="1">
        <v>22.5207012369999</v>
      </c>
      <c r="L2197" s="1">
        <v>34.1</v>
      </c>
      <c r="M2197" s="1">
        <v>6.9</v>
      </c>
      <c r="N2197" s="1">
        <v>34.5</v>
      </c>
      <c r="O2197" s="1">
        <v>58.507966408</v>
      </c>
      <c r="P2197" s="1">
        <v>19.675253082</v>
      </c>
      <c r="Q2197" s="1">
        <v>40.19616</v>
      </c>
      <c r="R2197" s="1">
        <v>81.637466307</v>
      </c>
      <c r="S2197" s="1">
        <v>26.8</v>
      </c>
      <c r="T2197" s="1">
        <v>6289.0</v>
      </c>
      <c r="U2197" s="1">
        <v>36.3014787719999</v>
      </c>
      <c r="V2197" s="1">
        <v>302.64321509</v>
      </c>
      <c r="W2197" s="1">
        <v>12.827510917</v>
      </c>
      <c r="X2197" s="1">
        <v>8.326848249</v>
      </c>
      <c r="Y2197" s="1">
        <v>72.725955814</v>
      </c>
      <c r="Z2197" s="1">
        <v>18.4</v>
      </c>
      <c r="AA2197" s="1">
        <v>3.9131604421</v>
      </c>
      <c r="AB2197" s="1">
        <v>37901.0</v>
      </c>
      <c r="AC2197" s="1">
        <v>81.936387277</v>
      </c>
      <c r="AD2197" s="1">
        <v>69.583604424</v>
      </c>
      <c r="AE2197" s="1">
        <v>9.7354497354</v>
      </c>
      <c r="AF2197" s="1">
        <v>4.2680445927</v>
      </c>
      <c r="AG2197" s="1">
        <v>19.867361055</v>
      </c>
      <c r="AH2197" s="1">
        <v>0.3743184962</v>
      </c>
      <c r="AI2197" s="1">
        <v>0.1261290585</v>
      </c>
      <c r="AJ2197" s="1">
        <v>5.1957034747</v>
      </c>
      <c r="AK2197" s="1">
        <v>64.329888518</v>
      </c>
      <c r="AL2197" s="1">
        <v>0.6194728073</v>
      </c>
      <c r="AM2197" s="1">
        <v>50.943933599</v>
      </c>
      <c r="AN2197" s="1">
        <v>64.673102582</v>
      </c>
      <c r="AO2197" s="1">
        <v>19374.0</v>
      </c>
      <c r="AP2197" s="1">
        <v>22.8</v>
      </c>
      <c r="AQ2197" s="1">
        <v>7.9</v>
      </c>
      <c r="AR2197" s="1">
        <v>16.2</v>
      </c>
      <c r="AS2197" s="1">
        <v>17.2</v>
      </c>
      <c r="AT2197" s="1">
        <v>25.4</v>
      </c>
      <c r="AU2197" s="1">
        <v>20.5</v>
      </c>
      <c r="AV2197" s="1">
        <v>34.5</v>
      </c>
      <c r="AW2197" s="1">
        <v>0.5</v>
      </c>
      <c r="AX2197" s="1">
        <v>0.8803</v>
      </c>
      <c r="AY2197" s="1">
        <v>22.0</v>
      </c>
      <c r="AZ2197" s="1">
        <v>18.0</v>
      </c>
      <c r="BA2197" s="1">
        <v>26.6</v>
      </c>
      <c r="BB2197" s="1">
        <v>2.93</v>
      </c>
      <c r="BC2197" s="1" t="s">
        <v>3542</v>
      </c>
      <c r="BD2197" s="1">
        <v>15.7</v>
      </c>
      <c r="BE2197" s="1">
        <v>34.0</v>
      </c>
      <c r="BF2197" s="1">
        <v>36.0</v>
      </c>
      <c r="BG2197" s="1">
        <v>14.3</v>
      </c>
      <c r="BH2197" s="1" t="s">
        <v>3642</v>
      </c>
    </row>
    <row r="2198">
      <c r="A2198" s="1">
        <v>40135.0</v>
      </c>
      <c r="B2198" s="2" t="str">
        <f>IFERROR(__xludf.DUMMYFUNCTION("TO_TEXT(A2198)"),"40135")</f>
        <v>40135</v>
      </c>
      <c r="C2198" s="1">
        <v>41344.0</v>
      </c>
      <c r="D2198" s="1">
        <v>673.276722393044</v>
      </c>
      <c r="E2198" s="1" t="s">
        <v>3643</v>
      </c>
      <c r="F2198" s="1" t="s">
        <v>3644</v>
      </c>
      <c r="G2198" s="1">
        <v>61.407143043725</v>
      </c>
      <c r="H2198" s="1">
        <v>25.453950169</v>
      </c>
      <c r="I2198" s="1">
        <v>5.4386275189</v>
      </c>
      <c r="J2198" s="1">
        <v>7.5674188222</v>
      </c>
      <c r="K2198" s="1">
        <v>23.315454301</v>
      </c>
      <c r="L2198" s="1">
        <v>36.1</v>
      </c>
      <c r="M2198" s="1">
        <v>6.8</v>
      </c>
      <c r="N2198" s="1">
        <v>37.7</v>
      </c>
      <c r="O2198" s="1">
        <v>38.642636409</v>
      </c>
      <c r="P2198" s="1">
        <v>20.28100367</v>
      </c>
      <c r="Q2198" s="1">
        <v>29.0895</v>
      </c>
      <c r="R2198" s="1">
        <v>81.356152513</v>
      </c>
      <c r="S2198" s="1">
        <v>28.4</v>
      </c>
      <c r="T2198" s="1">
        <v>9554.0</v>
      </c>
      <c r="U2198" s="1">
        <v>39.951852627</v>
      </c>
      <c r="V2198" s="1">
        <v>334.28844317</v>
      </c>
      <c r="W2198" s="1">
        <v>16.068541869</v>
      </c>
      <c r="X2198" s="1">
        <v>11.21648136</v>
      </c>
      <c r="Y2198" s="1">
        <v>73.284454312</v>
      </c>
      <c r="Z2198" s="1">
        <v>15.7</v>
      </c>
      <c r="AA2198" s="1">
        <v>5.4576360172</v>
      </c>
      <c r="AB2198" s="1">
        <v>38998.0</v>
      </c>
      <c r="AC2198" s="1">
        <v>90.9519672329999</v>
      </c>
      <c r="AD2198" s="1">
        <v>71.071800208</v>
      </c>
      <c r="AE2198" s="1">
        <v>10.765533814</v>
      </c>
      <c r="AF2198" s="1">
        <v>1.76303455639999</v>
      </c>
      <c r="AG2198" s="1">
        <v>22.159353068</v>
      </c>
      <c r="AH2198" s="1">
        <v>0.665387697599999</v>
      </c>
      <c r="AI2198" s="1">
        <v>0.0898516234</v>
      </c>
      <c r="AJ2198" s="1">
        <v>4.2594526336</v>
      </c>
      <c r="AK2198" s="1">
        <v>62.57315622</v>
      </c>
      <c r="AL2198" s="1">
        <v>0.6952312288</v>
      </c>
      <c r="AM2198" s="1">
        <v>50.783166177</v>
      </c>
      <c r="AN2198" s="1">
        <v>66.624991154</v>
      </c>
      <c r="AO2198" s="1">
        <v>18698.0</v>
      </c>
      <c r="AP2198" s="1">
        <v>24.9</v>
      </c>
      <c r="AQ2198" s="1">
        <v>8.8</v>
      </c>
      <c r="AR2198" s="1">
        <v>18.5</v>
      </c>
      <c r="AS2198" s="1">
        <v>16.9</v>
      </c>
      <c r="AT2198" s="1">
        <v>23.9</v>
      </c>
      <c r="AU2198" s="1">
        <v>24.5</v>
      </c>
      <c r="AV2198" s="1">
        <v>36.1</v>
      </c>
      <c r="AW2198" s="1">
        <v>0.5</v>
      </c>
      <c r="AX2198" s="1">
        <v>0.887</v>
      </c>
      <c r="AY2198" s="1">
        <v>21.6</v>
      </c>
      <c r="AZ2198" s="1">
        <v>18.6</v>
      </c>
      <c r="BA2198" s="1">
        <v>29.2</v>
      </c>
      <c r="BB2198" s="1">
        <v>3.09</v>
      </c>
      <c r="BC2198" s="1" t="s">
        <v>3542</v>
      </c>
      <c r="BD2198" s="1">
        <v>18.7</v>
      </c>
      <c r="BE2198" s="1">
        <v>38.6</v>
      </c>
      <c r="BF2198" s="1">
        <v>28.2</v>
      </c>
      <c r="BG2198" s="1">
        <v>14.4</v>
      </c>
      <c r="BH2198" s="1" t="s">
        <v>3644</v>
      </c>
    </row>
    <row r="2199">
      <c r="A2199" s="1">
        <v>40137.0</v>
      </c>
      <c r="B2199" s="2" t="str">
        <f>IFERROR(__xludf.DUMMYFUNCTION("TO_TEXT(A2199)"),"40137")</f>
        <v>40137</v>
      </c>
      <c r="C2199" s="1">
        <v>44631.0</v>
      </c>
      <c r="D2199" s="1">
        <v>870.24714920089</v>
      </c>
      <c r="E2199" s="1" t="s">
        <v>1006</v>
      </c>
      <c r="F2199" s="1" t="s">
        <v>3645</v>
      </c>
      <c r="G2199" s="1">
        <v>51.2854308583288</v>
      </c>
      <c r="H2199" s="1">
        <v>18.651409383</v>
      </c>
      <c r="I2199" s="1">
        <v>4.5664785359</v>
      </c>
      <c r="J2199" s="1">
        <v>8.9986648865</v>
      </c>
      <c r="K2199" s="1">
        <v>17.139347809</v>
      </c>
      <c r="L2199" s="1">
        <v>34.0</v>
      </c>
      <c r="M2199" s="1">
        <v>7.3</v>
      </c>
      <c r="N2199" s="1">
        <v>29.4</v>
      </c>
      <c r="O2199" s="1">
        <v>60.002663825</v>
      </c>
      <c r="P2199" s="1">
        <v>16.426712923</v>
      </c>
      <c r="Q2199" s="1">
        <v>55.38632</v>
      </c>
      <c r="R2199" s="1">
        <v>83.932231405</v>
      </c>
      <c r="S2199" s="1">
        <v>22.7</v>
      </c>
      <c r="T2199" s="1">
        <v>10157.0</v>
      </c>
      <c r="U2199" s="1">
        <v>33.297233435</v>
      </c>
      <c r="V2199" s="1">
        <v>174.93496008</v>
      </c>
      <c r="W2199" s="1">
        <v>12.838801712</v>
      </c>
      <c r="X2199" s="1">
        <v>10.477577169</v>
      </c>
      <c r="Y2199" s="1">
        <v>75.338891766</v>
      </c>
      <c r="Z2199" s="1">
        <v>15.3</v>
      </c>
      <c r="AA2199" s="1">
        <v>5.4355267469</v>
      </c>
      <c r="AB2199" s="1">
        <v>46512.0</v>
      </c>
      <c r="AC2199" s="1">
        <v>55.804322506</v>
      </c>
      <c r="AD2199" s="1">
        <v>72.173400177</v>
      </c>
      <c r="AE2199" s="1">
        <v>10.353613821</v>
      </c>
      <c r="AF2199" s="1">
        <v>1.9230324743</v>
      </c>
      <c r="AG2199" s="1">
        <v>5.9470703802</v>
      </c>
      <c r="AH2199" s="1">
        <v>0.725759852099999</v>
      </c>
      <c r="AI2199" s="1">
        <v>0.0508494164</v>
      </c>
      <c r="AJ2199" s="1">
        <v>8.0365191263</v>
      </c>
      <c r="AK2199" s="1">
        <v>79.685658153</v>
      </c>
      <c r="AL2199" s="1">
        <v>1.0808066154</v>
      </c>
      <c r="AM2199" s="1">
        <v>51.665318387</v>
      </c>
      <c r="AN2199" s="1">
        <v>43.324897887</v>
      </c>
      <c r="AO2199" s="1">
        <v>24555.0</v>
      </c>
      <c r="AP2199" s="1">
        <v>15.5</v>
      </c>
      <c r="AQ2199" s="1">
        <v>6.8</v>
      </c>
      <c r="AR2199" s="1">
        <v>13.1</v>
      </c>
      <c r="AS2199" s="1">
        <v>17.9</v>
      </c>
      <c r="AT2199" s="1">
        <v>23.8</v>
      </c>
      <c r="AU2199" s="1">
        <v>19.7</v>
      </c>
      <c r="AV2199" s="1">
        <v>18.8</v>
      </c>
      <c r="AW2199" s="1">
        <v>1.0</v>
      </c>
      <c r="AX2199" s="1">
        <v>0.5431</v>
      </c>
      <c r="AY2199" s="1">
        <v>14.8</v>
      </c>
      <c r="AZ2199" s="1">
        <v>15.0</v>
      </c>
      <c r="BA2199" s="1">
        <v>22.8</v>
      </c>
      <c r="BB2199" s="1">
        <v>3.16</v>
      </c>
      <c r="BC2199" s="1" t="s">
        <v>3542</v>
      </c>
      <c r="BD2199" s="1">
        <v>12.7</v>
      </c>
      <c r="BE2199" s="1">
        <v>42.2</v>
      </c>
      <c r="BF2199" s="1">
        <v>28.2</v>
      </c>
      <c r="BG2199" s="1">
        <v>16.9</v>
      </c>
      <c r="BH2199" s="1" t="s">
        <v>3645</v>
      </c>
    </row>
    <row r="2200">
      <c r="A2200" s="1">
        <v>40139.0</v>
      </c>
      <c r="B2200" s="2" t="str">
        <f>IFERROR(__xludf.DUMMYFUNCTION("TO_TEXT(A2200)"),"40139")</f>
        <v>40139</v>
      </c>
      <c r="C2200" s="1">
        <v>21499.0</v>
      </c>
      <c r="D2200" s="1">
        <v>2041.29275341746</v>
      </c>
      <c r="E2200" s="1" t="s">
        <v>2697</v>
      </c>
      <c r="F2200" s="1" t="s">
        <v>3646</v>
      </c>
      <c r="G2200" s="1">
        <v>10.5320513013173</v>
      </c>
      <c r="H2200" s="1">
        <v>23.657790771</v>
      </c>
      <c r="I2200" s="1">
        <v>4.2114273875</v>
      </c>
      <c r="J2200" s="1">
        <v>6.5176203107</v>
      </c>
      <c r="K2200" s="1">
        <v>16.849100534</v>
      </c>
      <c r="L2200" s="1">
        <v>31.8</v>
      </c>
      <c r="M2200" s="1">
        <v>7.7</v>
      </c>
      <c r="N2200" s="1">
        <v>30.7</v>
      </c>
      <c r="O2200" s="1">
        <v>67.223837209</v>
      </c>
      <c r="P2200" s="1">
        <v>21.613445378</v>
      </c>
      <c r="Q2200" s="1">
        <v>47.84689</v>
      </c>
      <c r="R2200" s="1">
        <v>70.418230563</v>
      </c>
      <c r="S2200" s="1">
        <v>16.9</v>
      </c>
      <c r="T2200" s="1">
        <v>5890.0</v>
      </c>
      <c r="U2200" s="1">
        <v>26.502546689</v>
      </c>
      <c r="V2200" s="1">
        <v>195.64574471</v>
      </c>
      <c r="W2200" s="1">
        <v>15.838068182</v>
      </c>
      <c r="X2200" s="1">
        <v>8.0962800875</v>
      </c>
      <c r="Y2200" s="1">
        <v>75.5016989889999</v>
      </c>
      <c r="Z2200" s="1">
        <v>8.5</v>
      </c>
      <c r="AA2200" s="1">
        <v>14.191436794</v>
      </c>
      <c r="AB2200" s="1">
        <v>51812.0</v>
      </c>
      <c r="AC2200" s="1">
        <v>68.111455108</v>
      </c>
      <c r="AD2200" s="1">
        <v>65.115241636</v>
      </c>
      <c r="AE2200" s="1">
        <v>9.1171749599</v>
      </c>
      <c r="AF2200" s="1">
        <v>4.4390124664</v>
      </c>
      <c r="AG2200" s="1">
        <v>1.9652896602</v>
      </c>
      <c r="AH2200" s="1">
        <v>3.1581520411</v>
      </c>
      <c r="AI2200" s="1">
        <v>0.4497677829</v>
      </c>
      <c r="AJ2200" s="1">
        <v>46.106086531</v>
      </c>
      <c r="AK2200" s="1">
        <v>44.370569543</v>
      </c>
      <c r="AL2200" s="1">
        <v>10.700459402</v>
      </c>
      <c r="AM2200" s="1">
        <v>46.502077732</v>
      </c>
      <c r="AN2200" s="1">
        <v>45.0678294569999</v>
      </c>
      <c r="AO2200" s="1">
        <v>22923.0</v>
      </c>
      <c r="AP2200" s="1">
        <v>13.4</v>
      </c>
      <c r="AQ2200" s="1">
        <v>2.9</v>
      </c>
      <c r="AR2200" s="1">
        <v>28.3</v>
      </c>
      <c r="AS2200" s="1">
        <v>10.7</v>
      </c>
      <c r="AT2200" s="1">
        <v>27.6</v>
      </c>
      <c r="AU2200" s="1">
        <v>9.4</v>
      </c>
      <c r="AV2200" s="1">
        <v>53.6</v>
      </c>
      <c r="AW2200" s="1">
        <v>13.0</v>
      </c>
      <c r="AX2200" s="1">
        <v>0.7055</v>
      </c>
      <c r="AY2200" s="1">
        <v>14.7</v>
      </c>
      <c r="AZ2200" s="1">
        <v>10.9</v>
      </c>
      <c r="BA2200" s="1">
        <v>15.4</v>
      </c>
      <c r="BB2200" s="1">
        <v>3.0</v>
      </c>
      <c r="BC2200" s="1" t="s">
        <v>3542</v>
      </c>
      <c r="BD2200" s="1">
        <v>27.7</v>
      </c>
      <c r="BE2200" s="1">
        <v>25.7</v>
      </c>
      <c r="BF2200" s="1">
        <v>24.5</v>
      </c>
      <c r="BG2200" s="1">
        <v>22.1</v>
      </c>
      <c r="BH2200" s="1" t="s">
        <v>3646</v>
      </c>
    </row>
    <row r="2201">
      <c r="A2201" s="1">
        <v>40141.0</v>
      </c>
      <c r="B2201" s="2" t="str">
        <f>IFERROR(__xludf.DUMMYFUNCTION("TO_TEXT(A2201)"),"40141")</f>
        <v>40141</v>
      </c>
      <c r="C2201" s="1">
        <v>7611.0</v>
      </c>
      <c r="D2201" s="1">
        <v>871.13366448952</v>
      </c>
      <c r="E2201" s="1" t="s">
        <v>3647</v>
      </c>
      <c r="F2201" s="1" t="s">
        <v>3648</v>
      </c>
      <c r="G2201" s="1">
        <v>8.73689114570037</v>
      </c>
      <c r="H2201" s="1">
        <v>23.967321435</v>
      </c>
      <c r="I2201" s="1">
        <v>4.6138547402</v>
      </c>
      <c r="J2201" s="1">
        <v>7.9491255962</v>
      </c>
      <c r="K2201" s="1">
        <v>18.504543134</v>
      </c>
      <c r="L2201" s="1">
        <v>43.2</v>
      </c>
      <c r="M2201" s="1">
        <v>6.8</v>
      </c>
      <c r="N2201" s="1">
        <v>43.6</v>
      </c>
      <c r="O2201" s="1">
        <v>56.281281281</v>
      </c>
      <c r="P2201" s="1">
        <v>19.890864284</v>
      </c>
      <c r="Q2201" s="1">
        <v>26.90704</v>
      </c>
      <c r="R2201" s="1">
        <v>89.912280702</v>
      </c>
      <c r="S2201" s="1">
        <v>31.3</v>
      </c>
      <c r="T2201" s="1">
        <v>1650.0</v>
      </c>
      <c r="U2201" s="1">
        <v>37.1515151519999</v>
      </c>
      <c r="V2201" s="1">
        <v>246.0106383</v>
      </c>
      <c r="W2201" s="1">
        <v>12.5</v>
      </c>
      <c r="X2201" s="1">
        <v>8.8387096774</v>
      </c>
      <c r="Y2201" s="1">
        <v>74.768365233</v>
      </c>
      <c r="Z2201" s="1">
        <v>22.4</v>
      </c>
      <c r="AA2201" s="1">
        <v>14.311306864</v>
      </c>
      <c r="AB2201" s="1">
        <v>41186.0</v>
      </c>
      <c r="AC2201" s="1">
        <v>84.684684685</v>
      </c>
      <c r="AD2201" s="1">
        <v>77.217332431</v>
      </c>
      <c r="AE2201" s="1">
        <v>6.6234701224</v>
      </c>
      <c r="AF2201" s="1">
        <v>7.2808927599</v>
      </c>
      <c r="AG2201" s="1">
        <v>4.763200871</v>
      </c>
      <c r="AH2201" s="1">
        <v>0.4354926511</v>
      </c>
      <c r="AI2201" s="1">
        <v>0.1497005988</v>
      </c>
      <c r="AJ2201" s="1">
        <v>27.36799129</v>
      </c>
      <c r="AK2201" s="1">
        <v>58.4240609689999</v>
      </c>
      <c r="AL2201" s="1">
        <v>4.9569269877</v>
      </c>
      <c r="AM2201" s="1">
        <v>49.5645073489999</v>
      </c>
      <c r="AN2201" s="1">
        <v>51.2137137139999</v>
      </c>
      <c r="AO2201" s="1">
        <v>20549.0</v>
      </c>
      <c r="AP2201" s="1">
        <v>21.8</v>
      </c>
      <c r="AQ2201" s="1">
        <v>5.4</v>
      </c>
      <c r="AR2201" s="1">
        <v>22.3</v>
      </c>
      <c r="AS2201" s="1">
        <v>18.2</v>
      </c>
      <c r="AT2201" s="1">
        <v>24.5</v>
      </c>
      <c r="AU2201" s="1">
        <v>17.0</v>
      </c>
      <c r="AV2201" s="1">
        <v>39.0</v>
      </c>
      <c r="AW2201" s="1">
        <v>3.8</v>
      </c>
      <c r="AX2201" s="1">
        <v>0.8618</v>
      </c>
      <c r="AY2201" s="1">
        <v>20.4</v>
      </c>
      <c r="AZ2201" s="1">
        <v>15.3</v>
      </c>
      <c r="BA2201" s="1">
        <v>22.8</v>
      </c>
      <c r="BB2201" s="1">
        <v>3.01</v>
      </c>
      <c r="BC2201" s="1" t="s">
        <v>3542</v>
      </c>
      <c r="BD2201" s="1">
        <v>22.5</v>
      </c>
      <c r="BE2201" s="1">
        <v>33.4</v>
      </c>
      <c r="BF2201" s="1">
        <v>26.8</v>
      </c>
      <c r="BG2201" s="1">
        <v>17.3</v>
      </c>
      <c r="BH2201" s="1" t="s">
        <v>3648</v>
      </c>
    </row>
    <row r="2202">
      <c r="A2202" s="1">
        <v>40143.0</v>
      </c>
      <c r="B2202" s="2" t="str">
        <f>IFERROR(__xludf.DUMMYFUNCTION("TO_TEXT(A2202)"),"40143")</f>
        <v>40143</v>
      </c>
      <c r="C2202" s="1">
        <v>629823.0</v>
      </c>
      <c r="D2202" s="1">
        <v>570.281089556496</v>
      </c>
      <c r="E2202" s="1" t="s">
        <v>3649</v>
      </c>
      <c r="F2202" s="1" t="s">
        <v>3650</v>
      </c>
      <c r="G2202" s="1">
        <v>1104.40800428752</v>
      </c>
      <c r="H2202" s="1">
        <v>16.634443964</v>
      </c>
      <c r="I2202" s="1">
        <v>4.5645382083</v>
      </c>
      <c r="J2202" s="1">
        <v>8.4392000613</v>
      </c>
      <c r="K2202" s="1">
        <v>17.5972899609999</v>
      </c>
      <c r="L2202" s="1">
        <v>31.2</v>
      </c>
      <c r="M2202" s="1">
        <v>6.9</v>
      </c>
      <c r="N2202" s="1">
        <v>27.5</v>
      </c>
      <c r="O2202" s="1">
        <v>91.72841368</v>
      </c>
      <c r="P2202" s="1">
        <v>15.385950425</v>
      </c>
      <c r="Q2202" s="1">
        <v>109.86188</v>
      </c>
      <c r="R2202" s="1">
        <v>83.553747535</v>
      </c>
      <c r="S2202" s="1">
        <v>19.6</v>
      </c>
      <c r="T2202" s="1">
        <v>161932.0</v>
      </c>
      <c r="U2202" s="1">
        <v>36.560408073</v>
      </c>
      <c r="V2202" s="1">
        <v>685.08730849</v>
      </c>
      <c r="W2202" s="1">
        <v>15.2104015109999</v>
      </c>
      <c r="X2202" s="1">
        <v>12.497705252</v>
      </c>
      <c r="Y2202" s="1">
        <v>76.633546848</v>
      </c>
      <c r="Z2202" s="1">
        <v>10.1</v>
      </c>
      <c r="AA2202" s="1">
        <v>9.2910290568</v>
      </c>
      <c r="AB2202" s="1">
        <v>55796.0</v>
      </c>
      <c r="AC2202" s="1">
        <v>56.018685823</v>
      </c>
      <c r="AD2202" s="1">
        <v>59.029923241</v>
      </c>
      <c r="AE2202" s="1">
        <v>12.824541129</v>
      </c>
      <c r="AF2202" s="1">
        <v>10.366617311</v>
      </c>
      <c r="AG2202" s="1">
        <v>6.84141526309999</v>
      </c>
      <c r="AH2202" s="1">
        <v>3.4405268678</v>
      </c>
      <c r="AI2202" s="1">
        <v>0.1645690666</v>
      </c>
      <c r="AJ2202" s="1">
        <v>13.036276143</v>
      </c>
      <c r="AK2202" s="1">
        <v>61.630421371</v>
      </c>
      <c r="AL2202" s="1">
        <v>3.3663233469</v>
      </c>
      <c r="AM2202" s="1">
        <v>51.204731939</v>
      </c>
      <c r="AN2202" s="1">
        <v>4.7793928767</v>
      </c>
      <c r="AO2202" s="1">
        <v>28970.0</v>
      </c>
      <c r="AP2202" s="1">
        <v>15.9</v>
      </c>
      <c r="AQ2202" s="1">
        <v>6.2</v>
      </c>
      <c r="AR2202" s="1">
        <v>11.2</v>
      </c>
      <c r="AS2202" s="1">
        <v>13.0</v>
      </c>
      <c r="AT2202" s="1">
        <v>25.5</v>
      </c>
      <c r="AU2202" s="1">
        <v>13.4</v>
      </c>
      <c r="AV2202" s="1">
        <v>36.4</v>
      </c>
      <c r="AW2202" s="1">
        <v>3.3</v>
      </c>
      <c r="AX2202" s="1">
        <v>0.5861</v>
      </c>
      <c r="AY2202" s="1">
        <v>14.3</v>
      </c>
      <c r="AZ2202" s="1">
        <v>13.9</v>
      </c>
      <c r="BA2202" s="1">
        <v>19.8</v>
      </c>
      <c r="BB2202" s="1">
        <v>3.13</v>
      </c>
      <c r="BC2202" s="1" t="s">
        <v>3542</v>
      </c>
      <c r="BD2202" s="1">
        <v>10.6</v>
      </c>
      <c r="BE2202" s="1">
        <v>25.4</v>
      </c>
      <c r="BF2202" s="1">
        <v>32.2</v>
      </c>
      <c r="BG2202" s="1">
        <v>31.8</v>
      </c>
      <c r="BH2202" s="1" t="s">
        <v>3650</v>
      </c>
    </row>
    <row r="2203">
      <c r="A2203" s="1">
        <v>40145.0</v>
      </c>
      <c r="B2203" s="2" t="str">
        <f>IFERROR(__xludf.DUMMYFUNCTION("TO_TEXT(A2203)"),"40145")</f>
        <v>40145</v>
      </c>
      <c r="C2203" s="1">
        <v>76190.0</v>
      </c>
      <c r="D2203" s="1">
        <v>561.556468531748</v>
      </c>
      <c r="E2203" s="1" t="s">
        <v>3651</v>
      </c>
      <c r="F2203" s="1" t="s">
        <v>3652</v>
      </c>
      <c r="G2203" s="1">
        <v>135.676471146717</v>
      </c>
      <c r="H2203" s="1">
        <v>18.773676469</v>
      </c>
      <c r="I2203" s="1">
        <v>4.2856831416</v>
      </c>
      <c r="J2203" s="1">
        <v>7.7111583075</v>
      </c>
      <c r="K2203" s="1">
        <v>17.900176329</v>
      </c>
      <c r="L2203" s="1">
        <v>35.6</v>
      </c>
      <c r="M2203" s="1">
        <v>7.6</v>
      </c>
      <c r="N2203" s="1">
        <v>29.5</v>
      </c>
      <c r="O2203" s="1">
        <v>56.706574536</v>
      </c>
      <c r="P2203" s="1">
        <v>15.635874005</v>
      </c>
      <c r="Q2203" s="1">
        <v>33.05491</v>
      </c>
      <c r="R2203" s="1">
        <v>87.826763485</v>
      </c>
      <c r="S2203" s="1">
        <v>13.7</v>
      </c>
      <c r="T2203" s="1">
        <v>19148.0</v>
      </c>
      <c r="U2203" s="1">
        <v>29.261541675</v>
      </c>
      <c r="V2203" s="1">
        <v>240.88520416</v>
      </c>
      <c r="W2203" s="1">
        <v>11.571582347</v>
      </c>
      <c r="X2203" s="1">
        <v>8.7382160986</v>
      </c>
      <c r="Y2203" s="1">
        <v>79.170056062</v>
      </c>
      <c r="Z2203" s="1">
        <v>16.1</v>
      </c>
      <c r="AA2203" s="1">
        <v>7.9436589634</v>
      </c>
      <c r="AB2203" s="1">
        <v>62889.0</v>
      </c>
      <c r="AC2203" s="1">
        <v>52.9507695439999</v>
      </c>
      <c r="AD2203" s="1">
        <v>78.415889801</v>
      </c>
      <c r="AE2203" s="1">
        <v>8.512699096</v>
      </c>
      <c r="AF2203" s="1">
        <v>3.5700911247</v>
      </c>
      <c r="AG2203" s="1">
        <v>10.5255274</v>
      </c>
      <c r="AH2203" s="1">
        <v>1.7238796655</v>
      </c>
      <c r="AI2203" s="1">
        <v>0.0861315691</v>
      </c>
      <c r="AJ2203" s="1">
        <v>6.4448882786</v>
      </c>
      <c r="AK2203" s="1">
        <v>71.179628011</v>
      </c>
      <c r="AL2203" s="1">
        <v>1.048482028</v>
      </c>
      <c r="AM2203" s="1">
        <v>50.475596055</v>
      </c>
      <c r="AN2203" s="1">
        <v>37.468700828</v>
      </c>
      <c r="AO2203" s="1">
        <v>26159.0</v>
      </c>
      <c r="AP2203" s="1">
        <v>10.8</v>
      </c>
      <c r="AQ2203" s="1">
        <v>6.2</v>
      </c>
      <c r="AR2203" s="1">
        <v>10.4</v>
      </c>
      <c r="AS2203" s="1">
        <v>14.8</v>
      </c>
      <c r="AT2203" s="1">
        <v>25.4</v>
      </c>
      <c r="AU2203" s="1">
        <v>15.2</v>
      </c>
      <c r="AV2203" s="1">
        <v>27.5</v>
      </c>
      <c r="AW2203" s="1">
        <v>0.9</v>
      </c>
      <c r="AX2203" s="1">
        <v>0.3483</v>
      </c>
      <c r="AY2203" s="1">
        <v>8.2</v>
      </c>
      <c r="AZ2203" s="1">
        <v>12.4</v>
      </c>
      <c r="BA2203" s="1">
        <v>19.3</v>
      </c>
      <c r="BB2203" s="1">
        <v>3.24</v>
      </c>
      <c r="BC2203" s="1" t="s">
        <v>3542</v>
      </c>
      <c r="BD2203" s="1">
        <v>9.4</v>
      </c>
      <c r="BE2203" s="1">
        <v>32.9</v>
      </c>
      <c r="BF2203" s="1">
        <v>34.5</v>
      </c>
      <c r="BG2203" s="1">
        <v>23.2</v>
      </c>
      <c r="BH2203" s="1" t="s">
        <v>3652</v>
      </c>
    </row>
    <row r="2204">
      <c r="A2204" s="1">
        <v>40147.0</v>
      </c>
      <c r="B2204" s="2" t="str">
        <f>IFERROR(__xludf.DUMMYFUNCTION("TO_TEXT(A2204)"),"40147")</f>
        <v>40147</v>
      </c>
      <c r="C2204" s="1">
        <v>51892.0</v>
      </c>
      <c r="D2204" s="1">
        <v>415.453378672806</v>
      </c>
      <c r="E2204" s="1" t="s">
        <v>188</v>
      </c>
      <c r="F2204" s="1" t="s">
        <v>3653</v>
      </c>
      <c r="G2204" s="1">
        <v>124.904508336826</v>
      </c>
      <c r="H2204" s="1">
        <v>18.40884058</v>
      </c>
      <c r="I2204" s="1">
        <v>4.6141599197</v>
      </c>
      <c r="J2204" s="1">
        <v>7.1976534296</v>
      </c>
      <c r="K2204" s="1">
        <v>17.041487116</v>
      </c>
      <c r="L2204" s="1">
        <v>38.4</v>
      </c>
      <c r="M2204" s="1">
        <v>6.8</v>
      </c>
      <c r="N2204" s="1">
        <v>32.5</v>
      </c>
      <c r="O2204" s="1">
        <v>52.716964846</v>
      </c>
      <c r="P2204" s="1">
        <v>16.414062312</v>
      </c>
      <c r="Q2204" s="1">
        <v>44.28869</v>
      </c>
      <c r="R2204" s="1">
        <v>73.871305419</v>
      </c>
      <c r="S2204" s="1">
        <v>18.4</v>
      </c>
      <c r="T2204" s="1">
        <v>12252.0</v>
      </c>
      <c r="U2204" s="1">
        <v>32.835455436</v>
      </c>
      <c r="V2204" s="1">
        <v>239.09664939</v>
      </c>
      <c r="W2204" s="1">
        <v>11.340701586</v>
      </c>
      <c r="X2204" s="1">
        <v>9.0267639903</v>
      </c>
      <c r="Y2204" s="1">
        <v>76.850490448</v>
      </c>
      <c r="Z2204" s="1">
        <v>15.3</v>
      </c>
      <c r="AA2204" s="1">
        <v>13.401066394</v>
      </c>
      <c r="AB2204" s="1">
        <v>53992.0</v>
      </c>
      <c r="AC2204" s="1">
        <v>47.499742241</v>
      </c>
      <c r="AD2204" s="1">
        <v>70.803696715</v>
      </c>
      <c r="AE2204" s="1">
        <v>9.8645151469</v>
      </c>
      <c r="AF2204" s="1">
        <v>2.4593484173</v>
      </c>
      <c r="AG2204" s="1">
        <v>10.661034277</v>
      </c>
      <c r="AH2204" s="1">
        <v>2.2934629555</v>
      </c>
      <c r="AI2204" s="1">
        <v>0.0655826245</v>
      </c>
      <c r="AJ2204" s="1">
        <v>6.13390428789999</v>
      </c>
      <c r="AK2204" s="1">
        <v>72.534382655</v>
      </c>
      <c r="AL2204" s="1">
        <v>0.681836852</v>
      </c>
      <c r="AM2204" s="1">
        <v>51.26053662</v>
      </c>
      <c r="AN2204" s="1">
        <v>23.8818267419999</v>
      </c>
      <c r="AO2204" s="1">
        <v>28528.0</v>
      </c>
      <c r="AP2204" s="1">
        <v>14.4</v>
      </c>
      <c r="AQ2204" s="1">
        <v>4.8</v>
      </c>
      <c r="AR2204" s="1">
        <v>9.2</v>
      </c>
      <c r="AS2204" s="1">
        <v>18.4</v>
      </c>
      <c r="AT2204" s="1">
        <v>23.3</v>
      </c>
      <c r="AU2204" s="1">
        <v>16.2</v>
      </c>
      <c r="AV2204" s="1">
        <v>26.1</v>
      </c>
      <c r="AW2204" s="1">
        <v>0.6</v>
      </c>
      <c r="AX2204" s="1">
        <v>0.3887</v>
      </c>
      <c r="AY2204" s="1">
        <v>12.9</v>
      </c>
      <c r="AZ2204" s="1">
        <v>14.0</v>
      </c>
      <c r="BA2204" s="1">
        <v>21.6</v>
      </c>
      <c r="BB2204" s="1">
        <v>2.92</v>
      </c>
      <c r="BC2204" s="1" t="s">
        <v>3542</v>
      </c>
      <c r="BD2204" s="1">
        <v>9.6</v>
      </c>
      <c r="BE2204" s="1">
        <v>34.0</v>
      </c>
      <c r="BF2204" s="1">
        <v>27.9</v>
      </c>
      <c r="BG2204" s="1">
        <v>28.5</v>
      </c>
      <c r="BH2204" s="1" t="s">
        <v>3653</v>
      </c>
    </row>
    <row r="2205">
      <c r="A2205" s="1">
        <v>40149.0</v>
      </c>
      <c r="B2205" s="2" t="str">
        <f>IFERROR(__xludf.DUMMYFUNCTION("TO_TEXT(A2205)"),"40149")</f>
        <v>40149</v>
      </c>
      <c r="C2205" s="1">
        <v>11626.0</v>
      </c>
      <c r="D2205" s="1">
        <v>1003.16630093962</v>
      </c>
      <c r="E2205" s="1" t="s">
        <v>3654</v>
      </c>
      <c r="F2205" s="1" t="s">
        <v>3655</v>
      </c>
      <c r="G2205" s="1">
        <v>11.5893047734064</v>
      </c>
      <c r="H2205" s="1">
        <v>17.245000488</v>
      </c>
      <c r="I2205" s="1">
        <v>4.2787732537</v>
      </c>
      <c r="J2205" s="1">
        <v>6.7812798472</v>
      </c>
      <c r="K2205" s="1">
        <v>16.5061346679999</v>
      </c>
      <c r="L2205" s="1">
        <v>28.7</v>
      </c>
      <c r="M2205" s="1">
        <v>6.9</v>
      </c>
      <c r="N2205" s="1">
        <v>31.0</v>
      </c>
      <c r="O2205" s="1">
        <v>38.89414395</v>
      </c>
      <c r="P2205" s="1">
        <v>17.516064702</v>
      </c>
      <c r="Q2205" s="1">
        <v>26.94449</v>
      </c>
      <c r="R2205" s="1">
        <v>89.912280702</v>
      </c>
      <c r="S2205" s="1">
        <v>24.5</v>
      </c>
      <c r="T2205" s="1">
        <v>2850.0</v>
      </c>
      <c r="U2205" s="1">
        <v>29.333333333</v>
      </c>
      <c r="V2205" s="1">
        <v>330.11789925</v>
      </c>
      <c r="W2205" s="1">
        <v>8.7004405286</v>
      </c>
      <c r="X2205" s="1">
        <v>5.9417040359</v>
      </c>
      <c r="Y2205" s="1">
        <v>73.771969223</v>
      </c>
      <c r="Z2205" s="1">
        <v>10.7</v>
      </c>
      <c r="AA2205" s="1">
        <v>14.392041678</v>
      </c>
      <c r="AB2205" s="1">
        <v>47484.0</v>
      </c>
      <c r="AC2205" s="1">
        <v>68.65745311</v>
      </c>
      <c r="AD2205" s="1">
        <v>72.014668806</v>
      </c>
      <c r="AE2205" s="1">
        <v>9.2246322613</v>
      </c>
      <c r="AF2205" s="1">
        <v>0.9436505797</v>
      </c>
      <c r="AG2205" s="1">
        <v>4.04421677</v>
      </c>
      <c r="AH2205" s="1">
        <v>0.5212546059</v>
      </c>
      <c r="AI2205" s="1">
        <v>0.0269614451</v>
      </c>
      <c r="AJ2205" s="1">
        <v>10.209400557</v>
      </c>
      <c r="AK2205" s="1">
        <v>82.672777928</v>
      </c>
      <c r="AL2205" s="1">
        <v>0.779196395</v>
      </c>
      <c r="AM2205" s="1">
        <v>50.372966658</v>
      </c>
      <c r="AN2205" s="1">
        <v>75.26872474</v>
      </c>
      <c r="AO2205" s="1">
        <v>25032.0</v>
      </c>
      <c r="AP2205" s="1">
        <v>15.9</v>
      </c>
      <c r="AQ2205" s="1">
        <v>3.0</v>
      </c>
      <c r="AR2205" s="1">
        <v>11.9</v>
      </c>
      <c r="AS2205" s="1">
        <v>16.5</v>
      </c>
      <c r="AT2205" s="1">
        <v>25.9</v>
      </c>
      <c r="AU2205" s="1">
        <v>12.2</v>
      </c>
      <c r="AV2205" s="1">
        <v>15.9</v>
      </c>
      <c r="AW2205" s="1">
        <v>1.2</v>
      </c>
      <c r="AX2205" s="1">
        <v>0.3881</v>
      </c>
      <c r="AY2205" s="1">
        <v>12.6</v>
      </c>
      <c r="AZ2205" s="1">
        <v>12.7</v>
      </c>
      <c r="BA2205" s="1">
        <v>18.5</v>
      </c>
      <c r="BB2205" s="1">
        <v>3.24</v>
      </c>
      <c r="BC2205" s="1" t="s">
        <v>3542</v>
      </c>
      <c r="BD2205" s="1">
        <v>9.9</v>
      </c>
      <c r="BE2205" s="1">
        <v>41.5</v>
      </c>
      <c r="BF2205" s="1">
        <v>27.8</v>
      </c>
      <c r="BG2205" s="1">
        <v>20.8</v>
      </c>
      <c r="BH2205" s="1" t="s">
        <v>3655</v>
      </c>
    </row>
    <row r="2206">
      <c r="A2206" s="1">
        <v>40151.0</v>
      </c>
      <c r="B2206" s="2" t="str">
        <f>IFERROR(__xludf.DUMMYFUNCTION("TO_TEXT(A2206)"),"40151")</f>
        <v>40151</v>
      </c>
      <c r="C2206" s="1">
        <v>9125.0</v>
      </c>
      <c r="D2206" s="1">
        <v>1286.4534271598</v>
      </c>
      <c r="E2206" s="1" t="s">
        <v>3656</v>
      </c>
      <c r="F2206" s="1" t="s">
        <v>3657</v>
      </c>
      <c r="G2206" s="1">
        <v>7.09314446007264</v>
      </c>
      <c r="H2206" s="1">
        <v>17.636670624</v>
      </c>
      <c r="I2206" s="1">
        <v>4.2726151978</v>
      </c>
      <c r="J2206" s="1">
        <v>6.84563758389999</v>
      </c>
      <c r="K2206" s="1">
        <v>16.4864313259999</v>
      </c>
      <c r="L2206" s="1">
        <v>34.8</v>
      </c>
      <c r="M2206" s="1">
        <v>7.4</v>
      </c>
      <c r="N2206" s="1">
        <v>30.0</v>
      </c>
      <c r="O2206" s="1">
        <v>50.416760532</v>
      </c>
      <c r="P2206" s="1">
        <v>14.0739631679999</v>
      </c>
      <c r="Q2206" s="1">
        <v>55.36485</v>
      </c>
      <c r="R2206" s="1">
        <v>84.21686747</v>
      </c>
      <c r="S2206" s="1">
        <v>17.0</v>
      </c>
      <c r="T2206" s="1">
        <v>1818.0</v>
      </c>
      <c r="U2206" s="1">
        <v>33.718371837</v>
      </c>
      <c r="V2206" s="1">
        <v>92.235906896</v>
      </c>
      <c r="W2206" s="1">
        <v>8.3707025411</v>
      </c>
      <c r="X2206" s="1">
        <v>7.5</v>
      </c>
      <c r="Y2206" s="1">
        <v>76.692879543</v>
      </c>
      <c r="Z2206" s="1">
        <v>11.6</v>
      </c>
      <c r="AA2206" s="1">
        <v>8.5508702397</v>
      </c>
      <c r="AB2206" s="1">
        <v>51715.0</v>
      </c>
      <c r="AC2206" s="1">
        <v>43.417159763</v>
      </c>
      <c r="AD2206" s="1">
        <v>69.471799463</v>
      </c>
      <c r="AE2206" s="1">
        <v>9.34169279</v>
      </c>
      <c r="AF2206" s="1">
        <v>3.338203889</v>
      </c>
      <c r="AG2206" s="1">
        <v>3.0572102956</v>
      </c>
      <c r="AH2206" s="1">
        <v>1.2588512982</v>
      </c>
      <c r="AI2206" s="1">
        <v>0.0561987187</v>
      </c>
      <c r="AJ2206" s="1">
        <v>7.55310778909999</v>
      </c>
      <c r="AK2206" s="1">
        <v>82.825671575</v>
      </c>
      <c r="AL2206" s="1">
        <v>0.4649000465</v>
      </c>
      <c r="AM2206" s="1">
        <v>46.656176239</v>
      </c>
      <c r="AN2206" s="1">
        <v>36.697454382</v>
      </c>
      <c r="AO2206" s="1">
        <v>27464.0</v>
      </c>
      <c r="AP2206" s="1">
        <v>12.8</v>
      </c>
      <c r="AQ2206" s="1">
        <v>2.6</v>
      </c>
      <c r="AR2206" s="1">
        <v>12.1</v>
      </c>
      <c r="AS2206" s="1">
        <v>16.3</v>
      </c>
      <c r="AT2206" s="1">
        <v>20.7</v>
      </c>
      <c r="AU2206" s="1">
        <v>13.9</v>
      </c>
      <c r="AV2206" s="1">
        <v>15.7</v>
      </c>
      <c r="AW2206" s="1">
        <v>0.4</v>
      </c>
      <c r="AX2206" s="1">
        <v>0.2225</v>
      </c>
      <c r="AY2206" s="1">
        <v>15.2</v>
      </c>
      <c r="AZ2206" s="1">
        <v>11.9</v>
      </c>
      <c r="BA2206" s="1">
        <v>17.3</v>
      </c>
      <c r="BB2206" s="1">
        <v>3.04</v>
      </c>
      <c r="BC2206" s="1" t="s">
        <v>3542</v>
      </c>
      <c r="BD2206" s="1">
        <v>10.2</v>
      </c>
      <c r="BE2206" s="1">
        <v>29.9</v>
      </c>
      <c r="BF2206" s="1">
        <v>29.6</v>
      </c>
      <c r="BG2206" s="1">
        <v>30.3</v>
      </c>
      <c r="BH2206" s="1" t="s">
        <v>3657</v>
      </c>
    </row>
    <row r="2207">
      <c r="A2207" s="1">
        <v>40153.0</v>
      </c>
      <c r="B2207" s="2" t="str">
        <f>IFERROR(__xludf.DUMMYFUNCTION("TO_TEXT(A2207)"),"40153")</f>
        <v>40153</v>
      </c>
      <c r="C2207" s="1">
        <v>21111.0</v>
      </c>
      <c r="D2207" s="1">
        <v>1242.3984171419</v>
      </c>
      <c r="E2207" s="1" t="s">
        <v>3658</v>
      </c>
      <c r="F2207" s="1" t="s">
        <v>3659</v>
      </c>
      <c r="G2207" s="1">
        <v>16.9921336897428</v>
      </c>
      <c r="H2207" s="1">
        <v>16.434601903</v>
      </c>
      <c r="I2207" s="1">
        <v>3.9155780131</v>
      </c>
      <c r="J2207" s="1">
        <v>8.3253128008</v>
      </c>
      <c r="K2207" s="1">
        <v>17.043274883</v>
      </c>
      <c r="L2207" s="1">
        <v>29.8</v>
      </c>
      <c r="M2207" s="1">
        <v>7.7</v>
      </c>
      <c r="N2207" s="1">
        <v>31.8</v>
      </c>
      <c r="O2207" s="1">
        <v>83.143269757</v>
      </c>
      <c r="P2207" s="1">
        <v>17.713295799</v>
      </c>
      <c r="Q2207" s="1">
        <v>48.87824</v>
      </c>
      <c r="R2207" s="1">
        <v>86.993927126</v>
      </c>
      <c r="S2207" s="1">
        <v>22.5</v>
      </c>
      <c r="T2207" s="1">
        <v>5279.0</v>
      </c>
      <c r="U2207" s="1">
        <v>32.8281871569999</v>
      </c>
      <c r="V2207" s="1">
        <v>233.00881281</v>
      </c>
      <c r="W2207" s="1">
        <v>10.95890411</v>
      </c>
      <c r="X2207" s="1">
        <v>9.0683229814</v>
      </c>
      <c r="Y2207" s="1">
        <v>75.9579818369999</v>
      </c>
      <c r="Z2207" s="1">
        <v>9.8</v>
      </c>
      <c r="AA2207" s="1">
        <v>7.961414412</v>
      </c>
      <c r="AB2207" s="1">
        <v>55134.0</v>
      </c>
      <c r="AC2207" s="1">
        <v>52.0943796389999</v>
      </c>
      <c r="AD2207" s="1">
        <v>71.150930393</v>
      </c>
      <c r="AE2207" s="1">
        <v>8.8034188034</v>
      </c>
      <c r="AF2207" s="1">
        <v>1.8840866383</v>
      </c>
      <c r="AG2207" s="1">
        <v>3.654435763</v>
      </c>
      <c r="AH2207" s="1">
        <v>0.7961625952</v>
      </c>
      <c r="AI2207" s="1">
        <v>0.0543962022</v>
      </c>
      <c r="AJ2207" s="1">
        <v>13.114429829</v>
      </c>
      <c r="AK2207" s="1">
        <v>79.458016022</v>
      </c>
      <c r="AL2207" s="1">
        <v>2.5723802203</v>
      </c>
      <c r="AM2207" s="1">
        <v>47.413707843</v>
      </c>
      <c r="AN2207" s="1">
        <v>43.508789403</v>
      </c>
      <c r="AO2207" s="1">
        <v>27308.0</v>
      </c>
      <c r="AP2207" s="1">
        <v>12.8</v>
      </c>
      <c r="AQ2207" s="1">
        <v>4.3</v>
      </c>
      <c r="AR2207" s="1">
        <v>12.6</v>
      </c>
      <c r="AS2207" s="1">
        <v>13.9</v>
      </c>
      <c r="AT2207" s="1">
        <v>25.2</v>
      </c>
      <c r="AU2207" s="1">
        <v>11.8</v>
      </c>
      <c r="AV2207" s="1">
        <v>19.0</v>
      </c>
      <c r="AW2207" s="1">
        <v>1.8</v>
      </c>
      <c r="AX2207" s="1">
        <v>0.4145</v>
      </c>
      <c r="AY2207" s="1">
        <v>12.2</v>
      </c>
      <c r="AZ2207" s="1">
        <v>12.0</v>
      </c>
      <c r="BA2207" s="1">
        <v>18.3</v>
      </c>
      <c r="BB2207" s="1">
        <v>3.27</v>
      </c>
      <c r="BC2207" s="1" t="s">
        <v>3542</v>
      </c>
      <c r="BD2207" s="1">
        <v>12.3</v>
      </c>
      <c r="BE2207" s="1">
        <v>39.9</v>
      </c>
      <c r="BF2207" s="1">
        <v>28.4</v>
      </c>
      <c r="BG2207" s="1">
        <v>19.4</v>
      </c>
      <c r="BH2207" s="1" t="s">
        <v>3659</v>
      </c>
    </row>
    <row r="2208">
      <c r="A2208" s="1">
        <v>41001.0</v>
      </c>
      <c r="B2208" s="2" t="str">
        <f>IFERROR(__xludf.DUMMYFUNCTION("TO_TEXT(A2208)"),"41001")</f>
        <v>41001</v>
      </c>
      <c r="C2208" s="1">
        <v>16030.0</v>
      </c>
      <c r="D2208" s="1">
        <v>3067.96530550854</v>
      </c>
      <c r="E2208" s="1" t="s">
        <v>682</v>
      </c>
      <c r="F2208" s="1" t="s">
        <v>3660</v>
      </c>
      <c r="G2208" s="1">
        <v>5.22496130292544</v>
      </c>
      <c r="H2208" s="1">
        <v>14.8188804959999</v>
      </c>
      <c r="I2208" s="1">
        <v>4.4583530154</v>
      </c>
      <c r="J2208" s="1">
        <v>6.6901408451</v>
      </c>
      <c r="K2208" s="1">
        <v>15.068810597</v>
      </c>
      <c r="L2208" s="1">
        <v>30.9</v>
      </c>
      <c r="M2208" s="1">
        <v>6.4</v>
      </c>
      <c r="N2208" s="1">
        <v>21.8</v>
      </c>
      <c r="O2208" s="1">
        <v>73.174662204</v>
      </c>
      <c r="P2208" s="1">
        <v>8.2404563405</v>
      </c>
      <c r="Q2208" s="1">
        <v>87.20568</v>
      </c>
      <c r="R2208" s="1">
        <v>73.98</v>
      </c>
      <c r="S2208" s="1">
        <v>22.7</v>
      </c>
      <c r="T2208" s="1">
        <v>3087.0</v>
      </c>
      <c r="U2208" s="1">
        <v>22.546161322</v>
      </c>
      <c r="V2208" s="1">
        <v>264.39391583</v>
      </c>
      <c r="W2208" s="1">
        <v>14.407988588</v>
      </c>
      <c r="X2208" s="1">
        <v>10.765895954</v>
      </c>
      <c r="Y2208" s="1">
        <v>78.215058376</v>
      </c>
      <c r="Z2208" s="1">
        <v>12.5</v>
      </c>
      <c r="AA2208" s="1">
        <v>19.062370432</v>
      </c>
      <c r="AB2208" s="1">
        <v>45972.0</v>
      </c>
      <c r="AC2208" s="1">
        <v>55.253716043</v>
      </c>
      <c r="AD2208" s="1">
        <v>70.01587989</v>
      </c>
      <c r="AE2208" s="1">
        <v>12.7814972609999</v>
      </c>
      <c r="AF2208" s="1">
        <v>0.5622891416</v>
      </c>
      <c r="AG2208" s="1">
        <v>1.4619517681</v>
      </c>
      <c r="AH2208" s="1">
        <v>0.8496813695</v>
      </c>
      <c r="AI2208" s="1">
        <v>0.1249531426</v>
      </c>
      <c r="AJ2208" s="1">
        <v>4.3858553043</v>
      </c>
      <c r="AK2208" s="1">
        <v>90.378608022</v>
      </c>
      <c r="AL2208" s="1">
        <v>0.5137663022</v>
      </c>
      <c r="AM2208" s="1">
        <v>49.106585031</v>
      </c>
      <c r="AN2208" s="1">
        <v>41.006569976</v>
      </c>
      <c r="AO2208" s="1">
        <v>24776.0</v>
      </c>
      <c r="AP2208" s="1">
        <v>15.1</v>
      </c>
      <c r="AQ2208" s="1">
        <v>8.8</v>
      </c>
      <c r="AR2208" s="1">
        <v>9.6</v>
      </c>
      <c r="AS2208" s="1">
        <v>25.0</v>
      </c>
      <c r="AT2208" s="1">
        <v>19.6</v>
      </c>
      <c r="AU2208" s="1">
        <v>21.1</v>
      </c>
      <c r="AV2208" s="1">
        <v>8.6</v>
      </c>
      <c r="AW2208" s="1">
        <v>0.5</v>
      </c>
      <c r="AX2208" s="1">
        <v>0.6342</v>
      </c>
      <c r="AY2208" s="1">
        <v>13.6</v>
      </c>
      <c r="AZ2208" s="1">
        <v>14.7</v>
      </c>
      <c r="BA2208" s="1">
        <v>23.0</v>
      </c>
      <c r="BB2208" s="1">
        <v>3.15</v>
      </c>
      <c r="BC2208" s="1" t="s">
        <v>3661</v>
      </c>
      <c r="BD2208" s="1">
        <v>9.0</v>
      </c>
      <c r="BE2208" s="1">
        <v>31.1</v>
      </c>
      <c r="BF2208" s="1">
        <v>36.2</v>
      </c>
      <c r="BG2208" s="1">
        <v>23.7</v>
      </c>
      <c r="BH2208" s="1" t="s">
        <v>3660</v>
      </c>
    </row>
    <row r="2209">
      <c r="A2209" s="1">
        <v>41003.0</v>
      </c>
      <c r="B2209" s="2" t="str">
        <f>IFERROR(__xludf.DUMMYFUNCTION("TO_TEXT(A2209)"),"41003")</f>
        <v>41003</v>
      </c>
      <c r="C2209" s="1">
        <v>87455.0</v>
      </c>
      <c r="D2209" s="1">
        <v>675.181404485856</v>
      </c>
      <c r="E2209" s="1" t="s">
        <v>291</v>
      </c>
      <c r="F2209" s="1" t="s">
        <v>3662</v>
      </c>
      <c r="G2209" s="1">
        <v>129.528152610477</v>
      </c>
      <c r="H2209" s="1">
        <v>13.571276098</v>
      </c>
      <c r="I2209" s="1">
        <v>4.25624107</v>
      </c>
      <c r="J2209" s="1">
        <v>5.4263565891</v>
      </c>
      <c r="K2209" s="1">
        <v>13.275460835</v>
      </c>
      <c r="L2209" s="1">
        <v>24.9</v>
      </c>
      <c r="M2209" s="1">
        <v>7.3</v>
      </c>
      <c r="N2209" s="1">
        <v>13.2</v>
      </c>
      <c r="O2209" s="1">
        <v>90.255787051</v>
      </c>
      <c r="P2209" s="1">
        <v>6.7846935094</v>
      </c>
      <c r="Q2209" s="1">
        <v>114.34729</v>
      </c>
      <c r="R2209" s="1">
        <v>84.8</v>
      </c>
      <c r="S2209" s="1">
        <v>11.9</v>
      </c>
      <c r="T2209" s="1">
        <v>14599.0</v>
      </c>
      <c r="U2209" s="1">
        <v>24.0701417909999</v>
      </c>
      <c r="V2209" s="1">
        <v>128.03222998</v>
      </c>
      <c r="W2209" s="1">
        <v>22.444801872</v>
      </c>
      <c r="X2209" s="1">
        <v>19.395390602</v>
      </c>
      <c r="Y2209" s="1">
        <v>82.797809288</v>
      </c>
      <c r="Z2209" s="1">
        <v>5.5</v>
      </c>
      <c r="AA2209" s="1">
        <v>7.0751312073</v>
      </c>
      <c r="AB2209" s="1">
        <v>63600.0</v>
      </c>
      <c r="AC2209" s="1">
        <v>35.93642696</v>
      </c>
      <c r="AD2209" s="1">
        <v>56.829073482</v>
      </c>
      <c r="AE2209" s="1">
        <v>19.47277903</v>
      </c>
      <c r="AF2209" s="1">
        <v>1.0781641893</v>
      </c>
      <c r="AG2209" s="1">
        <v>0.8436390484</v>
      </c>
      <c r="AH2209" s="1">
        <v>7.1171865669</v>
      </c>
      <c r="AI2209" s="1">
        <v>0.2660123126</v>
      </c>
      <c r="AJ2209" s="1">
        <v>7.609037904</v>
      </c>
      <c r="AK2209" s="1">
        <v>79.91335599</v>
      </c>
      <c r="AL2209" s="1">
        <v>1.6233917042</v>
      </c>
      <c r="AM2209" s="1">
        <v>49.820305968</v>
      </c>
      <c r="AN2209" s="1">
        <v>18.7639491</v>
      </c>
      <c r="AO2209" s="1">
        <v>28986.0</v>
      </c>
      <c r="AP2209" s="1">
        <v>21.5</v>
      </c>
      <c r="AQ2209" s="1">
        <v>7.8</v>
      </c>
      <c r="AR2209" s="1">
        <v>5.0</v>
      </c>
      <c r="AS2209" s="1">
        <v>14.3</v>
      </c>
      <c r="AT2209" s="1">
        <v>16.9</v>
      </c>
      <c r="AU2209" s="1">
        <v>10.6</v>
      </c>
      <c r="AV2209" s="1">
        <v>18.2</v>
      </c>
      <c r="AW2209" s="1">
        <v>1.4</v>
      </c>
      <c r="AX2209" s="1">
        <v>0.3795</v>
      </c>
      <c r="AY2209" s="1">
        <v>16.5</v>
      </c>
      <c r="AZ2209" s="1">
        <v>10.8</v>
      </c>
      <c r="BA2209" s="1">
        <v>12.9</v>
      </c>
      <c r="BB2209" s="1">
        <v>3.42</v>
      </c>
      <c r="BC2209" s="1" t="s">
        <v>3661</v>
      </c>
      <c r="BD2209" s="1">
        <v>4.1</v>
      </c>
      <c r="BE2209" s="1">
        <v>13.3</v>
      </c>
      <c r="BF2209" s="1">
        <v>28.5</v>
      </c>
      <c r="BG2209" s="1">
        <v>54.1</v>
      </c>
      <c r="BH2209" s="1" t="s">
        <v>3662</v>
      </c>
    </row>
    <row r="2210">
      <c r="A2210" s="1">
        <v>41005.0</v>
      </c>
      <c r="B2210" s="2" t="str">
        <f>IFERROR(__xludf.DUMMYFUNCTION("TO_TEXT(A2210)"),"41005")</f>
        <v>41005</v>
      </c>
      <c r="C2210" s="1">
        <v>394967.0</v>
      </c>
      <c r="D2210" s="1">
        <v>1870.68312135326</v>
      </c>
      <c r="E2210" s="1" t="s">
        <v>3663</v>
      </c>
      <c r="F2210" s="1" t="s">
        <v>3664</v>
      </c>
      <c r="G2210" s="1">
        <v>211.135170618462</v>
      </c>
      <c r="H2210" s="1">
        <v>11.788931424</v>
      </c>
      <c r="I2210" s="1">
        <v>4.0850018277</v>
      </c>
      <c r="J2210" s="1">
        <v>5.9104752461</v>
      </c>
      <c r="K2210" s="1">
        <v>13.190996573</v>
      </c>
      <c r="L2210" s="1">
        <v>28.5</v>
      </c>
      <c r="M2210" s="1">
        <v>8.5</v>
      </c>
      <c r="N2210" s="1">
        <v>16.2</v>
      </c>
      <c r="O2210" s="1">
        <v>91.255930977</v>
      </c>
      <c r="P2210" s="1">
        <v>6.2736271533</v>
      </c>
      <c r="Q2210" s="1">
        <v>89.65958</v>
      </c>
      <c r="R2210" s="1">
        <v>82.44</v>
      </c>
      <c r="S2210" s="1">
        <v>7.9</v>
      </c>
      <c r="T2210" s="1">
        <v>87763.0</v>
      </c>
      <c r="U2210" s="1">
        <v>23.478003259</v>
      </c>
      <c r="V2210" s="1">
        <v>160.08826767</v>
      </c>
      <c r="W2210" s="1">
        <v>16.381078399</v>
      </c>
      <c r="X2210" s="1">
        <v>13.656651789</v>
      </c>
      <c r="Y2210" s="1">
        <v>80.886105235</v>
      </c>
      <c r="Z2210" s="1">
        <v>8.5</v>
      </c>
      <c r="AA2210" s="1">
        <v>2.9729319937</v>
      </c>
      <c r="AB2210" s="1">
        <v>81061.0</v>
      </c>
      <c r="AC2210" s="1">
        <v>31.1999028419999</v>
      </c>
      <c r="AD2210" s="1">
        <v>70.531854673</v>
      </c>
      <c r="AE2210" s="1">
        <v>13.969275442</v>
      </c>
      <c r="AF2210" s="1">
        <v>0.9940515532</v>
      </c>
      <c r="AG2210" s="1">
        <v>1.0776903203</v>
      </c>
      <c r="AH2210" s="1">
        <v>4.7368863787</v>
      </c>
      <c r="AI2210" s="1">
        <v>0.2831220333</v>
      </c>
      <c r="AJ2210" s="1">
        <v>8.8577780448</v>
      </c>
      <c r="AK2210" s="1">
        <v>81.557651866</v>
      </c>
      <c r="AL2210" s="1">
        <v>1.8164998958</v>
      </c>
      <c r="AM2210" s="1">
        <v>50.711770714</v>
      </c>
      <c r="AN2210" s="1">
        <v>18.07857614</v>
      </c>
      <c r="AO2210" s="1">
        <v>35506.0</v>
      </c>
      <c r="AP2210" s="1">
        <v>9.2</v>
      </c>
      <c r="AQ2210" s="1">
        <v>6.7</v>
      </c>
      <c r="AR2210" s="1">
        <v>6.7</v>
      </c>
      <c r="AS2210" s="1">
        <v>16.1</v>
      </c>
      <c r="AT2210" s="1">
        <v>22.3</v>
      </c>
      <c r="AU2210" s="1">
        <v>11.9</v>
      </c>
      <c r="AV2210" s="1">
        <v>16.8</v>
      </c>
      <c r="AW2210" s="1">
        <v>2.0</v>
      </c>
      <c r="AX2210" s="1">
        <v>0.2213</v>
      </c>
      <c r="AY2210" s="1">
        <v>7.2</v>
      </c>
      <c r="AZ2210" s="1">
        <v>9.1</v>
      </c>
      <c r="BA2210" s="1">
        <v>12.6</v>
      </c>
      <c r="BB2210" s="1">
        <v>3.48</v>
      </c>
      <c r="BC2210" s="1" t="s">
        <v>3661</v>
      </c>
      <c r="BD2210" s="1">
        <v>6.6</v>
      </c>
      <c r="BE2210" s="1">
        <v>21.2</v>
      </c>
      <c r="BF2210" s="1">
        <v>34.7</v>
      </c>
      <c r="BG2210" s="1">
        <v>37.4</v>
      </c>
      <c r="BH2210" s="1" t="s">
        <v>3664</v>
      </c>
    </row>
    <row r="2211">
      <c r="A2211" s="1">
        <v>41007.0</v>
      </c>
      <c r="B2211" s="2" t="str">
        <f>IFERROR(__xludf.DUMMYFUNCTION("TO_TEXT(A2211)"),"41007")</f>
        <v>41007</v>
      </c>
      <c r="C2211" s="1">
        <v>37660.0</v>
      </c>
      <c r="D2211" s="1">
        <v>828.26457023954</v>
      </c>
      <c r="E2211" s="1" t="s">
        <v>3665</v>
      </c>
      <c r="F2211" s="1" t="s">
        <v>3666</v>
      </c>
      <c r="G2211" s="1">
        <v>45.4685632503977</v>
      </c>
      <c r="H2211" s="1">
        <v>14.6853851159999</v>
      </c>
      <c r="I2211" s="1">
        <v>4.2601433078</v>
      </c>
      <c r="J2211" s="1">
        <v>6.2522077005</v>
      </c>
      <c r="K2211" s="1">
        <v>15.125297774</v>
      </c>
      <c r="L2211" s="1">
        <v>29.6</v>
      </c>
      <c r="M2211" s="1">
        <v>7.8</v>
      </c>
      <c r="N2211" s="1">
        <v>22.3</v>
      </c>
      <c r="O2211" s="1">
        <v>93.444747428</v>
      </c>
      <c r="P2211" s="1">
        <v>8.8759754275</v>
      </c>
      <c r="Q2211" s="1">
        <v>66.357</v>
      </c>
      <c r="R2211" s="1">
        <v>68.52</v>
      </c>
      <c r="S2211" s="1">
        <v>16.0</v>
      </c>
      <c r="T2211" s="1">
        <v>7409.0</v>
      </c>
      <c r="U2211" s="1">
        <v>26.251855851</v>
      </c>
      <c r="V2211" s="1">
        <v>163.2782811</v>
      </c>
      <c r="W2211" s="1">
        <v>17.795275591</v>
      </c>
      <c r="X2211" s="1">
        <v>14.526382708</v>
      </c>
      <c r="Y2211" s="1">
        <v>78.568336414</v>
      </c>
      <c r="Z2211" s="1">
        <v>8.0</v>
      </c>
      <c r="AA2211" s="1">
        <v>6.0921829434</v>
      </c>
      <c r="AB2211" s="1">
        <v>53806.0</v>
      </c>
      <c r="AC2211" s="1">
        <v>53.229268293</v>
      </c>
      <c r="AD2211" s="1">
        <v>61.709616593</v>
      </c>
      <c r="AE2211" s="1">
        <v>13.119021279</v>
      </c>
      <c r="AF2211" s="1">
        <v>0.7267880495</v>
      </c>
      <c r="AG2211" s="1">
        <v>1.36807162259999</v>
      </c>
      <c r="AH2211" s="1">
        <v>1.7629011166</v>
      </c>
      <c r="AI2211" s="1">
        <v>0.2942359924</v>
      </c>
      <c r="AJ2211" s="1">
        <v>8.6535559803</v>
      </c>
      <c r="AK2211" s="1">
        <v>85.099587567</v>
      </c>
      <c r="AL2211" s="1">
        <v>1.8895309034</v>
      </c>
      <c r="AM2211" s="1">
        <v>50.570868122</v>
      </c>
      <c r="AN2211" s="1">
        <v>38.972434461</v>
      </c>
      <c r="AO2211" s="1">
        <v>27071.0</v>
      </c>
      <c r="AP2211" s="1">
        <v>14.0</v>
      </c>
      <c r="AQ2211" s="1">
        <v>6.9</v>
      </c>
      <c r="AR2211" s="1">
        <v>8.1</v>
      </c>
      <c r="AS2211" s="1">
        <v>19.2</v>
      </c>
      <c r="AT2211" s="1">
        <v>19.7</v>
      </c>
      <c r="AU2211" s="1">
        <v>19.7</v>
      </c>
      <c r="AV2211" s="1">
        <v>13.8</v>
      </c>
      <c r="AW2211" s="1">
        <v>1.5</v>
      </c>
      <c r="AX2211" s="1">
        <v>0.5447</v>
      </c>
      <c r="AY2211" s="1">
        <v>12.0</v>
      </c>
      <c r="AZ2211" s="1">
        <v>12.3</v>
      </c>
      <c r="BA2211" s="1">
        <v>15.5</v>
      </c>
      <c r="BB2211" s="1">
        <v>3.25</v>
      </c>
      <c r="BC2211" s="1" t="s">
        <v>3661</v>
      </c>
      <c r="BD2211" s="1">
        <v>7.9</v>
      </c>
      <c r="BE2211" s="1">
        <v>26.7</v>
      </c>
      <c r="BF2211" s="1">
        <v>41.0</v>
      </c>
      <c r="BG2211" s="1">
        <v>24.4</v>
      </c>
      <c r="BH2211" s="1" t="s">
        <v>3666</v>
      </c>
    </row>
    <row r="2212">
      <c r="A2212" s="1">
        <v>41009.0</v>
      </c>
      <c r="B2212" s="2" t="str">
        <f>IFERROR(__xludf.DUMMYFUNCTION("TO_TEXT(A2212)"),"41009")</f>
        <v>41009</v>
      </c>
      <c r="C2212" s="1">
        <v>49645.0</v>
      </c>
      <c r="D2212" s="1">
        <v>657.986634156418</v>
      </c>
      <c r="E2212" s="1" t="s">
        <v>308</v>
      </c>
      <c r="F2212" s="1" t="s">
        <v>3667</v>
      </c>
      <c r="G2212" s="1">
        <v>75.4498608678399</v>
      </c>
      <c r="H2212" s="1">
        <v>13.554060102</v>
      </c>
      <c r="I2212" s="1">
        <v>4.1314792553</v>
      </c>
      <c r="J2212" s="1">
        <v>6.2589721504</v>
      </c>
      <c r="K2212" s="1">
        <v>15.148181216</v>
      </c>
      <c r="L2212" s="1">
        <v>30.6</v>
      </c>
      <c r="M2212" s="1">
        <v>8.1</v>
      </c>
      <c r="N2212" s="1">
        <v>21.7</v>
      </c>
      <c r="O2212" s="1">
        <v>77.917367429</v>
      </c>
      <c r="P2212" s="1">
        <v>7.0035861021</v>
      </c>
      <c r="Q2212" s="1">
        <v>32.82994</v>
      </c>
      <c r="R2212" s="1">
        <v>81.16</v>
      </c>
      <c r="S2212" s="1">
        <v>13.1</v>
      </c>
      <c r="T2212" s="1">
        <v>10978.0</v>
      </c>
      <c r="U2212" s="1">
        <v>32.29185644</v>
      </c>
      <c r="V2212" s="1">
        <v>133.21719527</v>
      </c>
      <c r="W2212" s="1">
        <v>15.205913411</v>
      </c>
      <c r="X2212" s="1">
        <v>12.983204479</v>
      </c>
      <c r="Y2212" s="1">
        <v>79.325407736</v>
      </c>
      <c r="Z2212" s="1">
        <v>12.0</v>
      </c>
      <c r="AA2212" s="1">
        <v>3.8611580364</v>
      </c>
      <c r="AB2212" s="1">
        <v>63338.0</v>
      </c>
      <c r="AC2212" s="1">
        <v>41.072170661</v>
      </c>
      <c r="AD2212" s="1">
        <v>74.175995025</v>
      </c>
      <c r="AE2212" s="1">
        <v>11.594280512</v>
      </c>
      <c r="AF2212" s="1">
        <v>0.5975905455</v>
      </c>
      <c r="AG2212" s="1">
        <v>1.4643832216</v>
      </c>
      <c r="AH2212" s="1">
        <v>1.1779979762</v>
      </c>
      <c r="AI2212" s="1">
        <v>0.2462913111</v>
      </c>
      <c r="AJ2212" s="1">
        <v>5.3878610841</v>
      </c>
      <c r="AK2212" s="1">
        <v>88.092101495</v>
      </c>
      <c r="AL2212" s="1">
        <v>0.758753653799999</v>
      </c>
      <c r="AM2212" s="1">
        <v>49.997136148</v>
      </c>
      <c r="AN2212" s="1">
        <v>43.6120848619999</v>
      </c>
      <c r="AO2212" s="1">
        <v>27449.0</v>
      </c>
      <c r="AP2212" s="1">
        <v>13.4</v>
      </c>
      <c r="AQ2212" s="1">
        <v>8.6</v>
      </c>
      <c r="AR2212" s="1">
        <v>9.6</v>
      </c>
      <c r="AS2212" s="1">
        <v>16.9</v>
      </c>
      <c r="AT2212" s="1">
        <v>22.2</v>
      </c>
      <c r="AU2212" s="1">
        <v>16.6</v>
      </c>
      <c r="AV2212" s="1">
        <v>10.6</v>
      </c>
      <c r="AW2212" s="1">
        <v>0.7</v>
      </c>
      <c r="AX2212" s="1">
        <v>0.4018</v>
      </c>
      <c r="AY2212" s="1">
        <v>8.6</v>
      </c>
      <c r="AZ2212" s="1">
        <v>12.2</v>
      </c>
      <c r="BA2212" s="1">
        <v>18.0</v>
      </c>
      <c r="BB2212" s="1">
        <v>3.6</v>
      </c>
      <c r="BC2212" s="1" t="s">
        <v>3661</v>
      </c>
      <c r="BD2212" s="1">
        <v>8.7</v>
      </c>
      <c r="BE2212" s="1">
        <v>33.8</v>
      </c>
      <c r="BF2212" s="1">
        <v>39.0</v>
      </c>
      <c r="BG2212" s="1">
        <v>18.5</v>
      </c>
      <c r="BH2212" s="1" t="s">
        <v>3667</v>
      </c>
    </row>
    <row r="2213">
      <c r="A2213" s="1">
        <v>41011.0</v>
      </c>
      <c r="B2213" s="2" t="str">
        <f>IFERROR(__xludf.DUMMYFUNCTION("TO_TEXT(A2213)"),"41011")</f>
        <v>41011</v>
      </c>
      <c r="C2213" s="1">
        <v>62944.0</v>
      </c>
      <c r="D2213" s="1">
        <v>1595.98367736149</v>
      </c>
      <c r="E2213" s="1" t="s">
        <v>2970</v>
      </c>
      <c r="F2213" s="1" t="s">
        <v>3668</v>
      </c>
      <c r="G2213" s="1">
        <v>39.4389998424421</v>
      </c>
      <c r="H2213" s="1">
        <v>16.32785302</v>
      </c>
      <c r="I2213" s="1">
        <v>4.5864724189</v>
      </c>
      <c r="J2213" s="1">
        <v>6.309440965</v>
      </c>
      <c r="K2213" s="1">
        <v>16.724625826</v>
      </c>
      <c r="L2213" s="1">
        <v>38.6</v>
      </c>
      <c r="M2213" s="1">
        <v>7.5</v>
      </c>
      <c r="N2213" s="1">
        <v>27.1</v>
      </c>
      <c r="O2213" s="1">
        <v>76.968101137</v>
      </c>
      <c r="P2213" s="1">
        <v>9.1258862182</v>
      </c>
      <c r="Q2213" s="1">
        <v>81.39244</v>
      </c>
      <c r="R2213" s="1">
        <v>57.29</v>
      </c>
      <c r="S2213" s="1">
        <v>24.1</v>
      </c>
      <c r="T2213" s="1">
        <v>11625.0</v>
      </c>
      <c r="U2213" s="1">
        <v>33.875268817</v>
      </c>
      <c r="V2213" s="1">
        <v>170.38311388</v>
      </c>
      <c r="W2213" s="1">
        <v>18.365365948</v>
      </c>
      <c r="X2213" s="1">
        <v>15.283500098</v>
      </c>
      <c r="Y2213" s="1">
        <v>76.686442221</v>
      </c>
      <c r="Z2213" s="1">
        <v>13.0</v>
      </c>
      <c r="AA2213" s="1">
        <v>5.0062503838</v>
      </c>
      <c r="AB2213" s="1">
        <v>48352.0</v>
      </c>
      <c r="AC2213" s="1">
        <v>60.0099663639999</v>
      </c>
      <c r="AD2213" s="1">
        <v>64.793543544</v>
      </c>
      <c r="AE2213" s="1">
        <v>14.188107602</v>
      </c>
      <c r="AF2213" s="1">
        <v>0.4752364534</v>
      </c>
      <c r="AG2213" s="1">
        <v>2.9275186756</v>
      </c>
      <c r="AH2213" s="1">
        <v>1.3511624656</v>
      </c>
      <c r="AI2213" s="1">
        <v>0.279550855</v>
      </c>
      <c r="AJ2213" s="1">
        <v>6.653310348</v>
      </c>
      <c r="AK2213" s="1">
        <v>85.036263958</v>
      </c>
      <c r="AL2213" s="1">
        <v>0.430211119</v>
      </c>
      <c r="AM2213" s="1">
        <v>50.681016944</v>
      </c>
      <c r="AN2213" s="1">
        <v>38.353187507</v>
      </c>
      <c r="AO2213" s="1">
        <v>24261.0</v>
      </c>
      <c r="AP2213" s="1">
        <v>18.1</v>
      </c>
      <c r="AQ2213" s="1">
        <v>10.7</v>
      </c>
      <c r="AR2213" s="1">
        <v>11.1</v>
      </c>
      <c r="AS2213" s="1">
        <v>24.0</v>
      </c>
      <c r="AT2213" s="1">
        <v>18.5</v>
      </c>
      <c r="AU2213" s="1">
        <v>23.3</v>
      </c>
      <c r="AV2213" s="1">
        <v>14.4</v>
      </c>
      <c r="AW2213" s="1">
        <v>0.6</v>
      </c>
      <c r="AX2213" s="1">
        <v>0.7087</v>
      </c>
      <c r="AY2213" s="1">
        <v>15.6</v>
      </c>
      <c r="AZ2213" s="1">
        <v>15.6</v>
      </c>
      <c r="BA2213" s="1">
        <v>24.0</v>
      </c>
      <c r="BB2213" s="1">
        <v>3.3</v>
      </c>
      <c r="BC2213" s="1" t="s">
        <v>3661</v>
      </c>
      <c r="BD2213" s="1">
        <v>11.2</v>
      </c>
      <c r="BE2213" s="1">
        <v>30.2</v>
      </c>
      <c r="BF2213" s="1">
        <v>40.9</v>
      </c>
      <c r="BG2213" s="1">
        <v>17.8</v>
      </c>
      <c r="BH2213" s="1" t="s">
        <v>3668</v>
      </c>
    </row>
    <row r="2214">
      <c r="A2214" s="1">
        <v>41013.0</v>
      </c>
      <c r="B2214" s="2" t="str">
        <f>IFERROR(__xludf.DUMMYFUNCTION("TO_TEXT(A2214)"),"41013")</f>
        <v>41013</v>
      </c>
      <c r="C2214" s="1">
        <v>21334.0</v>
      </c>
      <c r="D2214" s="1">
        <v>2978.89079572692</v>
      </c>
      <c r="E2214" s="1" t="s">
        <v>3669</v>
      </c>
      <c r="F2214" s="1" t="s">
        <v>3670</v>
      </c>
      <c r="G2214" s="1">
        <v>7.16172611315683</v>
      </c>
      <c r="H2214" s="1">
        <v>15.9845545529999</v>
      </c>
      <c r="I2214" s="1">
        <v>4.7766665424</v>
      </c>
      <c r="J2214" s="1">
        <v>6.5883887802</v>
      </c>
      <c r="K2214" s="1">
        <v>16.697761325</v>
      </c>
      <c r="L2214" s="1">
        <v>32.9</v>
      </c>
      <c r="M2214" s="1">
        <v>7.3</v>
      </c>
      <c r="N2214" s="1">
        <v>26.7</v>
      </c>
      <c r="O2214" s="1">
        <v>75.297931166</v>
      </c>
      <c r="P2214" s="1">
        <v>8.5589519651</v>
      </c>
      <c r="Q2214" s="1">
        <v>25.94819</v>
      </c>
      <c r="R2214" s="1">
        <v>72.13</v>
      </c>
      <c r="S2214" s="1">
        <v>19.7</v>
      </c>
      <c r="T2214" s="1">
        <v>4431.0</v>
      </c>
      <c r="U2214" s="1">
        <v>35.138794854</v>
      </c>
      <c r="V2214" s="1">
        <v>345.83479378</v>
      </c>
      <c r="W2214" s="1">
        <v>20.371381759</v>
      </c>
      <c r="X2214" s="1">
        <v>16.602102933</v>
      </c>
      <c r="Y2214" s="1">
        <v>78.523684962</v>
      </c>
      <c r="Z2214" s="1">
        <v>18.0</v>
      </c>
      <c r="AA2214" s="1">
        <v>8.0396795366</v>
      </c>
      <c r="AB2214" s="1">
        <v>51348.0</v>
      </c>
      <c r="AC2214" s="1">
        <v>51.600893522</v>
      </c>
      <c r="AD2214" s="1">
        <v>70.71420923</v>
      </c>
      <c r="AE2214" s="1">
        <v>14.114114114</v>
      </c>
      <c r="AF2214" s="1">
        <v>0.3226211924</v>
      </c>
      <c r="AG2214" s="1">
        <v>1.7471823019</v>
      </c>
      <c r="AH2214" s="1">
        <v>0.7122805547</v>
      </c>
      <c r="AI2214" s="1">
        <v>0.0837977123</v>
      </c>
      <c r="AJ2214" s="1">
        <v>7.7596681611</v>
      </c>
      <c r="AK2214" s="1">
        <v>88.008547367</v>
      </c>
      <c r="AL2214" s="1">
        <v>0.6213226642</v>
      </c>
      <c r="AM2214" s="1">
        <v>50.3163363639999</v>
      </c>
      <c r="AN2214" s="1">
        <v>48.0169701589999</v>
      </c>
      <c r="AO2214" s="1">
        <v>22346.0</v>
      </c>
      <c r="AP2214" s="1">
        <v>17.7</v>
      </c>
      <c r="AQ2214" s="1">
        <v>11.3</v>
      </c>
      <c r="AR2214" s="1">
        <v>12.4</v>
      </c>
      <c r="AS2214" s="1">
        <v>24.2</v>
      </c>
      <c r="AT2214" s="1">
        <v>19.6</v>
      </c>
      <c r="AU2214" s="1">
        <v>21.6</v>
      </c>
      <c r="AV2214" s="1">
        <v>11.4</v>
      </c>
      <c r="AW2214" s="1">
        <v>0.3</v>
      </c>
      <c r="AX2214" s="1">
        <v>0.6052</v>
      </c>
      <c r="AY2214" s="1">
        <v>10.9</v>
      </c>
      <c r="AZ2214" s="1">
        <v>14.3</v>
      </c>
      <c r="BA2214" s="1">
        <v>22.6</v>
      </c>
      <c r="BB2214" s="1">
        <v>4.36</v>
      </c>
      <c r="BC2214" s="1" t="s">
        <v>3661</v>
      </c>
      <c r="BD2214" s="1">
        <v>10.0</v>
      </c>
      <c r="BE2214" s="1">
        <v>33.3</v>
      </c>
      <c r="BF2214" s="1">
        <v>36.9</v>
      </c>
      <c r="BG2214" s="1">
        <v>19.8</v>
      </c>
      <c r="BH2214" s="1" t="s">
        <v>3670</v>
      </c>
    </row>
    <row r="2215">
      <c r="A2215" s="1">
        <v>41015.0</v>
      </c>
      <c r="B2215" s="2" t="str">
        <f>IFERROR(__xludf.DUMMYFUNCTION("TO_TEXT(A2215)"),"41015")</f>
        <v>41015</v>
      </c>
      <c r="C2215" s="1">
        <v>22364.0</v>
      </c>
      <c r="D2215" s="1">
        <v>1628.43949256291</v>
      </c>
      <c r="E2215" s="1" t="s">
        <v>3025</v>
      </c>
      <c r="F2215" s="1" t="s">
        <v>3671</v>
      </c>
      <c r="G2215" s="1">
        <v>13.7333932897946</v>
      </c>
      <c r="H2215" s="1">
        <v>16.010216228</v>
      </c>
      <c r="I2215" s="1">
        <v>4.591098037</v>
      </c>
      <c r="J2215" s="1">
        <v>6.1274509804</v>
      </c>
      <c r="K2215" s="1">
        <v>15.0659726209999</v>
      </c>
      <c r="L2215" s="1">
        <v>34.2</v>
      </c>
      <c r="M2215" s="1">
        <v>7.6</v>
      </c>
      <c r="N2215" s="1">
        <v>23.9</v>
      </c>
      <c r="O2215" s="1">
        <v>91.924521552</v>
      </c>
      <c r="P2215" s="1">
        <v>9.2971739276</v>
      </c>
      <c r="Q2215" s="1">
        <v>66.16966</v>
      </c>
      <c r="R2215" s="1">
        <v>70.31</v>
      </c>
      <c r="S2215" s="1">
        <v>22.3</v>
      </c>
      <c r="T2215" s="1">
        <v>3257.0</v>
      </c>
      <c r="U2215" s="1">
        <v>34.755910347</v>
      </c>
      <c r="V2215" s="1">
        <v>108.04716494</v>
      </c>
      <c r="W2215" s="1">
        <v>17.9413179409999</v>
      </c>
      <c r="X2215" s="1">
        <v>14.327628362</v>
      </c>
      <c r="Y2215" s="1">
        <v>78.1380319089999</v>
      </c>
      <c r="Z2215" s="1">
        <v>11.8</v>
      </c>
      <c r="AA2215" s="1">
        <v>5.0922169605</v>
      </c>
      <c r="AB2215" s="1">
        <v>48788.0</v>
      </c>
      <c r="AC2215" s="1">
        <v>56.900304745</v>
      </c>
      <c r="AD2215" s="1">
        <v>69.856321839</v>
      </c>
      <c r="AE2215" s="1">
        <v>12.753737994</v>
      </c>
      <c r="AF2215" s="1">
        <v>0.4953316092</v>
      </c>
      <c r="AG2215" s="1">
        <v>2.5511769605</v>
      </c>
      <c r="AH2215" s="1">
        <v>0.859159251299999</v>
      </c>
      <c r="AI2215" s="1">
        <v>0.1578047604</v>
      </c>
      <c r="AJ2215" s="1">
        <v>7.3423048262</v>
      </c>
      <c r="AK2215" s="1">
        <v>85.929075527</v>
      </c>
      <c r="AL2215" s="1">
        <v>0.4583545535</v>
      </c>
      <c r="AM2215" s="1">
        <v>50.786832069</v>
      </c>
      <c r="AN2215" s="1">
        <v>38.731890538</v>
      </c>
      <c r="AO2215" s="1">
        <v>24908.0</v>
      </c>
      <c r="AP2215" s="1">
        <v>15.2</v>
      </c>
      <c r="AQ2215" s="1">
        <v>11.0</v>
      </c>
      <c r="AR2215" s="1">
        <v>10.3</v>
      </c>
      <c r="AS2215" s="1">
        <v>31.6</v>
      </c>
      <c r="AT2215" s="1">
        <v>15.4</v>
      </c>
      <c r="AU2215" s="1">
        <v>25.5</v>
      </c>
      <c r="AV2215" s="1">
        <v>12.7</v>
      </c>
      <c r="AW2215" s="1">
        <v>0.5</v>
      </c>
      <c r="AX2215" s="1">
        <v>0.5145</v>
      </c>
      <c r="AY2215" s="1">
        <v>13.4</v>
      </c>
      <c r="AZ2215" s="1">
        <v>14.6</v>
      </c>
      <c r="BA2215" s="1">
        <v>20.1</v>
      </c>
      <c r="BB2215" s="1">
        <v>3.56</v>
      </c>
      <c r="BC2215" s="1" t="s">
        <v>3661</v>
      </c>
      <c r="BD2215" s="1">
        <v>9.7</v>
      </c>
      <c r="BE2215" s="1">
        <v>27.4</v>
      </c>
      <c r="BF2215" s="1">
        <v>38.3</v>
      </c>
      <c r="BG2215" s="1">
        <v>24.6</v>
      </c>
      <c r="BH2215" s="1" t="s">
        <v>3671</v>
      </c>
    </row>
    <row r="2216">
      <c r="A2216" s="1">
        <v>41017.0</v>
      </c>
      <c r="B2216" s="2" t="str">
        <f>IFERROR(__xludf.DUMMYFUNCTION("TO_TEXT(A2216)"),"41017")</f>
        <v>41017</v>
      </c>
      <c r="C2216" s="1">
        <v>170813.0</v>
      </c>
      <c r="D2216" s="1">
        <v>3017.60611469914</v>
      </c>
      <c r="E2216" s="1" t="s">
        <v>3672</v>
      </c>
      <c r="F2216" s="1" t="s">
        <v>3673</v>
      </c>
      <c r="G2216" s="1">
        <v>56.6054658916379</v>
      </c>
      <c r="H2216" s="1">
        <v>12.975753235</v>
      </c>
      <c r="I2216" s="1">
        <v>4.1638278395</v>
      </c>
      <c r="J2216" s="1">
        <v>6.768435506</v>
      </c>
      <c r="K2216" s="1">
        <v>13.5754815879999</v>
      </c>
      <c r="L2216" s="1">
        <v>22.9</v>
      </c>
      <c r="M2216" s="1">
        <v>8.0</v>
      </c>
      <c r="N2216" s="1">
        <v>14.4</v>
      </c>
      <c r="O2216" s="1">
        <v>90.3995993229999</v>
      </c>
      <c r="P2216" s="1">
        <v>7.6952822892</v>
      </c>
      <c r="Q2216" s="1">
        <v>106.48829</v>
      </c>
      <c r="R2216" s="1">
        <v>79.28</v>
      </c>
      <c r="S2216" s="1">
        <v>11.5</v>
      </c>
      <c r="T2216" s="1">
        <v>37347.0</v>
      </c>
      <c r="U2216" s="1">
        <v>26.4144375719999</v>
      </c>
      <c r="V2216" s="1">
        <v>168.56831604</v>
      </c>
      <c r="W2216" s="1">
        <v>19.932233353</v>
      </c>
      <c r="X2216" s="1">
        <v>17.742899851</v>
      </c>
      <c r="Y2216" s="1">
        <v>81.453271045</v>
      </c>
      <c r="Z2216" s="1">
        <v>8.4</v>
      </c>
      <c r="AA2216" s="1">
        <v>5.2545676735</v>
      </c>
      <c r="AB2216" s="1">
        <v>67372.0</v>
      </c>
      <c r="AC2216" s="1">
        <v>42.426428707</v>
      </c>
      <c r="AD2216" s="1">
        <v>65.689724166</v>
      </c>
      <c r="AE2216" s="1">
        <v>16.219664323</v>
      </c>
      <c r="AF2216" s="1">
        <v>0.4687597658</v>
      </c>
      <c r="AG2216" s="1">
        <v>1.1078355799</v>
      </c>
      <c r="AH2216" s="1">
        <v>1.2557553282</v>
      </c>
      <c r="AI2216" s="1">
        <v>0.1588574762</v>
      </c>
      <c r="AJ2216" s="1">
        <v>8.0814183629</v>
      </c>
      <c r="AK2216" s="1">
        <v>87.1216067</v>
      </c>
      <c r="AL2216" s="1">
        <v>1.1117209487</v>
      </c>
      <c r="AM2216" s="1">
        <v>50.518760808</v>
      </c>
      <c r="AN2216" s="1">
        <v>27.643549543</v>
      </c>
      <c r="AO2216" s="1">
        <v>30177.0</v>
      </c>
      <c r="AP2216" s="1">
        <v>13.9</v>
      </c>
      <c r="AQ2216" s="1">
        <v>7.1</v>
      </c>
      <c r="AR2216" s="1">
        <v>7.0</v>
      </c>
      <c r="AS2216" s="1">
        <v>18.2</v>
      </c>
      <c r="AT2216" s="1">
        <v>21.5</v>
      </c>
      <c r="AU2216" s="1">
        <v>12.8</v>
      </c>
      <c r="AV2216" s="1">
        <v>12.1</v>
      </c>
      <c r="AW2216" s="1">
        <v>1.0</v>
      </c>
      <c r="AX2216" s="1">
        <v>0.2063</v>
      </c>
      <c r="AY2216" s="1">
        <v>9.2</v>
      </c>
      <c r="AZ2216" s="1">
        <v>10.5</v>
      </c>
      <c r="BA2216" s="1">
        <v>15.0</v>
      </c>
      <c r="BB2216" s="1">
        <v>3.56</v>
      </c>
      <c r="BC2216" s="1" t="s">
        <v>3661</v>
      </c>
      <c r="BD2216" s="1">
        <v>6.3</v>
      </c>
      <c r="BE2216" s="1">
        <v>21.8</v>
      </c>
      <c r="BF2216" s="1">
        <v>36.5</v>
      </c>
      <c r="BG2216" s="1">
        <v>35.4</v>
      </c>
      <c r="BH2216" s="1" t="s">
        <v>3673</v>
      </c>
    </row>
    <row r="2217">
      <c r="A2217" s="1">
        <v>41019.0</v>
      </c>
      <c r="B2217" s="2" t="str">
        <f>IFERROR(__xludf.DUMMYFUNCTION("TO_TEXT(A2217)"),"41019")</f>
        <v>41019</v>
      </c>
      <c r="C2217" s="1">
        <v>107375.0</v>
      </c>
      <c r="D2217" s="1">
        <v>5035.65782270688</v>
      </c>
      <c r="E2217" s="1" t="s">
        <v>569</v>
      </c>
      <c r="F2217" s="1" t="s">
        <v>3674</v>
      </c>
      <c r="G2217" s="1">
        <v>21.322934119118</v>
      </c>
      <c r="H2217" s="1">
        <v>15.127604469</v>
      </c>
      <c r="I2217" s="1">
        <v>4.805013107</v>
      </c>
      <c r="J2217" s="1">
        <v>6.91067653279999</v>
      </c>
      <c r="K2217" s="1">
        <v>15.478514803</v>
      </c>
      <c r="L2217" s="1">
        <v>31.4</v>
      </c>
      <c r="M2217" s="1">
        <v>7.1</v>
      </c>
      <c r="N2217" s="1">
        <v>22.5</v>
      </c>
      <c r="O2217" s="1">
        <v>65.343141353</v>
      </c>
      <c r="P2217" s="1">
        <v>7.74358846789999</v>
      </c>
      <c r="Q2217" s="1">
        <v>60.32631</v>
      </c>
      <c r="R2217" s="1">
        <v>66.04</v>
      </c>
      <c r="S2217" s="1">
        <v>21.3</v>
      </c>
      <c r="T2217" s="1">
        <v>20420.0</v>
      </c>
      <c r="U2217" s="1">
        <v>34.882468168</v>
      </c>
      <c r="V2217" s="1">
        <v>218.73791992</v>
      </c>
      <c r="W2217" s="1">
        <v>17.776260385</v>
      </c>
      <c r="X2217" s="1">
        <v>14.902907044</v>
      </c>
      <c r="Y2217" s="1">
        <v>77.155988909</v>
      </c>
      <c r="Z2217" s="1">
        <v>14.1</v>
      </c>
      <c r="AA2217" s="1">
        <v>11.054918517</v>
      </c>
      <c r="AB2217" s="1">
        <v>47020.0</v>
      </c>
      <c r="AC2217" s="1">
        <v>61.78633218</v>
      </c>
      <c r="AD2217" s="1">
        <v>68.302758406</v>
      </c>
      <c r="AE2217" s="1">
        <v>14.384347188</v>
      </c>
      <c r="AF2217" s="1">
        <v>0.4597263404</v>
      </c>
      <c r="AG2217" s="1">
        <v>2.08373004</v>
      </c>
      <c r="AH2217" s="1">
        <v>1.1071516009</v>
      </c>
      <c r="AI2217" s="1">
        <v>0.1768178232</v>
      </c>
      <c r="AJ2217" s="1">
        <v>6.0308479095</v>
      </c>
      <c r="AK2217" s="1">
        <v>87.542957663</v>
      </c>
      <c r="AL2217" s="1">
        <v>0.539214732</v>
      </c>
      <c r="AM2217" s="1">
        <v>50.705004398</v>
      </c>
      <c r="AN2217" s="1">
        <v>41.17789109</v>
      </c>
      <c r="AO2217" s="1">
        <v>23608.0</v>
      </c>
      <c r="AP2217" s="1">
        <v>18.6</v>
      </c>
      <c r="AQ2217" s="1">
        <v>10.9</v>
      </c>
      <c r="AR2217" s="1">
        <v>10.9</v>
      </c>
      <c r="AS2217" s="1">
        <v>23.7</v>
      </c>
      <c r="AT2217" s="1">
        <v>19.6</v>
      </c>
      <c r="AU2217" s="1">
        <v>21.2</v>
      </c>
      <c r="AV2217" s="1">
        <v>11.2</v>
      </c>
      <c r="AW2217" s="1">
        <v>0.5</v>
      </c>
      <c r="AX2217" s="1">
        <v>0.7504</v>
      </c>
      <c r="AY2217" s="1">
        <v>11.8</v>
      </c>
      <c r="AZ2217" s="1">
        <v>14.7</v>
      </c>
      <c r="BA2217" s="1">
        <v>22.6</v>
      </c>
      <c r="BB2217" s="1">
        <v>3.16</v>
      </c>
      <c r="BC2217" s="1" t="s">
        <v>3661</v>
      </c>
      <c r="BD2217" s="1">
        <v>10.4</v>
      </c>
      <c r="BE2217" s="1">
        <v>32.3</v>
      </c>
      <c r="BF2217" s="1">
        <v>40.0</v>
      </c>
      <c r="BG2217" s="1">
        <v>17.3</v>
      </c>
      <c r="BH2217" s="1" t="s">
        <v>3674</v>
      </c>
    </row>
    <row r="2218">
      <c r="A2218" s="1">
        <v>41021.0</v>
      </c>
      <c r="B2218" s="2" t="str">
        <f>IFERROR(__xludf.DUMMYFUNCTION("TO_TEXT(A2218)"),"41021")</f>
        <v>41021</v>
      </c>
      <c r="C2218" s="1">
        <v>1913.0</v>
      </c>
      <c r="D2218" s="1">
        <v>1204.7208461368</v>
      </c>
      <c r="E2218" s="1" t="s">
        <v>3675</v>
      </c>
      <c r="F2218" s="1" t="s">
        <v>3676</v>
      </c>
      <c r="G2218" s="1">
        <v>1.58791972939993</v>
      </c>
      <c r="H2218" s="1">
        <v>13.857495112</v>
      </c>
      <c r="I2218" s="1">
        <v>4.37345048579999</v>
      </c>
      <c r="J2218" s="1">
        <v>12.096774194</v>
      </c>
      <c r="K2218" s="1">
        <v>14.094710119</v>
      </c>
      <c r="L2218" s="1">
        <v>35.8</v>
      </c>
      <c r="M2218" s="1">
        <v>7.0</v>
      </c>
      <c r="N2218" s="1">
        <v>28.8</v>
      </c>
      <c r="O2218" s="1">
        <v>82.148583645</v>
      </c>
      <c r="P2218" s="1">
        <v>7.2334079045</v>
      </c>
      <c r="Q2218" s="1">
        <v>0.0</v>
      </c>
      <c r="R2218" s="1">
        <v>88.24</v>
      </c>
      <c r="S2218" s="1">
        <v>15.8</v>
      </c>
      <c r="T2218" s="1">
        <v>394.0</v>
      </c>
      <c r="U2218" s="1">
        <v>32.233502538</v>
      </c>
      <c r="V2218" s="1">
        <v>0.0</v>
      </c>
      <c r="W2218" s="1">
        <v>13.924050633</v>
      </c>
      <c r="X2218" s="1">
        <v>11.503267974</v>
      </c>
      <c r="Y2218" s="1">
        <v>81.587394331</v>
      </c>
      <c r="Z2218" s="1">
        <v>16.6</v>
      </c>
      <c r="AA2218" s="1">
        <v>16.538079587</v>
      </c>
      <c r="AB2218" s="1">
        <v>54325.0</v>
      </c>
      <c r="AC2218" s="1">
        <v>60.714285714</v>
      </c>
      <c r="AD2218" s="1">
        <v>63.325471698</v>
      </c>
      <c r="AE2218" s="1">
        <v>13.842173351</v>
      </c>
      <c r="AF2218" s="1">
        <v>0.3695881732</v>
      </c>
      <c r="AG2218" s="1">
        <v>1.742344245</v>
      </c>
      <c r="AH2218" s="1">
        <v>0.8447729673</v>
      </c>
      <c r="AI2218" s="1">
        <v>0.5279831045</v>
      </c>
      <c r="AJ2218" s="1">
        <v>6.9165786695</v>
      </c>
      <c r="AK2218" s="1">
        <v>88.014783527</v>
      </c>
      <c r="AL2218" s="1">
        <v>0.9879253568</v>
      </c>
      <c r="AM2218" s="1">
        <v>48.89123548</v>
      </c>
      <c r="AN2218" s="1">
        <v>100.0</v>
      </c>
      <c r="AO2218" s="1">
        <v>23360.0</v>
      </c>
      <c r="AP2218" s="1">
        <v>11.2</v>
      </c>
      <c r="AQ2218" s="1">
        <v>10.6</v>
      </c>
      <c r="AR2218" s="1">
        <v>10.1</v>
      </c>
      <c r="AS2218" s="1">
        <v>23.7</v>
      </c>
      <c r="AT2218" s="1">
        <v>23.8</v>
      </c>
      <c r="AU2218" s="1">
        <v>22.6</v>
      </c>
      <c r="AV2218" s="1">
        <v>13.4</v>
      </c>
      <c r="AW2218" s="1">
        <v>0.7</v>
      </c>
      <c r="AX2218" s="1">
        <v>0.4674</v>
      </c>
      <c r="AY2218" s="1">
        <v>10.9</v>
      </c>
      <c r="AZ2218" s="1">
        <v>12.8</v>
      </c>
      <c r="BA2218" s="1">
        <v>15.6</v>
      </c>
      <c r="BB2218" s="1">
        <v>3.52</v>
      </c>
      <c r="BC2218" s="1" t="s">
        <v>3661</v>
      </c>
      <c r="BD2218" s="1">
        <v>10.0</v>
      </c>
      <c r="BE2218" s="1">
        <v>30.5</v>
      </c>
      <c r="BF2218" s="1">
        <v>42.0</v>
      </c>
      <c r="BG2218" s="1">
        <v>17.4</v>
      </c>
      <c r="BH2218" s="1" t="s">
        <v>3676</v>
      </c>
    </row>
    <row r="2219">
      <c r="A2219" s="1">
        <v>41023.0</v>
      </c>
      <c r="B2219" s="2" t="str">
        <f>IFERROR(__xludf.DUMMYFUNCTION("TO_TEXT(A2219)"),"41023")</f>
        <v>41023</v>
      </c>
      <c r="C2219" s="1">
        <v>7227.0</v>
      </c>
      <c r="D2219" s="1">
        <v>4527.79027396068</v>
      </c>
      <c r="E2219" s="1" t="s">
        <v>332</v>
      </c>
      <c r="F2219" s="1" t="s">
        <v>3677</v>
      </c>
      <c r="G2219" s="1">
        <v>1.59614283408012</v>
      </c>
      <c r="H2219" s="1">
        <v>14.092217875</v>
      </c>
      <c r="I2219" s="1">
        <v>4.5541199379</v>
      </c>
      <c r="J2219" s="1">
        <v>6.2645011601</v>
      </c>
      <c r="K2219" s="1">
        <v>14.679592238</v>
      </c>
      <c r="L2219" s="1">
        <v>26.9</v>
      </c>
      <c r="M2219" s="1">
        <v>6.5</v>
      </c>
      <c r="N2219" s="1">
        <v>26.9</v>
      </c>
      <c r="O2219" s="1">
        <v>62.135661518</v>
      </c>
      <c r="P2219" s="1">
        <v>8.8317944601</v>
      </c>
      <c r="Q2219" s="1">
        <v>97.35744</v>
      </c>
      <c r="R2219" s="1">
        <v>85.0</v>
      </c>
      <c r="S2219" s="1">
        <v>20.0</v>
      </c>
      <c r="T2219" s="1">
        <v>1290.0</v>
      </c>
      <c r="U2219" s="1">
        <v>34.7286821709999</v>
      </c>
      <c r="V2219" s="1">
        <v>69.218522877</v>
      </c>
      <c r="W2219" s="1">
        <v>14.761904762</v>
      </c>
      <c r="X2219" s="1">
        <v>11.150729335</v>
      </c>
      <c r="Y2219" s="1">
        <v>79.006566728</v>
      </c>
      <c r="Z2219" s="1">
        <v>8.6</v>
      </c>
      <c r="AA2219" s="1">
        <v>17.63867692</v>
      </c>
      <c r="AB2219" s="1">
        <v>46141.0</v>
      </c>
      <c r="AC2219" s="1">
        <v>55.377574371</v>
      </c>
      <c r="AD2219" s="1">
        <v>70.340012143</v>
      </c>
      <c r="AE2219" s="1">
        <v>12.395093609</v>
      </c>
      <c r="AF2219" s="1">
        <v>0.2926421405</v>
      </c>
      <c r="AG2219" s="1">
        <v>1.6583054627</v>
      </c>
      <c r="AH2219" s="1">
        <v>0.6828316611</v>
      </c>
      <c r="AI2219" s="1">
        <v>0.1393534002</v>
      </c>
      <c r="AJ2219" s="1">
        <v>3.9018952062</v>
      </c>
      <c r="AK2219" s="1">
        <v>91.109253066</v>
      </c>
      <c r="AL2219" s="1">
        <v>0.3792298716</v>
      </c>
      <c r="AM2219" s="1">
        <v>50.01393534</v>
      </c>
      <c r="AN2219" s="1">
        <v>100.0</v>
      </c>
      <c r="AO2219" s="1">
        <v>23960.0</v>
      </c>
      <c r="AP2219" s="1">
        <v>14.9</v>
      </c>
      <c r="AQ2219" s="1">
        <v>7.4</v>
      </c>
      <c r="AR2219" s="1">
        <v>10.4</v>
      </c>
      <c r="AS2219" s="1">
        <v>26.7</v>
      </c>
      <c r="AT2219" s="1">
        <v>18.6</v>
      </c>
      <c r="AU2219" s="1">
        <v>19.7</v>
      </c>
      <c r="AV2219" s="1">
        <v>8.0</v>
      </c>
      <c r="AW2219" s="1">
        <v>0.6</v>
      </c>
      <c r="AX2219" s="1">
        <v>0.4476</v>
      </c>
      <c r="AY2219" s="1">
        <v>15.3</v>
      </c>
      <c r="AZ2219" s="1">
        <v>15.7</v>
      </c>
      <c r="BA2219" s="1">
        <v>23.9</v>
      </c>
      <c r="BB2219" s="1">
        <v>3.16</v>
      </c>
      <c r="BC2219" s="1" t="s">
        <v>3661</v>
      </c>
      <c r="BD2219" s="1">
        <v>11.2</v>
      </c>
      <c r="BE2219" s="1">
        <v>36.0</v>
      </c>
      <c r="BF2219" s="1">
        <v>33.9</v>
      </c>
      <c r="BG2219" s="1">
        <v>18.9</v>
      </c>
      <c r="BH2219" s="1" t="s">
        <v>3677</v>
      </c>
    </row>
    <row r="2220">
      <c r="A2220" s="1">
        <v>41025.0</v>
      </c>
      <c r="B2220" s="2" t="str">
        <f>IFERROR(__xludf.DUMMYFUNCTION("TO_TEXT(A2220)"),"41025")</f>
        <v>41025</v>
      </c>
      <c r="C2220" s="1">
        <v>7214.0</v>
      </c>
      <c r="D2220" s="1">
        <v>10134.4328768103</v>
      </c>
      <c r="E2220" s="1" t="s">
        <v>3678</v>
      </c>
      <c r="F2220" s="1" t="s">
        <v>3679</v>
      </c>
      <c r="G2220" s="1">
        <v>0.711830655715045</v>
      </c>
      <c r="H2220" s="1">
        <v>15.663211336</v>
      </c>
      <c r="I2220" s="1">
        <v>4.691986202</v>
      </c>
      <c r="J2220" s="1">
        <v>6.3520871143</v>
      </c>
      <c r="K2220" s="1">
        <v>16.275000321</v>
      </c>
      <c r="L2220" s="1">
        <v>31.0</v>
      </c>
      <c r="M2220" s="1">
        <v>6.6</v>
      </c>
      <c r="N2220" s="1">
        <v>22.1</v>
      </c>
      <c r="O2220" s="1">
        <v>70.991646456</v>
      </c>
      <c r="P2220" s="1">
        <v>9.799181852</v>
      </c>
      <c r="Q2220" s="1">
        <v>68.59652</v>
      </c>
      <c r="R2220" s="1">
        <v>84.38</v>
      </c>
      <c r="S2220" s="1">
        <v>22.5</v>
      </c>
      <c r="T2220" s="1">
        <v>1435.0</v>
      </c>
      <c r="U2220" s="1">
        <v>29.756097561</v>
      </c>
      <c r="V2220" s="1">
        <v>230.49521548</v>
      </c>
      <c r="W2220" s="1">
        <v>14.215686275</v>
      </c>
      <c r="X2220" s="1">
        <v>11.480263158</v>
      </c>
      <c r="Y2220" s="1">
        <v>78.050150154</v>
      </c>
      <c r="Z2220" s="1">
        <v>11.9</v>
      </c>
      <c r="AA2220" s="1">
        <v>15.2229059229999</v>
      </c>
      <c r="AB2220" s="1">
        <v>43370.0</v>
      </c>
      <c r="AC2220" s="1">
        <v>54.571984436</v>
      </c>
      <c r="AD2220" s="1">
        <v>73.709217612</v>
      </c>
      <c r="AE2220" s="1">
        <v>13.020651033</v>
      </c>
      <c r="AF2220" s="1">
        <v>1.0233319689</v>
      </c>
      <c r="AG2220" s="1">
        <v>4.2161277118</v>
      </c>
      <c r="AH2220" s="1">
        <v>0.5867103288</v>
      </c>
      <c r="AI2220" s="1">
        <v>0.0136444262999999</v>
      </c>
      <c r="AJ2220" s="1">
        <v>4.9119934507</v>
      </c>
      <c r="AK2220" s="1">
        <v>86.874061946</v>
      </c>
      <c r="AL2220" s="1">
        <v>0.3938156359</v>
      </c>
      <c r="AM2220" s="1">
        <v>48.99713467</v>
      </c>
      <c r="AN2220" s="1">
        <v>44.3411479389999</v>
      </c>
      <c r="AO2220" s="1">
        <v>22795.0</v>
      </c>
      <c r="AP2220" s="1">
        <v>16.4</v>
      </c>
      <c r="AQ2220" s="1">
        <v>14.3</v>
      </c>
      <c r="AR2220" s="1">
        <v>10.4</v>
      </c>
      <c r="AS2220" s="1">
        <v>22.1</v>
      </c>
      <c r="AT2220" s="1">
        <v>21.0</v>
      </c>
      <c r="AU2220" s="1">
        <v>19.8</v>
      </c>
      <c r="AV2220" s="1">
        <v>12.8</v>
      </c>
      <c r="AW2220" s="1">
        <v>0.5</v>
      </c>
      <c r="AX2220" s="1">
        <v>0.6371</v>
      </c>
      <c r="AY2220" s="1">
        <v>14.2</v>
      </c>
      <c r="AZ2220" s="1">
        <v>15.1</v>
      </c>
      <c r="BA2220" s="1">
        <v>24.0</v>
      </c>
      <c r="BB2220" s="1">
        <v>3.28</v>
      </c>
      <c r="BC2220" s="1" t="s">
        <v>3661</v>
      </c>
      <c r="BD2220" s="1">
        <v>8.4</v>
      </c>
      <c r="BE2220" s="1">
        <v>36.6</v>
      </c>
      <c r="BF2220" s="1">
        <v>36.6</v>
      </c>
      <c r="BG2220" s="1">
        <v>18.4</v>
      </c>
      <c r="BH2220" s="1" t="s">
        <v>3679</v>
      </c>
    </row>
    <row r="2221">
      <c r="A2221" s="1">
        <v>41027.0</v>
      </c>
      <c r="B2221" s="2" t="str">
        <f>IFERROR(__xludf.DUMMYFUNCTION("TO_TEXT(A2221)"),"41027")</f>
        <v>41027</v>
      </c>
      <c r="C2221" s="1">
        <v>22842.0</v>
      </c>
      <c r="D2221" s="1">
        <v>522.088455293593</v>
      </c>
      <c r="E2221" s="1" t="s">
        <v>3680</v>
      </c>
      <c r="F2221" s="1" t="s">
        <v>3681</v>
      </c>
      <c r="G2221" s="1">
        <v>43.7512068470369</v>
      </c>
      <c r="H2221" s="1">
        <v>15.8503447609999</v>
      </c>
      <c r="I2221" s="1">
        <v>4.2709225452</v>
      </c>
      <c r="J2221" s="1">
        <v>5.1109963862</v>
      </c>
      <c r="K2221" s="1">
        <v>14.825855397</v>
      </c>
      <c r="L2221" s="1">
        <v>25.9</v>
      </c>
      <c r="M2221" s="1">
        <v>9.0</v>
      </c>
      <c r="N2221" s="1">
        <v>19.0</v>
      </c>
      <c r="O2221" s="1">
        <v>80.170947821</v>
      </c>
      <c r="P2221" s="1">
        <v>11.165319917</v>
      </c>
      <c r="Q2221" s="1">
        <v>209.60773</v>
      </c>
      <c r="R2221" s="1">
        <v>83.44</v>
      </c>
      <c r="S2221" s="1">
        <v>14.7</v>
      </c>
      <c r="T2221" s="1">
        <v>5473.0</v>
      </c>
      <c r="U2221" s="1">
        <v>21.213228577</v>
      </c>
      <c r="V2221" s="1">
        <v>147.02702703</v>
      </c>
      <c r="W2221" s="1">
        <v>16.981132075</v>
      </c>
      <c r="X2221" s="1">
        <v>11.808118081</v>
      </c>
      <c r="Y2221" s="1">
        <v>81.314421933</v>
      </c>
      <c r="Z2221" s="1">
        <v>5.3</v>
      </c>
      <c r="AA2221" s="1">
        <v>1.5817817949</v>
      </c>
      <c r="AB2221" s="1">
        <v>66607.0</v>
      </c>
      <c r="AC2221" s="1">
        <v>52.826899128</v>
      </c>
      <c r="AD2221" s="1">
        <v>66.0264667989999</v>
      </c>
      <c r="AE2221" s="1">
        <v>11.863556559</v>
      </c>
      <c r="AF2221" s="1">
        <v>0.4353764726</v>
      </c>
      <c r="AG2221" s="1">
        <v>1.1866143077</v>
      </c>
      <c r="AH2221" s="1">
        <v>1.6091855899</v>
      </c>
      <c r="AI2221" s="1">
        <v>0.2603722042</v>
      </c>
      <c r="AJ2221" s="1">
        <v>32.077001878</v>
      </c>
      <c r="AK2221" s="1">
        <v>62.950315861</v>
      </c>
      <c r="AL2221" s="1">
        <v>9.7464086101</v>
      </c>
      <c r="AM2221" s="1">
        <v>50.01280519</v>
      </c>
      <c r="AN2221" s="1">
        <v>52.174885886</v>
      </c>
      <c r="AO2221" s="1">
        <v>28347.0</v>
      </c>
      <c r="AP2221" s="1">
        <v>13.3</v>
      </c>
      <c r="AQ2221" s="1">
        <v>4.8</v>
      </c>
      <c r="AR2221" s="1">
        <v>19.7</v>
      </c>
      <c r="AS2221" s="1">
        <v>14.5</v>
      </c>
      <c r="AT2221" s="1">
        <v>24.7</v>
      </c>
      <c r="AU2221" s="1">
        <v>10.6</v>
      </c>
      <c r="AV2221" s="1">
        <v>35.5</v>
      </c>
      <c r="AW2221" s="1">
        <v>8.6</v>
      </c>
      <c r="AX2221" s="1">
        <v>0.5979</v>
      </c>
      <c r="AY2221" s="1">
        <v>8.4</v>
      </c>
      <c r="AZ2221" s="1">
        <v>8.1</v>
      </c>
      <c r="BA2221" s="1">
        <v>10.1</v>
      </c>
      <c r="BB2221" s="1">
        <v>3.87</v>
      </c>
      <c r="BC2221" s="1" t="s">
        <v>3661</v>
      </c>
      <c r="BD2221" s="1">
        <v>18.7</v>
      </c>
      <c r="BE2221" s="1">
        <v>21.8</v>
      </c>
      <c r="BF2221" s="1">
        <v>27.5</v>
      </c>
      <c r="BG2221" s="1">
        <v>32.0</v>
      </c>
      <c r="BH2221" s="1" t="s">
        <v>3681</v>
      </c>
    </row>
    <row r="2222">
      <c r="A2222" s="1">
        <v>41029.0</v>
      </c>
      <c r="B2222" s="2" t="str">
        <f>IFERROR(__xludf.DUMMYFUNCTION("TO_TEXT(A2222)"),"41029")</f>
        <v>41029</v>
      </c>
      <c r="C2222" s="1">
        <v>210916.0</v>
      </c>
      <c r="D2222" s="1">
        <v>2783.21626313898</v>
      </c>
      <c r="E2222" s="1" t="s">
        <v>130</v>
      </c>
      <c r="F2222" s="1" t="s">
        <v>3682</v>
      </c>
      <c r="G2222" s="1">
        <v>75.7813910450939</v>
      </c>
      <c r="H2222" s="1">
        <v>15.843661515</v>
      </c>
      <c r="I2222" s="1">
        <v>4.8122147563</v>
      </c>
      <c r="J2222" s="1">
        <v>6.6787341614</v>
      </c>
      <c r="K2222" s="1">
        <v>17.912384445</v>
      </c>
      <c r="L2222" s="1">
        <v>24.4</v>
      </c>
      <c r="M2222" s="1">
        <v>7.6</v>
      </c>
      <c r="N2222" s="1">
        <v>15.2</v>
      </c>
      <c r="O2222" s="1">
        <v>82.588112556</v>
      </c>
      <c r="P2222" s="1">
        <v>9.3412378411</v>
      </c>
      <c r="Q2222" s="1">
        <v>91.9629</v>
      </c>
      <c r="R2222" s="1">
        <v>77.04</v>
      </c>
      <c r="S2222" s="1">
        <v>21.0</v>
      </c>
      <c r="T2222" s="1">
        <v>44155.0</v>
      </c>
      <c r="U2222" s="1">
        <v>35.080964783</v>
      </c>
      <c r="V2222" s="1">
        <v>334.84498178</v>
      </c>
      <c r="W2222" s="1">
        <v>21.608907943</v>
      </c>
      <c r="X2222" s="1">
        <v>18.798578056</v>
      </c>
      <c r="Y2222" s="1">
        <v>78.975339936</v>
      </c>
      <c r="Z2222" s="1">
        <v>10.3</v>
      </c>
      <c r="AA2222" s="1">
        <v>7.3631947315</v>
      </c>
      <c r="AB2222" s="1">
        <v>55511.0</v>
      </c>
      <c r="AC2222" s="1">
        <v>53.443555181</v>
      </c>
      <c r="AD2222" s="1">
        <v>63.04952126</v>
      </c>
      <c r="AE2222" s="1">
        <v>18.892983716</v>
      </c>
      <c r="AF2222" s="1">
        <v>0.7615091727</v>
      </c>
      <c r="AG2222" s="1">
        <v>1.6405239475</v>
      </c>
      <c r="AH2222" s="1">
        <v>1.559454191</v>
      </c>
      <c r="AI2222" s="1">
        <v>0.3593485271</v>
      </c>
      <c r="AJ2222" s="1">
        <v>13.227122843</v>
      </c>
      <c r="AK2222" s="1">
        <v>80.44123809</v>
      </c>
      <c r="AL2222" s="1">
        <v>1.8157204334</v>
      </c>
      <c r="AM2222" s="1">
        <v>51.220600827</v>
      </c>
      <c r="AN2222" s="1">
        <v>20.052557503</v>
      </c>
      <c r="AO2222" s="1">
        <v>25612.0</v>
      </c>
      <c r="AP2222" s="1">
        <v>18.0</v>
      </c>
      <c r="AQ2222" s="1">
        <v>8.9</v>
      </c>
      <c r="AR2222" s="1">
        <v>11.1</v>
      </c>
      <c r="AS2222" s="1">
        <v>20.2</v>
      </c>
      <c r="AT2222" s="1">
        <v>21.0</v>
      </c>
      <c r="AU2222" s="1">
        <v>17.2</v>
      </c>
      <c r="AV2222" s="1">
        <v>17.8</v>
      </c>
      <c r="AW2222" s="1">
        <v>2.0</v>
      </c>
      <c r="AX2222" s="1">
        <v>0.765999999999999</v>
      </c>
      <c r="AY2222" s="1">
        <v>13.6</v>
      </c>
      <c r="AZ2222" s="1">
        <v>13.1</v>
      </c>
      <c r="BA2222" s="1">
        <v>19.0</v>
      </c>
      <c r="BB2222" s="1">
        <v>3.31</v>
      </c>
      <c r="BC2222" s="1" t="s">
        <v>3661</v>
      </c>
      <c r="BD2222" s="1">
        <v>9.9</v>
      </c>
      <c r="BE2222" s="1">
        <v>26.1</v>
      </c>
      <c r="BF2222" s="1">
        <v>36.2</v>
      </c>
      <c r="BG2222" s="1">
        <v>27.8</v>
      </c>
      <c r="BH2222" s="1" t="s">
        <v>3682</v>
      </c>
    </row>
    <row r="2223">
      <c r="A2223" s="1">
        <v>41031.0</v>
      </c>
      <c r="B2223" s="2" t="str">
        <f>IFERROR(__xludf.DUMMYFUNCTION("TO_TEXT(A2223)"),"41031")</f>
        <v>41031</v>
      </c>
      <c r="C2223" s="1">
        <v>22305.0</v>
      </c>
      <c r="D2223" s="1">
        <v>1782.23727829211</v>
      </c>
      <c r="E2223" s="1" t="s">
        <v>132</v>
      </c>
      <c r="F2223" s="1" t="s">
        <v>3683</v>
      </c>
      <c r="G2223" s="1">
        <v>12.5151685870775</v>
      </c>
      <c r="H2223" s="1">
        <v>19.612472177</v>
      </c>
      <c r="I2223" s="1">
        <v>4.9780595647</v>
      </c>
      <c r="J2223" s="1">
        <v>7.5987841945</v>
      </c>
      <c r="K2223" s="1">
        <v>18.652056665</v>
      </c>
      <c r="L2223" s="1">
        <v>42.6</v>
      </c>
      <c r="M2223" s="1">
        <v>7.5</v>
      </c>
      <c r="N2223" s="1">
        <v>24.0</v>
      </c>
      <c r="O2223" s="1">
        <v>75.561694291</v>
      </c>
      <c r="P2223" s="1">
        <v>13.077051275</v>
      </c>
      <c r="Q2223" s="1">
        <v>42.09109</v>
      </c>
      <c r="R2223" s="1">
        <v>74.15</v>
      </c>
      <c r="S2223" s="1">
        <v>22.4</v>
      </c>
      <c r="T2223" s="1">
        <v>5404.0</v>
      </c>
      <c r="U2223" s="1">
        <v>42.00592154</v>
      </c>
      <c r="V2223" s="1">
        <v>222.19199202</v>
      </c>
      <c r="W2223" s="1">
        <v>14.98349835</v>
      </c>
      <c r="X2223" s="1">
        <v>11.0</v>
      </c>
      <c r="Y2223" s="1">
        <v>78.304588308</v>
      </c>
      <c r="Z2223" s="1">
        <v>19.3</v>
      </c>
      <c r="AA2223" s="1">
        <v>8.5795823847</v>
      </c>
      <c r="AB2223" s="1">
        <v>50376.0</v>
      </c>
      <c r="AC2223" s="1">
        <v>75.68088033</v>
      </c>
      <c r="AD2223" s="1">
        <v>69.538773441</v>
      </c>
      <c r="AE2223" s="1">
        <v>10.130762119</v>
      </c>
      <c r="AF2223" s="1">
        <v>0.9548611111</v>
      </c>
      <c r="AG2223" s="1">
        <v>18.791335979</v>
      </c>
      <c r="AH2223" s="1">
        <v>0.810185185199999</v>
      </c>
      <c r="AI2223" s="1">
        <v>0.2604166667</v>
      </c>
      <c r="AJ2223" s="1">
        <v>20.1512896829999</v>
      </c>
      <c r="AK2223" s="1">
        <v>60.1769179889999</v>
      </c>
      <c r="AL2223" s="1">
        <v>2.0010143391</v>
      </c>
      <c r="AM2223" s="1">
        <v>48.420965608</v>
      </c>
      <c r="AN2223" s="1">
        <v>63.121546961</v>
      </c>
      <c r="AO2223" s="1">
        <v>21630.0</v>
      </c>
      <c r="AP2223" s="1">
        <v>20.3</v>
      </c>
      <c r="AQ2223" s="1">
        <v>13.3</v>
      </c>
      <c r="AR2223" s="1">
        <v>16.5</v>
      </c>
      <c r="AS2223" s="1">
        <v>17.6</v>
      </c>
      <c r="AT2223" s="1">
        <v>24.2</v>
      </c>
      <c r="AU2223" s="1">
        <v>16.5</v>
      </c>
      <c r="AV2223" s="1">
        <v>39.9</v>
      </c>
      <c r="AW2223" s="1">
        <v>2.0</v>
      </c>
      <c r="AX2223" s="1">
        <v>0.922</v>
      </c>
      <c r="AY2223" s="1">
        <v>15.0</v>
      </c>
      <c r="AZ2223" s="1">
        <v>14.2</v>
      </c>
      <c r="BA2223" s="1">
        <v>20.5</v>
      </c>
      <c r="BB2223" s="1">
        <v>3.63</v>
      </c>
      <c r="BC2223" s="1" t="s">
        <v>3661</v>
      </c>
      <c r="BD2223" s="1">
        <v>13.0</v>
      </c>
      <c r="BE2223" s="1">
        <v>30.7</v>
      </c>
      <c r="BF2223" s="1">
        <v>37.0</v>
      </c>
      <c r="BG2223" s="1">
        <v>19.4</v>
      </c>
      <c r="BH2223" s="1" t="s">
        <v>3683</v>
      </c>
    </row>
    <row r="2224">
      <c r="A2224" s="1">
        <v>41033.0</v>
      </c>
      <c r="B2224" s="2" t="str">
        <f>IFERROR(__xludf.DUMMYFUNCTION("TO_TEXT(A2224)"),"41033")</f>
        <v>41033</v>
      </c>
      <c r="C2224" s="1">
        <v>84063.0</v>
      </c>
      <c r="D2224" s="1">
        <v>1638.6507113074</v>
      </c>
      <c r="E2224" s="1" t="s">
        <v>3684</v>
      </c>
      <c r="F2224" s="1" t="s">
        <v>3685</v>
      </c>
      <c r="G2224" s="1">
        <v>51.3001333474723</v>
      </c>
      <c r="H2224" s="1">
        <v>16.073740836</v>
      </c>
      <c r="I2224" s="1">
        <v>5.0947938413</v>
      </c>
      <c r="J2224" s="1">
        <v>6.685561854</v>
      </c>
      <c r="K2224" s="1">
        <v>16.984629228</v>
      </c>
      <c r="L2224" s="1">
        <v>31.1</v>
      </c>
      <c r="M2224" s="1">
        <v>7.2</v>
      </c>
      <c r="N2224" s="1">
        <v>20.7</v>
      </c>
      <c r="O2224" s="1">
        <v>81.890392079</v>
      </c>
      <c r="P2224" s="1">
        <v>8.4782470221</v>
      </c>
      <c r="Q2224" s="1">
        <v>78.74745</v>
      </c>
      <c r="R2224" s="1">
        <v>69.54</v>
      </c>
      <c r="S2224" s="1">
        <v>25.2</v>
      </c>
      <c r="T2224" s="1">
        <v>16409.0</v>
      </c>
      <c r="U2224" s="1">
        <v>32.701566214</v>
      </c>
      <c r="V2224" s="1">
        <v>222.53309959</v>
      </c>
      <c r="W2224" s="1">
        <v>22.771707878</v>
      </c>
      <c r="X2224" s="1">
        <v>19.704721532</v>
      </c>
      <c r="Y2224" s="1">
        <v>76.593296356</v>
      </c>
      <c r="Z2224" s="1">
        <v>11.7</v>
      </c>
      <c r="AA2224" s="1">
        <v>8.6363813534</v>
      </c>
      <c r="AB2224" s="1">
        <v>46578.0</v>
      </c>
      <c r="AC2224" s="1">
        <v>62.218468468</v>
      </c>
      <c r="AD2224" s="1">
        <v>66.765801323</v>
      </c>
      <c r="AE2224" s="1">
        <v>18.628775035</v>
      </c>
      <c r="AF2224" s="1">
        <v>0.4771549209</v>
      </c>
      <c r="AG2224" s="1">
        <v>1.6786241461</v>
      </c>
      <c r="AH2224" s="1">
        <v>1.0641584566</v>
      </c>
      <c r="AI2224" s="1">
        <v>0.2540249219</v>
      </c>
      <c r="AJ2224" s="1">
        <v>7.61845914429999</v>
      </c>
      <c r="AK2224" s="1">
        <v>86.700307805</v>
      </c>
      <c r="AL2224" s="1">
        <v>0.4123330667</v>
      </c>
      <c r="AM2224" s="1">
        <v>51.161992379</v>
      </c>
      <c r="AN2224" s="1">
        <v>44.963911356</v>
      </c>
      <c r="AO2224" s="1">
        <v>23004.0</v>
      </c>
      <c r="AP2224" s="1">
        <v>19.5</v>
      </c>
      <c r="AQ2224" s="1">
        <v>10.8</v>
      </c>
      <c r="AR2224" s="1">
        <v>11.2</v>
      </c>
      <c r="AS2224" s="1">
        <v>24.6</v>
      </c>
      <c r="AT2224" s="1">
        <v>19.7</v>
      </c>
      <c r="AU2224" s="1">
        <v>19.4</v>
      </c>
      <c r="AV2224" s="1">
        <v>12.3</v>
      </c>
      <c r="AW2224" s="1">
        <v>0.4</v>
      </c>
      <c r="AX2224" s="1">
        <v>0.6902</v>
      </c>
      <c r="AY2224" s="1">
        <v>15.9</v>
      </c>
      <c r="AZ2224" s="1">
        <v>15.1</v>
      </c>
      <c r="BA2224" s="1">
        <v>23.1</v>
      </c>
      <c r="BB2224" s="1">
        <v>3.25</v>
      </c>
      <c r="BC2224" s="1" t="s">
        <v>3661</v>
      </c>
      <c r="BD2224" s="1">
        <v>9.6</v>
      </c>
      <c r="BE2224" s="1">
        <v>31.0</v>
      </c>
      <c r="BF2224" s="1">
        <v>41.9</v>
      </c>
      <c r="BG2224" s="1">
        <v>17.5</v>
      </c>
      <c r="BH2224" s="1" t="s">
        <v>3685</v>
      </c>
    </row>
    <row r="2225">
      <c r="A2225" s="1">
        <v>41035.0</v>
      </c>
      <c r="B2225" s="2" t="str">
        <f>IFERROR(__xludf.DUMMYFUNCTION("TO_TEXT(A2225)"),"41035")</f>
        <v>41035</v>
      </c>
      <c r="C2225" s="1">
        <v>65946.0</v>
      </c>
      <c r="D2225" s="1">
        <v>5942.73286136895</v>
      </c>
      <c r="E2225" s="1" t="s">
        <v>3686</v>
      </c>
      <c r="F2225" s="1" t="s">
        <v>3687</v>
      </c>
      <c r="G2225" s="1">
        <v>11.0969147593165</v>
      </c>
      <c r="H2225" s="1">
        <v>17.605034992</v>
      </c>
      <c r="I2225" s="1">
        <v>4.7313678237</v>
      </c>
      <c r="J2225" s="1">
        <v>8.5238704957</v>
      </c>
      <c r="K2225" s="1">
        <v>16.193287464</v>
      </c>
      <c r="L2225" s="1">
        <v>33.0</v>
      </c>
      <c r="M2225" s="1">
        <v>6.7</v>
      </c>
      <c r="N2225" s="1">
        <v>23.2</v>
      </c>
      <c r="O2225" s="1">
        <v>80.610123531</v>
      </c>
      <c r="P2225" s="1">
        <v>10.554669571</v>
      </c>
      <c r="Q2225" s="1">
        <v>95.61515</v>
      </c>
      <c r="R2225" s="1">
        <v>73.46</v>
      </c>
      <c r="S2225" s="1">
        <v>25.0</v>
      </c>
      <c r="T2225" s="1">
        <v>14034.0</v>
      </c>
      <c r="U2225" s="1">
        <v>33.582727661</v>
      </c>
      <c r="V2225" s="1">
        <v>217.60451146</v>
      </c>
      <c r="W2225" s="1">
        <v>17.906590364</v>
      </c>
      <c r="X2225" s="1">
        <v>14.938225384</v>
      </c>
      <c r="Y2225" s="1">
        <v>76.068464443</v>
      </c>
      <c r="Z2225" s="1">
        <v>12.4</v>
      </c>
      <c r="AA2225" s="1">
        <v>14.369328524</v>
      </c>
      <c r="AB2225" s="1">
        <v>45374.0</v>
      </c>
      <c r="AC2225" s="1">
        <v>66.42895157</v>
      </c>
      <c r="AD2225" s="1">
        <v>63.805561638</v>
      </c>
      <c r="AE2225" s="1">
        <v>16.154193986</v>
      </c>
      <c r="AF2225" s="1">
        <v>0.773062539699999</v>
      </c>
      <c r="AG2225" s="1">
        <v>4.9192201381</v>
      </c>
      <c r="AH2225" s="1">
        <v>1.1307702541</v>
      </c>
      <c r="AI2225" s="1">
        <v>0.2158071335</v>
      </c>
      <c r="AJ2225" s="1">
        <v>13.4347331229999</v>
      </c>
      <c r="AK2225" s="1">
        <v>77.393463704</v>
      </c>
      <c r="AL2225" s="1">
        <v>1.7597428686</v>
      </c>
      <c r="AM2225" s="1">
        <v>50.014042245</v>
      </c>
      <c r="AN2225" s="1">
        <v>37.580596565</v>
      </c>
      <c r="AO2225" s="1">
        <v>23071.0</v>
      </c>
      <c r="AP2225" s="1">
        <v>18.6</v>
      </c>
      <c r="AQ2225" s="1">
        <v>11.3</v>
      </c>
      <c r="AR2225" s="1">
        <v>12.4</v>
      </c>
      <c r="AS2225" s="1">
        <v>19.3</v>
      </c>
      <c r="AT2225" s="1">
        <v>21.7</v>
      </c>
      <c r="AU2225" s="1">
        <v>19.9</v>
      </c>
      <c r="AV2225" s="1">
        <v>20.7</v>
      </c>
      <c r="AW2225" s="1">
        <v>1.8</v>
      </c>
      <c r="AX2225" s="1">
        <v>0.8399</v>
      </c>
      <c r="AY2225" s="1">
        <v>16.7</v>
      </c>
      <c r="AZ2225" s="1">
        <v>16.0</v>
      </c>
      <c r="BA2225" s="1">
        <v>23.8</v>
      </c>
      <c r="BB2225" s="1">
        <v>3.34</v>
      </c>
      <c r="BC2225" s="1" t="s">
        <v>3661</v>
      </c>
      <c r="BD2225" s="1">
        <v>11.9</v>
      </c>
      <c r="BE2225" s="1">
        <v>31.0</v>
      </c>
      <c r="BF2225" s="1">
        <v>37.1</v>
      </c>
      <c r="BG2225" s="1">
        <v>20.0</v>
      </c>
      <c r="BH2225" s="1" t="s">
        <v>3687</v>
      </c>
    </row>
    <row r="2226">
      <c r="A2226" s="1">
        <v>41037.0</v>
      </c>
      <c r="B2226" s="2" t="str">
        <f>IFERROR(__xludf.DUMMYFUNCTION("TO_TEXT(A2226)"),"41037")</f>
        <v>41037</v>
      </c>
      <c r="C2226" s="1">
        <v>7799.0</v>
      </c>
      <c r="D2226" s="1">
        <v>8138.59617710487</v>
      </c>
      <c r="E2226" s="1" t="s">
        <v>450</v>
      </c>
      <c r="F2226" s="1" t="s">
        <v>3688</v>
      </c>
      <c r="G2226" s="1">
        <v>0.958273371756641</v>
      </c>
      <c r="H2226" s="1">
        <v>17.687773261</v>
      </c>
      <c r="I2226" s="1">
        <v>4.8067082525</v>
      </c>
      <c r="J2226" s="1">
        <v>8.2191780822</v>
      </c>
      <c r="K2226" s="1">
        <v>17.449994933</v>
      </c>
      <c r="L2226" s="1">
        <v>34.1</v>
      </c>
      <c r="M2226" s="1">
        <v>5.7</v>
      </c>
      <c r="N2226" s="1">
        <v>32.0</v>
      </c>
      <c r="O2226" s="1">
        <v>76.010132996</v>
      </c>
      <c r="P2226" s="1">
        <v>10.266715382</v>
      </c>
      <c r="Q2226" s="1">
        <v>63.58896</v>
      </c>
      <c r="R2226" s="1">
        <v>78.57</v>
      </c>
      <c r="S2226" s="1">
        <v>22.8</v>
      </c>
      <c r="T2226" s="1">
        <v>1478.0</v>
      </c>
      <c r="U2226" s="1">
        <v>30.581867388</v>
      </c>
      <c r="V2226" s="1">
        <v>204.509002055</v>
      </c>
      <c r="W2226" s="1">
        <v>16.275659824</v>
      </c>
      <c r="X2226" s="1">
        <v>13.29394387</v>
      </c>
      <c r="Y2226" s="1">
        <v>77.489993855</v>
      </c>
      <c r="Z2226" s="1">
        <v>15.2</v>
      </c>
      <c r="AA2226" s="1">
        <v>22.812246125</v>
      </c>
      <c r="AB2226" s="1">
        <v>44847.0</v>
      </c>
      <c r="AC2226" s="1">
        <v>53.861788618</v>
      </c>
      <c r="AD2226" s="1">
        <v>63.766456783</v>
      </c>
      <c r="AE2226" s="1">
        <v>13.774875622</v>
      </c>
      <c r="AF2226" s="1">
        <v>0.6345982993</v>
      </c>
      <c r="AG2226" s="1">
        <v>2.5383931971</v>
      </c>
      <c r="AH2226" s="1">
        <v>1.43419215639999</v>
      </c>
      <c r="AI2226" s="1">
        <v>0.1776875238</v>
      </c>
      <c r="AJ2226" s="1">
        <v>8.3766975505</v>
      </c>
      <c r="AK2226" s="1">
        <v>84.35080594</v>
      </c>
      <c r="AL2226" s="1">
        <v>0.4977132096</v>
      </c>
      <c r="AM2226" s="1">
        <v>46.681050895</v>
      </c>
      <c r="AN2226" s="1">
        <v>63.331222293</v>
      </c>
      <c r="AO2226" s="1">
        <v>20327.0</v>
      </c>
      <c r="AP2226" s="1">
        <v>17.6</v>
      </c>
      <c r="AQ2226" s="1">
        <v>8.9</v>
      </c>
      <c r="AR2226" s="1">
        <v>16.1</v>
      </c>
      <c r="AS2226" s="1">
        <v>23.0</v>
      </c>
      <c r="AT2226" s="1">
        <v>18.5</v>
      </c>
      <c r="AU2226" s="1">
        <v>24.2</v>
      </c>
      <c r="AV2226" s="1">
        <v>14.4</v>
      </c>
      <c r="AW2226" s="1">
        <v>0.6</v>
      </c>
      <c r="AX2226" s="1">
        <v>0.7096</v>
      </c>
      <c r="AY2226" s="1">
        <v>17.0</v>
      </c>
      <c r="AZ2226" s="1">
        <v>14.9</v>
      </c>
      <c r="BA2226" s="1">
        <v>20.9</v>
      </c>
      <c r="BB2226" s="1">
        <v>3.29</v>
      </c>
      <c r="BC2226" s="1" t="s">
        <v>3661</v>
      </c>
      <c r="BD2226" s="1">
        <v>13.5</v>
      </c>
      <c r="BE2226" s="1">
        <v>34.5</v>
      </c>
      <c r="BF2226" s="1">
        <v>35.6</v>
      </c>
      <c r="BG2226" s="1">
        <v>16.4</v>
      </c>
      <c r="BH2226" s="1" t="s">
        <v>3688</v>
      </c>
    </row>
    <row r="2227">
      <c r="A2227" s="1">
        <v>41039.0</v>
      </c>
      <c r="B2227" s="2" t="str">
        <f>IFERROR(__xludf.DUMMYFUNCTION("TO_TEXT(A2227)"),"41039")</f>
        <v>41039</v>
      </c>
      <c r="C2227" s="1">
        <v>360273.0</v>
      </c>
      <c r="D2227" s="1">
        <v>4555.70063386874</v>
      </c>
      <c r="E2227" s="1" t="s">
        <v>1667</v>
      </c>
      <c r="F2227" s="1" t="s">
        <v>3689</v>
      </c>
      <c r="G2227" s="1">
        <v>79.0817985979147</v>
      </c>
      <c r="H2227" s="1">
        <v>15.112882309</v>
      </c>
      <c r="I2227" s="1">
        <v>4.7582715219</v>
      </c>
      <c r="J2227" s="1">
        <v>6.8670050761</v>
      </c>
      <c r="K2227" s="1">
        <v>15.3601298159999</v>
      </c>
      <c r="L2227" s="1">
        <v>27.2</v>
      </c>
      <c r="M2227" s="1">
        <v>7.4</v>
      </c>
      <c r="N2227" s="1">
        <v>17.5</v>
      </c>
      <c r="O2227" s="1">
        <v>88.51740756</v>
      </c>
      <c r="P2227" s="1">
        <v>8.2108777017</v>
      </c>
      <c r="Q2227" s="1">
        <v>87.52548</v>
      </c>
      <c r="R2227" s="1">
        <v>72.8</v>
      </c>
      <c r="S2227" s="1">
        <v>22.4</v>
      </c>
      <c r="T2227" s="1">
        <v>68365.0</v>
      </c>
      <c r="U2227" s="1">
        <v>35.322167776</v>
      </c>
      <c r="V2227" s="1">
        <v>330.47165229</v>
      </c>
      <c r="W2227" s="1">
        <v>21.514759016</v>
      </c>
      <c r="X2227" s="1">
        <v>19.189780262</v>
      </c>
      <c r="Y2227" s="1">
        <v>79.37971517</v>
      </c>
      <c r="Z2227" s="1">
        <v>8.7</v>
      </c>
      <c r="AA2227" s="1">
        <v>6.3436640838</v>
      </c>
      <c r="AB2227" s="1">
        <v>53161.0</v>
      </c>
      <c r="AC2227" s="1">
        <v>53.989933654</v>
      </c>
      <c r="AD2227" s="1">
        <v>58.651677941</v>
      </c>
      <c r="AE2227" s="1">
        <v>18.663510934</v>
      </c>
      <c r="AF2227" s="1">
        <v>1.0576616589</v>
      </c>
      <c r="AG2227" s="1">
        <v>1.572925969</v>
      </c>
      <c r="AH2227" s="1">
        <v>3.2240899236</v>
      </c>
      <c r="AI2227" s="1">
        <v>0.2747549465</v>
      </c>
      <c r="AJ2227" s="1">
        <v>9.1440975103</v>
      </c>
      <c r="AK2227" s="1">
        <v>81.503433778</v>
      </c>
      <c r="AL2227" s="1">
        <v>1.1192422362</v>
      </c>
      <c r="AM2227" s="1">
        <v>50.772501324</v>
      </c>
      <c r="AN2227" s="1">
        <v>17.52299447</v>
      </c>
      <c r="AO2227" s="1">
        <v>25612.0</v>
      </c>
      <c r="AP2227" s="1">
        <v>19.7</v>
      </c>
      <c r="AQ2227" s="1">
        <v>8.7</v>
      </c>
      <c r="AR2227" s="1">
        <v>8.9</v>
      </c>
      <c r="AS2227" s="1">
        <v>17.3</v>
      </c>
      <c r="AT2227" s="1">
        <v>19.1</v>
      </c>
      <c r="AU2227" s="1">
        <v>16.5</v>
      </c>
      <c r="AV2227" s="1">
        <v>16.9</v>
      </c>
      <c r="AW2227" s="1">
        <v>1.2</v>
      </c>
      <c r="AX2227" s="1">
        <v>0.645999999999999</v>
      </c>
      <c r="AY2227" s="1">
        <v>13.9</v>
      </c>
      <c r="AZ2227" s="1">
        <v>13.8</v>
      </c>
      <c r="BA2227" s="1">
        <v>18.9</v>
      </c>
      <c r="BB2227" s="1">
        <v>3.3</v>
      </c>
      <c r="BC2227" s="1" t="s">
        <v>3661</v>
      </c>
      <c r="BD2227" s="1">
        <v>8.1</v>
      </c>
      <c r="BE2227" s="1">
        <v>23.2</v>
      </c>
      <c r="BF2227" s="1">
        <v>38.2</v>
      </c>
      <c r="BG2227" s="1">
        <v>30.5</v>
      </c>
      <c r="BH2227" s="1" t="s">
        <v>3689</v>
      </c>
    </row>
    <row r="2228">
      <c r="A2228" s="1">
        <v>41041.0</v>
      </c>
      <c r="B2228" s="2" t="str">
        <f>IFERROR(__xludf.DUMMYFUNCTION("TO_TEXT(A2228)"),"41041")</f>
        <v>41041</v>
      </c>
      <c r="C2228" s="1">
        <v>46685.0</v>
      </c>
      <c r="D2228" s="1">
        <v>980.39681039675</v>
      </c>
      <c r="E2228" s="1" t="s">
        <v>353</v>
      </c>
      <c r="F2228" s="1" t="s">
        <v>3690</v>
      </c>
      <c r="G2228" s="1">
        <v>47.6184739739282</v>
      </c>
      <c r="H2228" s="1">
        <v>16.37081515</v>
      </c>
      <c r="I2228" s="1">
        <v>4.8275534575</v>
      </c>
      <c r="J2228" s="1">
        <v>7.7811756711</v>
      </c>
      <c r="K2228" s="1">
        <v>15.922154517</v>
      </c>
      <c r="L2228" s="1">
        <v>36.0</v>
      </c>
      <c r="M2228" s="1">
        <v>7.5</v>
      </c>
      <c r="N2228" s="1">
        <v>21.2</v>
      </c>
      <c r="O2228" s="1">
        <v>92.507711691</v>
      </c>
      <c r="P2228" s="1">
        <v>10.6647082539999</v>
      </c>
      <c r="Q2228" s="1">
        <v>53.148</v>
      </c>
      <c r="R2228" s="1">
        <v>77.75</v>
      </c>
      <c r="S2228" s="1">
        <v>20.3</v>
      </c>
      <c r="T2228" s="1">
        <v>8032.0</v>
      </c>
      <c r="U2228" s="1">
        <v>41.010956175</v>
      </c>
      <c r="V2228" s="1">
        <v>347.39347672</v>
      </c>
      <c r="W2228" s="1">
        <v>19.256178126</v>
      </c>
      <c r="X2228" s="1">
        <v>15.611083622</v>
      </c>
      <c r="Y2228" s="1">
        <v>78.049712983</v>
      </c>
      <c r="Z2228" s="1">
        <v>12.0</v>
      </c>
      <c r="AA2228" s="1">
        <v>6.4720953133</v>
      </c>
      <c r="AB2228" s="1">
        <v>49265.0</v>
      </c>
      <c r="AC2228" s="1">
        <v>59.758364312</v>
      </c>
      <c r="AD2228" s="1">
        <v>64.490762672</v>
      </c>
      <c r="AE2228" s="1">
        <v>15.1428852009999</v>
      </c>
      <c r="AF2228" s="1">
        <v>0.6661537216</v>
      </c>
      <c r="AG2228" s="1">
        <v>3.9361788289</v>
      </c>
      <c r="AH2228" s="1">
        <v>1.3626791933</v>
      </c>
      <c r="AI2228" s="1">
        <v>0.220701385</v>
      </c>
      <c r="AJ2228" s="1">
        <v>9.5164817365</v>
      </c>
      <c r="AK2228" s="1">
        <v>81.973353851</v>
      </c>
      <c r="AL2228" s="1">
        <v>0.649122807</v>
      </c>
      <c r="AM2228" s="1">
        <v>51.779784563</v>
      </c>
      <c r="AN2228" s="1">
        <v>37.589607681</v>
      </c>
      <c r="AO2228" s="1">
        <v>24593.0</v>
      </c>
      <c r="AP2228" s="1">
        <v>18.6</v>
      </c>
      <c r="AQ2228" s="1">
        <v>6.6</v>
      </c>
      <c r="AR2228" s="1">
        <v>10.7</v>
      </c>
      <c r="AS2228" s="1">
        <v>24.9</v>
      </c>
      <c r="AT2228" s="1">
        <v>17.2</v>
      </c>
      <c r="AU2228" s="1">
        <v>21.9</v>
      </c>
      <c r="AV2228" s="1">
        <v>17.1</v>
      </c>
      <c r="AW2228" s="1">
        <v>1.6</v>
      </c>
      <c r="AX2228" s="1">
        <v>0.6514</v>
      </c>
      <c r="AY2228" s="1">
        <v>14.6</v>
      </c>
      <c r="AZ2228" s="1">
        <v>14.7</v>
      </c>
      <c r="BA2228" s="1">
        <v>22.4</v>
      </c>
      <c r="BB2228" s="1">
        <v>3.66</v>
      </c>
      <c r="BC2228" s="1" t="s">
        <v>3661</v>
      </c>
      <c r="BD2228" s="1">
        <v>8.5</v>
      </c>
      <c r="BE2228" s="1">
        <v>27.3</v>
      </c>
      <c r="BF2228" s="1">
        <v>39.3</v>
      </c>
      <c r="BG2228" s="1">
        <v>24.9</v>
      </c>
      <c r="BH2228" s="1" t="s">
        <v>3690</v>
      </c>
    </row>
    <row r="2229">
      <c r="A2229" s="1">
        <v>41043.0</v>
      </c>
      <c r="B2229" s="2" t="str">
        <f>IFERROR(__xludf.DUMMYFUNCTION("TO_TEXT(A2229)"),"41043")</f>
        <v>41043</v>
      </c>
      <c r="C2229" s="1">
        <v>119862.0</v>
      </c>
      <c r="D2229" s="1">
        <v>2287.07258308946</v>
      </c>
      <c r="E2229" s="1" t="s">
        <v>1520</v>
      </c>
      <c r="F2229" s="1" t="s">
        <v>3691</v>
      </c>
      <c r="G2229" s="1">
        <v>52.4084809928009</v>
      </c>
      <c r="H2229" s="1">
        <v>14.170935764</v>
      </c>
      <c r="I2229" s="1">
        <v>4.3864472263</v>
      </c>
      <c r="J2229" s="1">
        <v>6.1575875486</v>
      </c>
      <c r="K2229" s="1">
        <v>16.574811402</v>
      </c>
      <c r="L2229" s="1">
        <v>36.2</v>
      </c>
      <c r="M2229" s="1">
        <v>7.4</v>
      </c>
      <c r="N2229" s="1">
        <v>21.0</v>
      </c>
      <c r="O2229" s="1">
        <v>76.566785518</v>
      </c>
      <c r="P2229" s="1">
        <v>8.0303572138</v>
      </c>
      <c r="Q2229" s="1">
        <v>65.57534</v>
      </c>
      <c r="R2229" s="1">
        <v>74.83</v>
      </c>
      <c r="S2229" s="1">
        <v>16.3</v>
      </c>
      <c r="T2229" s="1">
        <v>27628.0</v>
      </c>
      <c r="U2229" s="1">
        <v>31.464456349</v>
      </c>
      <c r="V2229" s="1">
        <v>112.0927847</v>
      </c>
      <c r="W2229" s="1">
        <v>18.356104011</v>
      </c>
      <c r="X2229" s="1">
        <v>15.944289694</v>
      </c>
      <c r="Y2229" s="1">
        <v>78.122963501</v>
      </c>
      <c r="Z2229" s="1">
        <v>10.6</v>
      </c>
      <c r="AA2229" s="1">
        <v>8.6118000503</v>
      </c>
      <c r="AB2229" s="1">
        <v>54292.0</v>
      </c>
      <c r="AC2229" s="1">
        <v>49.58444055</v>
      </c>
      <c r="AD2229" s="1">
        <v>63.597703593</v>
      </c>
      <c r="AE2229" s="1">
        <v>14.559853792</v>
      </c>
      <c r="AF2229" s="1">
        <v>0.5827148859</v>
      </c>
      <c r="AG2229" s="1">
        <v>1.6648996741</v>
      </c>
      <c r="AH2229" s="1">
        <v>1.1842776927</v>
      </c>
      <c r="AI2229" s="1">
        <v>0.22381906</v>
      </c>
      <c r="AJ2229" s="1">
        <v>9.2967369537</v>
      </c>
      <c r="AK2229" s="1">
        <v>84.748890721</v>
      </c>
      <c r="AL2229" s="1">
        <v>1.2577199927</v>
      </c>
      <c r="AM2229" s="1">
        <v>50.555621</v>
      </c>
      <c r="AN2229" s="1">
        <v>31.638267965</v>
      </c>
      <c r="AO2229" s="1">
        <v>22934.0</v>
      </c>
      <c r="AP2229" s="1">
        <v>17.3</v>
      </c>
      <c r="AQ2229" s="1">
        <v>9.8</v>
      </c>
      <c r="AR2229" s="1">
        <v>10.3</v>
      </c>
      <c r="AS2229" s="1">
        <v>17.2</v>
      </c>
      <c r="AT2229" s="1">
        <v>23.2</v>
      </c>
      <c r="AU2229" s="1">
        <v>17.7</v>
      </c>
      <c r="AV2229" s="1">
        <v>13.9</v>
      </c>
      <c r="AW2229" s="1">
        <v>0.9</v>
      </c>
      <c r="AX2229" s="1">
        <v>0.6886</v>
      </c>
      <c r="AY2229" s="1">
        <v>12.6</v>
      </c>
      <c r="AZ2229" s="1">
        <v>13.1</v>
      </c>
      <c r="BA2229" s="1">
        <v>18.6</v>
      </c>
      <c r="BB2229" s="1">
        <v>3.13</v>
      </c>
      <c r="BC2229" s="1" t="s">
        <v>3661</v>
      </c>
      <c r="BD2229" s="1">
        <v>10.5</v>
      </c>
      <c r="BE2229" s="1">
        <v>29.0</v>
      </c>
      <c r="BF2229" s="1">
        <v>41.2</v>
      </c>
      <c r="BG2229" s="1">
        <v>19.3</v>
      </c>
      <c r="BH2229" s="1" t="s">
        <v>3691</v>
      </c>
    </row>
    <row r="2230">
      <c r="A2230" s="1">
        <v>41045.0</v>
      </c>
      <c r="B2230" s="2" t="str">
        <f>IFERROR(__xludf.DUMMYFUNCTION("TO_TEXT(A2230)"),"41045")</f>
        <v>41045</v>
      </c>
      <c r="C2230" s="1">
        <v>30474.0</v>
      </c>
      <c r="D2230" s="1">
        <v>9887.63560736415</v>
      </c>
      <c r="E2230" s="1" t="s">
        <v>3692</v>
      </c>
      <c r="F2230" s="1" t="s">
        <v>3693</v>
      </c>
      <c r="G2230" s="1">
        <v>3.08203105475524</v>
      </c>
      <c r="H2230" s="1">
        <v>20.8721340309999</v>
      </c>
      <c r="I2230" s="1">
        <v>4.804512848</v>
      </c>
      <c r="J2230" s="1">
        <v>6.7192320878</v>
      </c>
      <c r="K2230" s="1">
        <v>17.474126602</v>
      </c>
      <c r="L2230" s="1">
        <v>36.2</v>
      </c>
      <c r="M2230" s="1">
        <v>7.6</v>
      </c>
      <c r="N2230" s="1">
        <v>21.7</v>
      </c>
      <c r="O2230" s="1">
        <v>67.358605052</v>
      </c>
      <c r="P2230" s="1">
        <v>10.150616157</v>
      </c>
      <c r="Q2230" s="1">
        <v>29.52756</v>
      </c>
      <c r="R2230" s="1">
        <v>82.86</v>
      </c>
      <c r="S2230" s="1">
        <v>29.0</v>
      </c>
      <c r="T2230" s="1">
        <v>7652.0</v>
      </c>
      <c r="U2230" s="1">
        <v>38.800313643</v>
      </c>
      <c r="V2230" s="1">
        <v>225.73755405</v>
      </c>
      <c r="W2230" s="1">
        <v>21.27246236</v>
      </c>
      <c r="X2230" s="1">
        <v>16.420118343</v>
      </c>
      <c r="Y2230" s="1">
        <v>77.718521593</v>
      </c>
      <c r="Z2230" s="1">
        <v>8.8</v>
      </c>
      <c r="AA2230" s="1">
        <v>7.0347987072</v>
      </c>
      <c r="AB2230" s="1">
        <v>42624.0</v>
      </c>
      <c r="AC2230" s="1">
        <v>73.275529865</v>
      </c>
      <c r="AD2230" s="1">
        <v>58.926810022</v>
      </c>
      <c r="AE2230" s="1">
        <v>15.127659574</v>
      </c>
      <c r="AF2230" s="1">
        <v>1.2693246542</v>
      </c>
      <c r="AG2230" s="1">
        <v>1.9886086249</v>
      </c>
      <c r="AH2230" s="1">
        <v>1.5655004068</v>
      </c>
      <c r="AI2230" s="1">
        <v>0.211554109</v>
      </c>
      <c r="AJ2230" s="1">
        <v>34.401952807</v>
      </c>
      <c r="AK2230" s="1">
        <v>60.4328722539999</v>
      </c>
      <c r="AL2230" s="1">
        <v>4.8262480155</v>
      </c>
      <c r="AM2230" s="1">
        <v>45.72172498</v>
      </c>
      <c r="AN2230" s="1">
        <v>48.417590138</v>
      </c>
      <c r="AO2230" s="1">
        <v>17150.0</v>
      </c>
      <c r="AP2230" s="1">
        <v>24.8</v>
      </c>
      <c r="AQ2230" s="1">
        <v>9.6</v>
      </c>
      <c r="AR2230" s="1">
        <v>19.9</v>
      </c>
      <c r="AS2230" s="1">
        <v>15.9</v>
      </c>
      <c r="AT2230" s="1">
        <v>25.0</v>
      </c>
      <c r="AU2230" s="1">
        <v>16.9</v>
      </c>
      <c r="AV2230" s="1">
        <v>38.0</v>
      </c>
      <c r="AW2230" s="1">
        <v>5.5</v>
      </c>
      <c r="AX2230" s="1">
        <v>0.9971</v>
      </c>
      <c r="AY2230" s="1">
        <v>21.0</v>
      </c>
      <c r="AZ2230" s="1">
        <v>14.3</v>
      </c>
      <c r="BA2230" s="1">
        <v>20.6</v>
      </c>
      <c r="BB2230" s="1">
        <v>2.66</v>
      </c>
      <c r="BC2230" s="1" t="s">
        <v>3661</v>
      </c>
      <c r="BD2230" s="1">
        <v>18.9</v>
      </c>
      <c r="BE2230" s="1">
        <v>31.4</v>
      </c>
      <c r="BF2230" s="1">
        <v>36.0</v>
      </c>
      <c r="BG2230" s="1">
        <v>13.7</v>
      </c>
      <c r="BH2230" s="1" t="s">
        <v>3693</v>
      </c>
    </row>
    <row r="2231">
      <c r="A2231" s="1">
        <v>41047.0</v>
      </c>
      <c r="B2231" s="2" t="str">
        <f>IFERROR(__xludf.DUMMYFUNCTION("TO_TEXT(A2231)"),"41047")</f>
        <v>41047</v>
      </c>
      <c r="C2231" s="1">
        <v>326527.0</v>
      </c>
      <c r="D2231" s="1">
        <v>1180.54753930129</v>
      </c>
      <c r="E2231" s="1" t="s">
        <v>152</v>
      </c>
      <c r="F2231" s="1" t="s">
        <v>3694</v>
      </c>
      <c r="G2231" s="1">
        <v>276.589454579064</v>
      </c>
      <c r="H2231" s="1">
        <v>18.1910233909999</v>
      </c>
      <c r="I2231" s="1">
        <v>4.567112777</v>
      </c>
      <c r="J2231" s="1">
        <v>6.1284331932</v>
      </c>
      <c r="K2231" s="1">
        <v>15.4096313559999</v>
      </c>
      <c r="L2231" s="1">
        <v>34.0</v>
      </c>
      <c r="M2231" s="1">
        <v>8.2</v>
      </c>
      <c r="N2231" s="1">
        <v>18.1</v>
      </c>
      <c r="O2231" s="1">
        <v>79.449157245</v>
      </c>
      <c r="P2231" s="1">
        <v>10.194258518</v>
      </c>
      <c r="Q2231" s="1">
        <v>69.44322</v>
      </c>
      <c r="R2231" s="1">
        <v>75.56</v>
      </c>
      <c r="S2231" s="1">
        <v>19.2</v>
      </c>
      <c r="T2231" s="1">
        <v>83075.0</v>
      </c>
      <c r="U2231" s="1">
        <v>33.809208546</v>
      </c>
      <c r="V2231" s="1">
        <v>232.69465542</v>
      </c>
      <c r="W2231" s="1">
        <v>19.679673597</v>
      </c>
      <c r="X2231" s="1">
        <v>14.892685064</v>
      </c>
      <c r="Y2231" s="1">
        <v>79.38581179</v>
      </c>
      <c r="Z2231" s="1">
        <v>9.8</v>
      </c>
      <c r="AA2231" s="1">
        <v>5.3175598745</v>
      </c>
      <c r="AB2231" s="1">
        <v>56408.0</v>
      </c>
      <c r="AC2231" s="1">
        <v>63.021472112</v>
      </c>
      <c r="AD2231" s="1">
        <v>59.468086017</v>
      </c>
      <c r="AE2231" s="1">
        <v>14.721521308</v>
      </c>
      <c r="AF2231" s="1">
        <v>1.1145450142</v>
      </c>
      <c r="AG2231" s="1">
        <v>2.5785024851</v>
      </c>
      <c r="AH2231" s="1">
        <v>2.4974918413</v>
      </c>
      <c r="AI2231" s="1">
        <v>1.026903606</v>
      </c>
      <c r="AJ2231" s="1">
        <v>27.02209486</v>
      </c>
      <c r="AK2231" s="1">
        <v>64.9546801669999</v>
      </c>
      <c r="AL2231" s="1">
        <v>5.66995480149999</v>
      </c>
      <c r="AM2231" s="1">
        <v>50.154237347</v>
      </c>
      <c r="AN2231" s="1">
        <v>13.093694008</v>
      </c>
      <c r="AO2231" s="1">
        <v>23348.0</v>
      </c>
      <c r="AP2231" s="1">
        <v>17.2</v>
      </c>
      <c r="AQ2231" s="1">
        <v>9.1</v>
      </c>
      <c r="AR2231" s="1">
        <v>14.9</v>
      </c>
      <c r="AS2231" s="1">
        <v>14.4</v>
      </c>
      <c r="AT2231" s="1">
        <v>25.5</v>
      </c>
      <c r="AU2231" s="1">
        <v>15.0</v>
      </c>
      <c r="AV2231" s="1">
        <v>33.1</v>
      </c>
      <c r="AW2231" s="1">
        <v>5.8</v>
      </c>
      <c r="AX2231" s="1">
        <v>0.893</v>
      </c>
      <c r="AY2231" s="1">
        <v>12.2</v>
      </c>
      <c r="AZ2231" s="1">
        <v>11.8</v>
      </c>
      <c r="BA2231" s="1">
        <v>16.2</v>
      </c>
      <c r="BB2231" s="1">
        <v>3.11</v>
      </c>
      <c r="BC2231" s="1" t="s">
        <v>3661</v>
      </c>
      <c r="BD2231" s="1">
        <v>14.8</v>
      </c>
      <c r="BE2231" s="1">
        <v>26.6</v>
      </c>
      <c r="BF2231" s="1">
        <v>35.1</v>
      </c>
      <c r="BG2231" s="1">
        <v>23.5</v>
      </c>
      <c r="BH2231" s="1" t="s">
        <v>3694</v>
      </c>
    </row>
    <row r="2232">
      <c r="A2232" s="1">
        <v>41049.0</v>
      </c>
      <c r="B2232" s="2" t="str">
        <f>IFERROR(__xludf.DUMMYFUNCTION("TO_TEXT(A2232)"),"41049")</f>
        <v>41049</v>
      </c>
      <c r="C2232" s="1">
        <v>11207.0</v>
      </c>
      <c r="D2232" s="1">
        <v>2030.52968642031</v>
      </c>
      <c r="E2232" s="1" t="s">
        <v>3497</v>
      </c>
      <c r="F2232" s="1" t="s">
        <v>3695</v>
      </c>
      <c r="G2232" s="1">
        <v>5.51924952141783</v>
      </c>
      <c r="H2232" s="1">
        <v>18.138016722</v>
      </c>
      <c r="I2232" s="1">
        <v>4.4572935753</v>
      </c>
      <c r="J2232" s="1">
        <v>7.1364046974</v>
      </c>
      <c r="K2232" s="1">
        <v>15.5207155509999</v>
      </c>
      <c r="L2232" s="1">
        <v>34.6</v>
      </c>
      <c r="M2232" s="1">
        <v>7.9</v>
      </c>
      <c r="N2232" s="1">
        <v>18.5</v>
      </c>
      <c r="O2232" s="1">
        <v>55.249261613</v>
      </c>
      <c r="P2232" s="1">
        <v>11.237414745</v>
      </c>
      <c r="Q2232" s="1">
        <v>35.82303</v>
      </c>
      <c r="R2232" s="1">
        <v>79.37</v>
      </c>
      <c r="S2232" s="1">
        <v>21.1</v>
      </c>
      <c r="T2232" s="1">
        <v>3105.0</v>
      </c>
      <c r="U2232" s="1">
        <v>28.502415459</v>
      </c>
      <c r="V2232" s="1">
        <v>330.80451658</v>
      </c>
      <c r="W2232" s="1">
        <v>16.103896104</v>
      </c>
      <c r="X2232" s="1">
        <v>6.2992125984</v>
      </c>
      <c r="Y2232" s="1">
        <v>80.858316137</v>
      </c>
      <c r="Z2232" s="1">
        <v>16.1</v>
      </c>
      <c r="AA2232" s="1">
        <v>14.534960397</v>
      </c>
      <c r="AB2232" s="1">
        <v>55343.0</v>
      </c>
      <c r="AC2232" s="1">
        <v>72.273489933</v>
      </c>
      <c r="AD2232" s="1">
        <v>69.360949735</v>
      </c>
      <c r="AE2232" s="1">
        <v>8.2101372756</v>
      </c>
      <c r="AF2232" s="1">
        <v>0.6155469574</v>
      </c>
      <c r="AG2232" s="1">
        <v>2.4270137179</v>
      </c>
      <c r="AH2232" s="1">
        <v>0.677101653199999</v>
      </c>
      <c r="AI2232" s="1">
        <v>0.3077734787</v>
      </c>
      <c r="AJ2232" s="1">
        <v>37.346113261</v>
      </c>
      <c r="AK2232" s="1">
        <v>58.257122758</v>
      </c>
      <c r="AL2232" s="1">
        <v>9.1084896538</v>
      </c>
      <c r="AM2232" s="1">
        <v>48.628209638</v>
      </c>
      <c r="AN2232" s="1">
        <v>45.869506847</v>
      </c>
      <c r="AO2232" s="1">
        <v>21279.0</v>
      </c>
      <c r="AP2232" s="1">
        <v>15.2</v>
      </c>
      <c r="AQ2232" s="1">
        <v>5.9</v>
      </c>
      <c r="AR2232" s="1">
        <v>24.9</v>
      </c>
      <c r="AS2232" s="1">
        <v>13.9</v>
      </c>
      <c r="AT2232" s="1">
        <v>28.3</v>
      </c>
      <c r="AU2232" s="1">
        <v>14.9</v>
      </c>
      <c r="AV2232" s="1">
        <v>38.8</v>
      </c>
      <c r="AW2232" s="1">
        <v>10.6</v>
      </c>
      <c r="AX2232" s="1">
        <v>0.7564</v>
      </c>
      <c r="AY2232" s="1">
        <v>12.7</v>
      </c>
      <c r="AZ2232" s="1">
        <v>11.1</v>
      </c>
      <c r="BA2232" s="1">
        <v>16.3</v>
      </c>
      <c r="BB2232" s="1">
        <v>3.11</v>
      </c>
      <c r="BC2232" s="1" t="s">
        <v>3661</v>
      </c>
      <c r="BD2232" s="1">
        <v>24.2</v>
      </c>
      <c r="BE2232" s="1">
        <v>33.1</v>
      </c>
      <c r="BF2232" s="1">
        <v>33.7</v>
      </c>
      <c r="BG2232" s="1">
        <v>9.0</v>
      </c>
      <c r="BH2232" s="1" t="s">
        <v>3695</v>
      </c>
    </row>
    <row r="2233">
      <c r="A2233" s="1">
        <v>41051.0</v>
      </c>
      <c r="B2233" s="2" t="str">
        <f>IFERROR(__xludf.DUMMYFUNCTION("TO_TEXT(A2233)"),"41051")</f>
        <v>41051</v>
      </c>
      <c r="C2233" s="1">
        <v>778193.0</v>
      </c>
      <c r="D2233" s="1">
        <v>431.120615590154</v>
      </c>
      <c r="E2233" s="1" t="s">
        <v>3696</v>
      </c>
      <c r="F2233" s="1" t="s">
        <v>3697</v>
      </c>
      <c r="G2233" s="1">
        <v>1805.04706075061</v>
      </c>
      <c r="H2233" s="1">
        <v>14.781153759</v>
      </c>
      <c r="I2233" s="1">
        <v>4.6074071236</v>
      </c>
      <c r="J2233" s="1">
        <v>6.53982231309999</v>
      </c>
      <c r="K2233" s="1">
        <v>15.962060027</v>
      </c>
      <c r="L2233" s="1">
        <v>23.6</v>
      </c>
      <c r="M2233" s="1">
        <v>7.9</v>
      </c>
      <c r="N2233" s="1">
        <v>13.7</v>
      </c>
      <c r="O2233" s="1">
        <v>97.459521796</v>
      </c>
      <c r="P2233" s="1">
        <v>8.2280863286</v>
      </c>
      <c r="Q2233" s="1">
        <v>145.748589999999</v>
      </c>
      <c r="R2233" s="1">
        <v>75.0</v>
      </c>
      <c r="S2233" s="1">
        <v>14.4</v>
      </c>
      <c r="T2233" s="1">
        <v>152136.0</v>
      </c>
      <c r="U2233" s="1">
        <v>31.371930378</v>
      </c>
      <c r="V2233" s="1">
        <v>474.4613864</v>
      </c>
      <c r="W2233" s="1">
        <v>21.569065713</v>
      </c>
      <c r="X2233" s="1">
        <v>18.437039317</v>
      </c>
      <c r="Y2233" s="1">
        <v>79.716516775</v>
      </c>
      <c r="Z2233" s="1">
        <v>8.0</v>
      </c>
      <c r="AA2233" s="1">
        <v>2.6757078994</v>
      </c>
      <c r="AB2233" s="1">
        <v>70756.0</v>
      </c>
      <c r="AC2233" s="1">
        <v>51.359127992</v>
      </c>
      <c r="AD2233" s="1">
        <v>54.173396114</v>
      </c>
      <c r="AE2233" s="1">
        <v>18.467772999</v>
      </c>
      <c r="AF2233" s="1">
        <v>5.6754692812</v>
      </c>
      <c r="AG2233" s="1">
        <v>1.44307040449999</v>
      </c>
      <c r="AH2233" s="1">
        <v>8.118317978</v>
      </c>
      <c r="AI2233" s="1">
        <v>0.6829827068</v>
      </c>
      <c r="AJ2233" s="1">
        <v>11.748657437</v>
      </c>
      <c r="AK2233" s="1">
        <v>69.288072129</v>
      </c>
      <c r="AL2233" s="1">
        <v>4.7371802871</v>
      </c>
      <c r="AM2233" s="1">
        <v>50.462876287</v>
      </c>
      <c r="AN2233" s="1">
        <v>1.3422471965</v>
      </c>
      <c r="AO2233" s="1">
        <v>33255.0</v>
      </c>
      <c r="AP2233" s="1">
        <v>17.1</v>
      </c>
      <c r="AQ2233" s="1">
        <v>7.8</v>
      </c>
      <c r="AR2233" s="1">
        <v>9.3</v>
      </c>
      <c r="AS2233" s="1">
        <v>11.9</v>
      </c>
      <c r="AT2233" s="1">
        <v>19.7</v>
      </c>
      <c r="AU2233" s="1">
        <v>13.3</v>
      </c>
      <c r="AV2233" s="1">
        <v>28.9</v>
      </c>
      <c r="AW2233" s="1">
        <v>5.0</v>
      </c>
      <c r="AX2233" s="1">
        <v>0.5135</v>
      </c>
      <c r="AY2233" s="1">
        <v>12.0</v>
      </c>
      <c r="AZ2233" s="1">
        <v>12.0</v>
      </c>
      <c r="BA2233" s="1">
        <v>15.3</v>
      </c>
      <c r="BB2233" s="1">
        <v>3.58</v>
      </c>
      <c r="BC2233" s="1" t="s">
        <v>3661</v>
      </c>
      <c r="BD2233" s="1">
        <v>8.5</v>
      </c>
      <c r="BE2233" s="1">
        <v>17.0</v>
      </c>
      <c r="BF2233" s="1">
        <v>28.7</v>
      </c>
      <c r="BG2233" s="1">
        <v>45.9</v>
      </c>
      <c r="BH2233" s="1" t="s">
        <v>3697</v>
      </c>
    </row>
    <row r="2234">
      <c r="A2234" s="1">
        <v>41053.0</v>
      </c>
      <c r="B2234" s="2" t="str">
        <f>IFERROR(__xludf.DUMMYFUNCTION("TO_TEXT(A2234)"),"41053")</f>
        <v>41053</v>
      </c>
      <c r="C2234" s="1">
        <v>78470.0</v>
      </c>
      <c r="D2234" s="1">
        <v>740.923293185415</v>
      </c>
      <c r="E2234" s="1" t="s">
        <v>381</v>
      </c>
      <c r="F2234" s="1" t="s">
        <v>3698</v>
      </c>
      <c r="G2234" s="1">
        <v>105.90839931977</v>
      </c>
      <c r="H2234" s="1">
        <v>14.884180474</v>
      </c>
      <c r="I2234" s="1">
        <v>4.4494139788</v>
      </c>
      <c r="J2234" s="1">
        <v>5.618729097</v>
      </c>
      <c r="K2234" s="1">
        <v>14.344151249</v>
      </c>
      <c r="L2234" s="1">
        <v>34.4</v>
      </c>
      <c r="M2234" s="1">
        <v>7.5</v>
      </c>
      <c r="N2234" s="1">
        <v>18.8</v>
      </c>
      <c r="O2234" s="1">
        <v>76.559288092</v>
      </c>
      <c r="P2234" s="1">
        <v>8.7410616266</v>
      </c>
      <c r="Q2234" s="1">
        <v>57.35041</v>
      </c>
      <c r="R2234" s="1">
        <v>79.57</v>
      </c>
      <c r="S2234" s="1">
        <v>13.5</v>
      </c>
      <c r="T2234" s="1">
        <v>18625.0</v>
      </c>
      <c r="U2234" s="1">
        <v>24.638926174</v>
      </c>
      <c r="V2234" s="1">
        <v>229.62330392</v>
      </c>
      <c r="W2234" s="1">
        <v>17.597911227</v>
      </c>
      <c r="X2234" s="1">
        <v>15.226192572</v>
      </c>
      <c r="Y2234" s="1">
        <v>80.51667405</v>
      </c>
      <c r="Z2234" s="1">
        <v>11.7</v>
      </c>
      <c r="AA2234" s="1">
        <v>10.094866091</v>
      </c>
      <c r="AB2234" s="1">
        <v>62389.0</v>
      </c>
      <c r="AC2234" s="1">
        <v>45.801463936</v>
      </c>
      <c r="AD2234" s="1">
        <v>65.387983295</v>
      </c>
      <c r="AE2234" s="1">
        <v>15.419083678</v>
      </c>
      <c r="AF2234" s="1">
        <v>0.996081376</v>
      </c>
      <c r="AG2234" s="1">
        <v>2.5330267264</v>
      </c>
      <c r="AH2234" s="1">
        <v>2.0836755285</v>
      </c>
      <c r="AI2234" s="1">
        <v>0.4141539761</v>
      </c>
      <c r="AJ2234" s="1">
        <v>14.3370016659999</v>
      </c>
      <c r="AK2234" s="1">
        <v>77.483163996</v>
      </c>
      <c r="AL2234" s="1">
        <v>2.9777644622</v>
      </c>
      <c r="AM2234" s="1">
        <v>51.125137856</v>
      </c>
      <c r="AN2234" s="1">
        <v>19.926262881</v>
      </c>
      <c r="AO2234" s="1">
        <v>24827.0</v>
      </c>
      <c r="AP2234" s="1">
        <v>15.5</v>
      </c>
      <c r="AQ2234" s="1">
        <v>9.8</v>
      </c>
      <c r="AR2234" s="1">
        <v>9.0</v>
      </c>
      <c r="AS2234" s="1">
        <v>16.7</v>
      </c>
      <c r="AT2234" s="1">
        <v>23.4</v>
      </c>
      <c r="AU2234" s="1">
        <v>15.0</v>
      </c>
      <c r="AV2234" s="1">
        <v>20.7</v>
      </c>
      <c r="AW2234" s="1">
        <v>2.2</v>
      </c>
      <c r="AX2234" s="1">
        <v>0.5966</v>
      </c>
      <c r="AY2234" s="1">
        <v>9.4</v>
      </c>
      <c r="AZ2234" s="1">
        <v>11.5</v>
      </c>
      <c r="BA2234" s="1">
        <v>15.6</v>
      </c>
      <c r="BB2234" s="1">
        <v>3.28</v>
      </c>
      <c r="BC2234" s="1" t="s">
        <v>3661</v>
      </c>
      <c r="BD2234" s="1">
        <v>9.1</v>
      </c>
      <c r="BE2234" s="1">
        <v>23.5</v>
      </c>
      <c r="BF2234" s="1">
        <v>36.4</v>
      </c>
      <c r="BG2234" s="1">
        <v>31.0</v>
      </c>
      <c r="BH2234" s="1" t="s">
        <v>3698</v>
      </c>
    </row>
    <row r="2235">
      <c r="A2235" s="1">
        <v>41055.0</v>
      </c>
      <c r="B2235" s="2" t="str">
        <f>IFERROR(__xludf.DUMMYFUNCTION("TO_TEXT(A2235)"),"41055")</f>
        <v>41055</v>
      </c>
      <c r="C2235" s="1">
        <v>1705.0</v>
      </c>
      <c r="D2235" s="1">
        <v>823.614080530303</v>
      </c>
      <c r="E2235" s="1" t="s">
        <v>1732</v>
      </c>
      <c r="F2235" s="1" t="s">
        <v>3699</v>
      </c>
      <c r="G2235" s="1">
        <v>2.07014430703054</v>
      </c>
      <c r="H2235" s="1">
        <v>13.552130205</v>
      </c>
      <c r="I2235" s="1">
        <v>4.3508616916</v>
      </c>
      <c r="J2235" s="1">
        <v>7.80443539465</v>
      </c>
      <c r="K2235" s="1">
        <v>13.925364098</v>
      </c>
      <c r="L2235" s="1">
        <v>28.6</v>
      </c>
      <c r="M2235" s="1">
        <v>5.4</v>
      </c>
      <c r="N2235" s="1">
        <v>28.1</v>
      </c>
      <c r="O2235" s="1">
        <v>56.997167139</v>
      </c>
      <c r="P2235" s="1">
        <v>7.0336391437</v>
      </c>
      <c r="Q2235" s="1">
        <v>0.0</v>
      </c>
      <c r="R2235" s="1">
        <v>73.08</v>
      </c>
      <c r="S2235" s="1">
        <v>16.4</v>
      </c>
      <c r="T2235" s="1">
        <v>259.0</v>
      </c>
      <c r="U2235" s="1">
        <v>39.382239382</v>
      </c>
      <c r="V2235" s="1">
        <v>57.87037037</v>
      </c>
      <c r="W2235" s="1">
        <v>18.633540373</v>
      </c>
      <c r="X2235" s="1">
        <v>16.104868914</v>
      </c>
      <c r="Y2235" s="1">
        <v>81.385952731</v>
      </c>
      <c r="Z2235" s="1">
        <v>5.6</v>
      </c>
      <c r="AA2235" s="1">
        <v>30.958388663</v>
      </c>
      <c r="AB2235" s="1">
        <v>58838.0</v>
      </c>
      <c r="AC2235" s="1">
        <v>53.386454183</v>
      </c>
      <c r="AD2235" s="1">
        <v>64.673913043</v>
      </c>
      <c r="AE2235" s="1">
        <v>13.6363636359999</v>
      </c>
      <c r="AF2235" s="1">
        <v>0.2927400468</v>
      </c>
      <c r="AG2235" s="1">
        <v>2.9274004684</v>
      </c>
      <c r="AH2235" s="1">
        <v>0.644028103</v>
      </c>
      <c r="AI2235" s="1">
        <v>0.0585480094</v>
      </c>
      <c r="AJ2235" s="1">
        <v>7.37704918029999</v>
      </c>
      <c r="AK2235" s="1">
        <v>87.236533958</v>
      </c>
      <c r="AL2235" s="1">
        <v>0.2597402597</v>
      </c>
      <c r="AM2235" s="1">
        <v>48.477751756</v>
      </c>
      <c r="AN2235" s="1">
        <v>100.0</v>
      </c>
      <c r="AO2235" s="1">
        <v>32223.0</v>
      </c>
      <c r="AP2235" s="1">
        <v>17.7</v>
      </c>
      <c r="AQ2235" s="1">
        <v>7.2</v>
      </c>
      <c r="AR2235" s="1">
        <v>6.7</v>
      </c>
      <c r="AS2235" s="1">
        <v>24.3</v>
      </c>
      <c r="AT2235" s="1">
        <v>16.1</v>
      </c>
      <c r="AU2235" s="1">
        <v>18.2</v>
      </c>
      <c r="AV2235" s="1">
        <v>11.7</v>
      </c>
      <c r="AW2235" s="1">
        <v>0.9</v>
      </c>
      <c r="AX2235" s="1">
        <v>0.2295</v>
      </c>
      <c r="AY2235" s="1">
        <v>12.5</v>
      </c>
      <c r="AZ2235" s="1">
        <v>13.5</v>
      </c>
      <c r="BA2235" s="1">
        <v>19.1</v>
      </c>
      <c r="BB2235" s="1">
        <v>3.76</v>
      </c>
      <c r="BC2235" s="1" t="s">
        <v>3661</v>
      </c>
      <c r="BD2235" s="1">
        <v>10.7</v>
      </c>
      <c r="BE2235" s="1">
        <v>31.9</v>
      </c>
      <c r="BF2235" s="1">
        <v>40.1</v>
      </c>
      <c r="BG2235" s="1">
        <v>17.3</v>
      </c>
      <c r="BH2235" s="1" t="s">
        <v>3699</v>
      </c>
    </row>
    <row r="2236">
      <c r="A2236" s="1">
        <v>41057.0</v>
      </c>
      <c r="B2236" s="2" t="str">
        <f>IFERROR(__xludf.DUMMYFUNCTION("TO_TEXT(A2236)"),"41057")</f>
        <v>41057</v>
      </c>
      <c r="C2236" s="1">
        <v>25552.0</v>
      </c>
      <c r="D2236" s="1">
        <v>1102.36867853819</v>
      </c>
      <c r="E2236" s="1" t="s">
        <v>3700</v>
      </c>
      <c r="F2236" s="1" t="s">
        <v>3701</v>
      </c>
      <c r="G2236" s="1">
        <v>23.179178161959</v>
      </c>
      <c r="H2236" s="1">
        <v>14.139095322</v>
      </c>
      <c r="I2236" s="1">
        <v>4.3656326195</v>
      </c>
      <c r="J2236" s="1">
        <v>5.9130434783</v>
      </c>
      <c r="K2236" s="1">
        <v>14.8722629359999</v>
      </c>
      <c r="L2236" s="1">
        <v>32.9</v>
      </c>
      <c r="M2236" s="1">
        <v>8.0</v>
      </c>
      <c r="N2236" s="1">
        <v>24.6</v>
      </c>
      <c r="O2236" s="1">
        <v>86.562376238</v>
      </c>
      <c r="P2236" s="1">
        <v>10.495927415</v>
      </c>
      <c r="Q2236" s="1">
        <v>71.18771</v>
      </c>
      <c r="R2236" s="1">
        <v>80.99</v>
      </c>
      <c r="S2236" s="1">
        <v>19.7</v>
      </c>
      <c r="T2236" s="1">
        <v>4793.0</v>
      </c>
      <c r="U2236" s="1">
        <v>34.52952222</v>
      </c>
      <c r="V2236" s="1">
        <v>97.4146160889999</v>
      </c>
      <c r="W2236" s="1">
        <v>17.380600689</v>
      </c>
      <c r="X2236" s="1">
        <v>15.266036798</v>
      </c>
      <c r="Y2236" s="1">
        <v>79.156467778</v>
      </c>
      <c r="Z2236" s="1">
        <v>6.8</v>
      </c>
      <c r="AA2236" s="1">
        <v>3.7245822944</v>
      </c>
      <c r="AB2236" s="1">
        <v>52486.0</v>
      </c>
      <c r="AC2236" s="1">
        <v>55.345729227</v>
      </c>
      <c r="AD2236" s="1">
        <v>69.082840237</v>
      </c>
      <c r="AE2236" s="1">
        <v>15.4684512429999</v>
      </c>
      <c r="AF2236" s="1">
        <v>0.5301078882</v>
      </c>
      <c r="AG2236" s="1">
        <v>1.6463209766</v>
      </c>
      <c r="AH2236" s="1">
        <v>1.0676820846</v>
      </c>
      <c r="AI2236" s="1">
        <v>0.3210512562</v>
      </c>
      <c r="AJ2236" s="1">
        <v>10.680554</v>
      </c>
      <c r="AK2236" s="1">
        <v>83.790644716</v>
      </c>
      <c r="AL2236" s="1">
        <v>1.834714734</v>
      </c>
      <c r="AM2236" s="1">
        <v>49.374696681</v>
      </c>
      <c r="AN2236" s="1">
        <v>69.603960396</v>
      </c>
      <c r="AO2236" s="1">
        <v>23688.0</v>
      </c>
      <c r="AP2236" s="1">
        <v>15.4</v>
      </c>
      <c r="AQ2236" s="1">
        <v>7.4</v>
      </c>
      <c r="AR2236" s="1">
        <v>10.2</v>
      </c>
      <c r="AS2236" s="1">
        <v>22.9</v>
      </c>
      <c r="AT2236" s="1">
        <v>19.2</v>
      </c>
      <c r="AU2236" s="1">
        <v>18.6</v>
      </c>
      <c r="AV2236" s="1">
        <v>14.9</v>
      </c>
      <c r="AW2236" s="1">
        <v>1.4</v>
      </c>
      <c r="AX2236" s="1">
        <v>0.5829</v>
      </c>
      <c r="AY2236" s="1">
        <v>12.0</v>
      </c>
      <c r="AZ2236" s="1">
        <v>13.6</v>
      </c>
      <c r="BA2236" s="1">
        <v>20.0</v>
      </c>
      <c r="BB2236" s="1">
        <v>3.56</v>
      </c>
      <c r="BC2236" s="1" t="s">
        <v>3661</v>
      </c>
      <c r="BD2236" s="1">
        <v>10.4</v>
      </c>
      <c r="BE2236" s="1">
        <v>28.7</v>
      </c>
      <c r="BF2236" s="1">
        <v>39.1</v>
      </c>
      <c r="BG2236" s="1">
        <v>21.8</v>
      </c>
      <c r="BH2236" s="1" t="s">
        <v>3701</v>
      </c>
    </row>
    <row r="2237">
      <c r="A2237" s="1">
        <v>41059.0</v>
      </c>
      <c r="B2237" s="2" t="str">
        <f>IFERROR(__xludf.DUMMYFUNCTION("TO_TEXT(A2237)"),"41059")</f>
        <v>41059</v>
      </c>
      <c r="C2237" s="1">
        <v>76582.0</v>
      </c>
      <c r="D2237" s="1">
        <v>3215.43502965143</v>
      </c>
      <c r="E2237" s="1" t="s">
        <v>3702</v>
      </c>
      <c r="F2237" s="1" t="s">
        <v>3703</v>
      </c>
      <c r="G2237" s="1">
        <v>23.8169949925258</v>
      </c>
      <c r="H2237" s="1">
        <v>18.045812634</v>
      </c>
      <c r="I2237" s="1">
        <v>4.5702654506</v>
      </c>
      <c r="J2237" s="1">
        <v>6.3138737225</v>
      </c>
      <c r="K2237" s="1">
        <v>15.798553279</v>
      </c>
      <c r="L2237" s="1">
        <v>35.1</v>
      </c>
      <c r="M2237" s="1">
        <v>7.5</v>
      </c>
      <c r="N2237" s="1">
        <v>24.6</v>
      </c>
      <c r="O2237" s="1">
        <v>77.305011266</v>
      </c>
      <c r="P2237" s="1">
        <v>10.495362667</v>
      </c>
      <c r="Q2237" s="1">
        <v>45.4634</v>
      </c>
      <c r="R2237" s="1">
        <v>76.0</v>
      </c>
      <c r="S2237" s="1">
        <v>21.5</v>
      </c>
      <c r="T2237" s="1">
        <v>19566.0</v>
      </c>
      <c r="U2237" s="1">
        <v>35.32147603</v>
      </c>
      <c r="V2237" s="1">
        <v>223.27095199</v>
      </c>
      <c r="W2237" s="1">
        <v>15.916760405</v>
      </c>
      <c r="X2237" s="1">
        <v>9.9792099792</v>
      </c>
      <c r="Y2237" s="1">
        <v>78.216990615</v>
      </c>
      <c r="Z2237" s="1">
        <v>13.4</v>
      </c>
      <c r="AA2237" s="1">
        <v>11.978743355</v>
      </c>
      <c r="AB2237" s="1">
        <v>53917.0</v>
      </c>
      <c r="AC2237" s="1">
        <v>64.605311022</v>
      </c>
      <c r="AD2237" s="1">
        <v>63.743212081</v>
      </c>
      <c r="AE2237" s="1">
        <v>11.9921589729999</v>
      </c>
      <c r="AF2237" s="1">
        <v>0.9172299912</v>
      </c>
      <c r="AG2237" s="1">
        <v>4.3861912379</v>
      </c>
      <c r="AH2237" s="1">
        <v>1.1171887094</v>
      </c>
      <c r="AI2237" s="1">
        <v>0.2270498994</v>
      </c>
      <c r="AJ2237" s="1">
        <v>27.265338769</v>
      </c>
      <c r="AK2237" s="1">
        <v>65.5180865889999</v>
      </c>
      <c r="AL2237" s="1">
        <v>6.0621284434</v>
      </c>
      <c r="AM2237" s="1">
        <v>47.803034212</v>
      </c>
      <c r="AN2237" s="1">
        <v>29.066136067</v>
      </c>
      <c r="AO2237" s="1">
        <v>21528.0</v>
      </c>
      <c r="AP2237" s="1">
        <v>18.0</v>
      </c>
      <c r="AQ2237" s="1">
        <v>9.1</v>
      </c>
      <c r="AR2237" s="1">
        <v>17.4</v>
      </c>
      <c r="AS2237" s="1">
        <v>14.1</v>
      </c>
      <c r="AT2237" s="1">
        <v>25.9</v>
      </c>
      <c r="AU2237" s="1">
        <v>15.0</v>
      </c>
      <c r="AV2237" s="1">
        <v>32.6</v>
      </c>
      <c r="AW2237" s="1">
        <v>6.4</v>
      </c>
      <c r="AX2237" s="1">
        <v>0.958</v>
      </c>
      <c r="AY2237" s="1">
        <v>13.9</v>
      </c>
      <c r="AZ2237" s="1">
        <v>13.2</v>
      </c>
      <c r="BA2237" s="1">
        <v>19.3</v>
      </c>
      <c r="BB2237" s="1">
        <v>3.19</v>
      </c>
      <c r="BC2237" s="1" t="s">
        <v>3661</v>
      </c>
      <c r="BD2237" s="1">
        <v>17.6</v>
      </c>
      <c r="BE2237" s="1">
        <v>28.5</v>
      </c>
      <c r="BF2237" s="1">
        <v>36.7</v>
      </c>
      <c r="BG2237" s="1">
        <v>17.2</v>
      </c>
      <c r="BH2237" s="1" t="s">
        <v>3703</v>
      </c>
    </row>
    <row r="2238">
      <c r="A2238" s="1">
        <v>41061.0</v>
      </c>
      <c r="B2238" s="2" t="str">
        <f>IFERROR(__xludf.DUMMYFUNCTION("TO_TEXT(A2238)"),"41061")</f>
        <v>41061</v>
      </c>
      <c r="C2238" s="1">
        <v>25758.0</v>
      </c>
      <c r="D2238" s="1">
        <v>2036.91857721843</v>
      </c>
      <c r="E2238" s="1" t="s">
        <v>406</v>
      </c>
      <c r="F2238" s="1" t="s">
        <v>3704</v>
      </c>
      <c r="G2238" s="1">
        <v>12.6455717415934</v>
      </c>
      <c r="H2238" s="1">
        <v>15.6983984879999</v>
      </c>
      <c r="I2238" s="1">
        <v>4.6082335315</v>
      </c>
      <c r="J2238" s="1">
        <v>7.2120038722</v>
      </c>
      <c r="K2238" s="1">
        <v>16.122620627</v>
      </c>
      <c r="L2238" s="1">
        <v>38.2</v>
      </c>
      <c r="M2238" s="1">
        <v>7.2</v>
      </c>
      <c r="N2238" s="1">
        <v>20.8</v>
      </c>
      <c r="O2238" s="1">
        <v>84.833773497</v>
      </c>
      <c r="P2238" s="1">
        <v>7.8193131155</v>
      </c>
      <c r="Q2238" s="1">
        <v>72.45824</v>
      </c>
      <c r="R2238" s="1">
        <v>85.71</v>
      </c>
      <c r="S2238" s="1">
        <v>17.9</v>
      </c>
      <c r="T2238" s="1">
        <v>5608.0</v>
      </c>
      <c r="U2238" s="1">
        <v>32.310984308</v>
      </c>
      <c r="V2238" s="1">
        <v>137.35200805</v>
      </c>
      <c r="W2238" s="1">
        <v>17.786561265</v>
      </c>
      <c r="X2238" s="1">
        <v>14.014014014</v>
      </c>
      <c r="Y2238" s="1">
        <v>79.037053266</v>
      </c>
      <c r="Z2238" s="1">
        <v>9.7</v>
      </c>
      <c r="AA2238" s="1">
        <v>8.3151030224</v>
      </c>
      <c r="AB2238" s="1">
        <v>50616.0</v>
      </c>
      <c r="AC2238" s="1">
        <v>50.8696748169999</v>
      </c>
      <c r="AD2238" s="1">
        <v>64.058773018</v>
      </c>
      <c r="AE2238" s="1">
        <v>11.457505957</v>
      </c>
      <c r="AF2238" s="1">
        <v>0.6575715204</v>
      </c>
      <c r="AG2238" s="1">
        <v>1.2471184007</v>
      </c>
      <c r="AH2238" s="1">
        <v>1.2395601073</v>
      </c>
      <c r="AI2238" s="1">
        <v>1.3151430407</v>
      </c>
      <c r="AJ2238" s="1">
        <v>4.8977740826</v>
      </c>
      <c r="AK2238" s="1">
        <v>88.518952421</v>
      </c>
      <c r="AL2238" s="1">
        <v>0.6870041711</v>
      </c>
      <c r="AM2238" s="1">
        <v>50.273988133</v>
      </c>
      <c r="AN2238" s="1">
        <v>42.096473513</v>
      </c>
      <c r="AO2238" s="1">
        <v>25458.0</v>
      </c>
      <c r="AP2238" s="1">
        <v>18.6</v>
      </c>
      <c r="AQ2238" s="1">
        <v>6.6</v>
      </c>
      <c r="AR2238" s="1">
        <v>7.4</v>
      </c>
      <c r="AS2238" s="1">
        <v>18.4</v>
      </c>
      <c r="AT2238" s="1">
        <v>22.1</v>
      </c>
      <c r="AU2238" s="1">
        <v>16.7</v>
      </c>
      <c r="AV2238" s="1">
        <v>10.3</v>
      </c>
      <c r="AW2238" s="1">
        <v>0.6</v>
      </c>
      <c r="AX2238" s="1">
        <v>0.5998</v>
      </c>
      <c r="AY2238" s="1">
        <v>13.6</v>
      </c>
      <c r="AZ2238" s="1">
        <v>13.5</v>
      </c>
      <c r="BA2238" s="1">
        <v>19.8</v>
      </c>
      <c r="BB2238" s="1">
        <v>3.27</v>
      </c>
      <c r="BC2238" s="1" t="s">
        <v>3661</v>
      </c>
      <c r="BD2238" s="1">
        <v>7.3</v>
      </c>
      <c r="BE2238" s="1">
        <v>32.2</v>
      </c>
      <c r="BF2238" s="1">
        <v>36.0</v>
      </c>
      <c r="BG2238" s="1">
        <v>24.5</v>
      </c>
      <c r="BH2238" s="1" t="s">
        <v>3704</v>
      </c>
    </row>
    <row r="2239">
      <c r="A2239" s="1">
        <v>41063.0</v>
      </c>
      <c r="B2239" s="2" t="str">
        <f>IFERROR(__xludf.DUMMYFUNCTION("TO_TEXT(A2239)"),"41063")</f>
        <v>41063</v>
      </c>
      <c r="C2239" s="1">
        <v>6836.0</v>
      </c>
      <c r="D2239" s="1">
        <v>3145.89599573623</v>
      </c>
      <c r="E2239" s="1" t="s">
        <v>3705</v>
      </c>
      <c r="F2239" s="1" t="s">
        <v>3706</v>
      </c>
      <c r="G2239" s="1">
        <v>2.17298982841935</v>
      </c>
      <c r="H2239" s="1">
        <v>13.454350605</v>
      </c>
      <c r="I2239" s="1">
        <v>4.4431560181</v>
      </c>
      <c r="J2239" s="1">
        <v>5.8962264151</v>
      </c>
      <c r="K2239" s="1">
        <v>14.1007464609999</v>
      </c>
      <c r="L2239" s="1">
        <v>30.3</v>
      </c>
      <c r="M2239" s="1">
        <v>7.2</v>
      </c>
      <c r="N2239" s="1">
        <v>23.9</v>
      </c>
      <c r="O2239" s="1">
        <v>57.1632420089999</v>
      </c>
      <c r="P2239" s="1">
        <v>8.2882882883</v>
      </c>
      <c r="Q2239" s="1">
        <v>127.64147</v>
      </c>
      <c r="R2239" s="1">
        <v>91.78</v>
      </c>
      <c r="S2239" s="1">
        <v>19.9</v>
      </c>
      <c r="T2239" s="1">
        <v>1277.0</v>
      </c>
      <c r="U2239" s="1">
        <v>38.371182459</v>
      </c>
      <c r="V2239" s="1">
        <v>0.0</v>
      </c>
      <c r="W2239" s="1">
        <v>15.625</v>
      </c>
      <c r="X2239" s="1">
        <v>13.565505804</v>
      </c>
      <c r="Y2239" s="1">
        <v>81.177883926</v>
      </c>
      <c r="Z2239" s="1">
        <v>10.8</v>
      </c>
      <c r="AA2239" s="1">
        <v>10.4325891789999</v>
      </c>
      <c r="AB2239" s="1">
        <v>48137.0</v>
      </c>
      <c r="AC2239" s="1">
        <v>45.229244114</v>
      </c>
      <c r="AD2239" s="1">
        <v>65.655608215</v>
      </c>
      <c r="AE2239" s="1">
        <v>15.591221749</v>
      </c>
      <c r="AF2239" s="1">
        <v>0.3530574778</v>
      </c>
      <c r="AG2239" s="1">
        <v>1.0026832368</v>
      </c>
      <c r="AH2239" s="1">
        <v>0.4942804689</v>
      </c>
      <c r="AI2239" s="1">
        <v>0.1553452902</v>
      </c>
      <c r="AJ2239" s="1">
        <v>3.3752294874</v>
      </c>
      <c r="AK2239" s="1">
        <v>92.8117497529999</v>
      </c>
      <c r="AL2239" s="1">
        <v>0.7881176114</v>
      </c>
      <c r="AM2239" s="1">
        <v>50.6001977119999</v>
      </c>
      <c r="AN2239" s="1">
        <v>100.0</v>
      </c>
      <c r="AO2239" s="1">
        <v>24956.0</v>
      </c>
      <c r="AP2239" s="1">
        <v>14.6</v>
      </c>
      <c r="AQ2239" s="1">
        <v>7.7</v>
      </c>
      <c r="AR2239" s="1">
        <v>6.8</v>
      </c>
      <c r="AS2239" s="1">
        <v>26.8</v>
      </c>
      <c r="AT2239" s="1">
        <v>18.3</v>
      </c>
      <c r="AU2239" s="1">
        <v>23.6</v>
      </c>
      <c r="AV2239" s="1">
        <v>6.3</v>
      </c>
      <c r="AW2239" s="1">
        <v>0.5</v>
      </c>
      <c r="AX2239" s="1">
        <v>0.5374</v>
      </c>
      <c r="AY2239" s="1">
        <v>12.3</v>
      </c>
      <c r="AZ2239" s="1">
        <v>14.9</v>
      </c>
      <c r="BA2239" s="1">
        <v>24.3</v>
      </c>
      <c r="BB2239" s="1">
        <v>3.18</v>
      </c>
      <c r="BC2239" s="1" t="s">
        <v>3661</v>
      </c>
      <c r="BD2239" s="1">
        <v>6.9</v>
      </c>
      <c r="BE2239" s="1">
        <v>28.6</v>
      </c>
      <c r="BF2239" s="1">
        <v>38.1</v>
      </c>
      <c r="BG2239" s="1">
        <v>26.4</v>
      </c>
      <c r="BH2239" s="1" t="s">
        <v>3706</v>
      </c>
    </row>
    <row r="2240">
      <c r="A2240" s="1">
        <v>41065.0</v>
      </c>
      <c r="B2240" s="2" t="str">
        <f>IFERROR(__xludf.DUMMYFUNCTION("TO_TEXT(A2240)"),"41065")</f>
        <v>41065</v>
      </c>
      <c r="C2240" s="1">
        <v>25657.0</v>
      </c>
      <c r="D2240" s="1">
        <v>2381.13778709118</v>
      </c>
      <c r="E2240" s="1" t="s">
        <v>3707</v>
      </c>
      <c r="F2240" s="1" t="s">
        <v>3708</v>
      </c>
      <c r="G2240" s="1">
        <v>10.7751009366589</v>
      </c>
      <c r="H2240" s="1">
        <v>15.3370328129999</v>
      </c>
      <c r="I2240" s="1">
        <v>4.5814875124</v>
      </c>
      <c r="J2240" s="1">
        <v>6.3581112669</v>
      </c>
      <c r="K2240" s="1">
        <v>15.639424163</v>
      </c>
      <c r="L2240" s="1">
        <v>28.4</v>
      </c>
      <c r="M2240" s="1">
        <v>7.1</v>
      </c>
      <c r="N2240" s="1">
        <v>21.9</v>
      </c>
      <c r="O2240" s="1">
        <v>87.744417562</v>
      </c>
      <c r="P2240" s="1">
        <v>11.04027818</v>
      </c>
      <c r="Q2240" s="1">
        <v>86.99928</v>
      </c>
      <c r="R2240" s="1">
        <v>74.28</v>
      </c>
      <c r="S2240" s="1">
        <v>19.7</v>
      </c>
      <c r="T2240" s="1">
        <v>5755.0</v>
      </c>
      <c r="U2240" s="1">
        <v>31.659426586</v>
      </c>
      <c r="V2240" s="1">
        <v>158.69329618</v>
      </c>
      <c r="W2240" s="1">
        <v>17.754172989</v>
      </c>
      <c r="X2240" s="1">
        <v>14.088114754</v>
      </c>
      <c r="Y2240" s="1">
        <v>77.176137984</v>
      </c>
      <c r="Z2240" s="1">
        <v>4.7</v>
      </c>
      <c r="AA2240" s="1">
        <v>17.143171089</v>
      </c>
      <c r="AB2240" s="1">
        <v>52269.0</v>
      </c>
      <c r="AC2240" s="1">
        <v>65.286713287</v>
      </c>
      <c r="AD2240" s="1">
        <v>62.341710501</v>
      </c>
      <c r="AE2240" s="1">
        <v>12.5562832579999</v>
      </c>
      <c r="AF2240" s="1">
        <v>0.531975099</v>
      </c>
      <c r="AG2240" s="1">
        <v>3.9577438219</v>
      </c>
      <c r="AH2240" s="1">
        <v>1.146953405</v>
      </c>
      <c r="AI2240" s="1">
        <v>0.8300320694</v>
      </c>
      <c r="AJ2240" s="1">
        <v>18.653084324</v>
      </c>
      <c r="AK2240" s="1">
        <v>74.069043577</v>
      </c>
      <c r="AL2240" s="1">
        <v>3.3098097478</v>
      </c>
      <c r="AM2240" s="1">
        <v>49.7377853239999</v>
      </c>
      <c r="AN2240" s="1">
        <v>33.066275334</v>
      </c>
      <c r="AO2240" s="1">
        <v>22931.0</v>
      </c>
      <c r="AP2240" s="1">
        <v>14.5</v>
      </c>
      <c r="AQ2240" s="1">
        <v>7.2</v>
      </c>
      <c r="AR2240" s="1">
        <v>14.2</v>
      </c>
      <c r="AS2240" s="1">
        <v>19.6</v>
      </c>
      <c r="AT2240" s="1">
        <v>22.6</v>
      </c>
      <c r="AU2240" s="1">
        <v>18.4</v>
      </c>
      <c r="AV2240" s="1">
        <v>24.0</v>
      </c>
      <c r="AW2240" s="1">
        <v>3.7</v>
      </c>
      <c r="AX2240" s="1">
        <v>0.8787</v>
      </c>
      <c r="AY2240" s="1">
        <v>12.2</v>
      </c>
      <c r="AZ2240" s="1">
        <v>12.5</v>
      </c>
      <c r="BA2240" s="1">
        <v>17.0</v>
      </c>
      <c r="BB2240" s="1">
        <v>3.58</v>
      </c>
      <c r="BC2240" s="1" t="s">
        <v>3661</v>
      </c>
      <c r="BD2240" s="1">
        <v>13.6</v>
      </c>
      <c r="BE2240" s="1">
        <v>29.1</v>
      </c>
      <c r="BF2240" s="1">
        <v>37.7</v>
      </c>
      <c r="BG2240" s="1">
        <v>19.6</v>
      </c>
      <c r="BH2240" s="1" t="s">
        <v>3708</v>
      </c>
    </row>
    <row r="2241">
      <c r="A2241" s="1">
        <v>41067.0</v>
      </c>
      <c r="B2241" s="2" t="str">
        <f>IFERROR(__xludf.DUMMYFUNCTION("TO_TEXT(A2241)"),"41067")</f>
        <v>41067</v>
      </c>
      <c r="C2241" s="1">
        <v>564088.0</v>
      </c>
      <c r="D2241" s="1">
        <v>724.263719687686</v>
      </c>
      <c r="E2241" s="1" t="s">
        <v>188</v>
      </c>
      <c r="F2241" s="1" t="s">
        <v>3709</v>
      </c>
      <c r="G2241" s="1">
        <v>778.843375232496</v>
      </c>
      <c r="H2241" s="1">
        <v>12.22204583</v>
      </c>
      <c r="I2241" s="1">
        <v>3.5526815583</v>
      </c>
      <c r="J2241" s="1">
        <v>6.3011998345</v>
      </c>
      <c r="K2241" s="1">
        <v>11.294746345</v>
      </c>
      <c r="L2241" s="1">
        <v>29.8</v>
      </c>
      <c r="M2241" s="1">
        <v>8.6</v>
      </c>
      <c r="N2241" s="1">
        <v>14.2</v>
      </c>
      <c r="O2241" s="1">
        <v>97.688924128</v>
      </c>
      <c r="P2241" s="1">
        <v>7.1683442302</v>
      </c>
      <c r="Q2241" s="1">
        <v>90.66876</v>
      </c>
      <c r="R2241" s="1">
        <v>85.3</v>
      </c>
      <c r="S2241" s="1">
        <v>10.0</v>
      </c>
      <c r="T2241" s="1">
        <v>136322.0</v>
      </c>
      <c r="U2241" s="1">
        <v>24.000528161</v>
      </c>
      <c r="V2241" s="1">
        <v>168.55767765</v>
      </c>
      <c r="W2241" s="1">
        <v>17.763126463</v>
      </c>
      <c r="X2241" s="1">
        <v>14.028239603</v>
      </c>
      <c r="Y2241" s="1">
        <v>82.5850815439999</v>
      </c>
      <c r="Z2241" s="1">
        <v>7.9</v>
      </c>
      <c r="AA2241" s="1">
        <v>1.911468441</v>
      </c>
      <c r="AB2241" s="1">
        <v>82819.0</v>
      </c>
      <c r="AC2241" s="1">
        <v>36.910900308</v>
      </c>
      <c r="AD2241" s="1">
        <v>61.133820154</v>
      </c>
      <c r="AE2241" s="1">
        <v>14.145118349</v>
      </c>
      <c r="AF2241" s="1">
        <v>2.12583341</v>
      </c>
      <c r="AG2241" s="1">
        <v>1.1412175106</v>
      </c>
      <c r="AH2241" s="1">
        <v>11.446975464</v>
      </c>
      <c r="AI2241" s="1">
        <v>0.5260207966</v>
      </c>
      <c r="AJ2241" s="1">
        <v>16.995624859</v>
      </c>
      <c r="AK2241" s="1">
        <v>65.063284786</v>
      </c>
      <c r="AL2241" s="1">
        <v>4.0898171749</v>
      </c>
      <c r="AM2241" s="1">
        <v>50.528781402</v>
      </c>
      <c r="AN2241" s="1">
        <v>5.5900398331</v>
      </c>
      <c r="AO2241" s="1">
        <v>33433.0</v>
      </c>
      <c r="AP2241" s="1">
        <v>11.1</v>
      </c>
      <c r="AQ2241" s="1">
        <v>6.6</v>
      </c>
      <c r="AR2241" s="1">
        <v>9.2</v>
      </c>
      <c r="AS2241" s="1">
        <v>11.8</v>
      </c>
      <c r="AT2241" s="1">
        <v>24.3</v>
      </c>
      <c r="AU2241" s="1">
        <v>10.2</v>
      </c>
      <c r="AV2241" s="1">
        <v>32.3</v>
      </c>
      <c r="AW2241" s="1">
        <v>4.5</v>
      </c>
      <c r="AX2241" s="1">
        <v>0.3594</v>
      </c>
      <c r="AY2241" s="1">
        <v>8.2</v>
      </c>
      <c r="AZ2241" s="1">
        <v>9.0</v>
      </c>
      <c r="BA2241" s="1">
        <v>11.5</v>
      </c>
      <c r="BB2241" s="1">
        <v>3.4</v>
      </c>
      <c r="BC2241" s="1" t="s">
        <v>3661</v>
      </c>
      <c r="BD2241" s="1">
        <v>7.8</v>
      </c>
      <c r="BE2241" s="1">
        <v>17.4</v>
      </c>
      <c r="BF2241" s="1">
        <v>30.4</v>
      </c>
      <c r="BG2241" s="1">
        <v>44.4</v>
      </c>
      <c r="BH2241" s="1" t="s">
        <v>3709</v>
      </c>
    </row>
    <row r="2242">
      <c r="A2242" s="1">
        <v>41069.0</v>
      </c>
      <c r="B2242" s="2" t="str">
        <f>IFERROR(__xludf.DUMMYFUNCTION("TO_TEXT(A2242)"),"41069")</f>
        <v>41069</v>
      </c>
      <c r="C2242" s="1">
        <v>1369.0</v>
      </c>
      <c r="D2242" s="1">
        <v>1716.02143008245</v>
      </c>
      <c r="E2242" s="1" t="s">
        <v>1052</v>
      </c>
      <c r="F2242" s="1" t="s">
        <v>3710</v>
      </c>
      <c r="G2242" s="1">
        <v>0.797775584850489</v>
      </c>
      <c r="H2242" s="1">
        <v>16.757642425</v>
      </c>
      <c r="I2242" s="1">
        <v>4.7757078235</v>
      </c>
      <c r="J2242" s="1">
        <v>7.80443539465</v>
      </c>
      <c r="K2242" s="1">
        <v>15.438358629</v>
      </c>
      <c r="L2242" s="1">
        <v>26.9</v>
      </c>
      <c r="M2242" s="1">
        <v>4.7</v>
      </c>
      <c r="N2242" s="1">
        <v>27.5</v>
      </c>
      <c r="O2242" s="1">
        <v>49.757113116</v>
      </c>
      <c r="P2242" s="1">
        <v>10.969976905</v>
      </c>
      <c r="Q2242" s="1">
        <v>0.0</v>
      </c>
      <c r="R2242" s="1">
        <v>25.64</v>
      </c>
      <c r="S2242" s="1">
        <v>35.0</v>
      </c>
      <c r="T2242" s="1">
        <v>221.0</v>
      </c>
      <c r="U2242" s="1">
        <v>42.533936652</v>
      </c>
      <c r="V2242" s="1">
        <v>183.82352941</v>
      </c>
      <c r="W2242" s="1">
        <v>13.669064748</v>
      </c>
      <c r="X2242" s="1">
        <v>11.240875912</v>
      </c>
      <c r="Y2242" s="1">
        <v>77.482572377</v>
      </c>
      <c r="Z2242" s="1">
        <v>18.7</v>
      </c>
      <c r="AA2242" s="1">
        <v>37.685752492</v>
      </c>
      <c r="AB2242" s="1">
        <v>39579.0</v>
      </c>
      <c r="AC2242" s="1">
        <v>14.245416079</v>
      </c>
      <c r="AD2242" s="1">
        <v>73.373676248</v>
      </c>
      <c r="AE2242" s="1">
        <v>15.736040609</v>
      </c>
      <c r="AF2242" s="1">
        <v>0.3660322108</v>
      </c>
      <c r="AG2242" s="1">
        <v>2.2693997072</v>
      </c>
      <c r="AH2242" s="1">
        <v>0.878477306</v>
      </c>
      <c r="AI2242" s="1">
        <v>0.2196193265</v>
      </c>
      <c r="AJ2242" s="1">
        <v>6.3689604685</v>
      </c>
      <c r="AK2242" s="1">
        <v>86.383601757</v>
      </c>
      <c r="AL2242" s="1">
        <v>0.0</v>
      </c>
      <c r="AM2242" s="1">
        <v>50.439238653</v>
      </c>
      <c r="AN2242" s="1">
        <v>100.0</v>
      </c>
      <c r="AO2242" s="1">
        <v>22723.0</v>
      </c>
      <c r="AP2242" s="1">
        <v>20.2</v>
      </c>
      <c r="AQ2242" s="1">
        <v>10.5</v>
      </c>
      <c r="AR2242" s="1">
        <v>8.4</v>
      </c>
      <c r="AS2242" s="1">
        <v>35.8</v>
      </c>
      <c r="AT2242" s="1">
        <v>11.5</v>
      </c>
      <c r="AU2242" s="1">
        <v>23.9</v>
      </c>
      <c r="AV2242" s="1">
        <v>5.7</v>
      </c>
      <c r="AW2242" s="1">
        <v>0.0</v>
      </c>
      <c r="AX2242" s="1">
        <v>0.2795</v>
      </c>
      <c r="AY2242" s="1">
        <v>17.7</v>
      </c>
      <c r="AZ2242" s="1">
        <v>15.4</v>
      </c>
      <c r="BA2242" s="1">
        <v>23.8</v>
      </c>
      <c r="BB2242" s="1">
        <v>3.33</v>
      </c>
      <c r="BC2242" s="1" t="s">
        <v>3661</v>
      </c>
      <c r="BD2242" s="1">
        <v>8.4</v>
      </c>
      <c r="BE2242" s="1">
        <v>37.1</v>
      </c>
      <c r="BF2242" s="1">
        <v>39.6</v>
      </c>
      <c r="BG2242" s="1">
        <v>14.9</v>
      </c>
      <c r="BH2242" s="1" t="s">
        <v>3710</v>
      </c>
    </row>
    <row r="2243">
      <c r="A2243" s="1">
        <v>41071.0</v>
      </c>
      <c r="B2243" s="2" t="str">
        <f>IFERROR(__xludf.DUMMYFUNCTION("TO_TEXT(A2243)"),"41071")</f>
        <v>41071</v>
      </c>
      <c r="C2243" s="1">
        <v>102217.0</v>
      </c>
      <c r="D2243" s="1">
        <v>715.89842680585</v>
      </c>
      <c r="E2243" s="1" t="s">
        <v>3711</v>
      </c>
      <c r="F2243" s="1" t="s">
        <v>3712</v>
      </c>
      <c r="G2243" s="1">
        <v>142.781428443788</v>
      </c>
      <c r="H2243" s="1">
        <v>13.7366480359999</v>
      </c>
      <c r="I2243" s="1">
        <v>4.3032507174</v>
      </c>
      <c r="J2243" s="1">
        <v>6.3385725329</v>
      </c>
      <c r="K2243" s="1">
        <v>14.717227734</v>
      </c>
      <c r="L2243" s="1">
        <v>33.5</v>
      </c>
      <c r="M2243" s="1">
        <v>8.2</v>
      </c>
      <c r="N2243" s="1">
        <v>23.6</v>
      </c>
      <c r="O2243" s="1">
        <v>79.696147914</v>
      </c>
      <c r="P2243" s="1">
        <v>7.9943428339</v>
      </c>
      <c r="Q2243" s="1">
        <v>65.2655099999999</v>
      </c>
      <c r="R2243" s="1">
        <v>83.03</v>
      </c>
      <c r="S2243" s="1">
        <v>13.7</v>
      </c>
      <c r="T2243" s="1">
        <v>23448.0</v>
      </c>
      <c r="U2243" s="1">
        <v>27.989593995</v>
      </c>
      <c r="V2243" s="1">
        <v>127.99672951</v>
      </c>
      <c r="W2243" s="1">
        <v>18.228571429</v>
      </c>
      <c r="X2243" s="1">
        <v>14.765197349</v>
      </c>
      <c r="Y2243" s="1">
        <v>79.413425936</v>
      </c>
      <c r="Z2243" s="1">
        <v>11.0</v>
      </c>
      <c r="AA2243" s="1">
        <v>5.5584128031</v>
      </c>
      <c r="AB2243" s="1">
        <v>61776.0</v>
      </c>
      <c r="AC2243" s="1">
        <v>50.604174295</v>
      </c>
      <c r="AD2243" s="1">
        <v>69.530624085</v>
      </c>
      <c r="AE2243" s="1">
        <v>14.773303295</v>
      </c>
      <c r="AF2243" s="1">
        <v>0.9691407637</v>
      </c>
      <c r="AG2243" s="1">
        <v>1.9551036429</v>
      </c>
      <c r="AH2243" s="1">
        <v>2.1560344666</v>
      </c>
      <c r="AI2243" s="1">
        <v>0.2542008561</v>
      </c>
      <c r="AJ2243" s="1">
        <v>16.174464029</v>
      </c>
      <c r="AK2243" s="1">
        <v>76.779873273</v>
      </c>
      <c r="AL2243" s="1">
        <v>2.9965149672</v>
      </c>
      <c r="AM2243" s="1">
        <v>49.9345806619999</v>
      </c>
      <c r="AN2243" s="1">
        <v>22.603409515</v>
      </c>
      <c r="AO2243" s="1">
        <v>26523.0</v>
      </c>
      <c r="AP2243" s="1">
        <v>15.7</v>
      </c>
      <c r="AQ2243" s="1">
        <v>8.2</v>
      </c>
      <c r="AR2243" s="1">
        <v>12.0</v>
      </c>
      <c r="AS2243" s="1">
        <v>15.6</v>
      </c>
      <c r="AT2243" s="1">
        <v>23.2</v>
      </c>
      <c r="AU2243" s="1">
        <v>15.3</v>
      </c>
      <c r="AV2243" s="1">
        <v>22.0</v>
      </c>
      <c r="AW2243" s="1">
        <v>3.3</v>
      </c>
      <c r="AX2243" s="1">
        <v>0.7402</v>
      </c>
      <c r="AY2243" s="1">
        <v>10.6</v>
      </c>
      <c r="AZ2243" s="1">
        <v>11.1</v>
      </c>
      <c r="BA2243" s="1">
        <v>16.6</v>
      </c>
      <c r="BB2243" s="1">
        <v>3.39</v>
      </c>
      <c r="BC2243" s="1" t="s">
        <v>3661</v>
      </c>
      <c r="BD2243" s="1">
        <v>11.1</v>
      </c>
      <c r="BE2243" s="1">
        <v>24.6</v>
      </c>
      <c r="BF2243" s="1">
        <v>37.5</v>
      </c>
      <c r="BG2243" s="1">
        <v>26.9</v>
      </c>
      <c r="BH2243" s="1" t="s">
        <v>3712</v>
      </c>
    </row>
    <row r="2244">
      <c r="A2244" s="1">
        <v>42001.0</v>
      </c>
      <c r="B2244" s="2" t="str">
        <f>IFERROR(__xludf.DUMMYFUNCTION("TO_TEXT(A2244)"),"42001")</f>
        <v>42001</v>
      </c>
      <c r="C2244" s="1">
        <v>101759.0</v>
      </c>
      <c r="D2244" s="1">
        <v>518.687385478726</v>
      </c>
      <c r="E2244" s="1" t="s">
        <v>532</v>
      </c>
      <c r="F2244" s="1" t="s">
        <v>3713</v>
      </c>
      <c r="G2244" s="1">
        <v>196.185607841766</v>
      </c>
      <c r="H2244" s="1">
        <v>15.315659333</v>
      </c>
      <c r="I2244" s="1">
        <v>4.3884967714</v>
      </c>
      <c r="J2244" s="1">
        <v>7.7878433665</v>
      </c>
      <c r="K2244" s="1">
        <v>16.215083888</v>
      </c>
      <c r="L2244" s="1">
        <v>35.6</v>
      </c>
      <c r="M2244" s="1">
        <v>8.9</v>
      </c>
      <c r="N2244" s="1">
        <v>26.7</v>
      </c>
      <c r="O2244" s="1">
        <v>60.623033913</v>
      </c>
      <c r="P2244" s="1">
        <v>7.49293357559999</v>
      </c>
      <c r="Q2244" s="1">
        <v>54.7217</v>
      </c>
      <c r="R2244" s="1">
        <v>91.387559809</v>
      </c>
      <c r="S2244" s="1">
        <v>11.2</v>
      </c>
      <c r="T2244" s="1">
        <v>20652.0</v>
      </c>
      <c r="U2244" s="1">
        <v>26.6802246759999</v>
      </c>
      <c r="V2244" s="1">
        <v>133.52314565</v>
      </c>
      <c r="W2244" s="1">
        <v>12.25503005</v>
      </c>
      <c r="X2244" s="1">
        <v>10.346638655</v>
      </c>
      <c r="Y2244" s="1">
        <v>79.407376741</v>
      </c>
      <c r="Z2244" s="1">
        <v>8.5</v>
      </c>
      <c r="AA2244" s="1">
        <v>2.9504358993</v>
      </c>
      <c r="AB2244" s="1">
        <v>62877.0</v>
      </c>
      <c r="AC2244" s="1">
        <v>41.530448718</v>
      </c>
      <c r="AD2244" s="1">
        <v>77.236684429</v>
      </c>
      <c r="AE2244" s="1">
        <v>9.2834907403</v>
      </c>
      <c r="AF2244" s="1">
        <v>1.5961327095</v>
      </c>
      <c r="AG2244" s="1">
        <v>0.3987900127</v>
      </c>
      <c r="AH2244" s="1">
        <v>0.8753927109</v>
      </c>
      <c r="AI2244" s="1">
        <v>0.0457149527</v>
      </c>
      <c r="AJ2244" s="1">
        <v>7.1072161539</v>
      </c>
      <c r="AK2244" s="1">
        <v>89.0177121129999</v>
      </c>
      <c r="AL2244" s="1">
        <v>1.2697691704</v>
      </c>
      <c r="AM2244" s="1">
        <v>50.79417572</v>
      </c>
      <c r="AN2244" s="1">
        <v>53.675781751</v>
      </c>
      <c r="AO2244" s="1">
        <v>28515.0</v>
      </c>
      <c r="AP2244" s="1">
        <v>9.4</v>
      </c>
      <c r="AQ2244" s="1">
        <v>5.5</v>
      </c>
      <c r="AR2244" s="1">
        <v>12.2</v>
      </c>
      <c r="AS2244" s="1">
        <v>18.3</v>
      </c>
      <c r="AT2244" s="1">
        <v>20.7</v>
      </c>
      <c r="AU2244" s="1">
        <v>13.5</v>
      </c>
      <c r="AV2244" s="1">
        <v>10.2</v>
      </c>
      <c r="AW2244" s="1">
        <v>1.3</v>
      </c>
      <c r="AX2244" s="1">
        <v>0.2241</v>
      </c>
      <c r="AY2244" s="1">
        <v>7.6</v>
      </c>
      <c r="AZ2244" s="1">
        <v>8.2</v>
      </c>
      <c r="BA2244" s="1">
        <v>12.3</v>
      </c>
      <c r="BB2244" s="1">
        <v>3.63</v>
      </c>
      <c r="BC2244" s="1" t="s">
        <v>3714</v>
      </c>
      <c r="BD2244" s="1">
        <v>11.2</v>
      </c>
      <c r="BE2244" s="1">
        <v>39.9</v>
      </c>
      <c r="BF2244" s="1">
        <v>26.6</v>
      </c>
      <c r="BG2244" s="1">
        <v>22.3</v>
      </c>
      <c r="BH2244" s="1" t="s">
        <v>3713</v>
      </c>
    </row>
    <row r="2245">
      <c r="A2245" s="1">
        <v>42003.0</v>
      </c>
      <c r="B2245" s="2" t="str">
        <f>IFERROR(__xludf.DUMMYFUNCTION("TO_TEXT(A2245)"),"42003")</f>
        <v>42003</v>
      </c>
      <c r="C2245" s="1">
        <v>1230360.0</v>
      </c>
      <c r="D2245" s="1">
        <v>730.076297266011</v>
      </c>
      <c r="E2245" s="1" t="s">
        <v>3715</v>
      </c>
      <c r="F2245" s="1" t="s">
        <v>3716</v>
      </c>
      <c r="G2245" s="1">
        <v>1685.24852074701</v>
      </c>
      <c r="H2245" s="1">
        <v>12.731567892</v>
      </c>
      <c r="I2245" s="1">
        <v>3.8352725516</v>
      </c>
      <c r="J2245" s="1">
        <v>8.0547706535</v>
      </c>
      <c r="K2245" s="1">
        <v>16.991038873</v>
      </c>
      <c r="L2245" s="1">
        <v>28.1</v>
      </c>
      <c r="M2245" s="1">
        <v>7.7</v>
      </c>
      <c r="N2245" s="1">
        <v>20.9</v>
      </c>
      <c r="O2245" s="1">
        <v>91.993038776</v>
      </c>
      <c r="P2245" s="1">
        <v>4.8607007458</v>
      </c>
      <c r="Q2245" s="1">
        <v>109.23529</v>
      </c>
      <c r="R2245" s="1">
        <v>90.896309315</v>
      </c>
      <c r="S2245" s="1">
        <v>15.0</v>
      </c>
      <c r="T2245" s="1">
        <v>229132.0</v>
      </c>
      <c r="U2245" s="1">
        <v>32.613951783</v>
      </c>
      <c r="V2245" s="1">
        <v>394.52772054</v>
      </c>
      <c r="W2245" s="1">
        <v>13.830438262</v>
      </c>
      <c r="X2245" s="1">
        <v>12.5772546929999</v>
      </c>
      <c r="Y2245" s="1">
        <v>77.904417773</v>
      </c>
      <c r="Z2245" s="1">
        <v>9.4</v>
      </c>
      <c r="AA2245" s="1">
        <v>5.6938980646</v>
      </c>
      <c r="AB2245" s="1">
        <v>59881.0</v>
      </c>
      <c r="AC2245" s="1">
        <v>43.5723980439999</v>
      </c>
      <c r="AD2245" s="1">
        <v>64.726001933</v>
      </c>
      <c r="AE2245" s="1">
        <v>13.049159034</v>
      </c>
      <c r="AF2245" s="1">
        <v>13.174010958</v>
      </c>
      <c r="AG2245" s="1">
        <v>0.1593825608</v>
      </c>
      <c r="AH2245" s="1">
        <v>4.1025826212</v>
      </c>
      <c r="AI2245" s="1">
        <v>0.0361934652</v>
      </c>
      <c r="AJ2245" s="1">
        <v>2.1799791867</v>
      </c>
      <c r="AK2245" s="1">
        <v>78.373214538</v>
      </c>
      <c r="AL2245" s="1">
        <v>0.8260100151</v>
      </c>
      <c r="AM2245" s="1">
        <v>51.668510536</v>
      </c>
      <c r="AN2245" s="1">
        <v>2.4862917175</v>
      </c>
      <c r="AO2245" s="1">
        <v>33830.0</v>
      </c>
      <c r="AP2245" s="1">
        <v>12.7</v>
      </c>
      <c r="AQ2245" s="1">
        <v>6.4</v>
      </c>
      <c r="AR2245" s="1">
        <v>6.1</v>
      </c>
      <c r="AS2245" s="1">
        <v>17.4</v>
      </c>
      <c r="AT2245" s="1">
        <v>19.1</v>
      </c>
      <c r="AU2245" s="1">
        <v>13.2</v>
      </c>
      <c r="AV2245" s="1">
        <v>20.6</v>
      </c>
      <c r="AW2245" s="1">
        <v>0.9</v>
      </c>
      <c r="AX2245" s="1">
        <v>0.2461</v>
      </c>
      <c r="AY2245" s="1">
        <v>10.8</v>
      </c>
      <c r="AZ2245" s="1">
        <v>10.6</v>
      </c>
      <c r="BA2245" s="1">
        <v>14.3</v>
      </c>
      <c r="BB2245" s="1">
        <v>3.21</v>
      </c>
      <c r="BC2245" s="1" t="s">
        <v>3714</v>
      </c>
      <c r="BD2245" s="1">
        <v>5.4</v>
      </c>
      <c r="BE2245" s="1">
        <v>27.0</v>
      </c>
      <c r="BF2245" s="1">
        <v>26.0</v>
      </c>
      <c r="BG2245" s="1">
        <v>41.6</v>
      </c>
      <c r="BH2245" s="1" t="s">
        <v>3716</v>
      </c>
    </row>
    <row r="2246">
      <c r="A2246" s="1">
        <v>42005.0</v>
      </c>
      <c r="B2246" s="2" t="str">
        <f>IFERROR(__xludf.DUMMYFUNCTION("TO_TEXT(A2246)"),"42005")</f>
        <v>42005</v>
      </c>
      <c r="C2246" s="1">
        <v>67512.0</v>
      </c>
      <c r="D2246" s="1">
        <v>653.17588663445</v>
      </c>
      <c r="E2246" s="1" t="s">
        <v>3717</v>
      </c>
      <c r="F2246" s="1" t="s">
        <v>3718</v>
      </c>
      <c r="G2246" s="1">
        <v>103.359602492159</v>
      </c>
      <c r="H2246" s="1">
        <v>16.276178514</v>
      </c>
      <c r="I2246" s="1">
        <v>4.5385877941</v>
      </c>
      <c r="J2246" s="1">
        <v>7.06278026909999</v>
      </c>
      <c r="K2246" s="1">
        <v>18.726868837</v>
      </c>
      <c r="L2246" s="1">
        <v>42.3</v>
      </c>
      <c r="M2246" s="1">
        <v>8.2</v>
      </c>
      <c r="N2246" s="1">
        <v>30.8</v>
      </c>
      <c r="O2246" s="1">
        <v>78.526566194</v>
      </c>
      <c r="P2246" s="1">
        <v>5.7494184114</v>
      </c>
      <c r="Q2246" s="1">
        <v>44.17903</v>
      </c>
      <c r="R2246" s="1">
        <v>88.888888889</v>
      </c>
      <c r="S2246" s="1">
        <v>13.6</v>
      </c>
      <c r="T2246" s="1">
        <v>12759.0</v>
      </c>
      <c r="U2246" s="1">
        <v>30.543146015</v>
      </c>
      <c r="V2246" s="1">
        <v>108.06592021</v>
      </c>
      <c r="W2246" s="1">
        <v>10.14159292</v>
      </c>
      <c r="X2246" s="1">
        <v>8.6132952109</v>
      </c>
      <c r="Y2246" s="1">
        <v>76.187532651</v>
      </c>
      <c r="Z2246" s="1">
        <v>12.0</v>
      </c>
      <c r="AA2246" s="1">
        <v>2.5554959861</v>
      </c>
      <c r="AB2246" s="1">
        <v>49436.0</v>
      </c>
      <c r="AC2246" s="1">
        <v>64.321672906</v>
      </c>
      <c r="AD2246" s="1">
        <v>76.255805645</v>
      </c>
      <c r="AE2246" s="1">
        <v>9.23443550789999</v>
      </c>
      <c r="AF2246" s="1">
        <v>0.8779859951</v>
      </c>
      <c r="AG2246" s="1">
        <v>0.1455648683</v>
      </c>
      <c r="AH2246" s="1">
        <v>0.3064523543</v>
      </c>
      <c r="AI2246" s="1">
        <v>0.0122580942</v>
      </c>
      <c r="AJ2246" s="1">
        <v>0.7952438595</v>
      </c>
      <c r="AK2246" s="1">
        <v>96.998299189</v>
      </c>
      <c r="AL2246" s="1">
        <v>0.225182366</v>
      </c>
      <c r="AM2246" s="1">
        <v>50.1984278989999</v>
      </c>
      <c r="AN2246" s="1">
        <v>67.4866915189999</v>
      </c>
      <c r="AO2246" s="1">
        <v>24634.0</v>
      </c>
      <c r="AP2246" s="1">
        <v>13.2</v>
      </c>
      <c r="AQ2246" s="1">
        <v>7.7</v>
      </c>
      <c r="AR2246" s="1">
        <v>10.9</v>
      </c>
      <c r="AS2246" s="1">
        <v>20.2</v>
      </c>
      <c r="AT2246" s="1">
        <v>19.6</v>
      </c>
      <c r="AU2246" s="1">
        <v>18.8</v>
      </c>
      <c r="AV2246" s="1">
        <v>2.7</v>
      </c>
      <c r="AW2246" s="1">
        <v>0.3</v>
      </c>
      <c r="AX2246" s="1">
        <v>0.2865</v>
      </c>
      <c r="AY2246" s="1">
        <v>11.1</v>
      </c>
      <c r="AZ2246" s="1">
        <v>11.7</v>
      </c>
      <c r="BA2246" s="1">
        <v>18.1</v>
      </c>
      <c r="BB2246" s="1">
        <v>2.72</v>
      </c>
      <c r="BC2246" s="1" t="s">
        <v>3714</v>
      </c>
      <c r="BD2246" s="1">
        <v>9.7</v>
      </c>
      <c r="BE2246" s="1">
        <v>49.0</v>
      </c>
      <c r="BF2246" s="1">
        <v>24.6</v>
      </c>
      <c r="BG2246" s="1">
        <v>16.7</v>
      </c>
      <c r="BH2246" s="1" t="s">
        <v>3718</v>
      </c>
    </row>
    <row r="2247">
      <c r="A2247" s="1">
        <v>42007.0</v>
      </c>
      <c r="B2247" s="2" t="str">
        <f>IFERROR(__xludf.DUMMYFUNCTION("TO_TEXT(A2247)"),"42007")</f>
        <v>42007</v>
      </c>
      <c r="C2247" s="1">
        <v>169205.0</v>
      </c>
      <c r="D2247" s="1">
        <v>434.712690064422</v>
      </c>
      <c r="E2247" s="1" t="s">
        <v>3547</v>
      </c>
      <c r="F2247" s="1" t="s">
        <v>3719</v>
      </c>
      <c r="G2247" s="1">
        <v>389.23409384466</v>
      </c>
      <c r="H2247" s="1">
        <v>14.9519302759999</v>
      </c>
      <c r="I2247" s="1">
        <v>4.2483242663</v>
      </c>
      <c r="J2247" s="1">
        <v>7.509472959</v>
      </c>
      <c r="K2247" s="1">
        <v>19.220431873</v>
      </c>
      <c r="L2247" s="1">
        <v>33.2</v>
      </c>
      <c r="M2247" s="1">
        <v>7.5</v>
      </c>
      <c r="N2247" s="1">
        <v>27.2</v>
      </c>
      <c r="O2247" s="1">
        <v>84.353139165</v>
      </c>
      <c r="P2247" s="1">
        <v>4.920310269</v>
      </c>
      <c r="Q2247" s="1">
        <v>42.73504</v>
      </c>
      <c r="R2247" s="1">
        <v>69.733333333</v>
      </c>
      <c r="S2247" s="1">
        <v>16.3</v>
      </c>
      <c r="T2247" s="1">
        <v>32244.0</v>
      </c>
      <c r="U2247" s="1">
        <v>33.742711822</v>
      </c>
      <c r="V2247" s="1">
        <v>265.15209039</v>
      </c>
      <c r="W2247" s="1">
        <v>10.540617849</v>
      </c>
      <c r="X2247" s="1">
        <v>9.0456251805</v>
      </c>
      <c r="Y2247" s="1">
        <v>76.81500477</v>
      </c>
      <c r="Z2247" s="1">
        <v>12.8</v>
      </c>
      <c r="AA2247" s="1">
        <v>11.807355927</v>
      </c>
      <c r="AB2247" s="1">
        <v>54823.0</v>
      </c>
      <c r="AC2247" s="1">
        <v>49.718277066</v>
      </c>
      <c r="AD2247" s="1">
        <v>73.262069842</v>
      </c>
      <c r="AE2247" s="1">
        <v>9.4642752819</v>
      </c>
      <c r="AF2247" s="1">
        <v>6.2582705078</v>
      </c>
      <c r="AG2247" s="1">
        <v>0.1766398368</v>
      </c>
      <c r="AH2247" s="1">
        <v>0.5760522514</v>
      </c>
      <c r="AI2247" s="1">
        <v>0.0382416142</v>
      </c>
      <c r="AJ2247" s="1">
        <v>1.6352842627</v>
      </c>
      <c r="AK2247" s="1">
        <v>89.387648566</v>
      </c>
      <c r="AL2247" s="1">
        <v>0.3744987211</v>
      </c>
      <c r="AM2247" s="1">
        <v>51.436185065</v>
      </c>
      <c r="AN2247" s="1">
        <v>25.827523323</v>
      </c>
      <c r="AO2247" s="1">
        <v>28018.0</v>
      </c>
      <c r="AP2247" s="1">
        <v>10.8</v>
      </c>
      <c r="AQ2247" s="1">
        <v>6.1</v>
      </c>
      <c r="AR2247" s="1">
        <v>8.1</v>
      </c>
      <c r="AS2247" s="1">
        <v>19.7</v>
      </c>
      <c r="AT2247" s="1">
        <v>19.8</v>
      </c>
      <c r="AU2247" s="1">
        <v>14.7</v>
      </c>
      <c r="AV2247" s="1">
        <v>10.1</v>
      </c>
      <c r="AW2247" s="1">
        <v>0.3</v>
      </c>
      <c r="AX2247" s="1">
        <v>0.2155</v>
      </c>
      <c r="AY2247" s="1">
        <v>11.7</v>
      </c>
      <c r="AZ2247" s="1">
        <v>10.7</v>
      </c>
      <c r="BA2247" s="1">
        <v>16.1</v>
      </c>
      <c r="BB2247" s="1">
        <v>2.89</v>
      </c>
      <c r="BC2247" s="1" t="s">
        <v>3714</v>
      </c>
      <c r="BD2247" s="1">
        <v>6.9</v>
      </c>
      <c r="BE2247" s="1">
        <v>36.8</v>
      </c>
      <c r="BF2247" s="1">
        <v>31.6</v>
      </c>
      <c r="BG2247" s="1">
        <v>24.7</v>
      </c>
      <c r="BH2247" s="1" t="s">
        <v>3719</v>
      </c>
    </row>
    <row r="2248">
      <c r="A2248" s="1">
        <v>42009.0</v>
      </c>
      <c r="B2248" s="2" t="str">
        <f>IFERROR(__xludf.DUMMYFUNCTION("TO_TEXT(A2248)"),"42009")</f>
        <v>42009</v>
      </c>
      <c r="C2248" s="1">
        <v>48852.0</v>
      </c>
      <c r="D2248" s="1">
        <v>1012.29635261659</v>
      </c>
      <c r="E2248" s="1" t="s">
        <v>3720</v>
      </c>
      <c r="F2248" s="1" t="s">
        <v>3721</v>
      </c>
      <c r="G2248" s="1">
        <v>48.2585952954656</v>
      </c>
      <c r="H2248" s="1">
        <v>15.521744413</v>
      </c>
      <c r="I2248" s="1">
        <v>4.4448872658</v>
      </c>
      <c r="J2248" s="1">
        <v>5.47039374809999</v>
      </c>
      <c r="K2248" s="1">
        <v>17.457316727</v>
      </c>
      <c r="L2248" s="1">
        <v>30.3</v>
      </c>
      <c r="M2248" s="1">
        <v>8.4</v>
      </c>
      <c r="N2248" s="1">
        <v>25.4</v>
      </c>
      <c r="O2248" s="1">
        <v>62.226196696</v>
      </c>
      <c r="P2248" s="1">
        <v>6.9370072384</v>
      </c>
      <c r="Q2248" s="1">
        <v>24.75248</v>
      </c>
      <c r="R2248" s="1">
        <v>91.766723842</v>
      </c>
      <c r="S2248" s="1">
        <v>15.0</v>
      </c>
      <c r="T2248" s="1">
        <v>9677.0</v>
      </c>
      <c r="U2248" s="1">
        <v>25.193758396</v>
      </c>
      <c r="V2248" s="1">
        <v>80.442859109</v>
      </c>
      <c r="W2248" s="1">
        <v>11.6173120729999</v>
      </c>
      <c r="X2248" s="1">
        <v>9.472342595</v>
      </c>
      <c r="Y2248" s="1">
        <v>78.499470638</v>
      </c>
      <c r="Z2248" s="1">
        <v>11.3</v>
      </c>
      <c r="AA2248" s="1">
        <v>2.2389113374</v>
      </c>
      <c r="AB2248" s="1">
        <v>50257.0</v>
      </c>
      <c r="AC2248" s="1">
        <v>48.869223206</v>
      </c>
      <c r="AD2248" s="1">
        <v>79.790586561</v>
      </c>
      <c r="AE2248" s="1">
        <v>9.3921474615</v>
      </c>
      <c r="AF2248" s="1">
        <v>0.6289438725</v>
      </c>
      <c r="AG2248" s="1">
        <v>0.1930421787</v>
      </c>
      <c r="AH2248" s="1">
        <v>0.4338259714</v>
      </c>
      <c r="AI2248" s="1">
        <v>0.0435901694</v>
      </c>
      <c r="AJ2248" s="1">
        <v>1.2309033544</v>
      </c>
      <c r="AK2248" s="1">
        <v>96.699601461</v>
      </c>
      <c r="AL2248" s="1">
        <v>0.3052807067</v>
      </c>
      <c r="AM2248" s="1">
        <v>50.182663567</v>
      </c>
      <c r="AN2248" s="1">
        <v>83.794863551</v>
      </c>
      <c r="AO2248" s="1">
        <v>23632.0</v>
      </c>
      <c r="AP2248" s="1">
        <v>14.2</v>
      </c>
      <c r="AQ2248" s="1">
        <v>6.2</v>
      </c>
      <c r="AR2248" s="1">
        <v>13.3</v>
      </c>
      <c r="AS2248" s="1">
        <v>20.5</v>
      </c>
      <c r="AT2248" s="1">
        <v>20.6</v>
      </c>
      <c r="AU2248" s="1">
        <v>17.6</v>
      </c>
      <c r="AV2248" s="1">
        <v>3.0</v>
      </c>
      <c r="AW2248" s="1">
        <v>0.2</v>
      </c>
      <c r="AX2248" s="1">
        <v>0.3292</v>
      </c>
      <c r="AY2248" s="1">
        <v>10.4</v>
      </c>
      <c r="AZ2248" s="1">
        <v>11.2</v>
      </c>
      <c r="BA2248" s="1">
        <v>17.2</v>
      </c>
      <c r="BB2248" s="1">
        <v>3.42</v>
      </c>
      <c r="BC2248" s="1" t="s">
        <v>3714</v>
      </c>
      <c r="BD2248" s="1">
        <v>12.1</v>
      </c>
      <c r="BE2248" s="1">
        <v>51.3</v>
      </c>
      <c r="BF2248" s="1">
        <v>21.9</v>
      </c>
      <c r="BG2248" s="1">
        <v>14.7</v>
      </c>
      <c r="BH2248" s="1" t="s">
        <v>3721</v>
      </c>
    </row>
    <row r="2249">
      <c r="A2249" s="1">
        <v>42011.0</v>
      </c>
      <c r="B2249" s="2" t="str">
        <f>IFERROR(__xludf.DUMMYFUNCTION("TO_TEXT(A2249)"),"42011")</f>
        <v>42011</v>
      </c>
      <c r="C2249" s="1">
        <v>414097.0</v>
      </c>
      <c r="D2249" s="1">
        <v>856.389781238724</v>
      </c>
      <c r="E2249" s="1" t="s">
        <v>3722</v>
      </c>
      <c r="F2249" s="1" t="s">
        <v>3723</v>
      </c>
      <c r="G2249" s="1">
        <v>483.537997617195</v>
      </c>
      <c r="H2249" s="1">
        <v>18.21500451</v>
      </c>
      <c r="I2249" s="1">
        <v>4.3260814092</v>
      </c>
      <c r="J2249" s="1">
        <v>8.17754912809999</v>
      </c>
      <c r="K2249" s="1">
        <v>16.58359467</v>
      </c>
      <c r="L2249" s="1">
        <v>36.4</v>
      </c>
      <c r="M2249" s="1">
        <v>8.7</v>
      </c>
      <c r="N2249" s="1">
        <v>25.8</v>
      </c>
      <c r="O2249" s="1">
        <v>85.676960544</v>
      </c>
      <c r="P2249" s="1">
        <v>7.5294689369</v>
      </c>
      <c r="Q2249" s="1">
        <v>62.70133</v>
      </c>
      <c r="R2249" s="1">
        <v>86.612497582</v>
      </c>
      <c r="S2249" s="1">
        <v>16.9</v>
      </c>
      <c r="T2249" s="1">
        <v>93116.0</v>
      </c>
      <c r="U2249" s="1">
        <v>36.5962885</v>
      </c>
      <c r="V2249" s="1">
        <v>299.90055611</v>
      </c>
      <c r="W2249" s="1">
        <v>15.487044933</v>
      </c>
      <c r="X2249" s="1">
        <v>13.741946142</v>
      </c>
      <c r="Y2249" s="1">
        <v>79.2130656619999</v>
      </c>
      <c r="Z2249" s="1">
        <v>12.8</v>
      </c>
      <c r="AA2249" s="1">
        <v>3.460005771</v>
      </c>
      <c r="AB2249" s="1">
        <v>62519.0</v>
      </c>
      <c r="AC2249" s="1">
        <v>50.317613384</v>
      </c>
      <c r="AD2249" s="1">
        <v>71.675503506</v>
      </c>
      <c r="AE2249" s="1">
        <v>13.353363157</v>
      </c>
      <c r="AF2249" s="1">
        <v>4.2237095147</v>
      </c>
      <c r="AG2249" s="1">
        <v>0.851358556</v>
      </c>
      <c r="AH2249" s="1">
        <v>1.6046573621</v>
      </c>
      <c r="AI2249" s="1">
        <v>0.177078771499999</v>
      </c>
      <c r="AJ2249" s="1">
        <v>21.937060873</v>
      </c>
      <c r="AK2249" s="1">
        <v>70.904339382</v>
      </c>
      <c r="AL2249" s="1">
        <v>4.3683258149</v>
      </c>
      <c r="AM2249" s="1">
        <v>50.7939983619999</v>
      </c>
      <c r="AN2249" s="1">
        <v>23.736030838</v>
      </c>
      <c r="AO2249" s="1">
        <v>27844.0</v>
      </c>
      <c r="AP2249" s="1">
        <v>14.3</v>
      </c>
      <c r="AQ2249" s="1">
        <v>8.2</v>
      </c>
      <c r="AR2249" s="1">
        <v>14.5</v>
      </c>
      <c r="AS2249" s="1">
        <v>15.8</v>
      </c>
      <c r="AT2249" s="1">
        <v>22.9</v>
      </c>
      <c r="AU2249" s="1">
        <v>13.3</v>
      </c>
      <c r="AV2249" s="1">
        <v>25.9</v>
      </c>
      <c r="AW2249" s="1">
        <v>4.0</v>
      </c>
      <c r="AX2249" s="1">
        <v>0.6259</v>
      </c>
      <c r="AY2249" s="1">
        <v>10.2</v>
      </c>
      <c r="AZ2249" s="1">
        <v>9.6</v>
      </c>
      <c r="BA2249" s="1">
        <v>13.7</v>
      </c>
      <c r="BB2249" s="1">
        <v>3.18</v>
      </c>
      <c r="BC2249" s="1" t="s">
        <v>3714</v>
      </c>
      <c r="BD2249" s="1">
        <v>13.3</v>
      </c>
      <c r="BE2249" s="1">
        <v>36.7</v>
      </c>
      <c r="BF2249" s="1">
        <v>25.1</v>
      </c>
      <c r="BG2249" s="1">
        <v>24.9</v>
      </c>
      <c r="BH2249" s="1" t="s">
        <v>3723</v>
      </c>
    </row>
    <row r="2250">
      <c r="A2250" s="1">
        <v>42013.0</v>
      </c>
      <c r="B2250" s="2" t="str">
        <f>IFERROR(__xludf.DUMMYFUNCTION("TO_TEXT(A2250)"),"42013")</f>
        <v>42013</v>
      </c>
      <c r="C2250" s="1">
        <v>125917.0</v>
      </c>
      <c r="D2250" s="1">
        <v>525.799590497194</v>
      </c>
      <c r="E2250" s="1" t="s">
        <v>3724</v>
      </c>
      <c r="F2250" s="1" t="s">
        <v>3725</v>
      </c>
      <c r="G2250" s="1">
        <v>239.47717395697</v>
      </c>
      <c r="H2250" s="1">
        <v>16.438205968</v>
      </c>
      <c r="I2250" s="1">
        <v>4.5171564207</v>
      </c>
      <c r="J2250" s="1">
        <v>6.985983887</v>
      </c>
      <c r="K2250" s="1">
        <v>18.542062066</v>
      </c>
      <c r="L2250" s="1">
        <v>30.8</v>
      </c>
      <c r="M2250" s="1">
        <v>7.7</v>
      </c>
      <c r="N2250" s="1">
        <v>25.8</v>
      </c>
      <c r="O2250" s="1">
        <v>75.011999465</v>
      </c>
      <c r="P2250" s="1">
        <v>5.7687716056</v>
      </c>
      <c r="Q2250" s="1">
        <v>84.23986</v>
      </c>
      <c r="R2250" s="1">
        <v>90.492957746</v>
      </c>
      <c r="S2250" s="1">
        <v>19.4</v>
      </c>
      <c r="T2250" s="1">
        <v>25176.0</v>
      </c>
      <c r="U2250" s="1">
        <v>34.028439784</v>
      </c>
      <c r="V2250" s="1">
        <v>224.25454285</v>
      </c>
      <c r="W2250" s="1">
        <v>13.246982632</v>
      </c>
      <c r="X2250" s="1">
        <v>11.791873142</v>
      </c>
      <c r="Y2250" s="1">
        <v>76.884280421</v>
      </c>
      <c r="Z2250" s="1">
        <v>14.6</v>
      </c>
      <c r="AA2250" s="1">
        <v>8.0589806546</v>
      </c>
      <c r="AB2250" s="1">
        <v>49244.0</v>
      </c>
      <c r="AC2250" s="1">
        <v>48.2312688469999</v>
      </c>
      <c r="AD2250" s="1">
        <v>70.161743341</v>
      </c>
      <c r="AE2250" s="1">
        <v>12.4063230679999</v>
      </c>
      <c r="AF2250" s="1">
        <v>1.8825719231</v>
      </c>
      <c r="AG2250" s="1">
        <v>0.1665414884</v>
      </c>
      <c r="AH2250" s="1">
        <v>0.7135159847</v>
      </c>
      <c r="AI2250" s="1">
        <v>0.0277569147</v>
      </c>
      <c r="AJ2250" s="1">
        <v>1.3062077523</v>
      </c>
      <c r="AK2250" s="1">
        <v>94.5506645329999</v>
      </c>
      <c r="AL2250" s="1">
        <v>0.2797178943</v>
      </c>
      <c r="AM2250" s="1">
        <v>51.0343532639999</v>
      </c>
      <c r="AN2250" s="1">
        <v>23.430824068</v>
      </c>
      <c r="AO2250" s="1">
        <v>24466.0</v>
      </c>
      <c r="AP2250" s="1">
        <v>14.8</v>
      </c>
      <c r="AQ2250" s="1">
        <v>5.8</v>
      </c>
      <c r="AR2250" s="1">
        <v>9.3</v>
      </c>
      <c r="AS2250" s="1">
        <v>19.3</v>
      </c>
      <c r="AT2250" s="1">
        <v>20.7</v>
      </c>
      <c r="AU2250" s="1">
        <v>16.9</v>
      </c>
      <c r="AV2250" s="1">
        <v>5.0</v>
      </c>
      <c r="AW2250" s="1">
        <v>0.3</v>
      </c>
      <c r="AX2250" s="1">
        <v>0.3626</v>
      </c>
      <c r="AY2250" s="1">
        <v>14.9</v>
      </c>
      <c r="AZ2250" s="1">
        <v>12.0</v>
      </c>
      <c r="BA2250" s="1">
        <v>17.6</v>
      </c>
      <c r="BB2250" s="1">
        <v>3.07</v>
      </c>
      <c r="BC2250" s="1" t="s">
        <v>3714</v>
      </c>
      <c r="BD2250" s="1">
        <v>8.6</v>
      </c>
      <c r="BE2250" s="1">
        <v>45.0</v>
      </c>
      <c r="BF2250" s="1">
        <v>25.1</v>
      </c>
      <c r="BG2250" s="1">
        <v>21.3</v>
      </c>
      <c r="BH2250" s="1" t="s">
        <v>3725</v>
      </c>
    </row>
    <row r="2251">
      <c r="A2251" s="1">
        <v>42015.0</v>
      </c>
      <c r="B2251" s="2" t="str">
        <f>IFERROR(__xludf.DUMMYFUNCTION("TO_TEXT(A2251)"),"42015")</f>
        <v>42015</v>
      </c>
      <c r="C2251" s="1">
        <v>61808.0</v>
      </c>
      <c r="D2251" s="1">
        <v>1147.39893278703</v>
      </c>
      <c r="E2251" s="1" t="s">
        <v>686</v>
      </c>
      <c r="F2251" s="1" t="s">
        <v>3726</v>
      </c>
      <c r="G2251" s="1">
        <v>53.8679252994148</v>
      </c>
      <c r="H2251" s="1">
        <v>16.075543758</v>
      </c>
      <c r="I2251" s="1">
        <v>4.423330849</v>
      </c>
      <c r="J2251" s="1">
        <v>6.8056407112</v>
      </c>
      <c r="K2251" s="1">
        <v>18.2194807409999</v>
      </c>
      <c r="L2251" s="1">
        <v>37.5</v>
      </c>
      <c r="M2251" s="1">
        <v>8.3</v>
      </c>
      <c r="N2251" s="1">
        <v>32.1</v>
      </c>
      <c r="O2251" s="1">
        <v>60.29670084</v>
      </c>
      <c r="P2251" s="1">
        <v>7.89109077169999</v>
      </c>
      <c r="Q2251" s="1">
        <v>92.02504</v>
      </c>
      <c r="R2251" s="1">
        <v>91.1764705879999</v>
      </c>
      <c r="S2251" s="1">
        <v>17.1</v>
      </c>
      <c r="T2251" s="1">
        <v>13471.0</v>
      </c>
      <c r="U2251" s="1">
        <v>32.484596541</v>
      </c>
      <c r="V2251" s="1">
        <v>181.18738676</v>
      </c>
      <c r="W2251" s="1">
        <v>11.088421483</v>
      </c>
      <c r="X2251" s="1">
        <v>9.0119390696</v>
      </c>
      <c r="Y2251" s="1">
        <v>78.3600965489999</v>
      </c>
      <c r="Z2251" s="1">
        <v>13.8</v>
      </c>
      <c r="AA2251" s="1">
        <v>3.7538026046</v>
      </c>
      <c r="AB2251" s="1">
        <v>50978.0</v>
      </c>
      <c r="AC2251" s="1">
        <v>55.210157618</v>
      </c>
      <c r="AD2251" s="1">
        <v>75.362727712</v>
      </c>
      <c r="AE2251" s="1">
        <v>9.1729323308</v>
      </c>
      <c r="AF2251" s="1">
        <v>0.6789078296</v>
      </c>
      <c r="AG2251" s="1">
        <v>0.2909604984</v>
      </c>
      <c r="AH2251" s="1">
        <v>0.6279486463</v>
      </c>
      <c r="AI2251" s="1">
        <v>0.0197261355</v>
      </c>
      <c r="AJ2251" s="1">
        <v>1.5041178308</v>
      </c>
      <c r="AK2251" s="1">
        <v>95.8098400539999</v>
      </c>
      <c r="AL2251" s="1">
        <v>0.2636600173</v>
      </c>
      <c r="AM2251" s="1">
        <v>50.42657768</v>
      </c>
      <c r="AN2251" s="1">
        <v>72.174315736</v>
      </c>
      <c r="AO2251" s="1">
        <v>26255.0</v>
      </c>
      <c r="AP2251" s="1">
        <v>12.4</v>
      </c>
      <c r="AQ2251" s="1">
        <v>5.4</v>
      </c>
      <c r="AR2251" s="1">
        <v>11.1</v>
      </c>
      <c r="AS2251" s="1">
        <v>19.3</v>
      </c>
      <c r="AT2251" s="1">
        <v>22.2</v>
      </c>
      <c r="AU2251" s="1">
        <v>14.9</v>
      </c>
      <c r="AV2251" s="1">
        <v>3.9</v>
      </c>
      <c r="AW2251" s="1">
        <v>0.2</v>
      </c>
      <c r="AX2251" s="1">
        <v>0.2713</v>
      </c>
      <c r="AY2251" s="1">
        <v>14.3</v>
      </c>
      <c r="AZ2251" s="1">
        <v>10.7</v>
      </c>
      <c r="BA2251" s="1">
        <v>16.3</v>
      </c>
      <c r="BB2251" s="1">
        <v>2.84</v>
      </c>
      <c r="BC2251" s="1" t="s">
        <v>3714</v>
      </c>
      <c r="BD2251" s="1">
        <v>9.9</v>
      </c>
      <c r="BE2251" s="1">
        <v>47.0</v>
      </c>
      <c r="BF2251" s="1">
        <v>24.4</v>
      </c>
      <c r="BG2251" s="1">
        <v>18.7</v>
      </c>
      <c r="BH2251" s="1" t="s">
        <v>3726</v>
      </c>
    </row>
    <row r="2252">
      <c r="A2252" s="1">
        <v>42017.0</v>
      </c>
      <c r="B2252" s="2" t="str">
        <f>IFERROR(__xludf.DUMMYFUNCTION("TO_TEXT(A2252)"),"42017")</f>
        <v>42017</v>
      </c>
      <c r="C2252" s="1">
        <v>626220.0</v>
      </c>
      <c r="D2252" s="1">
        <v>604.407438767745</v>
      </c>
      <c r="E2252" s="1" t="s">
        <v>3727</v>
      </c>
      <c r="F2252" s="1" t="s">
        <v>3728</v>
      </c>
      <c r="G2252" s="1">
        <v>1036.08916739464</v>
      </c>
      <c r="H2252" s="1">
        <v>12.354754827</v>
      </c>
      <c r="I2252" s="1">
        <v>3.6307206668</v>
      </c>
      <c r="J2252" s="1">
        <v>7.7240809583</v>
      </c>
      <c r="K2252" s="1">
        <v>14.369768279</v>
      </c>
      <c r="L2252" s="1">
        <v>26.9</v>
      </c>
      <c r="M2252" s="1">
        <v>8.8</v>
      </c>
      <c r="N2252" s="1">
        <v>18.0</v>
      </c>
      <c r="O2252" s="1">
        <v>89.17535254</v>
      </c>
      <c r="P2252" s="1">
        <v>5.2525386039</v>
      </c>
      <c r="Q2252" s="1">
        <v>85.46315</v>
      </c>
      <c r="R2252" s="1">
        <v>93.571126463</v>
      </c>
      <c r="S2252" s="1">
        <v>6.6</v>
      </c>
      <c r="T2252" s="1">
        <v>129401.0</v>
      </c>
      <c r="U2252" s="1">
        <v>21.883911253</v>
      </c>
      <c r="V2252" s="1">
        <v>96.236176024</v>
      </c>
      <c r="W2252" s="1">
        <v>14.941224332</v>
      </c>
      <c r="X2252" s="1">
        <v>13.719827586</v>
      </c>
      <c r="Y2252" s="1">
        <v>79.73979738</v>
      </c>
      <c r="Z2252" s="1">
        <v>8.1</v>
      </c>
      <c r="AA2252" s="1">
        <v>4.003935187</v>
      </c>
      <c r="AB2252" s="1">
        <v>88538.0</v>
      </c>
      <c r="AC2252" s="1">
        <v>27.943458693</v>
      </c>
      <c r="AD2252" s="1">
        <v>76.548025764</v>
      </c>
      <c r="AE2252" s="1">
        <v>13.980911765</v>
      </c>
      <c r="AF2252" s="1">
        <v>3.9887296142</v>
      </c>
      <c r="AG2252" s="1">
        <v>0.2844658108</v>
      </c>
      <c r="AH2252" s="1">
        <v>5.1289806509</v>
      </c>
      <c r="AI2252" s="1">
        <v>0.0598540262</v>
      </c>
      <c r="AJ2252" s="1">
        <v>5.507207157</v>
      </c>
      <c r="AK2252" s="1">
        <v>83.7537707239999</v>
      </c>
      <c r="AL2252" s="1">
        <v>1.67941595449999</v>
      </c>
      <c r="AM2252" s="1">
        <v>50.907759533</v>
      </c>
      <c r="AN2252" s="1">
        <v>8.8296022864</v>
      </c>
      <c r="AO2252" s="1">
        <v>39958.0</v>
      </c>
      <c r="AP2252" s="1">
        <v>5.9</v>
      </c>
      <c r="AQ2252" s="1">
        <v>6.2</v>
      </c>
      <c r="AR2252" s="1">
        <v>6.4</v>
      </c>
      <c r="AS2252" s="1">
        <v>16.7</v>
      </c>
      <c r="AT2252" s="1">
        <v>21.4</v>
      </c>
      <c r="AU2252" s="1">
        <v>10.7</v>
      </c>
      <c r="AV2252" s="1">
        <v>14.8</v>
      </c>
      <c r="AW2252" s="1">
        <v>1.6</v>
      </c>
      <c r="AX2252" s="1">
        <v>0.0847</v>
      </c>
      <c r="AY2252" s="1">
        <v>5.7</v>
      </c>
      <c r="AZ2252" s="1">
        <v>7.1</v>
      </c>
      <c r="BA2252" s="1">
        <v>9.4</v>
      </c>
      <c r="BB2252" s="1">
        <v>3.53</v>
      </c>
      <c r="BC2252" s="1" t="s">
        <v>3714</v>
      </c>
      <c r="BD2252" s="1">
        <v>6.1</v>
      </c>
      <c r="BE2252" s="1">
        <v>28.2</v>
      </c>
      <c r="BF2252" s="1">
        <v>24.4</v>
      </c>
      <c r="BG2252" s="1">
        <v>41.3</v>
      </c>
      <c r="BH2252" s="1" t="s">
        <v>3728</v>
      </c>
    </row>
    <row r="2253">
      <c r="A2253" s="1">
        <v>42019.0</v>
      </c>
      <c r="B2253" s="2" t="str">
        <f>IFERROR(__xludf.DUMMYFUNCTION("TO_TEXT(A2253)"),"42019")</f>
        <v>42019</v>
      </c>
      <c r="C2253" s="1">
        <v>185974.0</v>
      </c>
      <c r="D2253" s="1">
        <v>788.59453569362</v>
      </c>
      <c r="E2253" s="1" t="s">
        <v>72</v>
      </c>
      <c r="F2253" s="1" t="s">
        <v>3729</v>
      </c>
      <c r="G2253" s="1">
        <v>235.829683801225</v>
      </c>
      <c r="H2253" s="1">
        <v>13.57096933</v>
      </c>
      <c r="I2253" s="1">
        <v>3.8691623397</v>
      </c>
      <c r="J2253" s="1">
        <v>6.0527802437</v>
      </c>
      <c r="K2253" s="1">
        <v>16.531034438</v>
      </c>
      <c r="L2253" s="1">
        <v>31.1</v>
      </c>
      <c r="M2253" s="1">
        <v>8.6</v>
      </c>
      <c r="N2253" s="1">
        <v>21.3</v>
      </c>
      <c r="O2253" s="1">
        <v>81.979963233</v>
      </c>
      <c r="P2253" s="1">
        <v>4.5564876435</v>
      </c>
      <c r="Q2253" s="1">
        <v>66.27189</v>
      </c>
      <c r="R2253" s="1">
        <v>94.048159927</v>
      </c>
      <c r="S2253" s="1">
        <v>9.0</v>
      </c>
      <c r="T2253" s="1">
        <v>37673.0</v>
      </c>
      <c r="U2253" s="1">
        <v>21.431794654</v>
      </c>
      <c r="V2253" s="1">
        <v>100.10251786</v>
      </c>
      <c r="W2253" s="1">
        <v>10.82129481</v>
      </c>
      <c r="X2253" s="1">
        <v>9.4242955373</v>
      </c>
      <c r="Y2253" s="1">
        <v>78.687257356</v>
      </c>
      <c r="Z2253" s="1">
        <v>9.2</v>
      </c>
      <c r="AA2253" s="1">
        <v>3.3027335562</v>
      </c>
      <c r="AB2253" s="1">
        <v>67161.0</v>
      </c>
      <c r="AC2253" s="1">
        <v>26.9988210119999</v>
      </c>
      <c r="AD2253" s="1">
        <v>75.623032529</v>
      </c>
      <c r="AE2253" s="1">
        <v>9.5305506121</v>
      </c>
      <c r="AF2253" s="1">
        <v>1.2401004854</v>
      </c>
      <c r="AG2253" s="1">
        <v>0.1479604871</v>
      </c>
      <c r="AH2253" s="1">
        <v>1.4657668398</v>
      </c>
      <c r="AI2253" s="1">
        <v>0.034062846</v>
      </c>
      <c r="AJ2253" s="1">
        <v>1.5551818104</v>
      </c>
      <c r="AK2253" s="1">
        <v>94.572298391</v>
      </c>
      <c r="AL2253" s="1">
        <v>0.2164330922</v>
      </c>
      <c r="AM2253" s="1">
        <v>50.440155838</v>
      </c>
      <c r="AN2253" s="1">
        <v>41.9640817569999</v>
      </c>
      <c r="AO2253" s="1">
        <v>33406.0</v>
      </c>
      <c r="AP2253" s="1">
        <v>8.5</v>
      </c>
      <c r="AQ2253" s="1">
        <v>5.2</v>
      </c>
      <c r="AR2253" s="1">
        <v>6.5</v>
      </c>
      <c r="AS2253" s="1">
        <v>17.0</v>
      </c>
      <c r="AT2253" s="1">
        <v>20.9</v>
      </c>
      <c r="AU2253" s="1">
        <v>12.2</v>
      </c>
      <c r="AV2253" s="1">
        <v>4.8</v>
      </c>
      <c r="AW2253" s="1">
        <v>0.2</v>
      </c>
      <c r="AX2253" s="1">
        <v>0.0774</v>
      </c>
      <c r="AY2253" s="1">
        <v>7.8</v>
      </c>
      <c r="AZ2253" s="1">
        <v>8.3</v>
      </c>
      <c r="BA2253" s="1">
        <v>11.6</v>
      </c>
      <c r="BB2253" s="1">
        <v>3.13</v>
      </c>
      <c r="BC2253" s="1" t="s">
        <v>3714</v>
      </c>
      <c r="BD2253" s="1">
        <v>5.1</v>
      </c>
      <c r="BE2253" s="1">
        <v>32.7</v>
      </c>
      <c r="BF2253" s="1">
        <v>26.2</v>
      </c>
      <c r="BG2253" s="1">
        <v>36.0</v>
      </c>
      <c r="BH2253" s="1" t="s">
        <v>3729</v>
      </c>
    </row>
    <row r="2254">
      <c r="A2254" s="1">
        <v>42021.0</v>
      </c>
      <c r="B2254" s="2" t="str">
        <f>IFERROR(__xludf.DUMMYFUNCTION("TO_TEXT(A2254)"),"42021")</f>
        <v>42021</v>
      </c>
      <c r="C2254" s="1">
        <v>137762.0</v>
      </c>
      <c r="D2254" s="1">
        <v>688.351571892138</v>
      </c>
      <c r="E2254" s="1" t="s">
        <v>3730</v>
      </c>
      <c r="F2254" s="1" t="s">
        <v>3731</v>
      </c>
      <c r="G2254" s="1">
        <v>200.133195920974</v>
      </c>
      <c r="H2254" s="1">
        <v>16.712596617</v>
      </c>
      <c r="I2254" s="1">
        <v>4.5617934948</v>
      </c>
      <c r="J2254" s="1">
        <v>8.6956521739</v>
      </c>
      <c r="K2254" s="1">
        <v>18.205274734</v>
      </c>
      <c r="L2254" s="1">
        <v>27.1</v>
      </c>
      <c r="M2254" s="1">
        <v>7.5</v>
      </c>
      <c r="N2254" s="1">
        <v>26.1</v>
      </c>
      <c r="O2254" s="1">
        <v>79.982460902</v>
      </c>
      <c r="P2254" s="1">
        <v>5.3909282018</v>
      </c>
      <c r="Q2254" s="1">
        <v>81.17005</v>
      </c>
      <c r="R2254" s="1">
        <v>93.318649046</v>
      </c>
      <c r="S2254" s="1">
        <v>22.6</v>
      </c>
      <c r="T2254" s="1">
        <v>25585.0</v>
      </c>
      <c r="U2254" s="1">
        <v>35.5364471369999</v>
      </c>
      <c r="V2254" s="1">
        <v>169.09990743</v>
      </c>
      <c r="W2254" s="1">
        <v>12.348160447</v>
      </c>
      <c r="X2254" s="1">
        <v>10.932105869</v>
      </c>
      <c r="Y2254" s="1">
        <v>75.783553007</v>
      </c>
      <c r="Z2254" s="1">
        <v>14.3</v>
      </c>
      <c r="AA2254" s="1">
        <v>8.8939653495</v>
      </c>
      <c r="AB2254" s="1">
        <v>45163.0</v>
      </c>
      <c r="AC2254" s="1">
        <v>51.97162282</v>
      </c>
      <c r="AD2254" s="1">
        <v>73.975666015</v>
      </c>
      <c r="AE2254" s="1">
        <v>10.731393962</v>
      </c>
      <c r="AF2254" s="1">
        <v>3.4479617399</v>
      </c>
      <c r="AG2254" s="1">
        <v>0.1465118044</v>
      </c>
      <c r="AH2254" s="1">
        <v>0.555682077</v>
      </c>
      <c r="AI2254" s="1">
        <v>0.056934639</v>
      </c>
      <c r="AJ2254" s="1">
        <v>1.6564184316</v>
      </c>
      <c r="AK2254" s="1">
        <v>92.737417445</v>
      </c>
      <c r="AL2254" s="1">
        <v>0.216750002</v>
      </c>
      <c r="AM2254" s="1">
        <v>50.83124573</v>
      </c>
      <c r="AN2254" s="1">
        <v>32.006069085</v>
      </c>
      <c r="AO2254" s="1">
        <v>23993.0</v>
      </c>
      <c r="AP2254" s="1">
        <v>15.6</v>
      </c>
      <c r="AQ2254" s="1">
        <v>8.3</v>
      </c>
      <c r="AR2254" s="1">
        <v>9.5</v>
      </c>
      <c r="AS2254" s="1">
        <v>20.4</v>
      </c>
      <c r="AT2254" s="1">
        <v>19.3</v>
      </c>
      <c r="AU2254" s="1">
        <v>18.1</v>
      </c>
      <c r="AV2254" s="1">
        <v>6.9</v>
      </c>
      <c r="AW2254" s="1">
        <v>0.2</v>
      </c>
      <c r="AX2254" s="1">
        <v>0.4585</v>
      </c>
      <c r="AY2254" s="1">
        <v>14.9</v>
      </c>
      <c r="AZ2254" s="1">
        <v>12.8</v>
      </c>
      <c r="BA2254" s="1">
        <v>20.4</v>
      </c>
      <c r="BB2254" s="1">
        <v>2.92</v>
      </c>
      <c r="BC2254" s="1" t="s">
        <v>3714</v>
      </c>
      <c r="BD2254" s="1">
        <v>8.0</v>
      </c>
      <c r="BE2254" s="1">
        <v>45.4</v>
      </c>
      <c r="BF2254" s="1">
        <v>25.5</v>
      </c>
      <c r="BG2254" s="1">
        <v>21.1</v>
      </c>
      <c r="BH2254" s="1" t="s">
        <v>3731</v>
      </c>
    </row>
    <row r="2255">
      <c r="A2255" s="1">
        <v>42023.0</v>
      </c>
      <c r="B2255" s="2" t="str">
        <f>IFERROR(__xludf.DUMMYFUNCTION("TO_TEXT(A2255)"),"42023")</f>
        <v>42023</v>
      </c>
      <c r="C2255" s="1">
        <v>4807.0</v>
      </c>
      <c r="D2255" s="1">
        <v>396.229282872406</v>
      </c>
      <c r="E2255" s="1" t="s">
        <v>1957</v>
      </c>
      <c r="F2255" s="1" t="s">
        <v>3732</v>
      </c>
      <c r="G2255" s="1">
        <v>12.1318645738455</v>
      </c>
      <c r="H2255" s="1">
        <v>15.950440481</v>
      </c>
      <c r="I2255" s="1">
        <v>4.5013306283</v>
      </c>
      <c r="J2255" s="1">
        <v>8.1761006289</v>
      </c>
      <c r="K2255" s="1">
        <v>17.680381967</v>
      </c>
      <c r="L2255" s="1">
        <v>25.0</v>
      </c>
      <c r="M2255" s="1">
        <v>7.9</v>
      </c>
      <c r="N2255" s="1">
        <v>27.6</v>
      </c>
      <c r="O2255" s="1">
        <v>93.294001967</v>
      </c>
      <c r="P2255" s="1">
        <v>6.28520604799999</v>
      </c>
      <c r="Q2255" s="1">
        <v>21.777</v>
      </c>
      <c r="R2255" s="1">
        <v>89.795918367</v>
      </c>
      <c r="S2255" s="1">
        <v>22.9</v>
      </c>
      <c r="T2255" s="1">
        <v>768.0</v>
      </c>
      <c r="U2255" s="1">
        <v>48.697916667</v>
      </c>
      <c r="V2255" s="1">
        <v>126.39561829</v>
      </c>
      <c r="W2255" s="1">
        <v>10.068649886</v>
      </c>
      <c r="X2255" s="1">
        <v>7.16627634659999</v>
      </c>
      <c r="Y2255" s="1">
        <v>78.6787499839999</v>
      </c>
      <c r="Z2255" s="1">
        <v>11.2</v>
      </c>
      <c r="AA2255" s="1">
        <v>3.322176285</v>
      </c>
      <c r="AB2255" s="1">
        <v>41770.0</v>
      </c>
      <c r="AC2255" s="1">
        <v>37.20508167</v>
      </c>
      <c r="AD2255" s="1">
        <v>72.894265233</v>
      </c>
      <c r="AE2255" s="1">
        <v>9.4751509522</v>
      </c>
      <c r="AF2255" s="1">
        <v>0.9127337489</v>
      </c>
      <c r="AG2255" s="1">
        <v>0.4229741763</v>
      </c>
      <c r="AH2255" s="1">
        <v>0.4007123776</v>
      </c>
      <c r="AI2255" s="1">
        <v>0.0667853963</v>
      </c>
      <c r="AJ2255" s="1">
        <v>1.1798753339</v>
      </c>
      <c r="AK2255" s="1">
        <v>95.881567231</v>
      </c>
      <c r="AL2255" s="1">
        <v>0.1337494427</v>
      </c>
      <c r="AM2255" s="1">
        <v>50.0</v>
      </c>
      <c r="AN2255" s="1">
        <v>47.354965585</v>
      </c>
      <c r="AO2255" s="1">
        <v>25716.0</v>
      </c>
      <c r="AP2255" s="1">
        <v>12.7</v>
      </c>
      <c r="AQ2255" s="1">
        <v>4.9</v>
      </c>
      <c r="AR2255" s="1">
        <v>12.8</v>
      </c>
      <c r="AS2255" s="1">
        <v>23.8</v>
      </c>
      <c r="AT2255" s="1">
        <v>17.6</v>
      </c>
      <c r="AU2255" s="1">
        <v>19.4</v>
      </c>
      <c r="AV2255" s="1">
        <v>3.0</v>
      </c>
      <c r="AW2255" s="1">
        <v>0.1</v>
      </c>
      <c r="AX2255" s="1">
        <v>0.3649</v>
      </c>
      <c r="AY2255" s="1">
        <v>14.0</v>
      </c>
      <c r="AZ2255" s="1">
        <v>12.6</v>
      </c>
      <c r="BA2255" s="1">
        <v>18.9</v>
      </c>
      <c r="BB2255" s="1">
        <v>2.95</v>
      </c>
      <c r="BC2255" s="1" t="s">
        <v>3714</v>
      </c>
      <c r="BD2255" s="1">
        <v>9.3</v>
      </c>
      <c r="BE2255" s="1">
        <v>48.3</v>
      </c>
      <c r="BF2255" s="1">
        <v>28.7</v>
      </c>
      <c r="BG2255" s="1">
        <v>13.7</v>
      </c>
      <c r="BH2255" s="1" t="s">
        <v>3732</v>
      </c>
    </row>
    <row r="2256">
      <c r="A2256" s="1">
        <v>42025.0</v>
      </c>
      <c r="B2256" s="2" t="str">
        <f>IFERROR(__xludf.DUMMYFUNCTION("TO_TEXT(A2256)"),"42025")</f>
        <v>42025</v>
      </c>
      <c r="C2256" s="1">
        <v>64330.0</v>
      </c>
      <c r="D2256" s="1">
        <v>381.460118048752</v>
      </c>
      <c r="E2256" s="1" t="s">
        <v>2716</v>
      </c>
      <c r="F2256" s="1" t="s">
        <v>3733</v>
      </c>
      <c r="G2256" s="1">
        <v>168.641482965667</v>
      </c>
      <c r="H2256" s="1">
        <v>16.700428876</v>
      </c>
      <c r="I2256" s="1">
        <v>4.3873812145</v>
      </c>
      <c r="J2256" s="1">
        <v>8.4249084249</v>
      </c>
      <c r="K2256" s="1">
        <v>17.984486097</v>
      </c>
      <c r="L2256" s="1">
        <v>36.4</v>
      </c>
      <c r="M2256" s="1">
        <v>8.3</v>
      </c>
      <c r="N2256" s="1">
        <v>25.8</v>
      </c>
      <c r="O2256" s="1">
        <v>74.655550277</v>
      </c>
      <c r="P2256" s="1">
        <v>6.0362694301</v>
      </c>
      <c r="Q2256" s="1">
        <v>45.41682</v>
      </c>
      <c r="R2256" s="1">
        <v>90.0311526479999</v>
      </c>
      <c r="S2256" s="1">
        <v>19.1</v>
      </c>
      <c r="T2256" s="1">
        <v>12282.0</v>
      </c>
      <c r="U2256" s="1">
        <v>33.4636052759999</v>
      </c>
      <c r="V2256" s="1">
        <v>248.84936422</v>
      </c>
      <c r="W2256" s="1">
        <v>14.061592098</v>
      </c>
      <c r="X2256" s="1">
        <v>12.468193384</v>
      </c>
      <c r="Y2256" s="1">
        <v>76.414224688</v>
      </c>
      <c r="Z2256" s="1">
        <v>8.3</v>
      </c>
      <c r="AA2256" s="1">
        <v>3.6953756609</v>
      </c>
      <c r="AB2256" s="1">
        <v>53901.0</v>
      </c>
      <c r="AC2256" s="1">
        <v>43.344308561</v>
      </c>
      <c r="AD2256" s="1">
        <v>77.481642643</v>
      </c>
      <c r="AE2256" s="1">
        <v>12.581561987</v>
      </c>
      <c r="AF2256" s="1">
        <v>1.8201068087</v>
      </c>
      <c r="AG2256" s="1">
        <v>0.3456490261</v>
      </c>
      <c r="AH2256" s="1">
        <v>0.5776386878</v>
      </c>
      <c r="AI2256" s="1">
        <v>0.0934186557</v>
      </c>
      <c r="AJ2256" s="1">
        <v>5.0710760272</v>
      </c>
      <c r="AK2256" s="1">
        <v>91.319849907</v>
      </c>
      <c r="AL2256" s="1">
        <v>0.621556022</v>
      </c>
      <c r="AM2256" s="1">
        <v>50.119108786</v>
      </c>
      <c r="AN2256" s="1">
        <v>47.162408619</v>
      </c>
      <c r="AO2256" s="1">
        <v>25743.0</v>
      </c>
      <c r="AP2256" s="1">
        <v>12.1</v>
      </c>
      <c r="AQ2256" s="1">
        <v>8.0</v>
      </c>
      <c r="AR2256" s="1">
        <v>10.8</v>
      </c>
      <c r="AS2256" s="1">
        <v>19.5</v>
      </c>
      <c r="AT2256" s="1">
        <v>19.8</v>
      </c>
      <c r="AU2256" s="1">
        <v>16.8</v>
      </c>
      <c r="AV2256" s="1">
        <v>7.3</v>
      </c>
      <c r="AW2256" s="1">
        <v>0.5</v>
      </c>
      <c r="AX2256" s="1">
        <v>0.2869</v>
      </c>
      <c r="AY2256" s="1">
        <v>9.8</v>
      </c>
      <c r="AZ2256" s="1">
        <v>11.2</v>
      </c>
      <c r="BA2256" s="1">
        <v>18.3</v>
      </c>
      <c r="BB2256" s="1">
        <v>2.93</v>
      </c>
      <c r="BC2256" s="1" t="s">
        <v>3714</v>
      </c>
      <c r="BD2256" s="1">
        <v>10.6</v>
      </c>
      <c r="BE2256" s="1">
        <v>45.3</v>
      </c>
      <c r="BF2256" s="1">
        <v>26.2</v>
      </c>
      <c r="BG2256" s="1">
        <v>17.9</v>
      </c>
      <c r="BH2256" s="1" t="s">
        <v>3733</v>
      </c>
    </row>
    <row r="2257">
      <c r="A2257" s="1">
        <v>42027.0</v>
      </c>
      <c r="B2257" s="2" t="str">
        <f>IFERROR(__xludf.DUMMYFUNCTION("TO_TEXT(A2257)"),"42027")</f>
        <v>42027</v>
      </c>
      <c r="C2257" s="1">
        <v>159178.0</v>
      </c>
      <c r="D2257" s="1">
        <v>1109.86674887613</v>
      </c>
      <c r="E2257" s="1" t="s">
        <v>3734</v>
      </c>
      <c r="F2257" s="1" t="s">
        <v>3735</v>
      </c>
      <c r="G2257" s="1">
        <v>143.420820707699</v>
      </c>
      <c r="H2257" s="1">
        <v>15.252009729</v>
      </c>
      <c r="I2257" s="1">
        <v>4.2436675386</v>
      </c>
      <c r="J2257" s="1">
        <v>6.0306134193</v>
      </c>
      <c r="K2257" s="1">
        <v>16.994303125</v>
      </c>
      <c r="L2257" s="1">
        <v>25.2</v>
      </c>
      <c r="M2257" s="1">
        <v>7.9</v>
      </c>
      <c r="N2257" s="1">
        <v>18.1</v>
      </c>
      <c r="O2257" s="1">
        <v>86.337424508</v>
      </c>
      <c r="P2257" s="1">
        <v>6.6754829807</v>
      </c>
      <c r="Q2257" s="1">
        <v>75.61785</v>
      </c>
      <c r="R2257" s="1">
        <v>91.615180936</v>
      </c>
      <c r="S2257" s="1">
        <v>10.6</v>
      </c>
      <c r="T2257" s="1">
        <v>24284.0</v>
      </c>
      <c r="U2257" s="1">
        <v>19.3131279859999</v>
      </c>
      <c r="V2257" s="1">
        <v>88.617534919</v>
      </c>
      <c r="W2257" s="1">
        <v>17.787323573</v>
      </c>
      <c r="X2257" s="1">
        <v>16.59758515</v>
      </c>
      <c r="Y2257" s="1">
        <v>82.922249093</v>
      </c>
      <c r="Z2257" s="1">
        <v>7.6</v>
      </c>
      <c r="AA2257" s="1">
        <v>3.7341768914</v>
      </c>
      <c r="AB2257" s="1">
        <v>58258.0</v>
      </c>
      <c r="AC2257" s="1">
        <v>25.637213254</v>
      </c>
      <c r="AD2257" s="1">
        <v>61.8342888719999</v>
      </c>
      <c r="AE2257" s="1">
        <v>17.05234657</v>
      </c>
      <c r="AF2257" s="1">
        <v>3.5772857099</v>
      </c>
      <c r="AG2257" s="1">
        <v>0.1597002549</v>
      </c>
      <c r="AH2257" s="1">
        <v>6.5986916864</v>
      </c>
      <c r="AI2257" s="1">
        <v>0.0694081877</v>
      </c>
      <c r="AJ2257" s="1">
        <v>3.037376002</v>
      </c>
      <c r="AK2257" s="1">
        <v>85.230183348</v>
      </c>
      <c r="AL2257" s="1">
        <v>0.818709677399999</v>
      </c>
      <c r="AM2257" s="1">
        <v>47.395350266</v>
      </c>
      <c r="AN2257" s="1">
        <v>32.217676472</v>
      </c>
      <c r="AO2257" s="1">
        <v>27584.0</v>
      </c>
      <c r="AP2257" s="1">
        <v>19.1</v>
      </c>
      <c r="AQ2257" s="1">
        <v>4.9</v>
      </c>
      <c r="AR2257" s="1">
        <v>6.7</v>
      </c>
      <c r="AS2257" s="1">
        <v>12.4</v>
      </c>
      <c r="AT2257" s="1">
        <v>15.4</v>
      </c>
      <c r="AU2257" s="1">
        <v>9.9</v>
      </c>
      <c r="AV2257" s="1">
        <v>13.9</v>
      </c>
      <c r="AW2257" s="1">
        <v>0.9</v>
      </c>
      <c r="AX2257" s="1">
        <v>0.2888</v>
      </c>
      <c r="AY2257" s="1">
        <v>15.9</v>
      </c>
      <c r="AZ2257" s="1">
        <v>8.8</v>
      </c>
      <c r="BA2257" s="1">
        <v>10.9</v>
      </c>
      <c r="BB2257" s="1">
        <v>3.59</v>
      </c>
      <c r="BC2257" s="1" t="s">
        <v>3714</v>
      </c>
      <c r="BD2257" s="1">
        <v>5.7</v>
      </c>
      <c r="BE2257" s="1">
        <v>29.4</v>
      </c>
      <c r="BF2257" s="1">
        <v>19.4</v>
      </c>
      <c r="BG2257" s="1">
        <v>45.5</v>
      </c>
      <c r="BH2257" s="1" t="s">
        <v>3735</v>
      </c>
    </row>
    <row r="2258">
      <c r="A2258" s="1">
        <v>42029.0</v>
      </c>
      <c r="B2258" s="2" t="str">
        <f>IFERROR(__xludf.DUMMYFUNCTION("TO_TEXT(A2258)"),"42029")</f>
        <v>42029</v>
      </c>
      <c r="C2258" s="1">
        <v>512028.0</v>
      </c>
      <c r="D2258" s="1">
        <v>750.513719759718</v>
      </c>
      <c r="E2258" s="1" t="s">
        <v>3736</v>
      </c>
      <c r="F2258" s="1" t="s">
        <v>3737</v>
      </c>
      <c r="G2258" s="1">
        <v>682.23669537171</v>
      </c>
      <c r="H2258" s="1">
        <v>13.00806522</v>
      </c>
      <c r="I2258" s="1">
        <v>3.9835714508</v>
      </c>
      <c r="J2258" s="1">
        <v>6.67439593159999</v>
      </c>
      <c r="K2258" s="1">
        <v>14.668339218</v>
      </c>
      <c r="L2258" s="1">
        <v>22.2</v>
      </c>
      <c r="M2258" s="1">
        <v>8.7</v>
      </c>
      <c r="N2258" s="1">
        <v>16.8</v>
      </c>
      <c r="O2258" s="1">
        <v>85.477243298</v>
      </c>
      <c r="P2258" s="1">
        <v>6.2568458494</v>
      </c>
      <c r="Q2258" s="1">
        <v>85.50086</v>
      </c>
      <c r="R2258" s="1">
        <v>90.93980344</v>
      </c>
      <c r="S2258" s="1">
        <v>7.8</v>
      </c>
      <c r="T2258" s="1">
        <v>118647.0</v>
      </c>
      <c r="U2258" s="1">
        <v>19.433276863</v>
      </c>
      <c r="V2258" s="1">
        <v>135.48723293</v>
      </c>
      <c r="W2258" s="1">
        <v>14.460154242</v>
      </c>
      <c r="X2258" s="1">
        <v>12.9757598659999</v>
      </c>
      <c r="Y2258" s="1">
        <v>81.38210428</v>
      </c>
      <c r="Z2258" s="1">
        <v>8.6</v>
      </c>
      <c r="AA2258" s="1">
        <v>6.17089041</v>
      </c>
      <c r="AB2258" s="1">
        <v>99224.0</v>
      </c>
      <c r="AC2258" s="1">
        <v>23.936022049</v>
      </c>
      <c r="AD2258" s="1">
        <v>75.239989029</v>
      </c>
      <c r="AE2258" s="1">
        <v>12.177495393</v>
      </c>
      <c r="AF2258" s="1">
        <v>5.7085007835</v>
      </c>
      <c r="AG2258" s="1">
        <v>0.2790941794</v>
      </c>
      <c r="AH2258" s="1">
        <v>5.8498676362</v>
      </c>
      <c r="AI2258" s="1">
        <v>0.0626381583</v>
      </c>
      <c r="AJ2258" s="1">
        <v>7.556230677</v>
      </c>
      <c r="AK2258" s="1">
        <v>79.13632132</v>
      </c>
      <c r="AL2258" s="1">
        <v>2.3500245861</v>
      </c>
      <c r="AM2258" s="1">
        <v>50.72962919</v>
      </c>
      <c r="AN2258" s="1">
        <v>13.276580221</v>
      </c>
      <c r="AO2258" s="1">
        <v>44299.0</v>
      </c>
      <c r="AP2258" s="1">
        <v>7.2</v>
      </c>
      <c r="AQ2258" s="1">
        <v>5.3</v>
      </c>
      <c r="AR2258" s="1">
        <v>7.0</v>
      </c>
      <c r="AS2258" s="1">
        <v>14.6</v>
      </c>
      <c r="AT2258" s="1">
        <v>23.5</v>
      </c>
      <c r="AU2258" s="1">
        <v>8.3</v>
      </c>
      <c r="AV2258" s="1">
        <v>19.4</v>
      </c>
      <c r="AW2258" s="1">
        <v>2.5</v>
      </c>
      <c r="AX2258" s="1">
        <v>0.1334</v>
      </c>
      <c r="AY2258" s="1">
        <v>5.9</v>
      </c>
      <c r="AZ2258" s="1">
        <v>6.3</v>
      </c>
      <c r="BA2258" s="1">
        <v>7.9</v>
      </c>
      <c r="BB2258" s="1">
        <v>4.01</v>
      </c>
      <c r="BC2258" s="1" t="s">
        <v>3714</v>
      </c>
      <c r="BD2258" s="1">
        <v>6.4</v>
      </c>
      <c r="BE2258" s="1">
        <v>20.8</v>
      </c>
      <c r="BF2258" s="1">
        <v>19.8</v>
      </c>
      <c r="BG2258" s="1">
        <v>53.0</v>
      </c>
      <c r="BH2258" s="1" t="s">
        <v>3737</v>
      </c>
    </row>
    <row r="2259">
      <c r="A2259" s="1">
        <v>42031.0</v>
      </c>
      <c r="B2259" s="2" t="str">
        <f>IFERROR(__xludf.DUMMYFUNCTION("TO_TEXT(A2259)"),"42031")</f>
        <v>42031</v>
      </c>
      <c r="C2259" s="1">
        <v>38939.0</v>
      </c>
      <c r="D2259" s="1">
        <v>600.83357904143</v>
      </c>
      <c r="E2259" s="1" t="s">
        <v>3738</v>
      </c>
      <c r="F2259" s="1" t="s">
        <v>3739</v>
      </c>
      <c r="G2259" s="1">
        <v>64.8082952722503</v>
      </c>
      <c r="H2259" s="1">
        <v>16.824325623</v>
      </c>
      <c r="I2259" s="1">
        <v>4.5839856804</v>
      </c>
      <c r="J2259" s="1">
        <v>6.5249813572</v>
      </c>
      <c r="K2259" s="1">
        <v>19.408274558</v>
      </c>
      <c r="L2259" s="1">
        <v>33.2</v>
      </c>
      <c r="M2259" s="1">
        <v>8.0</v>
      </c>
      <c r="N2259" s="1">
        <v>27.2</v>
      </c>
      <c r="O2259" s="1">
        <v>54.398819646</v>
      </c>
      <c r="P2259" s="1">
        <v>7.8157991755</v>
      </c>
      <c r="Q2259" s="1">
        <v>49.40455</v>
      </c>
      <c r="R2259" s="1">
        <v>91.125541126</v>
      </c>
      <c r="S2259" s="1">
        <v>18.6</v>
      </c>
      <c r="T2259" s="1">
        <v>7250.0</v>
      </c>
      <c r="U2259" s="1">
        <v>27.365517241</v>
      </c>
      <c r="V2259" s="1">
        <v>127.78736183</v>
      </c>
      <c r="W2259" s="1">
        <v>12.8706624609999</v>
      </c>
      <c r="X2259" s="1">
        <v>11.087025821</v>
      </c>
      <c r="Y2259" s="1">
        <v>78.168681309</v>
      </c>
      <c r="Z2259" s="1">
        <v>14.5</v>
      </c>
      <c r="AA2259" s="1">
        <v>2.2787383972</v>
      </c>
      <c r="AB2259" s="1">
        <v>46284.0</v>
      </c>
      <c r="AC2259" s="1">
        <v>41.807402084</v>
      </c>
      <c r="AD2259" s="1">
        <v>68.971183013</v>
      </c>
      <c r="AE2259" s="1">
        <v>10.582255083</v>
      </c>
      <c r="AF2259" s="1">
        <v>1.2377833363</v>
      </c>
      <c r="AG2259" s="1">
        <v>0.244977952</v>
      </c>
      <c r="AH2259" s="1">
        <v>0.7297764254</v>
      </c>
      <c r="AI2259" s="1">
        <v>0.0257871528</v>
      </c>
      <c r="AJ2259" s="1">
        <v>0.9799118079</v>
      </c>
      <c r="AK2259" s="1">
        <v>95.889527837</v>
      </c>
      <c r="AL2259" s="1">
        <v>0.463829441</v>
      </c>
      <c r="AM2259" s="1">
        <v>51.045669048</v>
      </c>
      <c r="AN2259" s="1">
        <v>76.56046814</v>
      </c>
      <c r="AO2259" s="1">
        <v>22451.0</v>
      </c>
      <c r="AP2259" s="1">
        <v>18.6</v>
      </c>
      <c r="AQ2259" s="1">
        <v>7.1</v>
      </c>
      <c r="AR2259" s="1">
        <v>11.5</v>
      </c>
      <c r="AS2259" s="1">
        <v>17.8</v>
      </c>
      <c r="AT2259" s="1">
        <v>19.0</v>
      </c>
      <c r="AU2259" s="1">
        <v>16.9</v>
      </c>
      <c r="AV2259" s="1">
        <v>3.7</v>
      </c>
      <c r="AW2259" s="1">
        <v>0.6</v>
      </c>
      <c r="AX2259" s="1">
        <v>0.4893</v>
      </c>
      <c r="AY2259" s="1">
        <v>14.1</v>
      </c>
      <c r="AZ2259" s="1">
        <v>12.3</v>
      </c>
      <c r="BA2259" s="1">
        <v>18.1</v>
      </c>
      <c r="BB2259" s="1">
        <v>2.69</v>
      </c>
      <c r="BC2259" s="1" t="s">
        <v>3714</v>
      </c>
      <c r="BD2259" s="1">
        <v>9.9</v>
      </c>
      <c r="BE2259" s="1">
        <v>46.5</v>
      </c>
      <c r="BF2259" s="1">
        <v>21.5</v>
      </c>
      <c r="BG2259" s="1">
        <v>22.1</v>
      </c>
      <c r="BH2259" s="1" t="s">
        <v>3739</v>
      </c>
    </row>
    <row r="2260">
      <c r="A2260" s="1">
        <v>42033.0</v>
      </c>
      <c r="B2260" s="2" t="str">
        <f>IFERROR(__xludf.DUMMYFUNCTION("TO_TEXT(A2260)"),"42033")</f>
        <v>42033</v>
      </c>
      <c r="C2260" s="1">
        <v>81170.0</v>
      </c>
      <c r="D2260" s="1">
        <v>1144.67717469198</v>
      </c>
      <c r="E2260" s="1" t="s">
        <v>3740</v>
      </c>
      <c r="F2260" s="1" t="s">
        <v>3741</v>
      </c>
      <c r="G2260" s="1">
        <v>70.91082253985</v>
      </c>
      <c r="H2260" s="1">
        <v>17.917194986</v>
      </c>
      <c r="I2260" s="1">
        <v>4.429646423</v>
      </c>
      <c r="J2260" s="1">
        <v>7.9562883436</v>
      </c>
      <c r="K2260" s="1">
        <v>19.794198697</v>
      </c>
      <c r="L2260" s="1">
        <v>40.8</v>
      </c>
      <c r="M2260" s="1">
        <v>8.0</v>
      </c>
      <c r="N2260" s="1">
        <v>28.9</v>
      </c>
      <c r="O2260" s="1">
        <v>59.765806815</v>
      </c>
      <c r="P2260" s="1">
        <v>7.1391972673</v>
      </c>
      <c r="Q2260" s="1">
        <v>52.70754</v>
      </c>
      <c r="R2260" s="1">
        <v>90.055248619</v>
      </c>
      <c r="S2260" s="1">
        <v>22.6</v>
      </c>
      <c r="T2260" s="1">
        <v>14643.0</v>
      </c>
      <c r="U2260" s="1">
        <v>30.267021785</v>
      </c>
      <c r="V2260" s="1">
        <v>265.91797358</v>
      </c>
      <c r="W2260" s="1">
        <v>11.787254432</v>
      </c>
      <c r="X2260" s="1">
        <v>10.103526367</v>
      </c>
      <c r="Y2260" s="1">
        <v>77.714368771</v>
      </c>
      <c r="Z2260" s="1">
        <v>10.6</v>
      </c>
      <c r="AA2260" s="1">
        <v>4.8110423565</v>
      </c>
      <c r="AB2260" s="1">
        <v>46706.0</v>
      </c>
      <c r="AC2260" s="1">
        <v>51.035309503</v>
      </c>
      <c r="AD2260" s="1">
        <v>77.5431433219999</v>
      </c>
      <c r="AE2260" s="1">
        <v>10.047210586</v>
      </c>
      <c r="AF2260" s="1">
        <v>2.4676273492</v>
      </c>
      <c r="AG2260" s="1">
        <v>0.2191767018</v>
      </c>
      <c r="AH2260" s="1">
        <v>0.638635562</v>
      </c>
      <c r="AI2260" s="1">
        <v>0.0214138157</v>
      </c>
      <c r="AJ2260" s="1">
        <v>3.0080112863</v>
      </c>
      <c r="AK2260" s="1">
        <v>92.966191364</v>
      </c>
      <c r="AL2260" s="1">
        <v>0.821771053799999</v>
      </c>
      <c r="AM2260" s="1">
        <v>47.480727566</v>
      </c>
      <c r="AN2260" s="1">
        <v>53.849734205</v>
      </c>
      <c r="AO2260" s="1">
        <v>21650.0</v>
      </c>
      <c r="AP2260" s="1">
        <v>14.8</v>
      </c>
      <c r="AQ2260" s="1">
        <v>8.1</v>
      </c>
      <c r="AR2260" s="1">
        <v>12.9</v>
      </c>
      <c r="AS2260" s="1">
        <v>18.9</v>
      </c>
      <c r="AT2260" s="1">
        <v>18.8</v>
      </c>
      <c r="AU2260" s="1">
        <v>17.8</v>
      </c>
      <c r="AV2260" s="1">
        <v>6.7</v>
      </c>
      <c r="AW2260" s="1">
        <v>0.9</v>
      </c>
      <c r="AX2260" s="1">
        <v>0.546</v>
      </c>
      <c r="AY2260" s="1">
        <v>13.7</v>
      </c>
      <c r="AZ2260" s="1">
        <v>12.6</v>
      </c>
      <c r="BA2260" s="1">
        <v>20.5</v>
      </c>
      <c r="BB2260" s="1">
        <v>2.94</v>
      </c>
      <c r="BC2260" s="1" t="s">
        <v>3714</v>
      </c>
      <c r="BD2260" s="1">
        <v>12.8</v>
      </c>
      <c r="BE2260" s="1">
        <v>49.5</v>
      </c>
      <c r="BF2260" s="1">
        <v>22.7</v>
      </c>
      <c r="BG2260" s="1">
        <v>15.1</v>
      </c>
      <c r="BH2260" s="1" t="s">
        <v>3741</v>
      </c>
    </row>
    <row r="2261">
      <c r="A2261" s="1">
        <v>42035.0</v>
      </c>
      <c r="B2261" s="2" t="str">
        <f>IFERROR(__xludf.DUMMYFUNCTION("TO_TEXT(A2261)"),"42035")</f>
        <v>42035</v>
      </c>
      <c r="C2261" s="1">
        <v>39536.0</v>
      </c>
      <c r="D2261" s="1">
        <v>887.98372333946</v>
      </c>
      <c r="E2261" s="1" t="s">
        <v>1172</v>
      </c>
      <c r="F2261" s="1" t="s">
        <v>3742</v>
      </c>
      <c r="G2261" s="1">
        <v>44.5233386162937</v>
      </c>
      <c r="H2261" s="1">
        <v>15.730382748</v>
      </c>
      <c r="I2261" s="1">
        <v>4.4681107387</v>
      </c>
      <c r="J2261" s="1">
        <v>6.22406639</v>
      </c>
      <c r="K2261" s="1">
        <v>18.559983714</v>
      </c>
      <c r="L2261" s="1">
        <v>35.1</v>
      </c>
      <c r="M2261" s="1">
        <v>7.7</v>
      </c>
      <c r="N2261" s="1">
        <v>18.7</v>
      </c>
      <c r="O2261" s="1">
        <v>72.289617208</v>
      </c>
      <c r="P2261" s="1">
        <v>7.6298483425</v>
      </c>
      <c r="Q2261" s="1">
        <v>51.28468</v>
      </c>
      <c r="R2261" s="1">
        <v>93.258426966</v>
      </c>
      <c r="S2261" s="1">
        <v>17.6</v>
      </c>
      <c r="T2261" s="1">
        <v>7868.0</v>
      </c>
      <c r="U2261" s="1">
        <v>26.474326385</v>
      </c>
      <c r="V2261" s="1">
        <v>154.72671237</v>
      </c>
      <c r="W2261" s="1">
        <v>11.556764106</v>
      </c>
      <c r="X2261" s="1">
        <v>10.1266689489999</v>
      </c>
      <c r="Y2261" s="1">
        <v>78.450405936</v>
      </c>
      <c r="Z2261" s="1">
        <v>9.3</v>
      </c>
      <c r="AA2261" s="1">
        <v>5.6351074572</v>
      </c>
      <c r="AB2261" s="1">
        <v>50999.0</v>
      </c>
      <c r="AC2261" s="1">
        <v>46.732856153</v>
      </c>
      <c r="AD2261" s="1">
        <v>69.438415627</v>
      </c>
      <c r="AE2261" s="1">
        <v>11.450115199</v>
      </c>
      <c r="AF2261" s="1">
        <v>1.4708923586</v>
      </c>
      <c r="AG2261" s="1">
        <v>0.1757832696</v>
      </c>
      <c r="AH2261" s="1">
        <v>0.7522489918</v>
      </c>
      <c r="AI2261" s="1">
        <v>0.062041154</v>
      </c>
      <c r="AJ2261" s="1">
        <v>1.5691241857</v>
      </c>
      <c r="AK2261" s="1">
        <v>95.034122635</v>
      </c>
      <c r="AL2261" s="1">
        <v>0.5623293412</v>
      </c>
      <c r="AM2261" s="1">
        <v>50.791024713</v>
      </c>
      <c r="AN2261" s="1">
        <v>45.690402161</v>
      </c>
      <c r="AO2261" s="1">
        <v>22084.0</v>
      </c>
      <c r="AP2261" s="1">
        <v>17.3</v>
      </c>
      <c r="AQ2261" s="1">
        <v>6.6</v>
      </c>
      <c r="AR2261" s="1">
        <v>12.4</v>
      </c>
      <c r="AS2261" s="1">
        <v>17.2</v>
      </c>
      <c r="AT2261" s="1">
        <v>20.5</v>
      </c>
      <c r="AU2261" s="1">
        <v>15.2</v>
      </c>
      <c r="AV2261" s="1">
        <v>4.6</v>
      </c>
      <c r="AW2261" s="1">
        <v>0.6</v>
      </c>
      <c r="AX2261" s="1">
        <v>0.4998</v>
      </c>
      <c r="AY2261" s="1">
        <v>13.4</v>
      </c>
      <c r="AZ2261" s="1">
        <v>12.8</v>
      </c>
      <c r="BA2261" s="1">
        <v>19.6</v>
      </c>
      <c r="BB2261" s="1">
        <v>3.11</v>
      </c>
      <c r="BC2261" s="1" t="s">
        <v>3714</v>
      </c>
      <c r="BD2261" s="1">
        <v>10.7</v>
      </c>
      <c r="BE2261" s="1">
        <v>45.5</v>
      </c>
      <c r="BF2261" s="1">
        <v>24.3</v>
      </c>
      <c r="BG2261" s="1">
        <v>19.5</v>
      </c>
      <c r="BH2261" s="1" t="s">
        <v>3742</v>
      </c>
    </row>
    <row r="2262">
      <c r="A2262" s="1">
        <v>42037.0</v>
      </c>
      <c r="B2262" s="2" t="str">
        <f>IFERROR(__xludf.DUMMYFUNCTION("TO_TEXT(A2262)"),"42037")</f>
        <v>42037</v>
      </c>
      <c r="C2262" s="1">
        <v>66772.0</v>
      </c>
      <c r="D2262" s="1">
        <v>483.106566095152</v>
      </c>
      <c r="E2262" s="1" t="s">
        <v>308</v>
      </c>
      <c r="F2262" s="1" t="s">
        <v>3743</v>
      </c>
      <c r="G2262" s="1">
        <v>138.213811788368</v>
      </c>
      <c r="H2262" s="1">
        <v>16.845909908</v>
      </c>
      <c r="I2262" s="1">
        <v>4.5356771474</v>
      </c>
      <c r="J2262" s="1">
        <v>8.6806411837</v>
      </c>
      <c r="K2262" s="1">
        <v>17.966040163</v>
      </c>
      <c r="L2262" s="1">
        <v>31.7</v>
      </c>
      <c r="M2262" s="1">
        <v>8.1</v>
      </c>
      <c r="N2262" s="1">
        <v>31.7</v>
      </c>
      <c r="O2262" s="1">
        <v>79.261460733</v>
      </c>
      <c r="P2262" s="1">
        <v>5.78527276</v>
      </c>
      <c r="Q2262" s="1">
        <v>53.085</v>
      </c>
      <c r="R2262" s="1">
        <v>88.318356868</v>
      </c>
      <c r="S2262" s="1">
        <v>14.6</v>
      </c>
      <c r="T2262" s="1">
        <v>11590.0</v>
      </c>
      <c r="U2262" s="1">
        <v>33.157894737</v>
      </c>
      <c r="V2262" s="1">
        <v>173.9288253</v>
      </c>
      <c r="W2262" s="1">
        <v>12.464428002</v>
      </c>
      <c r="X2262" s="1">
        <v>11.516679597</v>
      </c>
      <c r="Y2262" s="1">
        <v>78.180799927</v>
      </c>
      <c r="Z2262" s="1">
        <v>13.2</v>
      </c>
      <c r="AA2262" s="1">
        <v>2.9736988316</v>
      </c>
      <c r="AB2262" s="1">
        <v>50774.0</v>
      </c>
      <c r="AC2262" s="1">
        <v>42.282419203</v>
      </c>
      <c r="AD2262" s="1">
        <v>69.453013317</v>
      </c>
      <c r="AE2262" s="1">
        <v>10.544285204</v>
      </c>
      <c r="AF2262" s="1">
        <v>1.7767660719</v>
      </c>
      <c r="AG2262" s="1">
        <v>0.2322170618</v>
      </c>
      <c r="AH2262" s="1">
        <v>1.1671962845</v>
      </c>
      <c r="AI2262" s="1">
        <v>0.0595820093</v>
      </c>
      <c r="AJ2262" s="1">
        <v>2.8599364459</v>
      </c>
      <c r="AK2262" s="1">
        <v>93.07168174</v>
      </c>
      <c r="AL2262" s="1">
        <v>0.3591772152</v>
      </c>
      <c r="AM2262" s="1">
        <v>51.824126131</v>
      </c>
      <c r="AN2262" s="1">
        <v>40.85147485</v>
      </c>
      <c r="AO2262" s="1">
        <v>24155.0</v>
      </c>
      <c r="AP2262" s="1">
        <v>15.3</v>
      </c>
      <c r="AQ2262" s="1">
        <v>5.3</v>
      </c>
      <c r="AR2262" s="1">
        <v>11.0</v>
      </c>
      <c r="AS2262" s="1">
        <v>17.3</v>
      </c>
      <c r="AT2262" s="1">
        <v>18.0</v>
      </c>
      <c r="AU2262" s="1">
        <v>12.2</v>
      </c>
      <c r="AV2262" s="1">
        <v>6.5</v>
      </c>
      <c r="AW2262" s="1">
        <v>0.4</v>
      </c>
      <c r="AX2262" s="1">
        <v>0.2566</v>
      </c>
      <c r="AY2262" s="1">
        <v>14.7</v>
      </c>
      <c r="AZ2262" s="1">
        <v>10.5</v>
      </c>
      <c r="BA2262" s="1">
        <v>15.9</v>
      </c>
      <c r="BB2262" s="1">
        <v>3.09</v>
      </c>
      <c r="BC2262" s="1" t="s">
        <v>3714</v>
      </c>
      <c r="BD2262" s="1">
        <v>9.7</v>
      </c>
      <c r="BE2262" s="1">
        <v>43.0</v>
      </c>
      <c r="BF2262" s="1">
        <v>24.4</v>
      </c>
      <c r="BG2262" s="1">
        <v>22.9</v>
      </c>
      <c r="BH2262" s="1" t="s">
        <v>3743</v>
      </c>
    </row>
    <row r="2263">
      <c r="A2263" s="1">
        <v>42039.0</v>
      </c>
      <c r="B2263" s="2" t="str">
        <f>IFERROR(__xludf.DUMMYFUNCTION("TO_TEXT(A2263)"),"42039")</f>
        <v>42039</v>
      </c>
      <c r="C2263" s="1">
        <v>87027.0</v>
      </c>
      <c r="D2263" s="1">
        <v>1012.30029664852</v>
      </c>
      <c r="E2263" s="1" t="s">
        <v>314</v>
      </c>
      <c r="F2263" s="1" t="s">
        <v>3744</v>
      </c>
      <c r="G2263" s="1">
        <v>85.969549044019</v>
      </c>
      <c r="H2263" s="1">
        <v>16.0810798059999</v>
      </c>
      <c r="I2263" s="1">
        <v>4.6916242586</v>
      </c>
      <c r="J2263" s="1">
        <v>7.786259542</v>
      </c>
      <c r="K2263" s="1">
        <v>20.091769637</v>
      </c>
      <c r="L2263" s="1">
        <v>37.1</v>
      </c>
      <c r="M2263" s="1">
        <v>8.1</v>
      </c>
      <c r="N2263" s="1">
        <v>25.7</v>
      </c>
      <c r="O2263" s="1">
        <v>73.428716273</v>
      </c>
      <c r="P2263" s="1">
        <v>7.9814505885</v>
      </c>
      <c r="Q2263" s="1">
        <v>67.3174</v>
      </c>
      <c r="R2263" s="1">
        <v>92.335766423</v>
      </c>
      <c r="S2263" s="1">
        <v>19.1</v>
      </c>
      <c r="T2263" s="1">
        <v>17831.0</v>
      </c>
      <c r="U2263" s="1">
        <v>31.035836465</v>
      </c>
      <c r="V2263" s="1">
        <v>96.621711535</v>
      </c>
      <c r="W2263" s="1">
        <v>12.005792904</v>
      </c>
      <c r="X2263" s="1">
        <v>9.4724570096</v>
      </c>
      <c r="Y2263" s="1">
        <v>76.923918085</v>
      </c>
      <c r="Z2263" s="1">
        <v>13.8</v>
      </c>
      <c r="AA2263" s="1">
        <v>3.7695889333</v>
      </c>
      <c r="AB2263" s="1">
        <v>50805.0</v>
      </c>
      <c r="AC2263" s="1">
        <v>48.318685518</v>
      </c>
      <c r="AD2263" s="1">
        <v>72.997829316</v>
      </c>
      <c r="AE2263" s="1">
        <v>10.669045495</v>
      </c>
      <c r="AF2263" s="1">
        <v>1.904470804</v>
      </c>
      <c r="AG2263" s="1">
        <v>0.2374710509</v>
      </c>
      <c r="AH2263" s="1">
        <v>0.6312968035</v>
      </c>
      <c r="AI2263" s="1">
        <v>0.0317411800999999</v>
      </c>
      <c r="AJ2263" s="1">
        <v>1.36722194139999</v>
      </c>
      <c r="AK2263" s="1">
        <v>94.673359745</v>
      </c>
      <c r="AL2263" s="1">
        <v>0.3153335542</v>
      </c>
      <c r="AM2263" s="1">
        <v>51.010427565</v>
      </c>
      <c r="AN2263" s="1">
        <v>63.700782966</v>
      </c>
      <c r="AO2263" s="1">
        <v>23578.0</v>
      </c>
      <c r="AP2263" s="1">
        <v>14.5</v>
      </c>
      <c r="AQ2263" s="1">
        <v>6.8</v>
      </c>
      <c r="AR2263" s="1">
        <v>11.7</v>
      </c>
      <c r="AS2263" s="1">
        <v>18.3</v>
      </c>
      <c r="AT2263" s="1">
        <v>21.5</v>
      </c>
      <c r="AU2263" s="1">
        <v>16.0</v>
      </c>
      <c r="AV2263" s="1">
        <v>4.8</v>
      </c>
      <c r="AW2263" s="1">
        <v>0.4</v>
      </c>
      <c r="AX2263" s="1">
        <v>0.496</v>
      </c>
      <c r="AY2263" s="1">
        <v>12.6</v>
      </c>
      <c r="AZ2263" s="1">
        <v>12.0</v>
      </c>
      <c r="BA2263" s="1">
        <v>18.0</v>
      </c>
      <c r="BB2263" s="1">
        <v>2.94</v>
      </c>
      <c r="BC2263" s="1" t="s">
        <v>3714</v>
      </c>
      <c r="BD2263" s="1">
        <v>11.0</v>
      </c>
      <c r="BE2263" s="1">
        <v>45.8</v>
      </c>
      <c r="BF2263" s="1">
        <v>22.1</v>
      </c>
      <c r="BG2263" s="1">
        <v>21.1</v>
      </c>
      <c r="BH2263" s="1" t="s">
        <v>3744</v>
      </c>
    </row>
    <row r="2264">
      <c r="A2264" s="1">
        <v>42041.0</v>
      </c>
      <c r="B2264" s="2" t="str">
        <f>IFERROR(__xludf.DUMMYFUNCTION("TO_TEXT(A2264)"),"42041")</f>
        <v>42041</v>
      </c>
      <c r="C2264" s="1">
        <v>243838.0</v>
      </c>
      <c r="D2264" s="1">
        <v>545.49809291381</v>
      </c>
      <c r="E2264" s="1" t="s">
        <v>1178</v>
      </c>
      <c r="F2264" s="1" t="s">
        <v>3745</v>
      </c>
      <c r="G2264" s="1">
        <v>447.00064613888</v>
      </c>
      <c r="H2264" s="1">
        <v>13.657063667</v>
      </c>
      <c r="I2264" s="1">
        <v>4.0732684641</v>
      </c>
      <c r="J2264" s="1">
        <v>7.0138964876</v>
      </c>
      <c r="K2264" s="1">
        <v>16.350338289</v>
      </c>
      <c r="L2264" s="1">
        <v>29.3</v>
      </c>
      <c r="M2264" s="1">
        <v>8.5</v>
      </c>
      <c r="N2264" s="1">
        <v>20.8</v>
      </c>
      <c r="O2264" s="1">
        <v>83.237470583</v>
      </c>
      <c r="P2264" s="1">
        <v>6.6032557113</v>
      </c>
      <c r="Q2264" s="1">
        <v>92.37561</v>
      </c>
      <c r="R2264" s="1">
        <v>92.9583702389999</v>
      </c>
      <c r="S2264" s="1">
        <v>9.2</v>
      </c>
      <c r="T2264" s="1">
        <v>49813.0</v>
      </c>
      <c r="U2264" s="1">
        <v>24.860980065</v>
      </c>
      <c r="V2264" s="1">
        <v>86.285324967</v>
      </c>
      <c r="W2264" s="1">
        <v>11.658031088</v>
      </c>
      <c r="X2264" s="1">
        <v>10.26550519</v>
      </c>
      <c r="Y2264" s="1">
        <v>79.818517234</v>
      </c>
      <c r="Z2264" s="1">
        <v>10.4</v>
      </c>
      <c r="AA2264" s="1">
        <v>4.7475795678</v>
      </c>
      <c r="AB2264" s="1">
        <v>71695.0</v>
      </c>
      <c r="AC2264" s="1">
        <v>29.619548015</v>
      </c>
      <c r="AD2264" s="1">
        <v>70.382394288</v>
      </c>
      <c r="AE2264" s="1">
        <v>9.9979455573</v>
      </c>
      <c r="AF2264" s="1">
        <v>3.9956567219</v>
      </c>
      <c r="AG2264" s="1">
        <v>0.2310846661</v>
      </c>
      <c r="AH2264" s="1">
        <v>4.62805709899999</v>
      </c>
      <c r="AI2264" s="1">
        <v>0.0556830521</v>
      </c>
      <c r="AJ2264" s="1">
        <v>4.1320801995</v>
      </c>
      <c r="AK2264" s="1">
        <v>85.194274191</v>
      </c>
      <c r="AL2264" s="1">
        <v>1.289430089</v>
      </c>
      <c r="AM2264" s="1">
        <v>50.504130489</v>
      </c>
      <c r="AN2264" s="1">
        <v>22.17785443</v>
      </c>
      <c r="AO2264" s="1">
        <v>33079.0</v>
      </c>
      <c r="AP2264" s="1">
        <v>8.6</v>
      </c>
      <c r="AQ2264" s="1">
        <v>5.1</v>
      </c>
      <c r="AR2264" s="1">
        <v>8.6</v>
      </c>
      <c r="AS2264" s="1">
        <v>17.1</v>
      </c>
      <c r="AT2264" s="1">
        <v>20.4</v>
      </c>
      <c r="AU2264" s="1">
        <v>11.2</v>
      </c>
      <c r="AV2264" s="1">
        <v>12.6</v>
      </c>
      <c r="AW2264" s="1">
        <v>1.3</v>
      </c>
      <c r="AX2264" s="1">
        <v>0.1691</v>
      </c>
      <c r="AY2264" s="1">
        <v>7.2</v>
      </c>
      <c r="AZ2264" s="1">
        <v>7.9</v>
      </c>
      <c r="BA2264" s="1">
        <v>11.1</v>
      </c>
      <c r="BB2264" s="1">
        <v>3.34</v>
      </c>
      <c r="BC2264" s="1" t="s">
        <v>3714</v>
      </c>
      <c r="BD2264" s="1">
        <v>7.7</v>
      </c>
      <c r="BE2264" s="1">
        <v>32.0</v>
      </c>
      <c r="BF2264" s="1">
        <v>23.8</v>
      </c>
      <c r="BG2264" s="1">
        <v>36.6</v>
      </c>
      <c r="BH2264" s="1" t="s">
        <v>3745</v>
      </c>
    </row>
    <row r="2265">
      <c r="A2265" s="1">
        <v>42043.0</v>
      </c>
      <c r="B2265" s="2" t="str">
        <f>IFERROR(__xludf.DUMMYFUNCTION("TO_TEXT(A2265)"),"42043")</f>
        <v>42043</v>
      </c>
      <c r="C2265" s="1">
        <v>271962.0</v>
      </c>
      <c r="D2265" s="1">
        <v>525.057518283376</v>
      </c>
      <c r="E2265" s="1" t="s">
        <v>3746</v>
      </c>
      <c r="F2265" s="1" t="s">
        <v>3747</v>
      </c>
      <c r="G2265" s="1">
        <v>517.966109482925</v>
      </c>
      <c r="H2265" s="1">
        <v>17.386853318</v>
      </c>
      <c r="I2265" s="1">
        <v>4.5557147786</v>
      </c>
      <c r="J2265" s="1">
        <v>9.2292300638</v>
      </c>
      <c r="K2265" s="1">
        <v>18.523623861</v>
      </c>
      <c r="L2265" s="1">
        <v>33.5</v>
      </c>
      <c r="M2265" s="1">
        <v>7.6</v>
      </c>
      <c r="N2265" s="1">
        <v>23.6</v>
      </c>
      <c r="O2265" s="1">
        <v>82.778067885</v>
      </c>
      <c r="P2265" s="1">
        <v>6.65952343159999</v>
      </c>
      <c r="Q2265" s="1">
        <v>108.08458</v>
      </c>
      <c r="R2265" s="1">
        <v>79.609882965</v>
      </c>
      <c r="S2265" s="1">
        <v>20.5</v>
      </c>
      <c r="T2265" s="1">
        <v>61023.0</v>
      </c>
      <c r="U2265" s="1">
        <v>40.999295348</v>
      </c>
      <c r="V2265" s="1">
        <v>402.82863765</v>
      </c>
      <c r="W2265" s="1">
        <v>14.10035387</v>
      </c>
      <c r="X2265" s="1">
        <v>12.4369208179999</v>
      </c>
      <c r="Y2265" s="1">
        <v>78.451237177</v>
      </c>
      <c r="Z2265" s="1">
        <v>11.2</v>
      </c>
      <c r="AA2265" s="1">
        <v>7.6065876502</v>
      </c>
      <c r="AB2265" s="1">
        <v>57979.0</v>
      </c>
      <c r="AC2265" s="1">
        <v>61.030685656</v>
      </c>
      <c r="AD2265" s="1">
        <v>63.2167544139999</v>
      </c>
      <c r="AE2265" s="1">
        <v>13.36931281</v>
      </c>
      <c r="AF2265" s="1">
        <v>17.377669192</v>
      </c>
      <c r="AG2265" s="1">
        <v>0.4171824307</v>
      </c>
      <c r="AH2265" s="1">
        <v>4.9740704519</v>
      </c>
      <c r="AI2265" s="1">
        <v>0.0905819984</v>
      </c>
      <c r="AJ2265" s="1">
        <v>9.6442761921</v>
      </c>
      <c r="AK2265" s="1">
        <v>65.146501045</v>
      </c>
      <c r="AL2265" s="1">
        <v>2.1687851927</v>
      </c>
      <c r="AM2265" s="1">
        <v>51.562810135</v>
      </c>
      <c r="AN2265" s="1">
        <v>13.323386796</v>
      </c>
      <c r="AO2265" s="1">
        <v>30068.0</v>
      </c>
      <c r="AP2265" s="1">
        <v>13.4</v>
      </c>
      <c r="AQ2265" s="1">
        <v>6.2</v>
      </c>
      <c r="AR2265" s="1">
        <v>10.9</v>
      </c>
      <c r="AS2265" s="1">
        <v>15.3</v>
      </c>
      <c r="AT2265" s="1">
        <v>22.5</v>
      </c>
      <c r="AU2265" s="1">
        <v>13.3</v>
      </c>
      <c r="AV2265" s="1">
        <v>32.2</v>
      </c>
      <c r="AW2265" s="1">
        <v>2.3</v>
      </c>
      <c r="AX2265" s="1">
        <v>0.5199</v>
      </c>
      <c r="AY2265" s="1">
        <v>11.3</v>
      </c>
      <c r="AZ2265" s="1">
        <v>10.6</v>
      </c>
      <c r="BA2265" s="1">
        <v>15.0</v>
      </c>
      <c r="BB2265" s="1">
        <v>3.24</v>
      </c>
      <c r="BC2265" s="1" t="s">
        <v>3714</v>
      </c>
      <c r="BD2265" s="1">
        <v>10.2</v>
      </c>
      <c r="BE2265" s="1">
        <v>33.2</v>
      </c>
      <c r="BF2265" s="1">
        <v>25.8</v>
      </c>
      <c r="BG2265" s="1">
        <v>30.8</v>
      </c>
      <c r="BH2265" s="1" t="s">
        <v>3747</v>
      </c>
    </row>
    <row r="2266">
      <c r="A2266" s="1">
        <v>42045.0</v>
      </c>
      <c r="B2266" s="2" t="str">
        <f>IFERROR(__xludf.DUMMYFUNCTION("TO_TEXT(A2266)"),"42045")</f>
        <v>42045</v>
      </c>
      <c r="C2266" s="1">
        <v>562316.0</v>
      </c>
      <c r="D2266" s="1">
        <v>183.872190590266</v>
      </c>
      <c r="E2266" s="1" t="s">
        <v>1331</v>
      </c>
      <c r="F2266" s="1" t="s">
        <v>3748</v>
      </c>
      <c r="G2266" s="1">
        <v>3058.18948583173</v>
      </c>
      <c r="H2266" s="1">
        <v>15.294496958</v>
      </c>
      <c r="I2266" s="1">
        <v>4.0071985475</v>
      </c>
      <c r="J2266" s="1">
        <v>8.8706703971</v>
      </c>
      <c r="K2266" s="1">
        <v>14.9177096679999</v>
      </c>
      <c r="L2266" s="1">
        <v>26.9</v>
      </c>
      <c r="M2266" s="1">
        <v>8.2</v>
      </c>
      <c r="N2266" s="1">
        <v>19.8</v>
      </c>
      <c r="O2266" s="1">
        <v>96.503804257</v>
      </c>
      <c r="P2266" s="1">
        <v>5.5536854806</v>
      </c>
      <c r="Q2266" s="1">
        <v>106.96021</v>
      </c>
      <c r="R2266" s="1">
        <v>88.886916386</v>
      </c>
      <c r="S2266" s="1">
        <v>11.3</v>
      </c>
      <c r="T2266" s="1">
        <v>123711.0</v>
      </c>
      <c r="U2266" s="1">
        <v>33.421441909</v>
      </c>
      <c r="V2266" s="1">
        <v>396.06510781</v>
      </c>
      <c r="W2266" s="1">
        <v>17.049751977</v>
      </c>
      <c r="X2266" s="1">
        <v>15.59434829</v>
      </c>
      <c r="Y2266" s="1">
        <v>78.466508639</v>
      </c>
      <c r="Z2266" s="1">
        <v>10.1</v>
      </c>
      <c r="AA2266" s="1">
        <v>2.4451516062</v>
      </c>
      <c r="AB2266" s="1">
        <v>71961.0</v>
      </c>
      <c r="AC2266" s="1">
        <v>46.636981841</v>
      </c>
      <c r="AD2266" s="1">
        <v>69.125263438</v>
      </c>
      <c r="AE2266" s="1">
        <v>15.207595113</v>
      </c>
      <c r="AF2266" s="1">
        <v>21.64847871</v>
      </c>
      <c r="AG2266" s="1">
        <v>0.2123059543</v>
      </c>
      <c r="AH2266" s="1">
        <v>6.0842743085</v>
      </c>
      <c r="AI2266" s="1">
        <v>0.0478086803</v>
      </c>
      <c r="AJ2266" s="1">
        <v>3.9261550666</v>
      </c>
      <c r="AK2266" s="1">
        <v>66.30550455</v>
      </c>
      <c r="AL2266" s="1">
        <v>1.8764357348</v>
      </c>
      <c r="AM2266" s="1">
        <v>51.869762072</v>
      </c>
      <c r="AN2266" s="1">
        <v>0.4638814696</v>
      </c>
      <c r="AO2266" s="1">
        <v>34857.0</v>
      </c>
      <c r="AP2266" s="1">
        <v>10.9</v>
      </c>
      <c r="AQ2266" s="1">
        <v>7.5</v>
      </c>
      <c r="AR2266" s="1">
        <v>7.6</v>
      </c>
      <c r="AS2266" s="1">
        <v>15.1</v>
      </c>
      <c r="AT2266" s="1">
        <v>22.5</v>
      </c>
      <c r="AU2266" s="1">
        <v>11.7</v>
      </c>
      <c r="AV2266" s="1">
        <v>31.4</v>
      </c>
      <c r="AW2266" s="1">
        <v>2.0</v>
      </c>
      <c r="AX2266" s="1">
        <v>0.4037</v>
      </c>
      <c r="AY2266" s="1">
        <v>9.9</v>
      </c>
      <c r="AZ2266" s="1">
        <v>9.4</v>
      </c>
      <c r="BA2266" s="1">
        <v>12.5</v>
      </c>
      <c r="BB2266" s="1">
        <v>3.69</v>
      </c>
      <c r="BC2266" s="1" t="s">
        <v>3714</v>
      </c>
      <c r="BD2266" s="1">
        <v>6.9</v>
      </c>
      <c r="BE2266" s="1">
        <v>30.2</v>
      </c>
      <c r="BF2266" s="1">
        <v>23.8</v>
      </c>
      <c r="BG2266" s="1">
        <v>39.0</v>
      </c>
      <c r="BH2266" s="1" t="s">
        <v>3748</v>
      </c>
    </row>
    <row r="2267">
      <c r="A2267" s="1">
        <v>42047.0</v>
      </c>
      <c r="B2267" s="2" t="str">
        <f>IFERROR(__xludf.DUMMYFUNCTION("TO_TEXT(A2267)"),"42047")</f>
        <v>42047</v>
      </c>
      <c r="C2267" s="1">
        <v>31111.0</v>
      </c>
      <c r="D2267" s="1">
        <v>827.360999667264</v>
      </c>
      <c r="E2267" s="1" t="s">
        <v>1624</v>
      </c>
      <c r="F2267" s="1" t="s">
        <v>3749</v>
      </c>
      <c r="G2267" s="1">
        <v>37.6026909807349</v>
      </c>
      <c r="H2267" s="1">
        <v>15.5614530059999</v>
      </c>
      <c r="I2267" s="1">
        <v>4.3204388857</v>
      </c>
      <c r="J2267" s="1">
        <v>6.3872255489</v>
      </c>
      <c r="K2267" s="1">
        <v>17.313272262</v>
      </c>
      <c r="L2267" s="1">
        <v>26.5</v>
      </c>
      <c r="M2267" s="1">
        <v>8.6</v>
      </c>
      <c r="N2267" s="1">
        <v>28.1</v>
      </c>
      <c r="O2267" s="1">
        <v>81.593939773</v>
      </c>
      <c r="P2267" s="1">
        <v>5.2928932501</v>
      </c>
      <c r="Q2267" s="1">
        <v>49.67381</v>
      </c>
      <c r="R2267" s="1">
        <v>88.888888889</v>
      </c>
      <c r="S2267" s="1">
        <v>12.6</v>
      </c>
      <c r="T2267" s="1">
        <v>5935.0</v>
      </c>
      <c r="U2267" s="1">
        <v>33.074978939</v>
      </c>
      <c r="V2267" s="1">
        <v>106.50486534</v>
      </c>
      <c r="W2267" s="1">
        <v>6.2874251497</v>
      </c>
      <c r="X2267" s="1">
        <v>5.2723146747</v>
      </c>
      <c r="Y2267" s="1">
        <v>77.4726858889999</v>
      </c>
      <c r="Z2267" s="1">
        <v>10.5</v>
      </c>
      <c r="AA2267" s="1">
        <v>2.8601536523</v>
      </c>
      <c r="AB2267" s="1">
        <v>54876.0</v>
      </c>
      <c r="AC2267" s="1">
        <v>40.78866297</v>
      </c>
      <c r="AD2267" s="1">
        <v>77.46776426</v>
      </c>
      <c r="AE2267" s="1">
        <v>5.7147199635</v>
      </c>
      <c r="AF2267" s="1">
        <v>0.467367165</v>
      </c>
      <c r="AG2267" s="1">
        <v>0.2121382876</v>
      </c>
      <c r="AH2267" s="1">
        <v>0.3944446286</v>
      </c>
      <c r="AI2267" s="1">
        <v>0.0198879645</v>
      </c>
      <c r="AJ2267" s="1">
        <v>0.8452384898</v>
      </c>
      <c r="AK2267" s="1">
        <v>97.291922172</v>
      </c>
      <c r="AL2267" s="1">
        <v>0.1585660117</v>
      </c>
      <c r="AM2267" s="1">
        <v>49.799463025</v>
      </c>
      <c r="AN2267" s="1">
        <v>55.675201903</v>
      </c>
      <c r="AO2267" s="1">
        <v>25753.0</v>
      </c>
      <c r="AP2267" s="1">
        <v>8.8</v>
      </c>
      <c r="AQ2267" s="1">
        <v>5.1</v>
      </c>
      <c r="AR2267" s="1">
        <v>8.5</v>
      </c>
      <c r="AS2267" s="1">
        <v>20.5</v>
      </c>
      <c r="AT2267" s="1">
        <v>19.8</v>
      </c>
      <c r="AU2267" s="1">
        <v>16.7</v>
      </c>
      <c r="AV2267" s="1">
        <v>2.5</v>
      </c>
      <c r="AW2267" s="1">
        <v>0.1</v>
      </c>
      <c r="AX2267" s="1">
        <v>0.0946</v>
      </c>
      <c r="AY2267" s="1">
        <v>9.8</v>
      </c>
      <c r="AZ2267" s="1">
        <v>9.9</v>
      </c>
      <c r="BA2267" s="1">
        <v>15.3</v>
      </c>
      <c r="BB2267" s="1">
        <v>3.17</v>
      </c>
      <c r="BC2267" s="1" t="s">
        <v>3714</v>
      </c>
      <c r="BD2267" s="1">
        <v>7.7</v>
      </c>
      <c r="BE2267" s="1">
        <v>48.0</v>
      </c>
      <c r="BF2267" s="1">
        <v>24.7</v>
      </c>
      <c r="BG2267" s="1">
        <v>19.6</v>
      </c>
      <c r="BH2267" s="1" t="s">
        <v>3749</v>
      </c>
    </row>
    <row r="2268">
      <c r="A2268" s="1">
        <v>42049.0</v>
      </c>
      <c r="B2268" s="2" t="str">
        <f>IFERROR(__xludf.DUMMYFUNCTION("TO_TEXT(A2268)"),"42049")</f>
        <v>42049</v>
      </c>
      <c r="C2268" s="1">
        <v>279133.0</v>
      </c>
      <c r="D2268" s="1">
        <v>799.212790502449</v>
      </c>
      <c r="E2268" s="1" t="s">
        <v>3098</v>
      </c>
      <c r="F2268" s="1" t="s">
        <v>3750</v>
      </c>
      <c r="G2268" s="1">
        <v>349.259925913491</v>
      </c>
      <c r="H2268" s="1">
        <v>18.196010488</v>
      </c>
      <c r="I2268" s="1">
        <v>4.7878348128</v>
      </c>
      <c r="J2268" s="1">
        <v>8.2082924321</v>
      </c>
      <c r="K2268" s="1">
        <v>20.296875591</v>
      </c>
      <c r="L2268" s="1">
        <v>34.0</v>
      </c>
      <c r="M2268" s="1">
        <v>7.3</v>
      </c>
      <c r="N2268" s="1">
        <v>24.0</v>
      </c>
      <c r="O2268" s="1">
        <v>88.35781955</v>
      </c>
      <c r="P2268" s="1">
        <v>6.4467474785</v>
      </c>
      <c r="Q2268" s="1">
        <v>79.0410199999999</v>
      </c>
      <c r="R2268" s="1">
        <v>87.312652492</v>
      </c>
      <c r="S2268" s="1">
        <v>21.4</v>
      </c>
      <c r="T2268" s="1">
        <v>58946.0</v>
      </c>
      <c r="U2268" s="1">
        <v>40.554066434</v>
      </c>
      <c r="V2268" s="1">
        <v>224.84461118</v>
      </c>
      <c r="W2268" s="1">
        <v>14.076059794</v>
      </c>
      <c r="X2268" s="1">
        <v>12.408088235</v>
      </c>
      <c r="Y2268" s="1">
        <v>77.440226085</v>
      </c>
      <c r="Z2268" s="1">
        <v>9.5</v>
      </c>
      <c r="AA2268" s="1">
        <v>8.6679921427</v>
      </c>
      <c r="AB2268" s="1">
        <v>48453.0</v>
      </c>
      <c r="AC2268" s="1">
        <v>62.291590775</v>
      </c>
      <c r="AD2268" s="1">
        <v>65.800090868</v>
      </c>
      <c r="AE2268" s="1">
        <v>13.183676907</v>
      </c>
      <c r="AF2268" s="1">
        <v>7.299098364</v>
      </c>
      <c r="AG2268" s="1">
        <v>0.2723653886</v>
      </c>
      <c r="AH2268" s="1">
        <v>1.8466446863</v>
      </c>
      <c r="AI2268" s="1">
        <v>0.0540320001999999</v>
      </c>
      <c r="AJ2268" s="1">
        <v>4.3519651843</v>
      </c>
      <c r="AK2268" s="1">
        <v>84.219347867</v>
      </c>
      <c r="AL2268" s="1">
        <v>1.3902601119</v>
      </c>
      <c r="AM2268" s="1">
        <v>50.6092383689999</v>
      </c>
      <c r="AN2268" s="1">
        <v>20.019531946</v>
      </c>
      <c r="AO2268" s="1">
        <v>25555.0</v>
      </c>
      <c r="AP2268" s="1">
        <v>16.7</v>
      </c>
      <c r="AQ2268" s="1">
        <v>7.1</v>
      </c>
      <c r="AR2268" s="1">
        <v>8.9</v>
      </c>
      <c r="AS2268" s="1">
        <v>15.7</v>
      </c>
      <c r="AT2268" s="1">
        <v>22.0</v>
      </c>
      <c r="AU2268" s="1">
        <v>15.1</v>
      </c>
      <c r="AV2268" s="1">
        <v>14.9</v>
      </c>
      <c r="AW2268" s="1">
        <v>1.3</v>
      </c>
      <c r="AX2268" s="1">
        <v>0.5842</v>
      </c>
      <c r="AY2268" s="1">
        <v>16.6</v>
      </c>
      <c r="AZ2268" s="1">
        <v>12.3</v>
      </c>
      <c r="BA2268" s="1">
        <v>18.3</v>
      </c>
      <c r="BB2268" s="1">
        <v>3.06</v>
      </c>
      <c r="BC2268" s="1" t="s">
        <v>3714</v>
      </c>
      <c r="BD2268" s="1">
        <v>8.7</v>
      </c>
      <c r="BE2268" s="1">
        <v>38.5</v>
      </c>
      <c r="BF2268" s="1">
        <v>24.9</v>
      </c>
      <c r="BG2268" s="1">
        <v>27.9</v>
      </c>
      <c r="BH2268" s="1" t="s">
        <v>3750</v>
      </c>
    </row>
    <row r="2269">
      <c r="A2269" s="1">
        <v>42051.0</v>
      </c>
      <c r="B2269" s="2" t="str">
        <f>IFERROR(__xludf.DUMMYFUNCTION("TO_TEXT(A2269)"),"42051")</f>
        <v>42051</v>
      </c>
      <c r="C2269" s="1">
        <v>134229.0</v>
      </c>
      <c r="D2269" s="1">
        <v>790.338448774652</v>
      </c>
      <c r="E2269" s="1" t="s">
        <v>116</v>
      </c>
      <c r="F2269" s="1" t="s">
        <v>3751</v>
      </c>
      <c r="G2269" s="1">
        <v>169.837365508549</v>
      </c>
      <c r="H2269" s="1">
        <v>18.179877997</v>
      </c>
      <c r="I2269" s="1">
        <v>4.8151482713</v>
      </c>
      <c r="J2269" s="1">
        <v>9.0088198236</v>
      </c>
      <c r="K2269" s="1">
        <v>21.427299878</v>
      </c>
      <c r="L2269" s="1">
        <v>39.7</v>
      </c>
      <c r="M2269" s="1">
        <v>7.3</v>
      </c>
      <c r="N2269" s="1">
        <v>35.2</v>
      </c>
      <c r="O2269" s="1">
        <v>58.225846595</v>
      </c>
      <c r="P2269" s="1">
        <v>6.2797401623</v>
      </c>
      <c r="Q2269" s="1">
        <v>37.26122</v>
      </c>
      <c r="R2269" s="1">
        <v>84.615384615</v>
      </c>
      <c r="S2269" s="1">
        <v>20.3</v>
      </c>
      <c r="T2269" s="1">
        <v>25044.0</v>
      </c>
      <c r="U2269" s="1">
        <v>38.915508705</v>
      </c>
      <c r="V2269" s="1">
        <v>204.55884726</v>
      </c>
      <c r="W2269" s="1">
        <v>12.738794148</v>
      </c>
      <c r="X2269" s="1">
        <v>10.578386606</v>
      </c>
      <c r="Y2269" s="1">
        <v>75.045162212</v>
      </c>
      <c r="Z2269" s="1">
        <v>14.0</v>
      </c>
      <c r="AA2269" s="1">
        <v>7.8669432006</v>
      </c>
      <c r="AB2269" s="1">
        <v>50381.0</v>
      </c>
      <c r="AC2269" s="1">
        <v>63.390916371</v>
      </c>
      <c r="AD2269" s="1">
        <v>73.917191026</v>
      </c>
      <c r="AE2269" s="1">
        <v>11.658753196</v>
      </c>
      <c r="AF2269" s="1">
        <v>4.6289126885</v>
      </c>
      <c r="AG2269" s="1">
        <v>0.2016237226</v>
      </c>
      <c r="AH2269" s="1">
        <v>0.4024808151</v>
      </c>
      <c r="AI2269" s="1">
        <v>0.30895194</v>
      </c>
      <c r="AJ2269" s="1">
        <v>1.2204751574</v>
      </c>
      <c r="AK2269" s="1">
        <v>91.661364142</v>
      </c>
      <c r="AL2269" s="1">
        <v>0.2691039952</v>
      </c>
      <c r="AM2269" s="1">
        <v>50.46342791</v>
      </c>
      <c r="AN2269" s="1">
        <v>47.897603326</v>
      </c>
      <c r="AO2269" s="1">
        <v>22863.0</v>
      </c>
      <c r="AP2269" s="1">
        <v>18.6</v>
      </c>
      <c r="AQ2269" s="1">
        <v>7.8</v>
      </c>
      <c r="AR2269" s="1">
        <v>12.6</v>
      </c>
      <c r="AS2269" s="1">
        <v>19.4</v>
      </c>
      <c r="AT2269" s="1">
        <v>19.6</v>
      </c>
      <c r="AU2269" s="1">
        <v>18.0</v>
      </c>
      <c r="AV2269" s="1">
        <v>7.7</v>
      </c>
      <c r="AW2269" s="1">
        <v>0.3</v>
      </c>
      <c r="AX2269" s="1">
        <v>0.6173</v>
      </c>
      <c r="AY2269" s="1">
        <v>17.5</v>
      </c>
      <c r="AZ2269" s="1">
        <v>14.2</v>
      </c>
      <c r="BA2269" s="1">
        <v>22.3</v>
      </c>
      <c r="BB2269" s="1">
        <v>2.91</v>
      </c>
      <c r="BC2269" s="1" t="s">
        <v>3714</v>
      </c>
      <c r="BD2269" s="1">
        <v>11.6</v>
      </c>
      <c r="BE2269" s="1">
        <v>48.0</v>
      </c>
      <c r="BF2269" s="1">
        <v>23.1</v>
      </c>
      <c r="BG2269" s="1">
        <v>17.3</v>
      </c>
      <c r="BH2269" s="1" t="s">
        <v>3751</v>
      </c>
    </row>
    <row r="2270">
      <c r="A2270" s="1">
        <v>42053.0</v>
      </c>
      <c r="B2270" s="2" t="str">
        <f>IFERROR(__xludf.DUMMYFUNCTION("TO_TEXT(A2270)"),"42053")</f>
        <v>42053</v>
      </c>
      <c r="C2270" s="1">
        <v>7493.0</v>
      </c>
      <c r="D2270" s="1">
        <v>427.269714937472</v>
      </c>
      <c r="E2270" s="1" t="s">
        <v>3752</v>
      </c>
      <c r="F2270" s="1" t="s">
        <v>3753</v>
      </c>
      <c r="G2270" s="1">
        <v>17.5369321485763</v>
      </c>
      <c r="H2270" s="1">
        <v>18.091985716</v>
      </c>
      <c r="I2270" s="1">
        <v>4.1516259423</v>
      </c>
      <c r="J2270" s="1">
        <v>9.1370558376</v>
      </c>
      <c r="K2270" s="1">
        <v>19.523396919</v>
      </c>
      <c r="L2270" s="1">
        <v>34.3</v>
      </c>
      <c r="M2270" s="1">
        <v>7.9</v>
      </c>
      <c r="N2270" s="1">
        <v>20.3</v>
      </c>
      <c r="O2270" s="1">
        <v>90.927941939</v>
      </c>
      <c r="P2270" s="1">
        <v>6.7923301917</v>
      </c>
      <c r="Q2270" s="1">
        <v>48.31939</v>
      </c>
      <c r="R2270" s="1">
        <v>90.0</v>
      </c>
      <c r="S2270" s="1">
        <v>30.1</v>
      </c>
      <c r="T2270" s="1">
        <v>585.0</v>
      </c>
      <c r="U2270" s="1">
        <v>30.94017094</v>
      </c>
      <c r="V2270" s="1">
        <v>468.47811538</v>
      </c>
      <c r="W2270" s="1">
        <v>10.468319559</v>
      </c>
      <c r="X2270" s="1">
        <v>8.4952803998</v>
      </c>
      <c r="Y2270" s="1">
        <v>78.871927966</v>
      </c>
      <c r="Z2270" s="1">
        <v>8.3</v>
      </c>
      <c r="AA2270" s="1">
        <v>0.5259921255</v>
      </c>
      <c r="AB2270" s="1">
        <v>41750.0</v>
      </c>
      <c r="AC2270" s="1">
        <v>38.0</v>
      </c>
      <c r="AD2270" s="1">
        <v>85.89822195</v>
      </c>
      <c r="AE2270" s="1">
        <v>9.29632020659999</v>
      </c>
      <c r="AF2270" s="1">
        <v>20.33246325</v>
      </c>
      <c r="AG2270" s="1">
        <v>0.5632641846</v>
      </c>
      <c r="AH2270" s="1">
        <v>0.178595961</v>
      </c>
      <c r="AI2270" s="1">
        <v>0.0137381508</v>
      </c>
      <c r="AJ2270" s="1">
        <v>6.6080505564</v>
      </c>
      <c r="AK2270" s="1">
        <v>71.960434126</v>
      </c>
      <c r="AL2270" s="1">
        <v>1.3351877608</v>
      </c>
      <c r="AM2270" s="1">
        <v>31.515318038</v>
      </c>
      <c r="AN2270" s="1">
        <v>100.0</v>
      </c>
      <c r="AO2270" s="1">
        <v>13283.0</v>
      </c>
      <c r="AP2270" s="1">
        <v>12.7</v>
      </c>
      <c r="AQ2270" s="1">
        <v>4.5</v>
      </c>
      <c r="AR2270" s="1">
        <v>19.2</v>
      </c>
      <c r="AS2270" s="1">
        <v>21.5</v>
      </c>
      <c r="AT2270" s="1">
        <v>3.9</v>
      </c>
      <c r="AU2270" s="1">
        <v>33.3</v>
      </c>
      <c r="AV2270" s="1">
        <v>40.5</v>
      </c>
      <c r="AW2270" s="1">
        <v>1.3</v>
      </c>
      <c r="AX2270" s="1">
        <v>0.603</v>
      </c>
      <c r="AY2270" s="1">
        <v>26.0</v>
      </c>
      <c r="AZ2270" s="1">
        <v>14.7</v>
      </c>
      <c r="BA2270" s="1">
        <v>27.6</v>
      </c>
      <c r="BB2270" s="1">
        <v>2.82</v>
      </c>
      <c r="BC2270" s="1" t="s">
        <v>3714</v>
      </c>
      <c r="BD2270" s="1">
        <v>17.0</v>
      </c>
      <c r="BE2270" s="1">
        <v>57.4</v>
      </c>
      <c r="BF2270" s="1">
        <v>17.5</v>
      </c>
      <c r="BG2270" s="1">
        <v>8.1</v>
      </c>
      <c r="BH2270" s="1" t="s">
        <v>3753</v>
      </c>
    </row>
    <row r="2271">
      <c r="A2271" s="1">
        <v>42055.0</v>
      </c>
      <c r="B2271" s="2" t="str">
        <f>IFERROR(__xludf.DUMMYFUNCTION("TO_TEXT(A2271)"),"42055")</f>
        <v>42055</v>
      </c>
      <c r="C2271" s="1">
        <v>152707.0</v>
      </c>
      <c r="D2271" s="1">
        <v>772.224122864036</v>
      </c>
      <c r="E2271" s="1" t="s">
        <v>118</v>
      </c>
      <c r="F2271" s="1" t="s">
        <v>3754</v>
      </c>
      <c r="G2271" s="1">
        <v>197.749585228751</v>
      </c>
      <c r="H2271" s="1">
        <v>14.9468336459999</v>
      </c>
      <c r="I2271" s="1">
        <v>4.2283369082</v>
      </c>
      <c r="J2271" s="1">
        <v>6.9486166008</v>
      </c>
      <c r="K2271" s="1">
        <v>18.15489989</v>
      </c>
      <c r="L2271" s="1">
        <v>35.0</v>
      </c>
      <c r="M2271" s="1">
        <v>8.3</v>
      </c>
      <c r="N2271" s="1">
        <v>25.7</v>
      </c>
      <c r="O2271" s="1">
        <v>69.07390822</v>
      </c>
      <c r="P2271" s="1">
        <v>7.8141713397</v>
      </c>
      <c r="Q2271" s="1">
        <v>60.94635</v>
      </c>
      <c r="R2271" s="1">
        <v>88.3798882679999</v>
      </c>
      <c r="S2271" s="1">
        <v>17.8</v>
      </c>
      <c r="T2271" s="1">
        <v>34369.0</v>
      </c>
      <c r="U2271" s="1">
        <v>30.812650935</v>
      </c>
      <c r="V2271" s="1">
        <v>146.146368199999</v>
      </c>
      <c r="W2271" s="1">
        <v>11.23926587</v>
      </c>
      <c r="X2271" s="1">
        <v>9.8075455702</v>
      </c>
      <c r="Y2271" s="1">
        <v>78.870685771</v>
      </c>
      <c r="Z2271" s="1">
        <v>12.7</v>
      </c>
      <c r="AA2271" s="1">
        <v>4.9616155726</v>
      </c>
      <c r="AB2271" s="1">
        <v>60744.0</v>
      </c>
      <c r="AC2271" s="1">
        <v>42.07582062</v>
      </c>
      <c r="AD2271" s="1">
        <v>70.019930244</v>
      </c>
      <c r="AE2271" s="1">
        <v>9.9681740048</v>
      </c>
      <c r="AF2271" s="1">
        <v>3.38295605</v>
      </c>
      <c r="AG2271" s="1">
        <v>0.3261536474</v>
      </c>
      <c r="AH2271" s="1">
        <v>1.1425065392</v>
      </c>
      <c r="AI2271" s="1">
        <v>0.0626473343</v>
      </c>
      <c r="AJ2271" s="1">
        <v>5.8985371525</v>
      </c>
      <c r="AK2271" s="1">
        <v>87.7249975779999</v>
      </c>
      <c r="AL2271" s="1">
        <v>0.9809898576</v>
      </c>
      <c r="AM2271" s="1">
        <v>50.91226144</v>
      </c>
      <c r="AN2271" s="1">
        <v>40.352096673</v>
      </c>
      <c r="AO2271" s="1">
        <v>27706.0</v>
      </c>
      <c r="AP2271" s="1">
        <v>11.6</v>
      </c>
      <c r="AQ2271" s="1">
        <v>6.4</v>
      </c>
      <c r="AR2271" s="1">
        <v>13.5</v>
      </c>
      <c r="AS2271" s="1">
        <v>18.2</v>
      </c>
      <c r="AT2271" s="1">
        <v>22.9</v>
      </c>
      <c r="AU2271" s="1">
        <v>12.6</v>
      </c>
      <c r="AV2271" s="1">
        <v>11.0</v>
      </c>
      <c r="AW2271" s="1">
        <v>1.1</v>
      </c>
      <c r="AX2271" s="1">
        <v>0.3088</v>
      </c>
      <c r="AY2271" s="1">
        <v>8.1</v>
      </c>
      <c r="AZ2271" s="1">
        <v>9.7</v>
      </c>
      <c r="BA2271" s="1">
        <v>14.2</v>
      </c>
      <c r="BB2271" s="1">
        <v>3.17</v>
      </c>
      <c r="BC2271" s="1" t="s">
        <v>3714</v>
      </c>
      <c r="BD2271" s="1">
        <v>11.7</v>
      </c>
      <c r="BE2271" s="1">
        <v>43.1</v>
      </c>
      <c r="BF2271" s="1">
        <v>23.5</v>
      </c>
      <c r="BG2271" s="1">
        <v>21.6</v>
      </c>
      <c r="BH2271" s="1" t="s">
        <v>3754</v>
      </c>
    </row>
    <row r="2272">
      <c r="A2272" s="1">
        <v>42057.0</v>
      </c>
      <c r="B2272" s="2" t="str">
        <f>IFERROR(__xludf.DUMMYFUNCTION("TO_TEXT(A2272)"),"42057")</f>
        <v>42057</v>
      </c>
      <c r="C2272" s="1">
        <v>14653.0</v>
      </c>
      <c r="D2272" s="1">
        <v>437.551171813396</v>
      </c>
      <c r="E2272" s="1" t="s">
        <v>328</v>
      </c>
      <c r="F2272" s="1" t="s">
        <v>3755</v>
      </c>
      <c r="G2272" s="1">
        <v>33.4886544567389</v>
      </c>
      <c r="H2272" s="1">
        <v>15.571089319</v>
      </c>
      <c r="I2272" s="1">
        <v>4.35452086279999</v>
      </c>
      <c r="J2272" s="1">
        <v>7.8793774319</v>
      </c>
      <c r="K2272" s="1">
        <v>18.114100831</v>
      </c>
      <c r="L2272" s="1">
        <v>28.4</v>
      </c>
      <c r="M2272" s="1">
        <v>8.3</v>
      </c>
      <c r="N2272" s="1">
        <v>21.1</v>
      </c>
      <c r="O2272" s="1">
        <v>55.264398787</v>
      </c>
      <c r="P2272" s="1">
        <v>7.4641316785</v>
      </c>
      <c r="Q2272" s="1">
        <v>20.56203</v>
      </c>
      <c r="R2272" s="1">
        <v>90.588235294</v>
      </c>
      <c r="S2272" s="1">
        <v>17.3</v>
      </c>
      <c r="T2272" s="1">
        <v>2859.0</v>
      </c>
      <c r="U2272" s="1">
        <v>33.753060511</v>
      </c>
      <c r="V2272" s="1">
        <v>216.07161231</v>
      </c>
      <c r="W2272" s="1">
        <v>11.43572621</v>
      </c>
      <c r="X2272" s="1">
        <v>9.7457627119</v>
      </c>
      <c r="Y2272" s="1">
        <v>78.098854098</v>
      </c>
      <c r="Z2272" s="1">
        <v>17.9</v>
      </c>
      <c r="AA2272" s="1">
        <v>4.3397435193</v>
      </c>
      <c r="AB2272" s="1">
        <v>52277.0</v>
      </c>
      <c r="AC2272" s="1">
        <v>44.555035129</v>
      </c>
      <c r="AD2272" s="1">
        <v>78.638655462</v>
      </c>
      <c r="AE2272" s="1">
        <v>11.313347609</v>
      </c>
      <c r="AF2272" s="1">
        <v>1.1567857881</v>
      </c>
      <c r="AG2272" s="1">
        <v>0.3029677064</v>
      </c>
      <c r="AH2272" s="1">
        <v>0.2065688907</v>
      </c>
      <c r="AI2272" s="1">
        <v>0.0068856297</v>
      </c>
      <c r="AJ2272" s="1">
        <v>1.2600702334</v>
      </c>
      <c r="AK2272" s="1">
        <v>95.882393445</v>
      </c>
      <c r="AL2272" s="1">
        <v>0.0217659436</v>
      </c>
      <c r="AM2272" s="1">
        <v>49.356193624</v>
      </c>
      <c r="AN2272" s="1">
        <v>100.0</v>
      </c>
      <c r="AO2272" s="1">
        <v>24327.0</v>
      </c>
      <c r="AP2272" s="1">
        <v>11.2</v>
      </c>
      <c r="AQ2272" s="1">
        <v>6.0</v>
      </c>
      <c r="AR2272" s="1">
        <v>13.0</v>
      </c>
      <c r="AS2272" s="1">
        <v>19.4</v>
      </c>
      <c r="AT2272" s="1">
        <v>21.5</v>
      </c>
      <c r="AU2272" s="1">
        <v>16.0</v>
      </c>
      <c r="AV2272" s="1">
        <v>3.5</v>
      </c>
      <c r="AW2272" s="1">
        <v>0.0</v>
      </c>
      <c r="AX2272" s="1">
        <v>0.1866</v>
      </c>
      <c r="AY2272" s="1">
        <v>12.2</v>
      </c>
      <c r="AZ2272" s="1">
        <v>10.4</v>
      </c>
      <c r="BA2272" s="1">
        <v>15.6</v>
      </c>
      <c r="BB2272" s="1">
        <v>3.15</v>
      </c>
      <c r="BC2272" s="1" t="s">
        <v>3714</v>
      </c>
      <c r="BD2272" s="1">
        <v>12.2</v>
      </c>
      <c r="BE2272" s="1">
        <v>52.2</v>
      </c>
      <c r="BF2272" s="1">
        <v>22.0</v>
      </c>
      <c r="BG2272" s="1">
        <v>13.6</v>
      </c>
      <c r="BH2272" s="1" t="s">
        <v>3755</v>
      </c>
    </row>
    <row r="2273">
      <c r="A2273" s="1">
        <v>42059.0</v>
      </c>
      <c r="B2273" s="2" t="str">
        <f>IFERROR(__xludf.DUMMYFUNCTION("TO_TEXT(A2273)"),"42059")</f>
        <v>42059</v>
      </c>
      <c r="C2273" s="1">
        <v>37669.0</v>
      </c>
      <c r="D2273" s="1">
        <v>575.948727532838</v>
      </c>
      <c r="E2273" s="1" t="s">
        <v>122</v>
      </c>
      <c r="F2273" s="1" t="s">
        <v>3756</v>
      </c>
      <c r="G2273" s="1">
        <v>65.4033913076964</v>
      </c>
      <c r="H2273" s="1">
        <v>15.883192154</v>
      </c>
      <c r="I2273" s="1">
        <v>4.3995082072</v>
      </c>
      <c r="J2273" s="1">
        <v>9.4533029613</v>
      </c>
      <c r="K2273" s="1">
        <v>18.917845778</v>
      </c>
      <c r="L2273" s="1">
        <v>31.7</v>
      </c>
      <c r="M2273" s="1">
        <v>7.8</v>
      </c>
      <c r="N2273" s="1">
        <v>26.4</v>
      </c>
      <c r="O2273" s="1">
        <v>46.621516828</v>
      </c>
      <c r="P2273" s="1">
        <v>5.8125915081</v>
      </c>
      <c r="Q2273" s="1">
        <v>46.23334</v>
      </c>
      <c r="R2273" s="1">
        <v>91.029023747</v>
      </c>
      <c r="S2273" s="1">
        <v>20.0</v>
      </c>
      <c r="T2273" s="1">
        <v>7084.0</v>
      </c>
      <c r="U2273" s="1">
        <v>32.481648786</v>
      </c>
      <c r="V2273" s="1">
        <v>187.07323917</v>
      </c>
      <c r="W2273" s="1">
        <v>10.451388889</v>
      </c>
      <c r="X2273" s="1">
        <v>8.0308880309</v>
      </c>
      <c r="Y2273" s="1">
        <v>75.842706689</v>
      </c>
      <c r="Z2273" s="1">
        <v>10.6</v>
      </c>
      <c r="AA2273" s="1">
        <v>6.3555953135</v>
      </c>
      <c r="AB2273" s="1">
        <v>50956.0</v>
      </c>
      <c r="AC2273" s="1">
        <v>44.421008226</v>
      </c>
      <c r="AD2273" s="1">
        <v>74.1467877</v>
      </c>
      <c r="AE2273" s="1">
        <v>7.7522227937</v>
      </c>
      <c r="AF2273" s="1">
        <v>3.3145236399</v>
      </c>
      <c r="AG2273" s="1">
        <v>0.2520133677</v>
      </c>
      <c r="AH2273" s="1">
        <v>0.3533665699</v>
      </c>
      <c r="AI2273" s="1">
        <v>0.0219142059</v>
      </c>
      <c r="AJ2273" s="1">
        <v>1.5723442722</v>
      </c>
      <c r="AK2273" s="1">
        <v>93.455870268</v>
      </c>
      <c r="AL2273" s="1">
        <v>0.2499644937</v>
      </c>
      <c r="AM2273" s="1">
        <v>48.219470772</v>
      </c>
      <c r="AN2273" s="1">
        <v>66.832962829</v>
      </c>
      <c r="AO2273" s="1">
        <v>24389.0</v>
      </c>
      <c r="AP2273" s="1">
        <v>15.3</v>
      </c>
      <c r="AQ2273" s="1">
        <v>7.0</v>
      </c>
      <c r="AR2273" s="1">
        <v>13.3</v>
      </c>
      <c r="AS2273" s="1">
        <v>17.1</v>
      </c>
      <c r="AT2273" s="1">
        <v>19.1</v>
      </c>
      <c r="AU2273" s="1">
        <v>20.1</v>
      </c>
      <c r="AV2273" s="1">
        <v>7.4</v>
      </c>
      <c r="AW2273" s="1">
        <v>0.3</v>
      </c>
      <c r="AX2273" s="1">
        <v>0.5228</v>
      </c>
      <c r="AY2273" s="1">
        <v>14.2</v>
      </c>
      <c r="AZ2273" s="1">
        <v>12.5</v>
      </c>
      <c r="BA2273" s="1">
        <v>18.7</v>
      </c>
      <c r="BB2273" s="1">
        <v>2.79</v>
      </c>
      <c r="BC2273" s="1" t="s">
        <v>3714</v>
      </c>
      <c r="BD2273" s="1">
        <v>12.5</v>
      </c>
      <c r="BE2273" s="1">
        <v>46.0</v>
      </c>
      <c r="BF2273" s="1">
        <v>23.9</v>
      </c>
      <c r="BG2273" s="1">
        <v>17.6</v>
      </c>
      <c r="BH2273" s="1" t="s">
        <v>3756</v>
      </c>
    </row>
    <row r="2274">
      <c r="A2274" s="1">
        <v>42061.0</v>
      </c>
      <c r="B2274" s="2" t="str">
        <f>IFERROR(__xludf.DUMMYFUNCTION("TO_TEXT(A2274)"),"42061")</f>
        <v>42061</v>
      </c>
      <c r="C2274" s="1">
        <v>45844.0</v>
      </c>
      <c r="D2274" s="1">
        <v>874.651301973105</v>
      </c>
      <c r="E2274" s="1" t="s">
        <v>3757</v>
      </c>
      <c r="F2274" s="1" t="s">
        <v>3758</v>
      </c>
      <c r="G2274" s="1">
        <v>52.414030478868</v>
      </c>
      <c r="H2274" s="1">
        <v>16.636070951</v>
      </c>
      <c r="I2274" s="1">
        <v>4.3906628443</v>
      </c>
      <c r="J2274" s="1">
        <v>7.71092669429999</v>
      </c>
      <c r="K2274" s="1">
        <v>18.648437755</v>
      </c>
      <c r="L2274" s="1">
        <v>30.2</v>
      </c>
      <c r="M2274" s="1">
        <v>8.3</v>
      </c>
      <c r="N2274" s="1">
        <v>31.6</v>
      </c>
      <c r="O2274" s="1">
        <v>68.089647812</v>
      </c>
      <c r="P2274" s="1">
        <v>5.91486136549999</v>
      </c>
      <c r="Q2274" s="1">
        <v>35.17179</v>
      </c>
      <c r="R2274" s="1">
        <v>86.286919831</v>
      </c>
      <c r="S2274" s="1">
        <v>18.9</v>
      </c>
      <c r="T2274" s="1">
        <v>8288.0</v>
      </c>
      <c r="U2274" s="1">
        <v>27.268339768</v>
      </c>
      <c r="V2274" s="1">
        <v>182.20893291</v>
      </c>
      <c r="W2274" s="1">
        <v>10.662739323</v>
      </c>
      <c r="X2274" s="1">
        <v>9.1557669441</v>
      </c>
      <c r="Y2274" s="1">
        <v>78.126723922</v>
      </c>
      <c r="Z2274" s="1">
        <v>16.2</v>
      </c>
      <c r="AA2274" s="1">
        <v>0.6233208409</v>
      </c>
      <c r="AB2274" s="1">
        <v>49019.0</v>
      </c>
      <c r="AC2274" s="1">
        <v>52.310696463</v>
      </c>
      <c r="AD2274" s="1">
        <v>75.648500714</v>
      </c>
      <c r="AE2274" s="1">
        <v>9.85067135149999</v>
      </c>
      <c r="AF2274" s="1">
        <v>5.5326780021</v>
      </c>
      <c r="AG2274" s="1">
        <v>0.1749025859</v>
      </c>
      <c r="AH2274" s="1">
        <v>0.7328196954</v>
      </c>
      <c r="AI2274" s="1">
        <v>0.0221395678</v>
      </c>
      <c r="AJ2274" s="1">
        <v>2.0124867163</v>
      </c>
      <c r="AK2274" s="1">
        <v>90.53533475</v>
      </c>
      <c r="AL2274" s="1">
        <v>0.3687655573</v>
      </c>
      <c r="AM2274" s="1">
        <v>46.8495394969999</v>
      </c>
      <c r="AN2274" s="1">
        <v>68.662470324</v>
      </c>
      <c r="AO2274" s="1">
        <v>22217.0</v>
      </c>
      <c r="AP2274" s="1">
        <v>13.7</v>
      </c>
      <c r="AQ2274" s="1">
        <v>7.3</v>
      </c>
      <c r="AR2274" s="1">
        <v>11.4</v>
      </c>
      <c r="AS2274" s="1">
        <v>18.6</v>
      </c>
      <c r="AT2274" s="1">
        <v>19.0</v>
      </c>
      <c r="AU2274" s="1">
        <v>16.3</v>
      </c>
      <c r="AV2274" s="1">
        <v>8.9</v>
      </c>
      <c r="AW2274" s="1">
        <v>0.3</v>
      </c>
      <c r="AX2274" s="1">
        <v>0.4202</v>
      </c>
      <c r="AY2274" s="1">
        <v>13.0</v>
      </c>
      <c r="AZ2274" s="1">
        <v>11.8</v>
      </c>
      <c r="BA2274" s="1">
        <v>18.8</v>
      </c>
      <c r="BB2274" s="1">
        <v>3.22</v>
      </c>
      <c r="BC2274" s="1" t="s">
        <v>3714</v>
      </c>
      <c r="BD2274" s="1">
        <v>10.5</v>
      </c>
      <c r="BE2274" s="1">
        <v>48.8</v>
      </c>
      <c r="BF2274" s="1">
        <v>23.2</v>
      </c>
      <c r="BG2274" s="1">
        <v>17.4</v>
      </c>
      <c r="BH2274" s="1" t="s">
        <v>3758</v>
      </c>
    </row>
    <row r="2275">
      <c r="A2275" s="1">
        <v>42063.0</v>
      </c>
      <c r="B2275" s="2" t="str">
        <f>IFERROR(__xludf.DUMMYFUNCTION("TO_TEXT(A2275)"),"42063")</f>
        <v>42063</v>
      </c>
      <c r="C2275" s="1">
        <v>87491.0</v>
      </c>
      <c r="D2275" s="1">
        <v>827.034003705832</v>
      </c>
      <c r="E2275" s="1" t="s">
        <v>3759</v>
      </c>
      <c r="F2275" s="1" t="s">
        <v>3760</v>
      </c>
      <c r="G2275" s="1">
        <v>105.788878822351</v>
      </c>
      <c r="H2275" s="1">
        <v>17.220362897</v>
      </c>
      <c r="I2275" s="1">
        <v>4.6540965201</v>
      </c>
      <c r="J2275" s="1">
        <v>7.0247933884</v>
      </c>
      <c r="K2275" s="1">
        <v>19.13992875</v>
      </c>
      <c r="L2275" s="1">
        <v>33.1</v>
      </c>
      <c r="M2275" s="1">
        <v>7.4</v>
      </c>
      <c r="N2275" s="1">
        <v>26.5</v>
      </c>
      <c r="O2275" s="1">
        <v>64.842484248</v>
      </c>
      <c r="P2275" s="1">
        <v>7.319488719</v>
      </c>
      <c r="Q2275" s="1">
        <v>55.32471</v>
      </c>
      <c r="R2275" s="1">
        <v>93.303571429</v>
      </c>
      <c r="S2275" s="1">
        <v>19.3</v>
      </c>
      <c r="T2275" s="1">
        <v>15483.0</v>
      </c>
      <c r="U2275" s="1">
        <v>22.870244785</v>
      </c>
      <c r="V2275" s="1">
        <v>283.64632238</v>
      </c>
      <c r="W2275" s="1">
        <v>16.236054022</v>
      </c>
      <c r="X2275" s="1">
        <v>13.594887799</v>
      </c>
      <c r="Y2275" s="1">
        <v>77.764956336</v>
      </c>
      <c r="Z2275" s="1">
        <v>10.7</v>
      </c>
      <c r="AA2275" s="1">
        <v>9.0719142053</v>
      </c>
      <c r="AB2275" s="1">
        <v>47999.0</v>
      </c>
      <c r="AC2275" s="1">
        <v>46.945688996</v>
      </c>
      <c r="AD2275" s="1">
        <v>70.317479051</v>
      </c>
      <c r="AE2275" s="1">
        <v>13.2854908459999</v>
      </c>
      <c r="AF2275" s="1">
        <v>2.5703837824</v>
      </c>
      <c r="AG2275" s="1">
        <v>0.1798795281</v>
      </c>
      <c r="AH2275" s="1">
        <v>1.1786842759</v>
      </c>
      <c r="AI2275" s="1">
        <v>0.0130175974</v>
      </c>
      <c r="AJ2275" s="1">
        <v>1.3325286091</v>
      </c>
      <c r="AK2275" s="1">
        <v>93.8225583129999</v>
      </c>
      <c r="AL2275" s="1">
        <v>0.9755918427</v>
      </c>
      <c r="AM2275" s="1">
        <v>49.911835363</v>
      </c>
      <c r="AN2275" s="1">
        <v>60.069756976</v>
      </c>
      <c r="AO2275" s="1">
        <v>23886.0</v>
      </c>
      <c r="AP2275" s="1">
        <v>17.8</v>
      </c>
      <c r="AQ2275" s="1">
        <v>7.7</v>
      </c>
      <c r="AR2275" s="1">
        <v>11.0</v>
      </c>
      <c r="AS2275" s="1">
        <v>17.1</v>
      </c>
      <c r="AT2275" s="1">
        <v>18.3</v>
      </c>
      <c r="AU2275" s="1">
        <v>14.4</v>
      </c>
      <c r="AV2275" s="1">
        <v>6.0</v>
      </c>
      <c r="AW2275" s="1">
        <v>0.9</v>
      </c>
      <c r="AX2275" s="1">
        <v>0.483</v>
      </c>
      <c r="AY2275" s="1">
        <v>14.0</v>
      </c>
      <c r="AZ2275" s="1">
        <v>11.8</v>
      </c>
      <c r="BA2275" s="1">
        <v>17.6</v>
      </c>
      <c r="BB2275" s="1">
        <v>3.04</v>
      </c>
      <c r="BC2275" s="1" t="s">
        <v>3714</v>
      </c>
      <c r="BD2275" s="1">
        <v>10.0</v>
      </c>
      <c r="BE2275" s="1">
        <v>43.2</v>
      </c>
      <c r="BF2275" s="1">
        <v>23.8</v>
      </c>
      <c r="BG2275" s="1">
        <v>23.0</v>
      </c>
      <c r="BH2275" s="1" t="s">
        <v>3760</v>
      </c>
    </row>
    <row r="2276">
      <c r="A2276" s="1">
        <v>42065.0</v>
      </c>
      <c r="B2276" s="2" t="str">
        <f>IFERROR(__xludf.DUMMYFUNCTION("TO_TEXT(A2276)"),"42065")</f>
        <v>42065</v>
      </c>
      <c r="C2276" s="1">
        <v>44575.0</v>
      </c>
      <c r="D2276" s="1">
        <v>652.429060346706</v>
      </c>
      <c r="E2276" s="1" t="s">
        <v>132</v>
      </c>
      <c r="F2276" s="1" t="s">
        <v>3761</v>
      </c>
      <c r="G2276" s="1">
        <v>68.3216041546532</v>
      </c>
      <c r="H2276" s="1">
        <v>16.307425864</v>
      </c>
      <c r="I2276" s="1">
        <v>4.4347939535</v>
      </c>
      <c r="J2276" s="1">
        <v>7.6536643026</v>
      </c>
      <c r="K2276" s="1">
        <v>18.8198116879999</v>
      </c>
      <c r="L2276" s="1">
        <v>35.3</v>
      </c>
      <c r="M2276" s="1">
        <v>8.3</v>
      </c>
      <c r="N2276" s="1">
        <v>29.0</v>
      </c>
      <c r="O2276" s="1">
        <v>58.314159292</v>
      </c>
      <c r="P2276" s="1">
        <v>7.6362576508</v>
      </c>
      <c r="Q2276" s="1">
        <v>45.65793</v>
      </c>
      <c r="R2276" s="1">
        <v>93.150684932</v>
      </c>
      <c r="S2276" s="1">
        <v>20.3</v>
      </c>
      <c r="T2276" s="1">
        <v>9274.0</v>
      </c>
      <c r="U2276" s="1">
        <v>29.825318094</v>
      </c>
      <c r="V2276" s="1">
        <v>134.7724031</v>
      </c>
      <c r="W2276" s="1">
        <v>11.220043573</v>
      </c>
      <c r="X2276" s="1">
        <v>8.532967033</v>
      </c>
      <c r="Y2276" s="1">
        <v>77.660391378</v>
      </c>
      <c r="Z2276" s="1">
        <v>13.9</v>
      </c>
      <c r="AA2276" s="1">
        <v>1.7822610746</v>
      </c>
      <c r="AB2276" s="1">
        <v>46751.0</v>
      </c>
      <c r="AC2276" s="1">
        <v>63.878735756</v>
      </c>
      <c r="AD2276" s="1">
        <v>75.477931221</v>
      </c>
      <c r="AE2276" s="1">
        <v>9.1238636997</v>
      </c>
      <c r="AF2276" s="1">
        <v>0.4697417566</v>
      </c>
      <c r="AG2276" s="1">
        <v>0.2520565523</v>
      </c>
      <c r="AH2276" s="1">
        <v>0.2772622076</v>
      </c>
      <c r="AI2276" s="1">
        <v>0.0252056552</v>
      </c>
      <c r="AJ2276" s="1">
        <v>0.9394835132</v>
      </c>
      <c r="AK2276" s="1">
        <v>97.156343805</v>
      </c>
      <c r="AL2276" s="1">
        <v>0.3942497235</v>
      </c>
      <c r="AM2276" s="1">
        <v>50.202790953</v>
      </c>
      <c r="AN2276" s="1">
        <v>61.460176991</v>
      </c>
      <c r="AO2276" s="1">
        <v>22841.0</v>
      </c>
      <c r="AP2276" s="1">
        <v>14.6</v>
      </c>
      <c r="AQ2276" s="1">
        <v>5.2</v>
      </c>
      <c r="AR2276" s="1">
        <v>10.9</v>
      </c>
      <c r="AS2276" s="1">
        <v>19.5</v>
      </c>
      <c r="AT2276" s="1">
        <v>21.2</v>
      </c>
      <c r="AU2276" s="1">
        <v>15.9</v>
      </c>
      <c r="AV2276" s="1">
        <v>2.6</v>
      </c>
      <c r="AW2276" s="1">
        <v>0.4</v>
      </c>
      <c r="AX2276" s="1">
        <v>0.327</v>
      </c>
      <c r="AY2276" s="1">
        <v>16.4</v>
      </c>
      <c r="AZ2276" s="1">
        <v>11.5</v>
      </c>
      <c r="BA2276" s="1">
        <v>18.0</v>
      </c>
      <c r="BB2276" s="1">
        <v>2.69</v>
      </c>
      <c r="BC2276" s="1" t="s">
        <v>3714</v>
      </c>
      <c r="BD2276" s="1">
        <v>10.7</v>
      </c>
      <c r="BE2276" s="1">
        <v>51.1</v>
      </c>
      <c r="BF2276" s="1">
        <v>22.3</v>
      </c>
      <c r="BG2276" s="1">
        <v>15.9</v>
      </c>
      <c r="BH2276" s="1" t="s">
        <v>3761</v>
      </c>
    </row>
    <row r="2277">
      <c r="A2277" s="1">
        <v>42067.0</v>
      </c>
      <c r="B2277" s="2" t="str">
        <f>IFERROR(__xludf.DUMMYFUNCTION("TO_TEXT(A2277)"),"42067")</f>
        <v>42067</v>
      </c>
      <c r="C2277" s="1">
        <v>24811.0</v>
      </c>
      <c r="D2277" s="1">
        <v>391.350240856474</v>
      </c>
      <c r="E2277" s="1" t="s">
        <v>3762</v>
      </c>
      <c r="F2277" s="1" t="s">
        <v>3763</v>
      </c>
      <c r="G2277" s="1">
        <v>63.3984533795121</v>
      </c>
      <c r="H2277" s="1">
        <v>16.260005637</v>
      </c>
      <c r="I2277" s="1">
        <v>4.4465214477</v>
      </c>
      <c r="J2277" s="1">
        <v>6.5297525013</v>
      </c>
      <c r="K2277" s="1">
        <v>18.073713423</v>
      </c>
      <c r="L2277" s="1">
        <v>32.1</v>
      </c>
      <c r="M2277" s="1">
        <v>8.0</v>
      </c>
      <c r="N2277" s="1">
        <v>20.3</v>
      </c>
      <c r="O2277" s="1">
        <v>61.345185907</v>
      </c>
      <c r="P2277" s="1">
        <v>8.7830904987</v>
      </c>
      <c r="Q2277" s="1">
        <v>24.47581</v>
      </c>
      <c r="R2277" s="1">
        <v>94.570135747</v>
      </c>
      <c r="S2277" s="1">
        <v>14.5</v>
      </c>
      <c r="T2277" s="1">
        <v>5560.0</v>
      </c>
      <c r="U2277" s="1">
        <v>22.949640288</v>
      </c>
      <c r="V2277" s="1">
        <v>84.952965066</v>
      </c>
      <c r="W2277" s="1">
        <v>10.7774798929999</v>
      </c>
      <c r="X2277" s="1">
        <v>7.3141616929</v>
      </c>
      <c r="Y2277" s="1">
        <v>79.810210266</v>
      </c>
      <c r="Z2277" s="1">
        <v>12.0</v>
      </c>
      <c r="AA2277" s="1">
        <v>7.87250845429999</v>
      </c>
      <c r="AB2277" s="1">
        <v>54342.0</v>
      </c>
      <c r="AC2277" s="1">
        <v>37.655860349</v>
      </c>
      <c r="AD2277" s="1">
        <v>76.116546151</v>
      </c>
      <c r="AE2277" s="1">
        <v>8.2571874304</v>
      </c>
      <c r="AF2277" s="1">
        <v>0.5788536269</v>
      </c>
      <c r="AG2277" s="1">
        <v>0.356217616599999</v>
      </c>
      <c r="AH2277" s="1">
        <v>0.570757772</v>
      </c>
      <c r="AI2277" s="1">
        <v>0.0161917098</v>
      </c>
      <c r="AJ2277" s="1">
        <v>4.0034002591</v>
      </c>
      <c r="AK2277" s="1">
        <v>93.920012953</v>
      </c>
      <c r="AL2277" s="1">
        <v>1.649253087</v>
      </c>
      <c r="AM2277" s="1">
        <v>49.8664183939999</v>
      </c>
      <c r="AN2277" s="1">
        <v>82.253612599</v>
      </c>
      <c r="AO2277" s="1">
        <v>23461.0</v>
      </c>
      <c r="AP2277" s="1">
        <v>12.0</v>
      </c>
      <c r="AQ2277" s="1">
        <v>5.3</v>
      </c>
      <c r="AR2277" s="1">
        <v>17.6</v>
      </c>
      <c r="AS2277" s="1">
        <v>19.8</v>
      </c>
      <c r="AT2277" s="1">
        <v>22.6</v>
      </c>
      <c r="AU2277" s="1">
        <v>14.0</v>
      </c>
      <c r="AV2277" s="1">
        <v>5.0</v>
      </c>
      <c r="AW2277" s="1">
        <v>1.8</v>
      </c>
      <c r="AX2277" s="1">
        <v>0.4263</v>
      </c>
      <c r="AY2277" s="1">
        <v>10.4</v>
      </c>
      <c r="AZ2277" s="1">
        <v>10.1</v>
      </c>
      <c r="BA2277" s="1">
        <v>15.6</v>
      </c>
      <c r="BB2277" s="1">
        <v>3.32</v>
      </c>
      <c r="BC2277" s="1" t="s">
        <v>3714</v>
      </c>
      <c r="BD2277" s="1">
        <v>16.7</v>
      </c>
      <c r="BE2277" s="1">
        <v>48.8</v>
      </c>
      <c r="BF2277" s="1">
        <v>20.0</v>
      </c>
      <c r="BG2277" s="1">
        <v>14.5</v>
      </c>
      <c r="BH2277" s="1" t="s">
        <v>3763</v>
      </c>
    </row>
    <row r="2278">
      <c r="A2278" s="1">
        <v>42069.0</v>
      </c>
      <c r="B2278" s="2" t="str">
        <f>IFERROR(__xludf.DUMMYFUNCTION("TO_TEXT(A2278)"),"42069")</f>
        <v>42069</v>
      </c>
      <c r="C2278" s="1">
        <v>213006.0</v>
      </c>
      <c r="D2278" s="1">
        <v>458.773201061648</v>
      </c>
      <c r="E2278" s="1" t="s">
        <v>3764</v>
      </c>
      <c r="F2278" s="1" t="s">
        <v>3765</v>
      </c>
      <c r="G2278" s="1">
        <v>464.294774644819</v>
      </c>
      <c r="H2278" s="1">
        <v>16.877821932</v>
      </c>
      <c r="I2278" s="1">
        <v>4.5577952465</v>
      </c>
      <c r="J2278" s="1">
        <v>8.5687756997</v>
      </c>
      <c r="K2278" s="1">
        <v>20.306989109</v>
      </c>
      <c r="L2278" s="1">
        <v>28.8</v>
      </c>
      <c r="M2278" s="1">
        <v>8.1</v>
      </c>
      <c r="N2278" s="1">
        <v>25.6</v>
      </c>
      <c r="O2278" s="1">
        <v>91.116271912</v>
      </c>
      <c r="P2278" s="1">
        <v>6.1134810722</v>
      </c>
      <c r="Q2278" s="1">
        <v>75.91537</v>
      </c>
      <c r="R2278" s="1">
        <v>88.02955665</v>
      </c>
      <c r="S2278" s="1">
        <v>20.3</v>
      </c>
      <c r="T2278" s="1">
        <v>42453.0</v>
      </c>
      <c r="U2278" s="1">
        <v>38.341224413</v>
      </c>
      <c r="V2278" s="1">
        <v>213.40131449</v>
      </c>
      <c r="W2278" s="1">
        <v>16.3839154679999</v>
      </c>
      <c r="X2278" s="1">
        <v>14.934487461</v>
      </c>
      <c r="Y2278" s="1">
        <v>76.62155949</v>
      </c>
      <c r="Z2278" s="1">
        <v>11.6</v>
      </c>
      <c r="AA2278" s="1">
        <v>3.8827348424</v>
      </c>
      <c r="AB2278" s="1">
        <v>52872.0</v>
      </c>
      <c r="AC2278" s="1">
        <v>49.06328367</v>
      </c>
      <c r="AD2278" s="1">
        <v>64.999769128</v>
      </c>
      <c r="AE2278" s="1">
        <v>15.0608749729999</v>
      </c>
      <c r="AF2278" s="1">
        <v>2.9194517845</v>
      </c>
      <c r="AG2278" s="1">
        <v>0.3339769347</v>
      </c>
      <c r="AH2278" s="1">
        <v>3.1718320817</v>
      </c>
      <c r="AI2278" s="1">
        <v>0.0578766847</v>
      </c>
      <c r="AJ2278" s="1">
        <v>8.1027358594</v>
      </c>
      <c r="AK2278" s="1">
        <v>84.324432026</v>
      </c>
      <c r="AL2278" s="1">
        <v>2.2686528407</v>
      </c>
      <c r="AM2278" s="1">
        <v>51.454744702</v>
      </c>
      <c r="AN2278" s="1">
        <v>16.305488325</v>
      </c>
      <c r="AO2278" s="1">
        <v>26179.0</v>
      </c>
      <c r="AP2278" s="1">
        <v>15.3</v>
      </c>
      <c r="AQ2278" s="1">
        <v>6.5</v>
      </c>
      <c r="AR2278" s="1">
        <v>10.0</v>
      </c>
      <c r="AS2278" s="1">
        <v>18.8</v>
      </c>
      <c r="AT2278" s="1">
        <v>20.1</v>
      </c>
      <c r="AU2278" s="1">
        <v>15.3</v>
      </c>
      <c r="AV2278" s="1">
        <v>12.6</v>
      </c>
      <c r="AW2278" s="1">
        <v>2.0</v>
      </c>
      <c r="AX2278" s="1">
        <v>0.4721</v>
      </c>
      <c r="AY2278" s="1">
        <v>14.2</v>
      </c>
      <c r="AZ2278" s="1">
        <v>12.0</v>
      </c>
      <c r="BA2278" s="1">
        <v>17.1</v>
      </c>
      <c r="BB2278" s="1">
        <v>3.25</v>
      </c>
      <c r="BC2278" s="1" t="s">
        <v>3714</v>
      </c>
      <c r="BD2278" s="1">
        <v>9.0</v>
      </c>
      <c r="BE2278" s="1">
        <v>36.9</v>
      </c>
      <c r="BF2278" s="1">
        <v>25.9</v>
      </c>
      <c r="BG2278" s="1">
        <v>28.3</v>
      </c>
      <c r="BH2278" s="1" t="s">
        <v>3765</v>
      </c>
    </row>
    <row r="2279">
      <c r="A2279" s="1">
        <v>42071.0</v>
      </c>
      <c r="B2279" s="2" t="str">
        <f>IFERROR(__xludf.DUMMYFUNCTION("TO_TEXT(A2279)"),"42071")</f>
        <v>42071</v>
      </c>
      <c r="C2279" s="1">
        <v>533110.0</v>
      </c>
      <c r="D2279" s="1">
        <v>943.867418708392</v>
      </c>
      <c r="E2279" s="1" t="s">
        <v>2881</v>
      </c>
      <c r="F2279" s="1" t="s">
        <v>3766</v>
      </c>
      <c r="G2279" s="1">
        <v>564.814495588288</v>
      </c>
      <c r="H2279" s="1">
        <v>16.208434112</v>
      </c>
      <c r="I2279" s="1">
        <v>4.12640950029999</v>
      </c>
      <c r="J2279" s="1">
        <v>6.8052930057</v>
      </c>
      <c r="K2279" s="1">
        <v>14.89888061</v>
      </c>
      <c r="L2279" s="1">
        <v>32.2</v>
      </c>
      <c r="M2279" s="1">
        <v>8.5</v>
      </c>
      <c r="N2279" s="1">
        <v>21.0</v>
      </c>
      <c r="O2279" s="1">
        <v>77.764729663</v>
      </c>
      <c r="P2279" s="1">
        <v>12.008154527</v>
      </c>
      <c r="Q2279" s="1">
        <v>71.28345</v>
      </c>
      <c r="R2279" s="1">
        <v>91.129497787</v>
      </c>
      <c r="S2279" s="1">
        <v>10.1</v>
      </c>
      <c r="T2279" s="1">
        <v>127191.0</v>
      </c>
      <c r="U2279" s="1">
        <v>23.876689388</v>
      </c>
      <c r="V2279" s="1">
        <v>170.43336233</v>
      </c>
      <c r="W2279" s="1">
        <v>15.356578478</v>
      </c>
      <c r="X2279" s="1">
        <v>13.297011128</v>
      </c>
      <c r="Y2279" s="1">
        <v>80.1339743119999</v>
      </c>
      <c r="Z2279" s="1">
        <v>9.7</v>
      </c>
      <c r="AA2279" s="1">
        <v>5.2322853742</v>
      </c>
      <c r="AB2279" s="1">
        <v>66270.0</v>
      </c>
      <c r="AC2279" s="1">
        <v>46.68581362</v>
      </c>
      <c r="AD2279" s="1">
        <v>68.025754294</v>
      </c>
      <c r="AE2279" s="1">
        <v>13.133587611</v>
      </c>
      <c r="AF2279" s="1">
        <v>3.5806732321</v>
      </c>
      <c r="AG2279" s="1">
        <v>0.4133881083</v>
      </c>
      <c r="AH2279" s="1">
        <v>2.471313956</v>
      </c>
      <c r="AI2279" s="1">
        <v>0.1039449405</v>
      </c>
      <c r="AJ2279" s="1">
        <v>10.8104577809999</v>
      </c>
      <c r="AK2279" s="1">
        <v>81.556120149</v>
      </c>
      <c r="AL2279" s="1">
        <v>2.3107393929</v>
      </c>
      <c r="AM2279" s="1">
        <v>51.0049544019999</v>
      </c>
      <c r="AN2279" s="1">
        <v>21.257110955</v>
      </c>
      <c r="AO2279" s="1">
        <v>28152.0</v>
      </c>
      <c r="AP2279" s="1">
        <v>10.8</v>
      </c>
      <c r="AQ2279" s="1">
        <v>5.5</v>
      </c>
      <c r="AR2279" s="1">
        <v>15.4</v>
      </c>
      <c r="AS2279" s="1">
        <v>16.4</v>
      </c>
      <c r="AT2279" s="1">
        <v>24.1</v>
      </c>
      <c r="AU2279" s="1">
        <v>11.6</v>
      </c>
      <c r="AV2279" s="1">
        <v>16.8</v>
      </c>
      <c r="AW2279" s="1">
        <v>2.3</v>
      </c>
      <c r="AX2279" s="1">
        <v>0.4626</v>
      </c>
      <c r="AY2279" s="1">
        <v>10.5</v>
      </c>
      <c r="AZ2279" s="1">
        <v>8.7</v>
      </c>
      <c r="BA2279" s="1">
        <v>12.1</v>
      </c>
      <c r="BB2279" s="1">
        <v>3.4</v>
      </c>
      <c r="BC2279" s="1" t="s">
        <v>3714</v>
      </c>
      <c r="BD2279" s="1">
        <v>15.0</v>
      </c>
      <c r="BE2279" s="1">
        <v>35.3</v>
      </c>
      <c r="BF2279" s="1">
        <v>22.5</v>
      </c>
      <c r="BG2279" s="1">
        <v>27.3</v>
      </c>
      <c r="BH2279" s="1" t="s">
        <v>3766</v>
      </c>
    </row>
    <row r="2280">
      <c r="A2280" s="1">
        <v>42073.0</v>
      </c>
      <c r="B2280" s="2" t="str">
        <f>IFERROR(__xludf.DUMMYFUNCTION("TO_TEXT(A2280)"),"42073")</f>
        <v>42073</v>
      </c>
      <c r="C2280" s="1">
        <v>88528.0</v>
      </c>
      <c r="D2280" s="1">
        <v>358.165382453226</v>
      </c>
      <c r="E2280" s="1" t="s">
        <v>138</v>
      </c>
      <c r="F2280" s="1" t="s">
        <v>3767</v>
      </c>
      <c r="G2280" s="1">
        <v>247.170732675598</v>
      </c>
      <c r="H2280" s="1">
        <v>16.804873317</v>
      </c>
      <c r="I2280" s="1">
        <v>4.4931599794</v>
      </c>
      <c r="J2280" s="1">
        <v>9.1480666457</v>
      </c>
      <c r="K2280" s="1">
        <v>18.068835635</v>
      </c>
      <c r="L2280" s="1">
        <v>36.6</v>
      </c>
      <c r="M2280" s="1">
        <v>7.2</v>
      </c>
      <c r="N2280" s="1">
        <v>30.1</v>
      </c>
      <c r="O2280" s="1">
        <v>82.122316372</v>
      </c>
      <c r="P2280" s="1">
        <v>6.1191771175</v>
      </c>
      <c r="Q2280" s="1">
        <v>40.198</v>
      </c>
      <c r="R2280" s="1">
        <v>93.520518359</v>
      </c>
      <c r="S2280" s="1">
        <v>23.0</v>
      </c>
      <c r="T2280" s="1">
        <v>17351.0</v>
      </c>
      <c r="U2280" s="1">
        <v>33.185407181</v>
      </c>
      <c r="V2280" s="1">
        <v>228.82117053</v>
      </c>
      <c r="W2280" s="1">
        <v>13.388429752</v>
      </c>
      <c r="X2280" s="1">
        <v>11.176716335</v>
      </c>
      <c r="Y2280" s="1">
        <v>76.024963032</v>
      </c>
      <c r="Z2280" s="1">
        <v>13.0</v>
      </c>
      <c r="AA2280" s="1">
        <v>12.379225122</v>
      </c>
      <c r="AB2280" s="1">
        <v>48418.0</v>
      </c>
      <c r="AC2280" s="1">
        <v>55.664938033</v>
      </c>
      <c r="AD2280" s="1">
        <v>73.964288617</v>
      </c>
      <c r="AE2280" s="1">
        <v>11.673206674</v>
      </c>
      <c r="AF2280" s="1">
        <v>4.1504223522</v>
      </c>
      <c r="AG2280" s="1">
        <v>0.1496797549</v>
      </c>
      <c r="AH2280" s="1">
        <v>0.4676041957</v>
      </c>
      <c r="AI2280" s="1">
        <v>0.019725239</v>
      </c>
      <c r="AJ2280" s="1">
        <v>1.5269655621</v>
      </c>
      <c r="AK2280" s="1">
        <v>91.833751044</v>
      </c>
      <c r="AL2280" s="1">
        <v>0.4726650107</v>
      </c>
      <c r="AM2280" s="1">
        <v>51.601225285</v>
      </c>
      <c r="AN2280" s="1">
        <v>40.318084032</v>
      </c>
      <c r="AO2280" s="1">
        <v>25614.0</v>
      </c>
      <c r="AP2280" s="1">
        <v>14.3</v>
      </c>
      <c r="AQ2280" s="1">
        <v>6.5</v>
      </c>
      <c r="AR2280" s="1">
        <v>10.5</v>
      </c>
      <c r="AS2280" s="1">
        <v>20.0</v>
      </c>
      <c r="AT2280" s="1">
        <v>20.4</v>
      </c>
      <c r="AU2280" s="1">
        <v>16.3</v>
      </c>
      <c r="AV2280" s="1">
        <v>7.8</v>
      </c>
      <c r="AW2280" s="1">
        <v>0.4</v>
      </c>
      <c r="AX2280" s="1">
        <v>0.4117</v>
      </c>
      <c r="AY2280" s="1">
        <v>12.3</v>
      </c>
      <c r="AZ2280" s="1">
        <v>12.3</v>
      </c>
      <c r="BA2280" s="1">
        <v>18.7</v>
      </c>
      <c r="BB2280" s="1">
        <v>2.99</v>
      </c>
      <c r="BC2280" s="1" t="s">
        <v>3714</v>
      </c>
      <c r="BD2280" s="1">
        <v>9.2</v>
      </c>
      <c r="BE2280" s="1">
        <v>43.3</v>
      </c>
      <c r="BF2280" s="1">
        <v>25.4</v>
      </c>
      <c r="BG2280" s="1">
        <v>22.1</v>
      </c>
      <c r="BH2280" s="1" t="s">
        <v>3767</v>
      </c>
    </row>
    <row r="2281">
      <c r="A2281" s="1">
        <v>42075.0</v>
      </c>
      <c r="B2281" s="2" t="str">
        <f>IFERROR(__xludf.DUMMYFUNCTION("TO_TEXT(A2281)"),"42075")</f>
        <v>42075</v>
      </c>
      <c r="C2281" s="1">
        <v>136950.0</v>
      </c>
      <c r="D2281" s="1">
        <v>361.830988895087</v>
      </c>
      <c r="E2281" s="1" t="s">
        <v>3768</v>
      </c>
      <c r="F2281" s="1" t="s">
        <v>3769</v>
      </c>
      <c r="G2281" s="1">
        <v>378.491627868026</v>
      </c>
      <c r="H2281" s="1">
        <v>15.694895891</v>
      </c>
      <c r="I2281" s="1">
        <v>4.0868748798</v>
      </c>
      <c r="J2281" s="1">
        <v>8.0887616321</v>
      </c>
      <c r="K2281" s="1">
        <v>15.87494374</v>
      </c>
      <c r="L2281" s="1">
        <v>34.7</v>
      </c>
      <c r="M2281" s="1">
        <v>8.7</v>
      </c>
      <c r="N2281" s="1">
        <v>18.5</v>
      </c>
      <c r="O2281" s="1">
        <v>85.043573311</v>
      </c>
      <c r="P2281" s="1">
        <v>8.68093885159999</v>
      </c>
      <c r="Q2281" s="1">
        <v>59.39007</v>
      </c>
      <c r="R2281" s="1">
        <v>85.065885798</v>
      </c>
      <c r="S2281" s="1">
        <v>14.6</v>
      </c>
      <c r="T2281" s="1">
        <v>31254.0</v>
      </c>
      <c r="U2281" s="1">
        <v>32.1526844559999</v>
      </c>
      <c r="V2281" s="1">
        <v>153.94157693</v>
      </c>
      <c r="W2281" s="1">
        <v>13.16872428</v>
      </c>
      <c r="X2281" s="1">
        <v>10.693279337</v>
      </c>
      <c r="Y2281" s="1">
        <v>78.790809016</v>
      </c>
      <c r="Z2281" s="1">
        <v>11.4</v>
      </c>
      <c r="AA2281" s="1">
        <v>3.1065909042</v>
      </c>
      <c r="AB2281" s="1">
        <v>61087.0</v>
      </c>
      <c r="AC2281" s="1">
        <v>48.413569599</v>
      </c>
      <c r="AD2281" s="1">
        <v>69.820386254</v>
      </c>
      <c r="AE2281" s="1">
        <v>10.742598905</v>
      </c>
      <c r="AF2281" s="1">
        <v>2.0450910738</v>
      </c>
      <c r="AG2281" s="1">
        <v>0.3439149695</v>
      </c>
      <c r="AH2281" s="1">
        <v>1.5575243783</v>
      </c>
      <c r="AI2281" s="1">
        <v>0.0658108892</v>
      </c>
      <c r="AJ2281" s="1">
        <v>13.782073963</v>
      </c>
      <c r="AK2281" s="1">
        <v>81.453359186</v>
      </c>
      <c r="AL2281" s="1">
        <v>2.1919554085</v>
      </c>
      <c r="AM2281" s="1">
        <v>50.854833916</v>
      </c>
      <c r="AN2281" s="1">
        <v>26.555761859</v>
      </c>
      <c r="AO2281" s="1">
        <v>27051.0</v>
      </c>
      <c r="AP2281" s="1">
        <v>10.7</v>
      </c>
      <c r="AQ2281" s="1">
        <v>6.5</v>
      </c>
      <c r="AR2281" s="1">
        <v>14.0</v>
      </c>
      <c r="AS2281" s="1">
        <v>18.2</v>
      </c>
      <c r="AT2281" s="1">
        <v>23.0</v>
      </c>
      <c r="AU2281" s="1">
        <v>13.0</v>
      </c>
      <c r="AV2281" s="1">
        <v>16.0</v>
      </c>
      <c r="AW2281" s="1">
        <v>2.2</v>
      </c>
      <c r="AX2281" s="1">
        <v>0.511</v>
      </c>
      <c r="AY2281" s="1">
        <v>10.4</v>
      </c>
      <c r="AZ2281" s="1">
        <v>9.1</v>
      </c>
      <c r="BA2281" s="1">
        <v>13.1</v>
      </c>
      <c r="BB2281" s="1">
        <v>3.1</v>
      </c>
      <c r="BC2281" s="1" t="s">
        <v>3714</v>
      </c>
      <c r="BD2281" s="1">
        <v>12.8</v>
      </c>
      <c r="BE2281" s="1">
        <v>44.0</v>
      </c>
      <c r="BF2281" s="1">
        <v>22.5</v>
      </c>
      <c r="BG2281" s="1">
        <v>20.7</v>
      </c>
      <c r="BH2281" s="1" t="s">
        <v>3769</v>
      </c>
    </row>
    <row r="2282">
      <c r="A2282" s="1">
        <v>42077.0</v>
      </c>
      <c r="B2282" s="2" t="str">
        <f>IFERROR(__xludf.DUMMYFUNCTION("TO_TEXT(A2282)"),"42077")</f>
        <v>42077</v>
      </c>
      <c r="C2282" s="1">
        <v>358792.0</v>
      </c>
      <c r="D2282" s="1">
        <v>345.179138209562</v>
      </c>
      <c r="E2282" s="1" t="s">
        <v>3770</v>
      </c>
      <c r="F2282" s="1" t="s">
        <v>3771</v>
      </c>
      <c r="G2282" s="1">
        <v>1039.43709304405</v>
      </c>
      <c r="H2282" s="1">
        <v>18.132003186</v>
      </c>
      <c r="I2282" s="1">
        <v>4.2280076469</v>
      </c>
      <c r="J2282" s="1">
        <v>8.06331344899999</v>
      </c>
      <c r="K2282" s="1">
        <v>18.336704588</v>
      </c>
      <c r="L2282" s="1">
        <v>31.2</v>
      </c>
      <c r="M2282" s="1">
        <v>8.5</v>
      </c>
      <c r="N2282" s="1">
        <v>20.5</v>
      </c>
      <c r="O2282" s="1">
        <v>81.8799589119999</v>
      </c>
      <c r="P2282" s="1">
        <v>7.5219967798</v>
      </c>
      <c r="Q2282" s="1">
        <v>101.7752</v>
      </c>
      <c r="R2282" s="1">
        <v>87.373737374</v>
      </c>
      <c r="S2282" s="1">
        <v>17.4</v>
      </c>
      <c r="T2282" s="1">
        <v>81689.0</v>
      </c>
      <c r="U2282" s="1">
        <v>37.217985286</v>
      </c>
      <c r="V2282" s="1">
        <v>231.03468445</v>
      </c>
      <c r="W2282" s="1">
        <v>16.577401839</v>
      </c>
      <c r="X2282" s="1">
        <v>14.533194248</v>
      </c>
      <c r="Y2282" s="1">
        <v>79.430368429</v>
      </c>
      <c r="Z2282" s="1">
        <v>11.9</v>
      </c>
      <c r="AA2282" s="1">
        <v>4.4843363176</v>
      </c>
      <c r="AB2282" s="1">
        <v>62139.0</v>
      </c>
      <c r="AC2282" s="1">
        <v>52.503367546</v>
      </c>
      <c r="AD2282" s="1">
        <v>64.836096458</v>
      </c>
      <c r="AE2282" s="1">
        <v>14.2708217809999</v>
      </c>
      <c r="AF2282" s="1">
        <v>5.8011409943</v>
      </c>
      <c r="AG2282" s="1">
        <v>0.9290953545</v>
      </c>
      <c r="AH2282" s="1">
        <v>3.8041293127</v>
      </c>
      <c r="AI2282" s="1">
        <v>0.161640858499999</v>
      </c>
      <c r="AJ2282" s="1">
        <v>25.406411301</v>
      </c>
      <c r="AK2282" s="1">
        <v>63.42271122</v>
      </c>
      <c r="AL2282" s="1">
        <v>3.9529955241</v>
      </c>
      <c r="AM2282" s="1">
        <v>51.049171421</v>
      </c>
      <c r="AN2282" s="1">
        <v>7.92567604299999</v>
      </c>
      <c r="AO2282" s="1">
        <v>29587.0</v>
      </c>
      <c r="AP2282" s="1">
        <v>13.0</v>
      </c>
      <c r="AQ2282" s="1">
        <v>7.7</v>
      </c>
      <c r="AR2282" s="1">
        <v>11.9</v>
      </c>
      <c r="AS2282" s="1">
        <v>15.9</v>
      </c>
      <c r="AT2282" s="1">
        <v>22.9</v>
      </c>
      <c r="AU2282" s="1">
        <v>14.0</v>
      </c>
      <c r="AV2282" s="1">
        <v>32.4</v>
      </c>
      <c r="AW2282" s="1">
        <v>3.9</v>
      </c>
      <c r="AX2282" s="1">
        <v>0.6138</v>
      </c>
      <c r="AY2282" s="1">
        <v>11.5</v>
      </c>
      <c r="AZ2282" s="1">
        <v>10.1</v>
      </c>
      <c r="BA2282" s="1">
        <v>13.7</v>
      </c>
      <c r="BB2282" s="1">
        <v>3.3</v>
      </c>
      <c r="BC2282" s="1" t="s">
        <v>3714</v>
      </c>
      <c r="BD2282" s="1">
        <v>11.0</v>
      </c>
      <c r="BE2282" s="1">
        <v>32.9</v>
      </c>
      <c r="BF2282" s="1">
        <v>26.1</v>
      </c>
      <c r="BG2282" s="1">
        <v>29.9</v>
      </c>
      <c r="BH2282" s="1" t="s">
        <v>3771</v>
      </c>
    </row>
    <row r="2283">
      <c r="A2283" s="1">
        <v>42079.0</v>
      </c>
      <c r="B2283" s="2" t="str">
        <f>IFERROR(__xludf.DUMMYFUNCTION("TO_TEXT(A2283)"),"42079")</f>
        <v>42079</v>
      </c>
      <c r="C2283" s="1">
        <v>318917.0</v>
      </c>
      <c r="D2283" s="1">
        <v>890.34124863789</v>
      </c>
      <c r="E2283" s="1" t="s">
        <v>3772</v>
      </c>
      <c r="F2283" s="1" t="s">
        <v>3773</v>
      </c>
      <c r="G2283" s="1">
        <v>358.196366267319</v>
      </c>
      <c r="H2283" s="1">
        <v>17.470787951</v>
      </c>
      <c r="I2283" s="1">
        <v>4.6101403669</v>
      </c>
      <c r="J2283" s="1">
        <v>8.1929110982</v>
      </c>
      <c r="K2283" s="1">
        <v>19.307997325</v>
      </c>
      <c r="L2283" s="1">
        <v>29.6</v>
      </c>
      <c r="M2283" s="1">
        <v>8.0</v>
      </c>
      <c r="N2283" s="1">
        <v>28.6</v>
      </c>
      <c r="O2283" s="1">
        <v>80.574476969</v>
      </c>
      <c r="P2283" s="1">
        <v>6.6471660347</v>
      </c>
      <c r="Q2283" s="1">
        <v>79.09423</v>
      </c>
      <c r="R2283" s="1">
        <v>85.819975339</v>
      </c>
      <c r="S2283" s="1">
        <v>23.2</v>
      </c>
      <c r="T2283" s="1">
        <v>61724.0</v>
      </c>
      <c r="U2283" s="1">
        <v>40.25014581</v>
      </c>
      <c r="V2283" s="1">
        <v>264.46802635</v>
      </c>
      <c r="W2283" s="1">
        <v>14.3630161159999</v>
      </c>
      <c r="X2283" s="1">
        <v>12.95561026</v>
      </c>
      <c r="Y2283" s="1">
        <v>76.463667753</v>
      </c>
      <c r="Z2283" s="1">
        <v>10.7</v>
      </c>
      <c r="AA2283" s="1">
        <v>4.8736389467</v>
      </c>
      <c r="AB2283" s="1">
        <v>53469.0</v>
      </c>
      <c r="AC2283" s="1">
        <v>66.836710816</v>
      </c>
      <c r="AD2283" s="1">
        <v>68.5632623739999</v>
      </c>
      <c r="AE2283" s="1">
        <v>12.214231088</v>
      </c>
      <c r="AF2283" s="1">
        <v>4.0589209371</v>
      </c>
      <c r="AG2283" s="1">
        <v>0.6154650145</v>
      </c>
      <c r="AH2283" s="1">
        <v>1.3965231736</v>
      </c>
      <c r="AI2283" s="1">
        <v>0.0868891785</v>
      </c>
      <c r="AJ2283" s="1">
        <v>12.87030216</v>
      </c>
      <c r="AK2283" s="1">
        <v>80.415305088</v>
      </c>
      <c r="AL2283" s="1">
        <v>2.4112356423</v>
      </c>
      <c r="AM2283" s="1">
        <v>50.52826102</v>
      </c>
      <c r="AN2283" s="1">
        <v>19.984855945</v>
      </c>
      <c r="AO2283" s="1">
        <v>25899.0</v>
      </c>
      <c r="AP2283" s="1">
        <v>15.7</v>
      </c>
      <c r="AQ2283" s="1">
        <v>7.6</v>
      </c>
      <c r="AR2283" s="1">
        <v>10.9</v>
      </c>
      <c r="AS2283" s="1">
        <v>18.9</v>
      </c>
      <c r="AT2283" s="1">
        <v>19.7</v>
      </c>
      <c r="AU2283" s="1">
        <v>15.7</v>
      </c>
      <c r="AV2283" s="1">
        <v>15.1</v>
      </c>
      <c r="AW2283" s="1">
        <v>2.2</v>
      </c>
      <c r="AX2283" s="1">
        <v>0.5743</v>
      </c>
      <c r="AY2283" s="1">
        <v>15.2</v>
      </c>
      <c r="AZ2283" s="1">
        <v>11.9</v>
      </c>
      <c r="BA2283" s="1">
        <v>18.6</v>
      </c>
      <c r="BB2283" s="1">
        <v>3.11</v>
      </c>
      <c r="BC2283" s="1" t="s">
        <v>3714</v>
      </c>
      <c r="BD2283" s="1">
        <v>10.2</v>
      </c>
      <c r="BE2283" s="1">
        <v>39.0</v>
      </c>
      <c r="BF2283" s="1">
        <v>28.0</v>
      </c>
      <c r="BG2283" s="1">
        <v>22.9</v>
      </c>
      <c r="BH2283" s="1" t="s">
        <v>3773</v>
      </c>
    </row>
    <row r="2284">
      <c r="A2284" s="1">
        <v>42081.0</v>
      </c>
      <c r="B2284" s="2" t="str">
        <f>IFERROR(__xludf.DUMMYFUNCTION("TO_TEXT(A2284)"),"42081")</f>
        <v>42081</v>
      </c>
      <c r="C2284" s="1">
        <v>116313.0</v>
      </c>
      <c r="D2284" s="1">
        <v>1228.60011158878</v>
      </c>
      <c r="E2284" s="1" t="s">
        <v>3774</v>
      </c>
      <c r="F2284" s="1" t="s">
        <v>3775</v>
      </c>
      <c r="G2284" s="1">
        <v>94.6711618392972</v>
      </c>
      <c r="H2284" s="1">
        <v>16.198109626</v>
      </c>
      <c r="I2284" s="1">
        <v>4.2585584238</v>
      </c>
      <c r="J2284" s="1">
        <v>8.2010582011</v>
      </c>
      <c r="K2284" s="1">
        <v>19.313530052</v>
      </c>
      <c r="L2284" s="1">
        <v>38.1</v>
      </c>
      <c r="M2284" s="1">
        <v>7.7</v>
      </c>
      <c r="N2284" s="1">
        <v>25.8</v>
      </c>
      <c r="O2284" s="1">
        <v>59.179578162</v>
      </c>
      <c r="P2284" s="1">
        <v>6.6878727634</v>
      </c>
      <c r="Q2284" s="1">
        <v>79.05763</v>
      </c>
      <c r="R2284" s="1">
        <v>90.09009009</v>
      </c>
      <c r="S2284" s="1">
        <v>17.5</v>
      </c>
      <c r="T2284" s="1">
        <v>23458.0</v>
      </c>
      <c r="U2284" s="1">
        <v>33.8519907919999</v>
      </c>
      <c r="V2284" s="1">
        <v>211.99103876</v>
      </c>
      <c r="W2284" s="1">
        <v>13.776461555</v>
      </c>
      <c r="X2284" s="1">
        <v>12.335289558</v>
      </c>
      <c r="Y2284" s="1">
        <v>78.226677071</v>
      </c>
      <c r="Z2284" s="1">
        <v>11.6</v>
      </c>
      <c r="AA2284" s="1">
        <v>6.6621345773</v>
      </c>
      <c r="AB2284" s="1">
        <v>53820.0</v>
      </c>
      <c r="AC2284" s="1">
        <v>47.68469657</v>
      </c>
      <c r="AD2284" s="1">
        <v>69.398871386</v>
      </c>
      <c r="AE2284" s="1">
        <v>13.156541377</v>
      </c>
      <c r="AF2284" s="1">
        <v>4.5097832207</v>
      </c>
      <c r="AG2284" s="1">
        <v>0.2753730293</v>
      </c>
      <c r="AH2284" s="1">
        <v>0.6440033784</v>
      </c>
      <c r="AI2284" s="1">
        <v>0.0439893018</v>
      </c>
      <c r="AJ2284" s="1">
        <v>2.0666173986</v>
      </c>
      <c r="AK2284" s="1">
        <v>90.551097973</v>
      </c>
      <c r="AL2284" s="1">
        <v>0.3178434552</v>
      </c>
      <c r="AM2284" s="1">
        <v>51.026710304</v>
      </c>
      <c r="AN2284" s="1">
        <v>36.276494044</v>
      </c>
      <c r="AO2284" s="1">
        <v>24855.0</v>
      </c>
      <c r="AP2284" s="1">
        <v>14.4</v>
      </c>
      <c r="AQ2284" s="1">
        <v>7.3</v>
      </c>
      <c r="AR2284" s="1">
        <v>11.1</v>
      </c>
      <c r="AS2284" s="1">
        <v>17.6</v>
      </c>
      <c r="AT2284" s="1">
        <v>20.6</v>
      </c>
      <c r="AU2284" s="1">
        <v>15.4</v>
      </c>
      <c r="AV2284" s="1">
        <v>9.2</v>
      </c>
      <c r="AW2284" s="1">
        <v>0.2</v>
      </c>
      <c r="AX2284" s="1">
        <v>0.4467</v>
      </c>
      <c r="AY2284" s="1">
        <v>13.6</v>
      </c>
      <c r="AZ2284" s="1">
        <v>11.8</v>
      </c>
      <c r="BA2284" s="1">
        <v>18.0</v>
      </c>
      <c r="BB2284" s="1">
        <v>3.1</v>
      </c>
      <c r="BC2284" s="1" t="s">
        <v>3714</v>
      </c>
      <c r="BD2284" s="1">
        <v>9.9</v>
      </c>
      <c r="BE2284" s="1">
        <v>38.9</v>
      </c>
      <c r="BF2284" s="1">
        <v>27.8</v>
      </c>
      <c r="BG2284" s="1">
        <v>23.4</v>
      </c>
      <c r="BH2284" s="1" t="s">
        <v>3775</v>
      </c>
    </row>
    <row r="2285">
      <c r="A2285" s="1">
        <v>42083.0</v>
      </c>
      <c r="B2285" s="2" t="str">
        <f>IFERROR(__xludf.DUMMYFUNCTION("TO_TEXT(A2285)"),"42083")</f>
        <v>42083</v>
      </c>
      <c r="C2285" s="1">
        <v>42609.0</v>
      </c>
      <c r="D2285" s="1">
        <v>979.195595723184</v>
      </c>
      <c r="E2285" s="1" t="s">
        <v>3776</v>
      </c>
      <c r="F2285" s="1" t="s">
        <v>3777</v>
      </c>
      <c r="G2285" s="1">
        <v>43.5142888572034</v>
      </c>
      <c r="H2285" s="1">
        <v>17.690611856</v>
      </c>
      <c r="I2285" s="1">
        <v>4.6803134117</v>
      </c>
      <c r="J2285" s="1">
        <v>8.27933765299999</v>
      </c>
      <c r="K2285" s="1">
        <v>20.485973056</v>
      </c>
      <c r="L2285" s="1">
        <v>34.0</v>
      </c>
      <c r="M2285" s="1">
        <v>8.1</v>
      </c>
      <c r="N2285" s="1">
        <v>26.6</v>
      </c>
      <c r="O2285" s="1">
        <v>80.655926352</v>
      </c>
      <c r="P2285" s="1">
        <v>6.2896953986</v>
      </c>
      <c r="Q2285" s="1">
        <v>53.2301</v>
      </c>
      <c r="R2285" s="1">
        <v>90.1052631579999</v>
      </c>
      <c r="S2285" s="1">
        <v>26.5</v>
      </c>
      <c r="T2285" s="1">
        <v>8020.0</v>
      </c>
      <c r="U2285" s="1">
        <v>39.57605985</v>
      </c>
      <c r="V2285" s="1">
        <v>287.80400785</v>
      </c>
      <c r="W2285" s="1">
        <v>10.6894553879999</v>
      </c>
      <c r="X2285" s="1">
        <v>9.4792276185</v>
      </c>
      <c r="Y2285" s="1">
        <v>76.8095341619999</v>
      </c>
      <c r="Z2285" s="1">
        <v>11.4</v>
      </c>
      <c r="AA2285" s="1">
        <v>1.0220526942</v>
      </c>
      <c r="AB2285" s="1">
        <v>46529.0</v>
      </c>
      <c r="AC2285" s="1">
        <v>70.405965203</v>
      </c>
      <c r="AD2285" s="1">
        <v>73.714252432</v>
      </c>
      <c r="AE2285" s="1">
        <v>9.3642247898</v>
      </c>
      <c r="AF2285" s="1">
        <v>2.3896699863</v>
      </c>
      <c r="AG2285" s="1">
        <v>0.3295254833</v>
      </c>
      <c r="AH2285" s="1">
        <v>0.6346416715</v>
      </c>
      <c r="AI2285" s="1">
        <v>0.004881859</v>
      </c>
      <c r="AJ2285" s="1">
        <v>2.1797500488</v>
      </c>
      <c r="AK2285" s="1">
        <v>93.392403827</v>
      </c>
      <c r="AL2285" s="1">
        <v>0.2820093164</v>
      </c>
      <c r="AM2285" s="1">
        <v>48.608670182</v>
      </c>
      <c r="AN2285" s="1">
        <v>63.53739931</v>
      </c>
      <c r="AO2285" s="1">
        <v>24303.0</v>
      </c>
      <c r="AP2285" s="1">
        <v>17.1</v>
      </c>
      <c r="AQ2285" s="1">
        <v>7.9</v>
      </c>
      <c r="AR2285" s="1">
        <v>10.4</v>
      </c>
      <c r="AS2285" s="1">
        <v>18.1</v>
      </c>
      <c r="AT2285" s="1">
        <v>20.1</v>
      </c>
      <c r="AU2285" s="1">
        <v>17.9</v>
      </c>
      <c r="AV2285" s="1">
        <v>6.4</v>
      </c>
      <c r="AW2285" s="1">
        <v>0.3</v>
      </c>
      <c r="AX2285" s="1">
        <v>0.537999999999999</v>
      </c>
      <c r="AY2285" s="1">
        <v>14.6</v>
      </c>
      <c r="AZ2285" s="1">
        <v>13.0</v>
      </c>
      <c r="BA2285" s="1">
        <v>21.0</v>
      </c>
      <c r="BB2285" s="1">
        <v>2.77</v>
      </c>
      <c r="BC2285" s="1" t="s">
        <v>3714</v>
      </c>
      <c r="BD2285" s="1">
        <v>8.2</v>
      </c>
      <c r="BE2285" s="1">
        <v>47.5</v>
      </c>
      <c r="BF2285" s="1">
        <v>25.4</v>
      </c>
      <c r="BG2285" s="1">
        <v>18.9</v>
      </c>
      <c r="BH2285" s="1" t="s">
        <v>3777</v>
      </c>
    </row>
    <row r="2286">
      <c r="A2286" s="1">
        <v>42085.0</v>
      </c>
      <c r="B2286" s="2" t="str">
        <f>IFERROR(__xludf.DUMMYFUNCTION("TO_TEXT(A2286)"),"42085")</f>
        <v>42085</v>
      </c>
      <c r="C2286" s="1">
        <v>114598.0</v>
      </c>
      <c r="D2286" s="1">
        <v>672.581227593996</v>
      </c>
      <c r="E2286" s="1" t="s">
        <v>1252</v>
      </c>
      <c r="F2286" s="1" t="s">
        <v>3778</v>
      </c>
      <c r="G2286" s="1">
        <v>170.385368039408</v>
      </c>
      <c r="H2286" s="1">
        <v>15.89990122</v>
      </c>
      <c r="I2286" s="1">
        <v>4.5570627296</v>
      </c>
      <c r="J2286" s="1">
        <v>7.4571972099</v>
      </c>
      <c r="K2286" s="1">
        <v>19.252817617</v>
      </c>
      <c r="L2286" s="1">
        <v>33.1</v>
      </c>
      <c r="M2286" s="1">
        <v>7.8</v>
      </c>
      <c r="N2286" s="1">
        <v>26.1</v>
      </c>
      <c r="O2286" s="1">
        <v>85.124059055</v>
      </c>
      <c r="P2286" s="1">
        <v>6.3926609058</v>
      </c>
      <c r="Q2286" s="1">
        <v>63.53468</v>
      </c>
      <c r="R2286" s="1">
        <v>92.7927927929999</v>
      </c>
      <c r="S2286" s="1">
        <v>24.4</v>
      </c>
      <c r="T2286" s="1">
        <v>21518.0</v>
      </c>
      <c r="U2286" s="1">
        <v>33.966911423</v>
      </c>
      <c r="V2286" s="1">
        <v>215.58185057</v>
      </c>
      <c r="W2286" s="1">
        <v>12.1499448729999</v>
      </c>
      <c r="X2286" s="1">
        <v>9.7980470484</v>
      </c>
      <c r="Y2286" s="1">
        <v>76.808247411</v>
      </c>
      <c r="Z2286" s="1">
        <v>11.9</v>
      </c>
      <c r="AA2286" s="1">
        <v>5.9120935946</v>
      </c>
      <c r="AB2286" s="1">
        <v>48788.0</v>
      </c>
      <c r="AC2286" s="1">
        <v>49.255135644</v>
      </c>
      <c r="AD2286" s="1">
        <v>72.938211523</v>
      </c>
      <c r="AE2286" s="1">
        <v>9.6065955731</v>
      </c>
      <c r="AF2286" s="1">
        <v>5.7244563302</v>
      </c>
      <c r="AG2286" s="1">
        <v>0.2222563537</v>
      </c>
      <c r="AH2286" s="1">
        <v>0.7742833136</v>
      </c>
      <c r="AI2286" s="1">
        <v>0.02439399</v>
      </c>
      <c r="AJ2286" s="1">
        <v>1.5566979572</v>
      </c>
      <c r="AK2286" s="1">
        <v>90.0409276939999</v>
      </c>
      <c r="AL2286" s="1">
        <v>0.4385105569</v>
      </c>
      <c r="AM2286" s="1">
        <v>50.550671738</v>
      </c>
      <c r="AN2286" s="1">
        <v>44.488931566</v>
      </c>
      <c r="AO2286" s="1">
        <v>24399.0</v>
      </c>
      <c r="AP2286" s="1">
        <v>14.0</v>
      </c>
      <c r="AQ2286" s="1">
        <v>6.2</v>
      </c>
      <c r="AR2286" s="1">
        <v>10.5</v>
      </c>
      <c r="AS2286" s="1">
        <v>19.8</v>
      </c>
      <c r="AT2286" s="1">
        <v>20.3</v>
      </c>
      <c r="AU2286" s="1">
        <v>16.3</v>
      </c>
      <c r="AV2286" s="1">
        <v>9.5</v>
      </c>
      <c r="AW2286" s="1">
        <v>0.5</v>
      </c>
      <c r="AX2286" s="1">
        <v>0.476</v>
      </c>
      <c r="AY2286" s="1">
        <v>13.1</v>
      </c>
      <c r="AZ2286" s="1">
        <v>12.1</v>
      </c>
      <c r="BA2286" s="1">
        <v>19.4</v>
      </c>
      <c r="BB2286" s="1">
        <v>2.76</v>
      </c>
      <c r="BC2286" s="1" t="s">
        <v>3714</v>
      </c>
      <c r="BD2286" s="1">
        <v>10.1</v>
      </c>
      <c r="BE2286" s="1">
        <v>43.0</v>
      </c>
      <c r="BF2286" s="1">
        <v>24.1</v>
      </c>
      <c r="BG2286" s="1">
        <v>22.8</v>
      </c>
      <c r="BH2286" s="1" t="s">
        <v>3778</v>
      </c>
    </row>
    <row r="2287">
      <c r="A2287" s="1">
        <v>42087.0</v>
      </c>
      <c r="B2287" s="2" t="str">
        <f>IFERROR(__xludf.DUMMYFUNCTION("TO_TEXT(A2287)"),"42087")</f>
        <v>42087</v>
      </c>
      <c r="C2287" s="1">
        <v>46585.0</v>
      </c>
      <c r="D2287" s="1">
        <v>411.045053296276</v>
      </c>
      <c r="E2287" s="1" t="s">
        <v>3779</v>
      </c>
      <c r="F2287" s="1" t="s">
        <v>3780</v>
      </c>
      <c r="G2287" s="1">
        <v>113.333075356151</v>
      </c>
      <c r="H2287" s="1">
        <v>16.163412774</v>
      </c>
      <c r="I2287" s="1">
        <v>4.5641665824</v>
      </c>
      <c r="J2287" s="1">
        <v>6.6945606695</v>
      </c>
      <c r="K2287" s="1">
        <v>19.329521764</v>
      </c>
      <c r="L2287" s="1">
        <v>40.5</v>
      </c>
      <c r="M2287" s="1">
        <v>8.3</v>
      </c>
      <c r="N2287" s="1">
        <v>22.1</v>
      </c>
      <c r="O2287" s="1">
        <v>61.38554475</v>
      </c>
      <c r="P2287" s="1">
        <v>9.2206427347</v>
      </c>
      <c r="Q2287" s="1">
        <v>51.73752</v>
      </c>
      <c r="R2287" s="1">
        <v>89.528795812</v>
      </c>
      <c r="S2287" s="1">
        <v>23.2</v>
      </c>
      <c r="T2287" s="1">
        <v>10291.0</v>
      </c>
      <c r="U2287" s="1">
        <v>29.43348557</v>
      </c>
      <c r="V2287" s="1">
        <v>131.27878449</v>
      </c>
      <c r="W2287" s="1">
        <v>13.533030222</v>
      </c>
      <c r="X2287" s="1">
        <v>9.0933694181</v>
      </c>
      <c r="Y2287" s="1">
        <v>77.765831892</v>
      </c>
      <c r="Z2287" s="1">
        <v>17.7</v>
      </c>
      <c r="AA2287" s="1">
        <v>1.8338918714</v>
      </c>
      <c r="AB2287" s="1">
        <v>47648.0</v>
      </c>
      <c r="AC2287" s="1">
        <v>58.438818565</v>
      </c>
      <c r="AD2287" s="1">
        <v>70.372892008</v>
      </c>
      <c r="AE2287" s="1">
        <v>10.35886856</v>
      </c>
      <c r="AF2287" s="1">
        <v>0.796157673799999</v>
      </c>
      <c r="AG2287" s="1">
        <v>0.1687508113</v>
      </c>
      <c r="AH2287" s="1">
        <v>0.6165895028</v>
      </c>
      <c r="AI2287" s="1">
        <v>0.034615551</v>
      </c>
      <c r="AJ2287" s="1">
        <v>1.6572195059</v>
      </c>
      <c r="AK2287" s="1">
        <v>95.744450694</v>
      </c>
      <c r="AL2287" s="1">
        <v>0.5309124339</v>
      </c>
      <c r="AM2287" s="1">
        <v>51.027649171</v>
      </c>
      <c r="AN2287" s="1">
        <v>50.466989418</v>
      </c>
      <c r="AO2287" s="1">
        <v>21665.0</v>
      </c>
      <c r="AP2287" s="1">
        <v>14.6</v>
      </c>
      <c r="AQ2287" s="1">
        <v>5.2</v>
      </c>
      <c r="AR2287" s="1">
        <v>16.9</v>
      </c>
      <c r="AS2287" s="1">
        <v>20.2</v>
      </c>
      <c r="AT2287" s="1">
        <v>22.6</v>
      </c>
      <c r="AU2287" s="1">
        <v>17.4</v>
      </c>
      <c r="AV2287" s="1">
        <v>3.7</v>
      </c>
      <c r="AW2287" s="1">
        <v>1.4</v>
      </c>
      <c r="AX2287" s="1">
        <v>0.5533</v>
      </c>
      <c r="AY2287" s="1">
        <v>13.3</v>
      </c>
      <c r="AZ2287" s="1">
        <v>12.0</v>
      </c>
      <c r="BA2287" s="1">
        <v>19.2</v>
      </c>
      <c r="BB2287" s="1">
        <v>2.78</v>
      </c>
      <c r="BC2287" s="1" t="s">
        <v>3714</v>
      </c>
      <c r="BD2287" s="1">
        <v>15.0</v>
      </c>
      <c r="BE2287" s="1">
        <v>51.8</v>
      </c>
      <c r="BF2287" s="1">
        <v>21.3</v>
      </c>
      <c r="BG2287" s="1">
        <v>11.9</v>
      </c>
      <c r="BH2287" s="1" t="s">
        <v>3780</v>
      </c>
    </row>
    <row r="2288">
      <c r="A2288" s="1">
        <v>42089.0</v>
      </c>
      <c r="B2288" s="2" t="str">
        <f>IFERROR(__xludf.DUMMYFUNCTION("TO_TEXT(A2288)"),"42089")</f>
        <v>42089</v>
      </c>
      <c r="C2288" s="1">
        <v>167126.0</v>
      </c>
      <c r="D2288" s="1">
        <v>608.259345216138</v>
      </c>
      <c r="E2288" s="1" t="s">
        <v>158</v>
      </c>
      <c r="F2288" s="1" t="s">
        <v>3781</v>
      </c>
      <c r="G2288" s="1">
        <v>274.761088858592</v>
      </c>
      <c r="H2288" s="1">
        <v>16.407622798</v>
      </c>
      <c r="I2288" s="1">
        <v>4.221646926</v>
      </c>
      <c r="J2288" s="1">
        <v>9.1468777485</v>
      </c>
      <c r="K2288" s="1">
        <v>17.37500376</v>
      </c>
      <c r="L2288" s="1">
        <v>32.7</v>
      </c>
      <c r="M2288" s="1">
        <v>8.0</v>
      </c>
      <c r="N2288" s="1">
        <v>24.7</v>
      </c>
      <c r="O2288" s="1">
        <v>86.13652689</v>
      </c>
      <c r="P2288" s="1">
        <v>7.4643920852</v>
      </c>
      <c r="Q2288" s="1">
        <v>42.25034</v>
      </c>
      <c r="R2288" s="1">
        <v>92.655642023</v>
      </c>
      <c r="S2288" s="1">
        <v>16.3</v>
      </c>
      <c r="T2288" s="1">
        <v>33559.0</v>
      </c>
      <c r="U2288" s="1">
        <v>29.702911291</v>
      </c>
      <c r="V2288" s="1">
        <v>234.88688342</v>
      </c>
      <c r="W2288" s="1">
        <v>19.422319475</v>
      </c>
      <c r="X2288" s="1">
        <v>17.965023847</v>
      </c>
      <c r="Y2288" s="1">
        <v>78.501738264</v>
      </c>
      <c r="Z2288" s="1">
        <v>8.6</v>
      </c>
      <c r="AA2288" s="1">
        <v>9.2581744213</v>
      </c>
      <c r="AB2288" s="1">
        <v>63318.0</v>
      </c>
      <c r="AC2288" s="1">
        <v>48.429894465</v>
      </c>
      <c r="AD2288" s="1">
        <v>77.713581117</v>
      </c>
      <c r="AE2288" s="1">
        <v>16.370138901</v>
      </c>
      <c r="AF2288" s="1">
        <v>13.519795643</v>
      </c>
      <c r="AG2288" s="1">
        <v>0.6058746836</v>
      </c>
      <c r="AH2288" s="1">
        <v>2.6683263818</v>
      </c>
      <c r="AI2288" s="1">
        <v>0.1356876117</v>
      </c>
      <c r="AJ2288" s="1">
        <v>16.5881055059999</v>
      </c>
      <c r="AK2288" s="1">
        <v>65.058670143</v>
      </c>
      <c r="AL2288" s="1">
        <v>1.67981722389999</v>
      </c>
      <c r="AM2288" s="1">
        <v>50.461042907</v>
      </c>
      <c r="AN2288" s="1">
        <v>38.353881843</v>
      </c>
      <c r="AO2288" s="1">
        <v>26128.0</v>
      </c>
      <c r="AP2288" s="1">
        <v>12.2</v>
      </c>
      <c r="AQ2288" s="1">
        <v>10.3</v>
      </c>
      <c r="AR2288" s="1">
        <v>10.4</v>
      </c>
      <c r="AS2288" s="1">
        <v>14.9</v>
      </c>
      <c r="AT2288" s="1">
        <v>21.2</v>
      </c>
      <c r="AU2288" s="1">
        <v>14.5</v>
      </c>
      <c r="AV2288" s="1">
        <v>31.9</v>
      </c>
      <c r="AW2288" s="1">
        <v>1.8</v>
      </c>
      <c r="AX2288" s="1">
        <v>0.3075</v>
      </c>
      <c r="AY2288" s="1">
        <v>12.2</v>
      </c>
      <c r="AZ2288" s="1">
        <v>10.2</v>
      </c>
      <c r="BA2288" s="1">
        <v>14.8</v>
      </c>
      <c r="BB2288" s="1">
        <v>3.23</v>
      </c>
      <c r="BC2288" s="1" t="s">
        <v>3714</v>
      </c>
      <c r="BD2288" s="1">
        <v>10.4</v>
      </c>
      <c r="BE2288" s="1">
        <v>35.1</v>
      </c>
      <c r="BF2288" s="1">
        <v>29.9</v>
      </c>
      <c r="BG2288" s="1">
        <v>24.7</v>
      </c>
      <c r="BH2288" s="1" t="s">
        <v>3781</v>
      </c>
    </row>
    <row r="2289">
      <c r="A2289" s="1">
        <v>42091.0</v>
      </c>
      <c r="B2289" s="2" t="str">
        <f>IFERROR(__xludf.DUMMYFUNCTION("TO_TEXT(A2289)"),"42091")</f>
        <v>42091</v>
      </c>
      <c r="C2289" s="1">
        <v>815876.0</v>
      </c>
      <c r="D2289" s="1">
        <v>483.01054986369</v>
      </c>
      <c r="E2289" s="1" t="s">
        <v>160</v>
      </c>
      <c r="F2289" s="1" t="s">
        <v>3782</v>
      </c>
      <c r="G2289" s="1">
        <v>1689.14737003208</v>
      </c>
      <c r="H2289" s="1">
        <v>11.759540191</v>
      </c>
      <c r="I2289" s="1">
        <v>3.9256912584</v>
      </c>
      <c r="J2289" s="1">
        <v>7.392163588</v>
      </c>
      <c r="K2289" s="1">
        <v>13.194677885</v>
      </c>
      <c r="L2289" s="1">
        <v>25.5</v>
      </c>
      <c r="M2289" s="1">
        <v>8.7</v>
      </c>
      <c r="N2289" s="1">
        <v>18.7</v>
      </c>
      <c r="O2289" s="1">
        <v>95.468286255</v>
      </c>
      <c r="P2289" s="1">
        <v>4.6745529671</v>
      </c>
      <c r="Q2289" s="1">
        <v>139.21254</v>
      </c>
      <c r="R2289" s="1">
        <v>86.7563373</v>
      </c>
      <c r="S2289" s="1">
        <v>6.6</v>
      </c>
      <c r="T2289" s="1">
        <v>177352.0</v>
      </c>
      <c r="U2289" s="1">
        <v>21.562767829</v>
      </c>
      <c r="V2289" s="1">
        <v>135.48321225</v>
      </c>
      <c r="W2289" s="1">
        <v>14.761927812</v>
      </c>
      <c r="X2289" s="1">
        <v>13.465607604</v>
      </c>
      <c r="Y2289" s="1">
        <v>80.875609456</v>
      </c>
      <c r="Z2289" s="1">
        <v>8.4</v>
      </c>
      <c r="AA2289" s="1">
        <v>3.6514771318</v>
      </c>
      <c r="AB2289" s="1">
        <v>90155.0</v>
      </c>
      <c r="AC2289" s="1">
        <v>29.2529058869999</v>
      </c>
      <c r="AD2289" s="1">
        <v>71.805930263</v>
      </c>
      <c r="AE2289" s="1">
        <v>13.115858695</v>
      </c>
      <c r="AF2289" s="1">
        <v>9.3604423826</v>
      </c>
      <c r="AG2289" s="1">
        <v>0.2342494123</v>
      </c>
      <c r="AH2289" s="1">
        <v>8.0245811027</v>
      </c>
      <c r="AI2289" s="1">
        <v>0.063721633</v>
      </c>
      <c r="AJ2289" s="1">
        <v>5.3226873151</v>
      </c>
      <c r="AK2289" s="1">
        <v>75.3403314489999</v>
      </c>
      <c r="AL2289" s="1">
        <v>1.8850140161</v>
      </c>
      <c r="AM2289" s="1">
        <v>51.331637308</v>
      </c>
      <c r="AN2289" s="1">
        <v>2.9337120596</v>
      </c>
      <c r="AO2289" s="1">
        <v>42995.0</v>
      </c>
      <c r="AP2289" s="1">
        <v>6.6</v>
      </c>
      <c r="AQ2289" s="1">
        <v>5.9</v>
      </c>
      <c r="AR2289" s="1">
        <v>6.1</v>
      </c>
      <c r="AS2289" s="1">
        <v>16.4</v>
      </c>
      <c r="AT2289" s="1">
        <v>22.0</v>
      </c>
      <c r="AU2289" s="1">
        <v>10.0</v>
      </c>
      <c r="AV2289" s="1">
        <v>22.9</v>
      </c>
      <c r="AW2289" s="1">
        <v>1.9</v>
      </c>
      <c r="AX2289" s="1">
        <v>0.1535</v>
      </c>
      <c r="AY2289" s="1">
        <v>6.0</v>
      </c>
      <c r="AZ2289" s="1">
        <v>7.0</v>
      </c>
      <c r="BA2289" s="1">
        <v>8.8</v>
      </c>
      <c r="BB2289" s="1">
        <v>3.63</v>
      </c>
      <c r="BC2289" s="1" t="s">
        <v>3714</v>
      </c>
      <c r="BD2289" s="1">
        <v>5.6</v>
      </c>
      <c r="BE2289" s="1">
        <v>23.6</v>
      </c>
      <c r="BF2289" s="1">
        <v>21.6</v>
      </c>
      <c r="BG2289" s="1">
        <v>49.3</v>
      </c>
      <c r="BH2289" s="1" t="s">
        <v>3782</v>
      </c>
    </row>
    <row r="2290">
      <c r="A2290" s="1">
        <v>42093.0</v>
      </c>
      <c r="B2290" s="2" t="str">
        <f>IFERROR(__xludf.DUMMYFUNCTION("TO_TEXT(A2290)"),"42093")</f>
        <v>42093</v>
      </c>
      <c r="C2290" s="1">
        <v>18404.0</v>
      </c>
      <c r="D2290" s="1">
        <v>130.24233591648</v>
      </c>
      <c r="E2290" s="1" t="s">
        <v>3783</v>
      </c>
      <c r="F2290" s="1" t="s">
        <v>3784</v>
      </c>
      <c r="G2290" s="1">
        <v>141.305819421128</v>
      </c>
      <c r="H2290" s="1">
        <v>13.886127423</v>
      </c>
      <c r="I2290" s="1">
        <v>4.1146776261</v>
      </c>
      <c r="J2290" s="1">
        <v>7.1670047329</v>
      </c>
      <c r="K2290" s="1">
        <v>16.113048592</v>
      </c>
      <c r="L2290" s="1">
        <v>30.4</v>
      </c>
      <c r="M2290" s="1">
        <v>8.5</v>
      </c>
      <c r="N2290" s="1">
        <v>29.3</v>
      </c>
      <c r="O2290" s="1">
        <v>52.931515848</v>
      </c>
      <c r="P2290" s="1">
        <v>5.5928253654</v>
      </c>
      <c r="Q2290" s="1">
        <v>514.44834</v>
      </c>
      <c r="R2290" s="1">
        <v>96.25</v>
      </c>
      <c r="S2290" s="1">
        <v>13.8</v>
      </c>
      <c r="T2290" s="1">
        <v>3530.0</v>
      </c>
      <c r="U2290" s="1">
        <v>31.78470255</v>
      </c>
      <c r="V2290" s="1">
        <v>277.29916003</v>
      </c>
      <c r="W2290" s="1">
        <v>10.054347826</v>
      </c>
      <c r="X2290" s="1">
        <v>9.1405184175</v>
      </c>
      <c r="Y2290" s="1">
        <v>78.392572846</v>
      </c>
      <c r="Z2290" s="1">
        <v>9.8</v>
      </c>
      <c r="AA2290" s="1">
        <v>2.7521206151</v>
      </c>
      <c r="AB2290" s="1">
        <v>61314.0</v>
      </c>
      <c r="AC2290" s="1">
        <v>28.596338274</v>
      </c>
      <c r="AD2290" s="1">
        <v>68.751670676</v>
      </c>
      <c r="AE2290" s="1">
        <v>8.4625052367</v>
      </c>
      <c r="AF2290" s="1">
        <v>1.61732456139999</v>
      </c>
      <c r="AG2290" s="1">
        <v>0.169956140399999</v>
      </c>
      <c r="AH2290" s="1">
        <v>3.360745614</v>
      </c>
      <c r="AI2290" s="1">
        <v>0.0328947368</v>
      </c>
      <c r="AJ2290" s="1">
        <v>2.9331140351</v>
      </c>
      <c r="AK2290" s="1">
        <v>90.970394737</v>
      </c>
      <c r="AL2290" s="1">
        <v>0.5961338118</v>
      </c>
      <c r="AM2290" s="1">
        <v>51.6776315789999</v>
      </c>
      <c r="AN2290" s="1">
        <v>53.769091805</v>
      </c>
      <c r="AO2290" s="1">
        <v>31293.0</v>
      </c>
      <c r="AP2290" s="1">
        <v>10.0</v>
      </c>
      <c r="AQ2290" s="1">
        <v>5.3</v>
      </c>
      <c r="AR2290" s="1">
        <v>10.2</v>
      </c>
      <c r="AS2290" s="1">
        <v>20.0</v>
      </c>
      <c r="AT2290" s="1">
        <v>20.6</v>
      </c>
      <c r="AU2290" s="1">
        <v>13.0</v>
      </c>
      <c r="AV2290" s="1">
        <v>7.7</v>
      </c>
      <c r="AW2290" s="1">
        <v>0.7</v>
      </c>
      <c r="AX2290" s="1">
        <v>0.2025</v>
      </c>
      <c r="AY2290" s="1">
        <v>9.1</v>
      </c>
      <c r="AZ2290" s="1">
        <v>10.0</v>
      </c>
      <c r="BA2290" s="1">
        <v>14.7</v>
      </c>
      <c r="BB2290" s="1">
        <v>3.12</v>
      </c>
      <c r="BC2290" s="1" t="s">
        <v>3714</v>
      </c>
      <c r="BD2290" s="1">
        <v>9.4</v>
      </c>
      <c r="BE2290" s="1">
        <v>40.1</v>
      </c>
      <c r="BF2290" s="1">
        <v>18.9</v>
      </c>
      <c r="BG2290" s="1">
        <v>31.6</v>
      </c>
      <c r="BH2290" s="1" t="s">
        <v>3784</v>
      </c>
    </row>
    <row r="2291">
      <c r="A2291" s="1">
        <v>42095.0</v>
      </c>
      <c r="B2291" s="2" t="str">
        <f>IFERROR(__xludf.DUMMYFUNCTION("TO_TEXT(A2291)"),"42095")</f>
        <v>42095</v>
      </c>
      <c r="C2291" s="1">
        <v>300520.0</v>
      </c>
      <c r="D2291" s="1">
        <v>369.624753133117</v>
      </c>
      <c r="E2291" s="1" t="s">
        <v>3275</v>
      </c>
      <c r="F2291" s="1" t="s">
        <v>3785</v>
      </c>
      <c r="G2291" s="1">
        <v>813.040786507525</v>
      </c>
      <c r="H2291" s="1">
        <v>14.70930485</v>
      </c>
      <c r="I2291" s="1">
        <v>4.3048305643</v>
      </c>
      <c r="J2291" s="1">
        <v>8.2887031383</v>
      </c>
      <c r="K2291" s="1">
        <v>16.080490415</v>
      </c>
      <c r="L2291" s="1">
        <v>31.9</v>
      </c>
      <c r="M2291" s="1">
        <v>8.6</v>
      </c>
      <c r="N2291" s="1">
        <v>27.4</v>
      </c>
      <c r="O2291" s="1">
        <v>87.256117017</v>
      </c>
      <c r="P2291" s="1">
        <v>6.0954222596</v>
      </c>
      <c r="Q2291" s="1">
        <v>83.0573</v>
      </c>
      <c r="R2291" s="1">
        <v>88.952071487</v>
      </c>
      <c r="S2291" s="1">
        <v>14.4</v>
      </c>
      <c r="T2291" s="1">
        <v>59925.0</v>
      </c>
      <c r="U2291" s="1">
        <v>30.424697539</v>
      </c>
      <c r="V2291" s="1">
        <v>212.26438653</v>
      </c>
      <c r="W2291" s="1">
        <v>14.793476334</v>
      </c>
      <c r="X2291" s="1">
        <v>13.134062012</v>
      </c>
      <c r="Y2291" s="1">
        <v>79.930875116</v>
      </c>
      <c r="Z2291" s="1">
        <v>11.1</v>
      </c>
      <c r="AA2291" s="1">
        <v>4.3944184271</v>
      </c>
      <c r="AB2291" s="1">
        <v>68217.0</v>
      </c>
      <c r="AC2291" s="1">
        <v>45.231278836</v>
      </c>
      <c r="AD2291" s="1">
        <v>71.70596637</v>
      </c>
      <c r="AE2291" s="1">
        <v>13.062886469</v>
      </c>
      <c r="AF2291" s="1">
        <v>5.4628010512</v>
      </c>
      <c r="AG2291" s="1">
        <v>0.4278116972</v>
      </c>
      <c r="AH2291" s="1">
        <v>3.036019514</v>
      </c>
      <c r="AI2291" s="1">
        <v>0.1154829121</v>
      </c>
      <c r="AJ2291" s="1">
        <v>13.846794857</v>
      </c>
      <c r="AK2291" s="1">
        <v>75.9398570239999</v>
      </c>
      <c r="AL2291" s="1">
        <v>2.0423313247</v>
      </c>
      <c r="AM2291" s="1">
        <v>50.803623276</v>
      </c>
      <c r="AN2291" s="1">
        <v>12.768401431</v>
      </c>
      <c r="AO2291" s="1">
        <v>31086.0</v>
      </c>
      <c r="AP2291" s="1">
        <v>9.1</v>
      </c>
      <c r="AQ2291" s="1">
        <v>6.7</v>
      </c>
      <c r="AR2291" s="1">
        <v>9.6</v>
      </c>
      <c r="AS2291" s="1">
        <v>17.3</v>
      </c>
      <c r="AT2291" s="1">
        <v>20.6</v>
      </c>
      <c r="AU2291" s="1">
        <v>12.5</v>
      </c>
      <c r="AV2291" s="1">
        <v>21.6</v>
      </c>
      <c r="AW2291" s="1">
        <v>1.9</v>
      </c>
      <c r="AX2291" s="1">
        <v>0.2939</v>
      </c>
      <c r="AY2291" s="1">
        <v>7.9</v>
      </c>
      <c r="AZ2291" s="1">
        <v>8.7</v>
      </c>
      <c r="BA2291" s="1">
        <v>12.6</v>
      </c>
      <c r="BB2291" s="1">
        <v>3.45</v>
      </c>
      <c r="BC2291" s="1" t="s">
        <v>3714</v>
      </c>
      <c r="BD2291" s="1">
        <v>9.1</v>
      </c>
      <c r="BE2291" s="1">
        <v>34.5</v>
      </c>
      <c r="BF2291" s="1">
        <v>26.1</v>
      </c>
      <c r="BG2291" s="1">
        <v>30.3</v>
      </c>
      <c r="BH2291" s="1" t="s">
        <v>3785</v>
      </c>
    </row>
    <row r="2292">
      <c r="A2292" s="1">
        <v>42097.0</v>
      </c>
      <c r="B2292" s="2" t="str">
        <f>IFERROR(__xludf.DUMMYFUNCTION("TO_TEXT(A2292)"),"42097")</f>
        <v>42097</v>
      </c>
      <c r="C2292" s="1">
        <v>93590.0</v>
      </c>
      <c r="D2292" s="1">
        <v>458.001618685868</v>
      </c>
      <c r="E2292" s="1" t="s">
        <v>3786</v>
      </c>
      <c r="F2292" s="1" t="s">
        <v>3787</v>
      </c>
      <c r="G2292" s="1">
        <v>204.344255962534</v>
      </c>
      <c r="H2292" s="1">
        <v>18.435831522</v>
      </c>
      <c r="I2292" s="1">
        <v>4.9011057959</v>
      </c>
      <c r="J2292" s="1">
        <v>7.4180389787</v>
      </c>
      <c r="K2292" s="1">
        <v>19.481765997</v>
      </c>
      <c r="L2292" s="1">
        <v>40.2</v>
      </c>
      <c r="M2292" s="1">
        <v>8.1</v>
      </c>
      <c r="N2292" s="1">
        <v>26.5</v>
      </c>
      <c r="O2292" s="1">
        <v>74.321894042</v>
      </c>
      <c r="P2292" s="1">
        <v>6.7413634799</v>
      </c>
      <c r="Q2292" s="1">
        <v>44.55117</v>
      </c>
      <c r="R2292" s="1">
        <v>87.842669845</v>
      </c>
      <c r="S2292" s="1">
        <v>19.0</v>
      </c>
      <c r="T2292" s="1">
        <v>17862.0</v>
      </c>
      <c r="U2292" s="1">
        <v>33.221363789</v>
      </c>
      <c r="V2292" s="1">
        <v>251.14326411</v>
      </c>
      <c r="W2292" s="1">
        <v>12.911457004</v>
      </c>
      <c r="X2292" s="1">
        <v>11.065478497</v>
      </c>
      <c r="Y2292" s="1">
        <v>77.3247137039999</v>
      </c>
      <c r="Z2292" s="1">
        <v>12.9</v>
      </c>
      <c r="AA2292" s="1">
        <v>3.4132132184</v>
      </c>
      <c r="AB2292" s="1">
        <v>47243.0</v>
      </c>
      <c r="AC2292" s="1">
        <v>54.426745694</v>
      </c>
      <c r="AD2292" s="1">
        <v>70.89594194</v>
      </c>
      <c r="AE2292" s="1">
        <v>11.316205428</v>
      </c>
      <c r="AF2292" s="1">
        <v>2.4131835798</v>
      </c>
      <c r="AG2292" s="1">
        <v>0.2733770297</v>
      </c>
      <c r="AH2292" s="1">
        <v>0.4688031795</v>
      </c>
      <c r="AI2292" s="1">
        <v>0.0329369915</v>
      </c>
      <c r="AJ2292" s="1">
        <v>3.6000131748</v>
      </c>
      <c r="AK2292" s="1">
        <v>92.332268371</v>
      </c>
      <c r="AL2292" s="1">
        <v>0.3996711278</v>
      </c>
      <c r="AM2292" s="1">
        <v>49.735955118</v>
      </c>
      <c r="AN2292" s="1">
        <v>34.860570413</v>
      </c>
      <c r="AO2292" s="1">
        <v>23512.0</v>
      </c>
      <c r="AP2292" s="1">
        <v>14.6</v>
      </c>
      <c r="AQ2292" s="1">
        <v>6.8</v>
      </c>
      <c r="AR2292" s="1">
        <v>14.2</v>
      </c>
      <c r="AS2292" s="1">
        <v>19.7</v>
      </c>
      <c r="AT2292" s="1">
        <v>19.8</v>
      </c>
      <c r="AU2292" s="1">
        <v>16.3</v>
      </c>
      <c r="AV2292" s="1">
        <v>6.8</v>
      </c>
      <c r="AW2292" s="1">
        <v>0.4</v>
      </c>
      <c r="AX2292" s="1">
        <v>0.5005</v>
      </c>
      <c r="AY2292" s="1">
        <v>13.3</v>
      </c>
      <c r="AZ2292" s="1">
        <v>12.1</v>
      </c>
      <c r="BA2292" s="1">
        <v>18.2</v>
      </c>
      <c r="BB2292" s="1">
        <v>3.11</v>
      </c>
      <c r="BC2292" s="1" t="s">
        <v>3714</v>
      </c>
      <c r="BD2292" s="1">
        <v>12.0</v>
      </c>
      <c r="BE2292" s="1">
        <v>49.8</v>
      </c>
      <c r="BF2292" s="1">
        <v>21.7</v>
      </c>
      <c r="BG2292" s="1">
        <v>16.6</v>
      </c>
      <c r="BH2292" s="1" t="s">
        <v>3787</v>
      </c>
    </row>
    <row r="2293">
      <c r="A2293" s="1">
        <v>42099.0</v>
      </c>
      <c r="B2293" s="2" t="str">
        <f>IFERROR(__xludf.DUMMYFUNCTION("TO_TEXT(A2293)"),"42099")</f>
        <v>42099</v>
      </c>
      <c r="C2293" s="1">
        <v>45647.0</v>
      </c>
      <c r="D2293" s="1">
        <v>551.44802125931</v>
      </c>
      <c r="E2293" s="1" t="s">
        <v>164</v>
      </c>
      <c r="F2293" s="1" t="s">
        <v>3788</v>
      </c>
      <c r="G2293" s="1">
        <v>82.7766140057199</v>
      </c>
      <c r="H2293" s="1">
        <v>14.256444719</v>
      </c>
      <c r="I2293" s="1">
        <v>4.2043206548</v>
      </c>
      <c r="J2293" s="1">
        <v>7.0849107626</v>
      </c>
      <c r="K2293" s="1">
        <v>17.126864508</v>
      </c>
      <c r="L2293" s="1">
        <v>27.2</v>
      </c>
      <c r="M2293" s="1">
        <v>8.6</v>
      </c>
      <c r="N2293" s="1">
        <v>29.6</v>
      </c>
      <c r="O2293" s="1">
        <v>49.811829711</v>
      </c>
      <c r="P2293" s="1">
        <v>7.5833933285</v>
      </c>
      <c r="Q2293" s="1">
        <v>28.18306</v>
      </c>
      <c r="R2293" s="1">
        <v>92.291220557</v>
      </c>
      <c r="S2293" s="1">
        <v>12.8</v>
      </c>
      <c r="T2293" s="1">
        <v>9818.0</v>
      </c>
      <c r="U2293" s="1">
        <v>24.831941332</v>
      </c>
      <c r="V2293" s="1">
        <v>187.63412469</v>
      </c>
      <c r="W2293" s="1">
        <v>9.7567794241</v>
      </c>
      <c r="X2293" s="1">
        <v>8.0731364276</v>
      </c>
      <c r="Y2293" s="1">
        <v>77.20828122</v>
      </c>
      <c r="Z2293" s="1">
        <v>7.2</v>
      </c>
      <c r="AA2293" s="1">
        <v>4.2292618732</v>
      </c>
      <c r="AB2293" s="1">
        <v>62366.0</v>
      </c>
      <c r="AC2293" s="1">
        <v>41.319194824</v>
      </c>
      <c r="AD2293" s="1">
        <v>79.818694378</v>
      </c>
      <c r="AE2293" s="1">
        <v>9.0743688879</v>
      </c>
      <c r="AF2293" s="1">
        <v>0.9167949024</v>
      </c>
      <c r="AG2293" s="1">
        <v>0.2860920263</v>
      </c>
      <c r="AH2293" s="1">
        <v>0.5158325928</v>
      </c>
      <c r="AI2293" s="1">
        <v>0.0541840959</v>
      </c>
      <c r="AJ2293" s="1">
        <v>2.1240165587</v>
      </c>
      <c r="AK2293" s="1">
        <v>95.136435553</v>
      </c>
      <c r="AL2293" s="1">
        <v>0.3881790245</v>
      </c>
      <c r="AM2293" s="1">
        <v>49.4397364489999</v>
      </c>
      <c r="AN2293" s="1">
        <v>88.498770911</v>
      </c>
      <c r="AO2293" s="1">
        <v>27648.0</v>
      </c>
      <c r="AP2293" s="1">
        <v>8.7</v>
      </c>
      <c r="AQ2293" s="1">
        <v>5.2</v>
      </c>
      <c r="AR2293" s="1">
        <v>11.7</v>
      </c>
      <c r="AS2293" s="1">
        <v>15.9</v>
      </c>
      <c r="AT2293" s="1">
        <v>22.0</v>
      </c>
      <c r="AU2293" s="1">
        <v>13.4</v>
      </c>
      <c r="AV2293" s="1">
        <v>4.0</v>
      </c>
      <c r="AW2293" s="1">
        <v>0.4</v>
      </c>
      <c r="AX2293" s="1">
        <v>0.0926</v>
      </c>
      <c r="AY2293" s="1">
        <v>8.9</v>
      </c>
      <c r="AZ2293" s="1">
        <v>8.7</v>
      </c>
      <c r="BA2293" s="1">
        <v>13.0</v>
      </c>
      <c r="BB2293" s="1">
        <v>3.34</v>
      </c>
      <c r="BC2293" s="1" t="s">
        <v>3714</v>
      </c>
      <c r="BD2293" s="1">
        <v>12.6</v>
      </c>
      <c r="BE2293" s="1">
        <v>47.4</v>
      </c>
      <c r="BF2293" s="1">
        <v>23.4</v>
      </c>
      <c r="BG2293" s="1">
        <v>16.7</v>
      </c>
      <c r="BH2293" s="1" t="s">
        <v>3788</v>
      </c>
    </row>
    <row r="2294">
      <c r="A2294" s="1">
        <v>42101.0</v>
      </c>
      <c r="B2294" s="2" t="str">
        <f>IFERROR(__xludf.DUMMYFUNCTION("TO_TEXT(A2294)"),"42101")</f>
        <v>42101</v>
      </c>
      <c r="C2294" s="1">
        <v>1559938.0</v>
      </c>
      <c r="D2294" s="1">
        <v>134.17796047543</v>
      </c>
      <c r="E2294" s="1" t="s">
        <v>3789</v>
      </c>
      <c r="F2294" s="1" t="s">
        <v>3790</v>
      </c>
      <c r="G2294" s="1">
        <v>11625.8884430252</v>
      </c>
      <c r="H2294" s="1">
        <v>21.655494407</v>
      </c>
      <c r="I2294" s="1">
        <v>4.7824466309</v>
      </c>
      <c r="J2294" s="1">
        <v>10.697245788</v>
      </c>
      <c r="K2294" s="1">
        <v>20.614249405</v>
      </c>
      <c r="L2294" s="1">
        <v>27.6</v>
      </c>
      <c r="M2294" s="1">
        <v>6.9</v>
      </c>
      <c r="N2294" s="1">
        <v>24.1</v>
      </c>
      <c r="O2294" s="1">
        <v>99.941350165</v>
      </c>
      <c r="P2294" s="1">
        <v>8.2451813826</v>
      </c>
      <c r="Q2294" s="1">
        <v>69.01294</v>
      </c>
      <c r="R2294" s="1">
        <v>79.423046188</v>
      </c>
      <c r="S2294" s="1">
        <v>34.0</v>
      </c>
      <c r="T2294" s="1">
        <v>342390.0</v>
      </c>
      <c r="U2294" s="1">
        <v>59.178130202</v>
      </c>
      <c r="V2294" s="1">
        <v>1001.4735352</v>
      </c>
      <c r="W2294" s="1">
        <v>23.432229937</v>
      </c>
      <c r="X2294" s="1">
        <v>21.606608872</v>
      </c>
      <c r="Y2294" s="1">
        <v>76.068158027</v>
      </c>
      <c r="Z2294" s="1">
        <v>10.6</v>
      </c>
      <c r="AA2294" s="1">
        <v>0.4666318379</v>
      </c>
      <c r="AB2294" s="1">
        <v>46149.0</v>
      </c>
      <c r="AC2294" s="1">
        <v>95.750491649</v>
      </c>
      <c r="AD2294" s="1">
        <v>52.977245292</v>
      </c>
      <c r="AE2294" s="1">
        <v>21.90127175</v>
      </c>
      <c r="AF2294" s="1">
        <v>40.686038716</v>
      </c>
      <c r="AG2294" s="1">
        <v>0.8762494177</v>
      </c>
      <c r="AH2294" s="1">
        <v>7.7588568673</v>
      </c>
      <c r="AI2294" s="1">
        <v>0.1574989048</v>
      </c>
      <c r="AJ2294" s="1">
        <v>15.167176092</v>
      </c>
      <c r="AK2294" s="1">
        <v>34.351110825</v>
      </c>
      <c r="AL2294" s="1">
        <v>5.9436681133</v>
      </c>
      <c r="AM2294" s="1">
        <v>52.682657698</v>
      </c>
      <c r="AN2294" s="1">
        <v>0.0</v>
      </c>
      <c r="AO2294" s="1">
        <v>23696.0</v>
      </c>
      <c r="AP2294" s="1">
        <v>25.9</v>
      </c>
      <c r="AQ2294" s="1">
        <v>12.5</v>
      </c>
      <c r="AR2294" s="1">
        <v>17.4</v>
      </c>
      <c r="AS2294" s="1">
        <v>12.5</v>
      </c>
      <c r="AT2294" s="1">
        <v>22.2</v>
      </c>
      <c r="AU2294" s="1">
        <v>16.0</v>
      </c>
      <c r="AV2294" s="1">
        <v>64.7</v>
      </c>
      <c r="AW2294" s="1">
        <v>5.9</v>
      </c>
      <c r="AX2294" s="1">
        <v>0.9191</v>
      </c>
      <c r="AY2294" s="1">
        <v>23.0</v>
      </c>
      <c r="AZ2294" s="1">
        <v>16.3</v>
      </c>
      <c r="BA2294" s="1">
        <v>22.0</v>
      </c>
      <c r="BB2294" s="1">
        <v>3.37</v>
      </c>
      <c r="BC2294" s="1" t="s">
        <v>3714</v>
      </c>
      <c r="BD2294" s="1">
        <v>15.3</v>
      </c>
      <c r="BE2294" s="1">
        <v>32.6</v>
      </c>
      <c r="BF2294" s="1">
        <v>22.4</v>
      </c>
      <c r="BG2294" s="1">
        <v>29.7</v>
      </c>
      <c r="BH2294" s="1" t="s">
        <v>3790</v>
      </c>
    </row>
    <row r="2295">
      <c r="A2295" s="1">
        <v>42103.0</v>
      </c>
      <c r="B2295" s="2" t="str">
        <f>IFERROR(__xludf.DUMMYFUNCTION("TO_TEXT(A2295)"),"42103")</f>
        <v>42103</v>
      </c>
      <c r="C2295" s="1">
        <v>56210.0</v>
      </c>
      <c r="D2295" s="1">
        <v>544.960320781762</v>
      </c>
      <c r="E2295" s="1" t="s">
        <v>168</v>
      </c>
      <c r="F2295" s="1" t="s">
        <v>3791</v>
      </c>
      <c r="G2295" s="1">
        <v>103.145124253019</v>
      </c>
      <c r="H2295" s="1">
        <v>15.970971595</v>
      </c>
      <c r="I2295" s="1">
        <v>4.1622842413</v>
      </c>
      <c r="J2295" s="1">
        <v>7.94587092299999</v>
      </c>
      <c r="K2295" s="1">
        <v>16.222295425</v>
      </c>
      <c r="L2295" s="1">
        <v>32.1</v>
      </c>
      <c r="M2295" s="1">
        <v>8.8</v>
      </c>
      <c r="N2295" s="1">
        <v>31.6</v>
      </c>
      <c r="O2295" s="1">
        <v>76.832435636</v>
      </c>
      <c r="P2295" s="1">
        <v>7.1553106911</v>
      </c>
      <c r="Q2295" s="1">
        <v>28.72996</v>
      </c>
      <c r="R2295" s="1">
        <v>88.7688984879999</v>
      </c>
      <c r="S2295" s="1">
        <v>15.2</v>
      </c>
      <c r="T2295" s="1">
        <v>10218.0</v>
      </c>
      <c r="U2295" s="1">
        <v>26.071638285</v>
      </c>
      <c r="V2295" s="1">
        <v>146.54240347</v>
      </c>
      <c r="W2295" s="1">
        <v>17.790395079</v>
      </c>
      <c r="X2295" s="1">
        <v>16.563393708</v>
      </c>
      <c r="Y2295" s="1">
        <v>79.888342283</v>
      </c>
      <c r="Z2295" s="1">
        <v>12.5</v>
      </c>
      <c r="AA2295" s="1">
        <v>2.3785516913</v>
      </c>
      <c r="AB2295" s="1">
        <v>62657.0</v>
      </c>
      <c r="AC2295" s="1">
        <v>44.542140253</v>
      </c>
      <c r="AD2295" s="1">
        <v>83.091765351</v>
      </c>
      <c r="AE2295" s="1">
        <v>17.286132949</v>
      </c>
      <c r="AF2295" s="1">
        <v>5.5727388125</v>
      </c>
      <c r="AG2295" s="1">
        <v>0.5184774641</v>
      </c>
      <c r="AH2295" s="1">
        <v>1.6555521785</v>
      </c>
      <c r="AI2295" s="1">
        <v>0.0464841864</v>
      </c>
      <c r="AJ2295" s="1">
        <v>11.429746304</v>
      </c>
      <c r="AK2295" s="1">
        <v>79.79010602</v>
      </c>
      <c r="AL2295" s="1">
        <v>1.4439558802</v>
      </c>
      <c r="AM2295" s="1">
        <v>49.28217689</v>
      </c>
      <c r="AN2295" s="1">
        <v>70.7612125019999</v>
      </c>
      <c r="AO2295" s="1">
        <v>29695.0</v>
      </c>
      <c r="AP2295" s="1">
        <v>10.2</v>
      </c>
      <c r="AQ2295" s="1">
        <v>9.9</v>
      </c>
      <c r="AR2295" s="1">
        <v>9.3</v>
      </c>
      <c r="AS2295" s="1">
        <v>20.5</v>
      </c>
      <c r="AT2295" s="1">
        <v>19.8</v>
      </c>
      <c r="AU2295" s="1">
        <v>16.8</v>
      </c>
      <c r="AV2295" s="1">
        <v>18.4</v>
      </c>
      <c r="AW2295" s="1">
        <v>1.5</v>
      </c>
      <c r="AX2295" s="1">
        <v>0.1621</v>
      </c>
      <c r="AY2295" s="1">
        <v>9.2</v>
      </c>
      <c r="AZ2295" s="1">
        <v>10.1</v>
      </c>
      <c r="BA2295" s="1">
        <v>16.1</v>
      </c>
      <c r="BB2295" s="1">
        <v>3.4</v>
      </c>
      <c r="BC2295" s="1" t="s">
        <v>3714</v>
      </c>
      <c r="BD2295" s="1">
        <v>7.0</v>
      </c>
      <c r="BE2295" s="1">
        <v>34.3</v>
      </c>
      <c r="BF2295" s="1">
        <v>31.8</v>
      </c>
      <c r="BG2295" s="1">
        <v>26.8</v>
      </c>
      <c r="BH2295" s="1" t="s">
        <v>3791</v>
      </c>
    </row>
    <row r="2296">
      <c r="A2296" s="1">
        <v>42105.0</v>
      </c>
      <c r="B2296" s="2" t="str">
        <f>IFERROR(__xludf.DUMMYFUNCTION("TO_TEXT(A2296)"),"42105")</f>
        <v>42105</v>
      </c>
      <c r="C2296" s="1">
        <v>17239.0</v>
      </c>
      <c r="D2296" s="1">
        <v>1081.32216122048</v>
      </c>
      <c r="E2296" s="1" t="s">
        <v>3792</v>
      </c>
      <c r="F2296" s="1" t="s">
        <v>3793</v>
      </c>
      <c r="G2296" s="1">
        <v>15.9425198319643</v>
      </c>
      <c r="H2296" s="1">
        <v>16.890653419</v>
      </c>
      <c r="I2296" s="1">
        <v>4.6994397954</v>
      </c>
      <c r="J2296" s="1">
        <v>6.4112587959</v>
      </c>
      <c r="K2296" s="1">
        <v>18.577393849</v>
      </c>
      <c r="L2296" s="1">
        <v>29.5</v>
      </c>
      <c r="M2296" s="1">
        <v>7.8</v>
      </c>
      <c r="N2296" s="1">
        <v>25.8</v>
      </c>
      <c r="O2296" s="1">
        <v>42.252391591</v>
      </c>
      <c r="P2296" s="1">
        <v>6.9679552791</v>
      </c>
      <c r="Q2296" s="1">
        <v>41.66171</v>
      </c>
      <c r="R2296" s="1">
        <v>86.597938144</v>
      </c>
      <c r="S2296" s="1">
        <v>24.3</v>
      </c>
      <c r="T2296" s="1">
        <v>3530.0</v>
      </c>
      <c r="U2296" s="1">
        <v>28.725212465</v>
      </c>
      <c r="V2296" s="1">
        <v>221.80924405</v>
      </c>
      <c r="W2296" s="1">
        <v>11.6981132079999</v>
      </c>
      <c r="X2296" s="1">
        <v>10.3353658539999</v>
      </c>
      <c r="Y2296" s="1">
        <v>77.5126124889999</v>
      </c>
      <c r="Z2296" s="1">
        <v>11.1</v>
      </c>
      <c r="AA2296" s="1">
        <v>6.6798453578</v>
      </c>
      <c r="AB2296" s="1">
        <v>44883.0</v>
      </c>
      <c r="AC2296" s="1">
        <v>46.6951973369999</v>
      </c>
      <c r="AD2296" s="1">
        <v>77.0964280239999</v>
      </c>
      <c r="AE2296" s="1">
        <v>11.559225151</v>
      </c>
      <c r="AF2296" s="1">
        <v>0.5835639514</v>
      </c>
      <c r="AG2296" s="1">
        <v>0.4090963783</v>
      </c>
      <c r="AH2296" s="1">
        <v>0.3850318855</v>
      </c>
      <c r="AI2296" s="1">
        <v>0.00601612319999999</v>
      </c>
      <c r="AJ2296" s="1">
        <v>1.3596438455</v>
      </c>
      <c r="AK2296" s="1">
        <v>96.474551799</v>
      </c>
      <c r="AL2296" s="1">
        <v>0.6673735421</v>
      </c>
      <c r="AM2296" s="1">
        <v>50.156419203</v>
      </c>
      <c r="AN2296" s="1">
        <v>100.0</v>
      </c>
      <c r="AO2296" s="1">
        <v>22929.0</v>
      </c>
      <c r="AP2296" s="1">
        <v>14.1</v>
      </c>
      <c r="AQ2296" s="1">
        <v>5.8</v>
      </c>
      <c r="AR2296" s="1">
        <v>12.5</v>
      </c>
      <c r="AS2296" s="1">
        <v>21.8</v>
      </c>
      <c r="AT2296" s="1">
        <v>21.2</v>
      </c>
      <c r="AU2296" s="1">
        <v>17.9</v>
      </c>
      <c r="AV2296" s="1">
        <v>3.3</v>
      </c>
      <c r="AW2296" s="1">
        <v>0.5</v>
      </c>
      <c r="AX2296" s="1">
        <v>0.298</v>
      </c>
      <c r="AY2296" s="1">
        <v>11.7</v>
      </c>
      <c r="AZ2296" s="1">
        <v>12.7</v>
      </c>
      <c r="BA2296" s="1">
        <v>19.6</v>
      </c>
      <c r="BB2296" s="1">
        <v>2.96</v>
      </c>
      <c r="BC2296" s="1" t="s">
        <v>3714</v>
      </c>
      <c r="BD2296" s="1">
        <v>12.0</v>
      </c>
      <c r="BE2296" s="1">
        <v>47.0</v>
      </c>
      <c r="BF2296" s="1">
        <v>25.6</v>
      </c>
      <c r="BG2296" s="1">
        <v>15.4</v>
      </c>
      <c r="BH2296" s="1" t="s">
        <v>3793</v>
      </c>
    </row>
    <row r="2297">
      <c r="A2297" s="1">
        <v>42107.0</v>
      </c>
      <c r="B2297" s="2" t="str">
        <f>IFERROR(__xludf.DUMMYFUNCTION("TO_TEXT(A2297)"),"42107")</f>
        <v>42107</v>
      </c>
      <c r="C2297" s="1">
        <v>145503.0</v>
      </c>
      <c r="D2297" s="1">
        <v>778.631014123494</v>
      </c>
      <c r="E2297" s="1" t="s">
        <v>3794</v>
      </c>
      <c r="F2297" s="1" t="s">
        <v>3795</v>
      </c>
      <c r="G2297" s="1">
        <v>186.870285617627</v>
      </c>
      <c r="H2297" s="1">
        <v>16.919488705</v>
      </c>
      <c r="I2297" s="1">
        <v>4.4931100205</v>
      </c>
      <c r="J2297" s="1">
        <v>7.8854200193</v>
      </c>
      <c r="K2297" s="1">
        <v>18.855152708</v>
      </c>
      <c r="L2297" s="1">
        <v>31.6</v>
      </c>
      <c r="M2297" s="1">
        <v>8.3</v>
      </c>
      <c r="N2297" s="1">
        <v>23.0</v>
      </c>
      <c r="O2297" s="1">
        <v>75.18224548</v>
      </c>
      <c r="P2297" s="1">
        <v>6.1838697743</v>
      </c>
      <c r="Q2297" s="1">
        <v>55.41177</v>
      </c>
      <c r="R2297" s="1">
        <v>90.78613694</v>
      </c>
      <c r="S2297" s="1">
        <v>15.7</v>
      </c>
      <c r="T2297" s="1">
        <v>28045.0</v>
      </c>
      <c r="U2297" s="1">
        <v>34.330540203</v>
      </c>
      <c r="V2297" s="1">
        <v>319.43957968</v>
      </c>
      <c r="W2297" s="1">
        <v>11.621528968</v>
      </c>
      <c r="X2297" s="1">
        <v>10.322692575</v>
      </c>
      <c r="Y2297" s="1">
        <v>75.465030371</v>
      </c>
      <c r="Z2297" s="1">
        <v>13.9</v>
      </c>
      <c r="AA2297" s="1">
        <v>2.5977925008</v>
      </c>
      <c r="AB2297" s="1">
        <v>48809.0</v>
      </c>
      <c r="AC2297" s="1">
        <v>54.416062344</v>
      </c>
      <c r="AD2297" s="1">
        <v>75.38351523</v>
      </c>
      <c r="AE2297" s="1">
        <v>11.649884085</v>
      </c>
      <c r="AF2297" s="1">
        <v>2.9204530257</v>
      </c>
      <c r="AG2297" s="1">
        <v>0.3434998979</v>
      </c>
      <c r="AH2297" s="1">
        <v>0.5947897823</v>
      </c>
      <c r="AI2297" s="1">
        <v>0.051384206</v>
      </c>
      <c r="AJ2297" s="1">
        <v>4.7773233756</v>
      </c>
      <c r="AK2297" s="1">
        <v>90.591059148</v>
      </c>
      <c r="AL2297" s="1">
        <v>0.4542124542</v>
      </c>
      <c r="AM2297" s="1">
        <v>48.759388176</v>
      </c>
      <c r="AN2297" s="1">
        <v>36.461234481</v>
      </c>
      <c r="AO2297" s="1">
        <v>24275.0</v>
      </c>
      <c r="AP2297" s="1">
        <v>13.0</v>
      </c>
      <c r="AQ2297" s="1">
        <v>8.0</v>
      </c>
      <c r="AR2297" s="1">
        <v>12.1</v>
      </c>
      <c r="AS2297" s="1">
        <v>19.2</v>
      </c>
      <c r="AT2297" s="1">
        <v>19.6</v>
      </c>
      <c r="AU2297" s="1">
        <v>17.8</v>
      </c>
      <c r="AV2297" s="1">
        <v>7.9</v>
      </c>
      <c r="AW2297" s="1">
        <v>0.5</v>
      </c>
      <c r="AX2297" s="1">
        <v>0.4451</v>
      </c>
      <c r="AY2297" s="1">
        <v>11.7</v>
      </c>
      <c r="AZ2297" s="1">
        <v>11.7</v>
      </c>
      <c r="BA2297" s="1">
        <v>17.6</v>
      </c>
      <c r="BB2297" s="1">
        <v>3.02</v>
      </c>
      <c r="BC2297" s="1" t="s">
        <v>3714</v>
      </c>
      <c r="BD2297" s="1">
        <v>10.7</v>
      </c>
      <c r="BE2297" s="1">
        <v>46.6</v>
      </c>
      <c r="BF2297" s="1">
        <v>26.1</v>
      </c>
      <c r="BG2297" s="1">
        <v>16.6</v>
      </c>
      <c r="BH2297" s="1" t="s">
        <v>3795</v>
      </c>
    </row>
    <row r="2298">
      <c r="A2298" s="1">
        <v>42109.0</v>
      </c>
      <c r="B2298" s="2" t="str">
        <f>IFERROR(__xludf.DUMMYFUNCTION("TO_TEXT(A2298)"),"42109")</f>
        <v>42109</v>
      </c>
      <c r="C2298" s="1">
        <v>40246.0</v>
      </c>
      <c r="D2298" s="1">
        <v>328.775927559486</v>
      </c>
      <c r="E2298" s="1" t="s">
        <v>3796</v>
      </c>
      <c r="F2298" s="1" t="s">
        <v>3797</v>
      </c>
      <c r="G2298" s="1">
        <v>122.411638524594</v>
      </c>
      <c r="H2298" s="1">
        <v>16.219348717</v>
      </c>
      <c r="I2298" s="1">
        <v>4.340002232</v>
      </c>
      <c r="J2298" s="1">
        <v>7.0386810399</v>
      </c>
      <c r="K2298" s="1">
        <v>17.978891092</v>
      </c>
      <c r="L2298" s="1">
        <v>34.0</v>
      </c>
      <c r="M2298" s="1">
        <v>8.5</v>
      </c>
      <c r="N2298" s="1">
        <v>26.2</v>
      </c>
      <c r="O2298" s="1">
        <v>67.535640522</v>
      </c>
      <c r="P2298" s="1">
        <v>8.7149858807</v>
      </c>
      <c r="Q2298" s="1">
        <v>49.01841</v>
      </c>
      <c r="R2298" s="1">
        <v>89.7058823529999</v>
      </c>
      <c r="S2298" s="1">
        <v>15.1</v>
      </c>
      <c r="T2298" s="1">
        <v>8463.0</v>
      </c>
      <c r="U2298" s="1">
        <v>22.793335697</v>
      </c>
      <c r="V2298" s="1">
        <v>188.05768832</v>
      </c>
      <c r="W2298" s="1">
        <v>12.663454921</v>
      </c>
      <c r="X2298" s="1">
        <v>9.1565428671</v>
      </c>
      <c r="Y2298" s="1">
        <v>81.099924113</v>
      </c>
      <c r="Z2298" s="1">
        <v>8.8</v>
      </c>
      <c r="AA2298" s="1">
        <v>2.8070682393</v>
      </c>
      <c r="AB2298" s="1">
        <v>56991.0</v>
      </c>
      <c r="AC2298" s="1">
        <v>32.310279588</v>
      </c>
      <c r="AD2298" s="1">
        <v>72.173144876</v>
      </c>
      <c r="AE2298" s="1">
        <v>8.2602545969</v>
      </c>
      <c r="AF2298" s="1">
        <v>1.0853478046</v>
      </c>
      <c r="AG2298" s="1">
        <v>0.1628021707</v>
      </c>
      <c r="AH2298" s="1">
        <v>0.727676369</v>
      </c>
      <c r="AI2298" s="1">
        <v>0.0394671929</v>
      </c>
      <c r="AJ2298" s="1">
        <v>2.3951652689</v>
      </c>
      <c r="AK2298" s="1">
        <v>94.7878638379999</v>
      </c>
      <c r="AL2298" s="1">
        <v>0.581637976</v>
      </c>
      <c r="AM2298" s="1">
        <v>50.439072521</v>
      </c>
      <c r="AN2298" s="1">
        <v>66.820311319</v>
      </c>
      <c r="AO2298" s="1">
        <v>24708.0</v>
      </c>
      <c r="AP2298" s="1">
        <v>11.1</v>
      </c>
      <c r="AQ2298" s="1">
        <v>4.4</v>
      </c>
      <c r="AR2298" s="1">
        <v>17.1</v>
      </c>
      <c r="AS2298" s="1">
        <v>16.8</v>
      </c>
      <c r="AT2298" s="1">
        <v>21.7</v>
      </c>
      <c r="AU2298" s="1">
        <v>12.2</v>
      </c>
      <c r="AV2298" s="1">
        <v>4.7</v>
      </c>
      <c r="AW2298" s="1">
        <v>0.9</v>
      </c>
      <c r="AX2298" s="1">
        <v>0.3391</v>
      </c>
      <c r="AY2298" s="1">
        <v>10.3</v>
      </c>
      <c r="AZ2298" s="1">
        <v>9.4</v>
      </c>
      <c r="BA2298" s="1">
        <v>14.8</v>
      </c>
      <c r="BB2298" s="1">
        <v>2.91</v>
      </c>
      <c r="BC2298" s="1" t="s">
        <v>3714</v>
      </c>
      <c r="BD2298" s="1">
        <v>13.4</v>
      </c>
      <c r="BE2298" s="1">
        <v>45.6</v>
      </c>
      <c r="BF2298" s="1">
        <v>21.3</v>
      </c>
      <c r="BG2298" s="1">
        <v>19.8</v>
      </c>
      <c r="BH2298" s="1" t="s">
        <v>3797</v>
      </c>
    </row>
    <row r="2299">
      <c r="A2299" s="1">
        <v>42111.0</v>
      </c>
      <c r="B2299" s="2" t="str">
        <f>IFERROR(__xludf.DUMMYFUNCTION("TO_TEXT(A2299)"),"42111")</f>
        <v>42111</v>
      </c>
      <c r="C2299" s="1">
        <v>76201.0</v>
      </c>
      <c r="D2299" s="1">
        <v>1074.36632828422</v>
      </c>
      <c r="E2299" s="1" t="s">
        <v>2069</v>
      </c>
      <c r="F2299" s="1" t="s">
        <v>3798</v>
      </c>
      <c r="G2299" s="1">
        <v>70.9264596198712</v>
      </c>
      <c r="H2299" s="1">
        <v>15.8785496559999</v>
      </c>
      <c r="I2299" s="1">
        <v>4.2699736767</v>
      </c>
      <c r="J2299" s="1">
        <v>7.4428274428</v>
      </c>
      <c r="K2299" s="1">
        <v>17.991941366</v>
      </c>
      <c r="L2299" s="1">
        <v>38.2</v>
      </c>
      <c r="M2299" s="1">
        <v>7.9</v>
      </c>
      <c r="N2299" s="1">
        <v>28.1</v>
      </c>
      <c r="O2299" s="1">
        <v>71.194463739</v>
      </c>
      <c r="P2299" s="1">
        <v>6.985321373</v>
      </c>
      <c r="Q2299" s="1">
        <v>38.92565</v>
      </c>
      <c r="R2299" s="1">
        <v>91.7251051889999</v>
      </c>
      <c r="S2299" s="1">
        <v>18.6</v>
      </c>
      <c r="T2299" s="1">
        <v>13653.0</v>
      </c>
      <c r="U2299" s="1">
        <v>27.642276423</v>
      </c>
      <c r="V2299" s="1">
        <v>114.76995963</v>
      </c>
      <c r="W2299" s="1">
        <v>10.934863314</v>
      </c>
      <c r="X2299" s="1">
        <v>9.2132152589</v>
      </c>
      <c r="Y2299" s="1">
        <v>77.813616073</v>
      </c>
      <c r="Z2299" s="1">
        <v>11.8</v>
      </c>
      <c r="AA2299" s="1">
        <v>6.4199917638</v>
      </c>
      <c r="AB2299" s="1">
        <v>50504.0</v>
      </c>
      <c r="AC2299" s="1">
        <v>46.5799614639999</v>
      </c>
      <c r="AD2299" s="1">
        <v>78.244917194</v>
      </c>
      <c r="AE2299" s="1">
        <v>8.43352316669999</v>
      </c>
      <c r="AF2299" s="1">
        <v>2.8910644743</v>
      </c>
      <c r="AG2299" s="1">
        <v>0.1676763306</v>
      </c>
      <c r="AH2299" s="1">
        <v>0.5611748161</v>
      </c>
      <c r="AI2299" s="1">
        <v>0.0311012549</v>
      </c>
      <c r="AJ2299" s="1">
        <v>1.5523582865</v>
      </c>
      <c r="AK2299" s="1">
        <v>94.152964085</v>
      </c>
      <c r="AL2299" s="1">
        <v>0.4278822625</v>
      </c>
      <c r="AM2299" s="1">
        <v>47.7390739939999</v>
      </c>
      <c r="AN2299" s="1">
        <v>70.802140413</v>
      </c>
      <c r="AO2299" s="1">
        <v>23402.0</v>
      </c>
      <c r="AP2299" s="1">
        <v>12.6</v>
      </c>
      <c r="AQ2299" s="1">
        <v>6.7</v>
      </c>
      <c r="AR2299" s="1">
        <v>12.9</v>
      </c>
      <c r="AS2299" s="1">
        <v>20.5</v>
      </c>
      <c r="AT2299" s="1">
        <v>18.4</v>
      </c>
      <c r="AU2299" s="1">
        <v>16.4</v>
      </c>
      <c r="AV2299" s="1">
        <v>5.2</v>
      </c>
      <c r="AW2299" s="1">
        <v>0.4</v>
      </c>
      <c r="AX2299" s="1">
        <v>0.4027</v>
      </c>
      <c r="AY2299" s="1">
        <v>12.5</v>
      </c>
      <c r="AZ2299" s="1">
        <v>11.3</v>
      </c>
      <c r="BA2299" s="1">
        <v>18.5</v>
      </c>
      <c r="BB2299" s="1">
        <v>2.87</v>
      </c>
      <c r="BC2299" s="1" t="s">
        <v>3714</v>
      </c>
      <c r="BD2299" s="1">
        <v>11.8</v>
      </c>
      <c r="BE2299" s="1">
        <v>49.8</v>
      </c>
      <c r="BF2299" s="1">
        <v>22.6</v>
      </c>
      <c r="BG2299" s="1">
        <v>15.9</v>
      </c>
      <c r="BH2299" s="1" t="s">
        <v>3798</v>
      </c>
    </row>
    <row r="2300">
      <c r="A2300" s="1">
        <v>42113.0</v>
      </c>
      <c r="B2300" s="2" t="str">
        <f>IFERROR(__xludf.DUMMYFUNCTION("TO_TEXT(A2300)"),"42113")</f>
        <v>42113</v>
      </c>
      <c r="C2300" s="1">
        <v>6302.0</v>
      </c>
      <c r="D2300" s="1">
        <v>449.939486530698</v>
      </c>
      <c r="E2300" s="1" t="s">
        <v>1416</v>
      </c>
      <c r="F2300" s="1" t="s">
        <v>3799</v>
      </c>
      <c r="G2300" s="1">
        <v>14.006327936657</v>
      </c>
      <c r="H2300" s="1">
        <v>15.446358247</v>
      </c>
      <c r="I2300" s="1">
        <v>4.3720034393</v>
      </c>
      <c r="J2300" s="1">
        <v>5.5194805195</v>
      </c>
      <c r="K2300" s="1">
        <v>17.47370556</v>
      </c>
      <c r="L2300" s="1">
        <v>30.0</v>
      </c>
      <c r="M2300" s="1">
        <v>7.6</v>
      </c>
      <c r="N2300" s="1">
        <v>26.8</v>
      </c>
      <c r="O2300" s="1">
        <v>36.792159303</v>
      </c>
      <c r="P2300" s="1">
        <v>8.6250285976</v>
      </c>
      <c r="Q2300" s="1">
        <v>48.31939</v>
      </c>
      <c r="R2300" s="1">
        <v>92.0</v>
      </c>
      <c r="S2300" s="1">
        <v>20.9</v>
      </c>
      <c r="T2300" s="1">
        <v>658.0</v>
      </c>
      <c r="U2300" s="1">
        <v>30.6990881459999</v>
      </c>
      <c r="V2300" s="1">
        <v>79.176563737</v>
      </c>
      <c r="W2300" s="1">
        <v>8.5066162571</v>
      </c>
      <c r="X2300" s="1">
        <v>7.00685453159999</v>
      </c>
      <c r="Y2300" s="1">
        <v>77.541259996</v>
      </c>
      <c r="Z2300" s="1">
        <v>15.1</v>
      </c>
      <c r="AA2300" s="1">
        <v>11.1392053209999</v>
      </c>
      <c r="AB2300" s="1">
        <v>48998.0</v>
      </c>
      <c r="AC2300" s="1">
        <v>39.838709677</v>
      </c>
      <c r="AD2300" s="1">
        <v>82.138919515</v>
      </c>
      <c r="AE2300" s="1">
        <v>9.345440787</v>
      </c>
      <c r="AF2300" s="1">
        <v>3.6237852084</v>
      </c>
      <c r="AG2300" s="1">
        <v>0.5765112831</v>
      </c>
      <c r="AH2300" s="1">
        <v>0.3953220227</v>
      </c>
      <c r="AI2300" s="1">
        <v>0.0</v>
      </c>
      <c r="AJ2300" s="1">
        <v>1.9436666118</v>
      </c>
      <c r="AK2300" s="1">
        <v>92.604183825</v>
      </c>
      <c r="AL2300" s="1">
        <v>0.4016736402</v>
      </c>
      <c r="AM2300" s="1">
        <v>47.685718992</v>
      </c>
      <c r="AN2300" s="1">
        <v>100.0</v>
      </c>
      <c r="AO2300" s="1">
        <v>26154.0</v>
      </c>
      <c r="AP2300" s="1">
        <v>12.0</v>
      </c>
      <c r="AQ2300" s="1">
        <v>8.9</v>
      </c>
      <c r="AR2300" s="1">
        <v>11.0</v>
      </c>
      <c r="AS2300" s="1">
        <v>26.9</v>
      </c>
      <c r="AT2300" s="1">
        <v>12.4</v>
      </c>
      <c r="AU2300" s="1">
        <v>20.1</v>
      </c>
      <c r="AV2300" s="1">
        <v>6.5</v>
      </c>
      <c r="AW2300" s="1">
        <v>0.6</v>
      </c>
      <c r="AX2300" s="1">
        <v>0.3184</v>
      </c>
      <c r="AY2300" s="1">
        <v>12.9</v>
      </c>
      <c r="AZ2300" s="1">
        <v>11.9</v>
      </c>
      <c r="BA2300" s="1">
        <v>18.7</v>
      </c>
      <c r="BB2300" s="1">
        <v>3.14</v>
      </c>
      <c r="BC2300" s="1" t="s">
        <v>3714</v>
      </c>
      <c r="BD2300" s="1">
        <v>10.4</v>
      </c>
      <c r="BE2300" s="1">
        <v>47.7</v>
      </c>
      <c r="BF2300" s="1">
        <v>24.7</v>
      </c>
      <c r="BG2300" s="1">
        <v>17.2</v>
      </c>
      <c r="BH2300" s="1" t="s">
        <v>3799</v>
      </c>
    </row>
    <row r="2301">
      <c r="A2301" s="1">
        <v>42115.0</v>
      </c>
      <c r="B2301" s="2" t="str">
        <f>IFERROR(__xludf.DUMMYFUNCTION("TO_TEXT(A2301)"),"42115")</f>
        <v>42115</v>
      </c>
      <c r="C2301" s="1">
        <v>41832.0</v>
      </c>
      <c r="D2301" s="1">
        <v>823.50899051574</v>
      </c>
      <c r="E2301" s="1" t="s">
        <v>3800</v>
      </c>
      <c r="F2301" s="1" t="s">
        <v>3801</v>
      </c>
      <c r="G2301" s="1">
        <v>50.7972596313755</v>
      </c>
      <c r="H2301" s="1">
        <v>16.062968403</v>
      </c>
      <c r="I2301" s="1">
        <v>4.38370925459999</v>
      </c>
      <c r="J2301" s="1">
        <v>7.63785394929999</v>
      </c>
      <c r="K2301" s="1">
        <v>18.23789019</v>
      </c>
      <c r="L2301" s="1">
        <v>34.4</v>
      </c>
      <c r="M2301" s="1">
        <v>8.5</v>
      </c>
      <c r="N2301" s="1">
        <v>34.0</v>
      </c>
      <c r="O2301" s="1">
        <v>40.439616201</v>
      </c>
      <c r="P2301" s="1">
        <v>7.8460116639</v>
      </c>
      <c r="Q2301" s="1">
        <v>36.59876</v>
      </c>
      <c r="R2301" s="1">
        <v>91.489361702</v>
      </c>
      <c r="S2301" s="1">
        <v>19.7</v>
      </c>
      <c r="T2301" s="1">
        <v>7758.0</v>
      </c>
      <c r="U2301" s="1">
        <v>32.88218613</v>
      </c>
      <c r="V2301" s="1">
        <v>126.07931535</v>
      </c>
      <c r="W2301" s="1">
        <v>13.0109384</v>
      </c>
      <c r="X2301" s="1">
        <v>11.355735805</v>
      </c>
      <c r="Y2301" s="1">
        <v>77.679442979</v>
      </c>
      <c r="Z2301" s="1">
        <v>12.2</v>
      </c>
      <c r="AA2301" s="1">
        <v>1.882392495</v>
      </c>
      <c r="AB2301" s="1">
        <v>52573.0</v>
      </c>
      <c r="AC2301" s="1">
        <v>46.2609592569999</v>
      </c>
      <c r="AD2301" s="1">
        <v>76.578082666</v>
      </c>
      <c r="AE2301" s="1">
        <v>12.18497528</v>
      </c>
      <c r="AF2301" s="1">
        <v>0.5173815566</v>
      </c>
      <c r="AG2301" s="1">
        <v>0.2069526226</v>
      </c>
      <c r="AH2301" s="1">
        <v>0.3646308113</v>
      </c>
      <c r="AI2301" s="1">
        <v>0.0689842075</v>
      </c>
      <c r="AJ2301" s="1">
        <v>1.7122865801</v>
      </c>
      <c r="AK2301" s="1">
        <v>96.242824411</v>
      </c>
      <c r="AL2301" s="1">
        <v>0.4256181597</v>
      </c>
      <c r="AM2301" s="1">
        <v>49.57993545</v>
      </c>
      <c r="AN2301" s="1">
        <v>84.029892056</v>
      </c>
      <c r="AO2301" s="1">
        <v>26551.0</v>
      </c>
      <c r="AP2301" s="1">
        <v>12.9</v>
      </c>
      <c r="AQ2301" s="1">
        <v>7.4</v>
      </c>
      <c r="AR2301" s="1">
        <v>11.1</v>
      </c>
      <c r="AS2301" s="1">
        <v>20.1</v>
      </c>
      <c r="AT2301" s="1">
        <v>19.6</v>
      </c>
      <c r="AU2301" s="1">
        <v>16.7</v>
      </c>
      <c r="AV2301" s="1">
        <v>3.5</v>
      </c>
      <c r="AW2301" s="1">
        <v>0.4</v>
      </c>
      <c r="AX2301" s="1">
        <v>0.1904</v>
      </c>
      <c r="AY2301" s="1">
        <v>11.3</v>
      </c>
      <c r="AZ2301" s="1">
        <v>10.8</v>
      </c>
      <c r="BA2301" s="1">
        <v>16.9</v>
      </c>
      <c r="BB2301" s="1">
        <v>3.55</v>
      </c>
      <c r="BC2301" s="1" t="s">
        <v>3714</v>
      </c>
      <c r="BD2301" s="1">
        <v>10.2</v>
      </c>
      <c r="BE2301" s="1">
        <v>45.0</v>
      </c>
      <c r="BF2301" s="1">
        <v>26.3</v>
      </c>
      <c r="BG2301" s="1">
        <v>18.6</v>
      </c>
      <c r="BH2301" s="1" t="s">
        <v>3801</v>
      </c>
    </row>
    <row r="2302">
      <c r="A2302" s="1">
        <v>42117.0</v>
      </c>
      <c r="B2302" s="2" t="str">
        <f>IFERROR(__xludf.DUMMYFUNCTION("TO_TEXT(A2302)"),"42117")</f>
        <v>42117</v>
      </c>
      <c r="C2302" s="1">
        <v>42031.0</v>
      </c>
      <c r="D2302" s="1">
        <v>1133.77667661844</v>
      </c>
      <c r="E2302" s="1" t="s">
        <v>3152</v>
      </c>
      <c r="F2302" s="1" t="s">
        <v>3802</v>
      </c>
      <c r="G2302" s="1">
        <v>37.0716745782423</v>
      </c>
      <c r="H2302" s="1">
        <v>14.950574134</v>
      </c>
      <c r="I2302" s="1">
        <v>4.4364217717</v>
      </c>
      <c r="J2302" s="1">
        <v>5.5939453768</v>
      </c>
      <c r="K2302" s="1">
        <v>18.108960086</v>
      </c>
      <c r="L2302" s="1">
        <v>36.3</v>
      </c>
      <c r="M2302" s="1">
        <v>8.0</v>
      </c>
      <c r="N2302" s="1">
        <v>27.4</v>
      </c>
      <c r="O2302" s="1">
        <v>56.785212358</v>
      </c>
      <c r="P2302" s="1">
        <v>7.7597687336</v>
      </c>
      <c r="Q2302" s="1">
        <v>51.47942</v>
      </c>
      <c r="R2302" s="1">
        <v>86.7007672629999</v>
      </c>
      <c r="S2302" s="1">
        <v>21.4</v>
      </c>
      <c r="T2302" s="1">
        <v>8154.0</v>
      </c>
      <c r="U2302" s="1">
        <v>33.038999264</v>
      </c>
      <c r="V2302" s="1">
        <v>119.82157263</v>
      </c>
      <c r="W2302" s="1">
        <v>12.668298654</v>
      </c>
      <c r="X2302" s="1">
        <v>11.179361179</v>
      </c>
      <c r="Y2302" s="1">
        <v>78.520968086</v>
      </c>
      <c r="Z2302" s="1">
        <v>13.0</v>
      </c>
      <c r="AA2302" s="1">
        <v>4.5997249599</v>
      </c>
      <c r="AB2302" s="1">
        <v>48799.0</v>
      </c>
      <c r="AC2302" s="1">
        <v>46.554859568</v>
      </c>
      <c r="AD2302" s="1">
        <v>73.575225615</v>
      </c>
      <c r="AE2302" s="1">
        <v>11.186745441</v>
      </c>
      <c r="AF2302" s="1">
        <v>0.7384147389</v>
      </c>
      <c r="AG2302" s="1">
        <v>0.2673993573</v>
      </c>
      <c r="AH2302" s="1">
        <v>0.5102666634</v>
      </c>
      <c r="AI2302" s="1">
        <v>0.0171724358</v>
      </c>
      <c r="AJ2302" s="1">
        <v>1.3419031965</v>
      </c>
      <c r="AK2302" s="1">
        <v>96.072418615</v>
      </c>
      <c r="AL2302" s="1">
        <v>0.1434058899</v>
      </c>
      <c r="AM2302" s="1">
        <v>50.37411378</v>
      </c>
      <c r="AN2302" s="1">
        <v>90.109811581</v>
      </c>
      <c r="AO2302" s="1">
        <v>24626.0</v>
      </c>
      <c r="AP2302" s="1">
        <v>13.4</v>
      </c>
      <c r="AQ2302" s="1">
        <v>6.8</v>
      </c>
      <c r="AR2302" s="1">
        <v>10.9</v>
      </c>
      <c r="AS2302" s="1">
        <v>19.6</v>
      </c>
      <c r="AT2302" s="1">
        <v>20.1</v>
      </c>
      <c r="AU2302" s="1">
        <v>16.3</v>
      </c>
      <c r="AV2302" s="1">
        <v>3.7</v>
      </c>
      <c r="AW2302" s="1">
        <v>0.3</v>
      </c>
      <c r="AX2302" s="1">
        <v>0.2719</v>
      </c>
      <c r="AY2302" s="1">
        <v>13.4</v>
      </c>
      <c r="AZ2302" s="1">
        <v>12.1</v>
      </c>
      <c r="BA2302" s="1">
        <v>18.5</v>
      </c>
      <c r="BB2302" s="1">
        <v>3.12</v>
      </c>
      <c r="BC2302" s="1" t="s">
        <v>3714</v>
      </c>
      <c r="BD2302" s="1">
        <v>9.6</v>
      </c>
      <c r="BE2302" s="1">
        <v>45.3</v>
      </c>
      <c r="BF2302" s="1">
        <v>26.0</v>
      </c>
      <c r="BG2302" s="1">
        <v>19.1</v>
      </c>
      <c r="BH2302" s="1" t="s">
        <v>3802</v>
      </c>
    </row>
    <row r="2303">
      <c r="A2303" s="1">
        <v>42119.0</v>
      </c>
      <c r="B2303" s="2" t="str">
        <f>IFERROR(__xludf.DUMMYFUNCTION("TO_TEXT(A2303)"),"42119")</f>
        <v>42119</v>
      </c>
      <c r="C2303" s="1">
        <v>45178.0</v>
      </c>
      <c r="D2303" s="1">
        <v>315.985546296688</v>
      </c>
      <c r="E2303" s="1" t="s">
        <v>406</v>
      </c>
      <c r="F2303" s="1" t="s">
        <v>3803</v>
      </c>
      <c r="G2303" s="1">
        <v>142.974894040188</v>
      </c>
      <c r="H2303" s="1">
        <v>16.182546704</v>
      </c>
      <c r="I2303" s="1">
        <v>4.1325685654</v>
      </c>
      <c r="J2303" s="1">
        <v>4.9043478261</v>
      </c>
      <c r="K2303" s="1">
        <v>16.972865547</v>
      </c>
      <c r="L2303" s="1">
        <v>33.5</v>
      </c>
      <c r="M2303" s="1">
        <v>7.5</v>
      </c>
      <c r="N2303" s="1">
        <v>21.3</v>
      </c>
      <c r="O2303" s="1">
        <v>68.765434845</v>
      </c>
      <c r="P2303" s="1">
        <v>7.465007776</v>
      </c>
      <c r="Q2303" s="1">
        <v>94.18096</v>
      </c>
      <c r="R2303" s="1">
        <v>94.637223975</v>
      </c>
      <c r="S2303" s="1">
        <v>13.1</v>
      </c>
      <c r="T2303" s="1">
        <v>7861.0</v>
      </c>
      <c r="U2303" s="1">
        <v>17.771275919</v>
      </c>
      <c r="V2303" s="1">
        <v>66.923952082</v>
      </c>
      <c r="W2303" s="1">
        <v>12.252559727</v>
      </c>
      <c r="X2303" s="1">
        <v>10.302197802</v>
      </c>
      <c r="Y2303" s="1">
        <v>82.372320262</v>
      </c>
      <c r="Z2303" s="1">
        <v>8.0</v>
      </c>
      <c r="AA2303" s="1">
        <v>13.466196283</v>
      </c>
      <c r="AB2303" s="1">
        <v>55679.0</v>
      </c>
      <c r="AC2303" s="1">
        <v>33.2547725669999</v>
      </c>
      <c r="AD2303" s="1">
        <v>72.006241943</v>
      </c>
      <c r="AE2303" s="1">
        <v>11.3560732109999</v>
      </c>
      <c r="AF2303" s="1">
        <v>6.0779278776</v>
      </c>
      <c r="AG2303" s="1">
        <v>0.5425923858</v>
      </c>
      <c r="AH2303" s="1">
        <v>1.8175728481</v>
      </c>
      <c r="AI2303" s="1">
        <v>0.0692196048</v>
      </c>
      <c r="AJ2303" s="1">
        <v>6.0087082729</v>
      </c>
      <c r="AK2303" s="1">
        <v>84.555096573</v>
      </c>
      <c r="AL2303" s="1">
        <v>0.6300860265</v>
      </c>
      <c r="AM2303" s="1">
        <v>45.646980016</v>
      </c>
      <c r="AN2303" s="1">
        <v>42.814870848</v>
      </c>
      <c r="AO2303" s="1">
        <v>23316.0</v>
      </c>
      <c r="AP2303" s="1">
        <v>11.2</v>
      </c>
      <c r="AQ2303" s="1">
        <v>4.9</v>
      </c>
      <c r="AR2303" s="1">
        <v>14.8</v>
      </c>
      <c r="AS2303" s="1">
        <v>16.1</v>
      </c>
      <c r="AT2303" s="1">
        <v>18.0</v>
      </c>
      <c r="AU2303" s="1">
        <v>12.9</v>
      </c>
      <c r="AV2303" s="1">
        <v>15.7</v>
      </c>
      <c r="AW2303" s="1">
        <v>0.8</v>
      </c>
      <c r="AX2303" s="1">
        <v>0.3671</v>
      </c>
      <c r="AY2303" s="1">
        <v>12.0</v>
      </c>
      <c r="AZ2303" s="1">
        <v>9.5</v>
      </c>
      <c r="BA2303" s="1">
        <v>13.4</v>
      </c>
      <c r="BB2303" s="1">
        <v>3.39</v>
      </c>
      <c r="BC2303" s="1" t="s">
        <v>3714</v>
      </c>
      <c r="BD2303" s="1">
        <v>13.2</v>
      </c>
      <c r="BE2303" s="1">
        <v>39.0</v>
      </c>
      <c r="BF2303" s="1">
        <v>21.8</v>
      </c>
      <c r="BG2303" s="1">
        <v>26.0</v>
      </c>
      <c r="BH2303" s="1" t="s">
        <v>3803</v>
      </c>
    </row>
    <row r="2304">
      <c r="A2304" s="1">
        <v>42121.0</v>
      </c>
      <c r="B2304" s="2" t="str">
        <f>IFERROR(__xludf.DUMMYFUNCTION("TO_TEXT(A2304)"),"42121")</f>
        <v>42121</v>
      </c>
      <c r="C2304" s="1">
        <v>53460.0</v>
      </c>
      <c r="D2304" s="1">
        <v>674.284178341644</v>
      </c>
      <c r="E2304" s="1" t="s">
        <v>3804</v>
      </c>
      <c r="F2304" s="1" t="s">
        <v>3805</v>
      </c>
      <c r="G2304" s="1">
        <v>79.2840789049526</v>
      </c>
      <c r="H2304" s="1">
        <v>16.424515985</v>
      </c>
      <c r="I2304" s="1">
        <v>4.5611793468</v>
      </c>
      <c r="J2304" s="1">
        <v>7.39407366379999</v>
      </c>
      <c r="K2304" s="1">
        <v>18.574465727</v>
      </c>
      <c r="L2304" s="1">
        <v>39.9</v>
      </c>
      <c r="M2304" s="1">
        <v>8.2</v>
      </c>
      <c r="N2304" s="1">
        <v>26.0</v>
      </c>
      <c r="O2304" s="1">
        <v>73.650516514</v>
      </c>
      <c r="P2304" s="1">
        <v>6.44545956529999</v>
      </c>
      <c r="Q2304" s="1">
        <v>56.02566</v>
      </c>
      <c r="R2304" s="1">
        <v>92.372881356</v>
      </c>
      <c r="S2304" s="1">
        <v>20.9</v>
      </c>
      <c r="T2304" s="1">
        <v>10155.0</v>
      </c>
      <c r="U2304" s="1">
        <v>33.234859675</v>
      </c>
      <c r="V2304" s="1">
        <v>134.595836</v>
      </c>
      <c r="W2304" s="1">
        <v>10.223132969</v>
      </c>
      <c r="X2304" s="1">
        <v>8.429979372</v>
      </c>
      <c r="Y2304" s="1">
        <v>77.76509439</v>
      </c>
      <c r="Z2304" s="1">
        <v>15.9</v>
      </c>
      <c r="AA2304" s="1">
        <v>2.9835349106</v>
      </c>
      <c r="AB2304" s="1">
        <v>45761.0</v>
      </c>
      <c r="AC2304" s="1">
        <v>64.8613376839999</v>
      </c>
      <c r="AD2304" s="1">
        <v>75.550992471</v>
      </c>
      <c r="AE2304" s="1">
        <v>8.4013782036</v>
      </c>
      <c r="AF2304" s="1">
        <v>1.1216010611</v>
      </c>
      <c r="AG2304" s="1">
        <v>0.212616549</v>
      </c>
      <c r="AH2304" s="1">
        <v>0.450591035</v>
      </c>
      <c r="AI2304" s="1">
        <v>0.0429134319</v>
      </c>
      <c r="AJ2304" s="1">
        <v>1.092341903</v>
      </c>
      <c r="AK2304" s="1">
        <v>95.942730075</v>
      </c>
      <c r="AL2304" s="1">
        <v>0.20512408</v>
      </c>
      <c r="AM2304" s="1">
        <v>50.567627667</v>
      </c>
      <c r="AN2304" s="1">
        <v>54.755928998</v>
      </c>
      <c r="AO2304" s="1">
        <v>24257.0</v>
      </c>
      <c r="AP2304" s="1">
        <v>14.4</v>
      </c>
      <c r="AQ2304" s="1">
        <v>8.0</v>
      </c>
      <c r="AR2304" s="1">
        <v>11.1</v>
      </c>
      <c r="AS2304" s="1">
        <v>19.9</v>
      </c>
      <c r="AT2304" s="1">
        <v>20.4</v>
      </c>
      <c r="AU2304" s="1">
        <v>17.5</v>
      </c>
      <c r="AV2304" s="1">
        <v>3.9</v>
      </c>
      <c r="AW2304" s="1">
        <v>0.2</v>
      </c>
      <c r="AX2304" s="1">
        <v>0.4183</v>
      </c>
      <c r="AY2304" s="1">
        <v>12.5</v>
      </c>
      <c r="AZ2304" s="1">
        <v>12.3</v>
      </c>
      <c r="BA2304" s="1">
        <v>19.1</v>
      </c>
      <c r="BB2304" s="1">
        <v>2.82</v>
      </c>
      <c r="BC2304" s="1" t="s">
        <v>3714</v>
      </c>
      <c r="BD2304" s="1">
        <v>9.8</v>
      </c>
      <c r="BE2304" s="1">
        <v>48.0</v>
      </c>
      <c r="BF2304" s="1">
        <v>23.4</v>
      </c>
      <c r="BG2304" s="1">
        <v>18.7</v>
      </c>
      <c r="BH2304" s="1" t="s">
        <v>3805</v>
      </c>
    </row>
    <row r="2305">
      <c r="A2305" s="1">
        <v>42123.0</v>
      </c>
      <c r="B2305" s="2" t="str">
        <f>IFERROR(__xludf.DUMMYFUNCTION("TO_TEXT(A2305)"),"42123")</f>
        <v>42123</v>
      </c>
      <c r="C2305" s="1">
        <v>40649.0</v>
      </c>
      <c r="D2305" s="1">
        <v>884.140460556542</v>
      </c>
      <c r="E2305" s="1" t="s">
        <v>1045</v>
      </c>
      <c r="F2305" s="1" t="s">
        <v>3806</v>
      </c>
      <c r="G2305" s="1">
        <v>45.9757264975891</v>
      </c>
      <c r="H2305" s="1">
        <v>15.867054197</v>
      </c>
      <c r="I2305" s="1">
        <v>4.4438487362</v>
      </c>
      <c r="J2305" s="1">
        <v>8.3515681984</v>
      </c>
      <c r="K2305" s="1">
        <v>18.937063924</v>
      </c>
      <c r="L2305" s="1">
        <v>29.8</v>
      </c>
      <c r="M2305" s="1">
        <v>8.1</v>
      </c>
      <c r="N2305" s="1">
        <v>22.8</v>
      </c>
      <c r="O2305" s="1">
        <v>81.461198135</v>
      </c>
      <c r="P2305" s="1">
        <v>5.9683272847</v>
      </c>
      <c r="Q2305" s="1">
        <v>47.90842</v>
      </c>
      <c r="R2305" s="1">
        <v>91.5384615379999</v>
      </c>
      <c r="S2305" s="1">
        <v>18.1</v>
      </c>
      <c r="T2305" s="1">
        <v>7737.0</v>
      </c>
      <c r="U2305" s="1">
        <v>31.808194391</v>
      </c>
      <c r="V2305" s="1">
        <v>185.6443512</v>
      </c>
      <c r="W2305" s="1">
        <v>10.41112097</v>
      </c>
      <c r="X2305" s="1">
        <v>8.3372921615</v>
      </c>
      <c r="Y2305" s="1">
        <v>78.513411374</v>
      </c>
      <c r="Z2305" s="1">
        <v>10.7</v>
      </c>
      <c r="AA2305" s="1">
        <v>4.9388177789</v>
      </c>
      <c r="AB2305" s="1">
        <v>50554.0</v>
      </c>
      <c r="AC2305" s="1">
        <v>50.759548611</v>
      </c>
      <c r="AD2305" s="1">
        <v>76.62763466</v>
      </c>
      <c r="AE2305" s="1">
        <v>8.9063920024</v>
      </c>
      <c r="AF2305" s="1">
        <v>0.465846372</v>
      </c>
      <c r="AG2305" s="1">
        <v>0.3417894577</v>
      </c>
      <c r="AH2305" s="1">
        <v>0.4936958833</v>
      </c>
      <c r="AI2305" s="1">
        <v>0.0607625703</v>
      </c>
      <c r="AJ2305" s="1">
        <v>1.1544888349</v>
      </c>
      <c r="AK2305" s="1">
        <v>96.759329586</v>
      </c>
      <c r="AL2305" s="1">
        <v>0.4387578162</v>
      </c>
      <c r="AM2305" s="1">
        <v>49.946832751</v>
      </c>
      <c r="AN2305" s="1">
        <v>55.0424488819999</v>
      </c>
      <c r="AO2305" s="1">
        <v>25414.0</v>
      </c>
      <c r="AP2305" s="1">
        <v>12.7</v>
      </c>
      <c r="AQ2305" s="1">
        <v>5.8</v>
      </c>
      <c r="AR2305" s="1">
        <v>8.8</v>
      </c>
      <c r="AS2305" s="1">
        <v>20.7</v>
      </c>
      <c r="AT2305" s="1">
        <v>19.8</v>
      </c>
      <c r="AU2305" s="1">
        <v>17.7</v>
      </c>
      <c r="AV2305" s="1">
        <v>3.0</v>
      </c>
      <c r="AW2305" s="1">
        <v>0.4</v>
      </c>
      <c r="AX2305" s="1">
        <v>0.241</v>
      </c>
      <c r="AY2305" s="1">
        <v>13.5</v>
      </c>
      <c r="AZ2305" s="1">
        <v>11.3</v>
      </c>
      <c r="BA2305" s="1">
        <v>18.5</v>
      </c>
      <c r="BB2305" s="1">
        <v>2.79</v>
      </c>
      <c r="BC2305" s="1" t="s">
        <v>3714</v>
      </c>
      <c r="BD2305" s="1">
        <v>7.1</v>
      </c>
      <c r="BE2305" s="1">
        <v>45.4</v>
      </c>
      <c r="BF2305" s="1">
        <v>27.9</v>
      </c>
      <c r="BG2305" s="1">
        <v>19.5</v>
      </c>
      <c r="BH2305" s="1" t="s">
        <v>3806</v>
      </c>
    </row>
    <row r="2306">
      <c r="A2306" s="1">
        <v>42125.0</v>
      </c>
      <c r="B2306" s="2" t="str">
        <f>IFERROR(__xludf.DUMMYFUNCTION("TO_TEXT(A2306)"),"42125")</f>
        <v>42125</v>
      </c>
      <c r="C2306" s="1">
        <v>208269.0</v>
      </c>
      <c r="D2306" s="1">
        <v>856.988390304606</v>
      </c>
      <c r="E2306" s="1" t="s">
        <v>188</v>
      </c>
      <c r="F2306" s="1" t="s">
        <v>3807</v>
      </c>
      <c r="G2306" s="1">
        <v>243.024295727009</v>
      </c>
      <c r="H2306" s="1">
        <v>14.395118721</v>
      </c>
      <c r="I2306" s="1">
        <v>4.1424377995</v>
      </c>
      <c r="J2306" s="1">
        <v>7.4222955997</v>
      </c>
      <c r="K2306" s="1">
        <v>16.199309684</v>
      </c>
      <c r="L2306" s="1">
        <v>33.5</v>
      </c>
      <c r="M2306" s="1">
        <v>8.1</v>
      </c>
      <c r="N2306" s="1">
        <v>22.9</v>
      </c>
      <c r="O2306" s="1">
        <v>74.03955346</v>
      </c>
      <c r="P2306" s="1">
        <v>4.8051619901</v>
      </c>
      <c r="Q2306" s="1">
        <v>76.7011699999999</v>
      </c>
      <c r="R2306" s="1">
        <v>92.874337987</v>
      </c>
      <c r="S2306" s="1">
        <v>10.8</v>
      </c>
      <c r="T2306" s="1">
        <v>40407.0</v>
      </c>
      <c r="U2306" s="1">
        <v>28.767292796</v>
      </c>
      <c r="V2306" s="1">
        <v>176.39050858</v>
      </c>
      <c r="W2306" s="1">
        <v>10.382709415</v>
      </c>
      <c r="X2306" s="1">
        <v>8.9922854388</v>
      </c>
      <c r="Y2306" s="1">
        <v>77.0429920839999</v>
      </c>
      <c r="Z2306" s="1">
        <v>12.9</v>
      </c>
      <c r="AA2306" s="1">
        <v>7.017686559</v>
      </c>
      <c r="AB2306" s="1">
        <v>63119.0</v>
      </c>
      <c r="AC2306" s="1">
        <v>36.678810671</v>
      </c>
      <c r="AD2306" s="1">
        <v>75.634958383</v>
      </c>
      <c r="AE2306" s="1">
        <v>9.3037803891</v>
      </c>
      <c r="AF2306" s="1">
        <v>3.1893549912</v>
      </c>
      <c r="AG2306" s="1">
        <v>0.1818216894</v>
      </c>
      <c r="AH2306" s="1">
        <v>1.1680958398</v>
      </c>
      <c r="AI2306" s="1">
        <v>0.034242281</v>
      </c>
      <c r="AJ2306" s="1">
        <v>1.7502146171</v>
      </c>
      <c r="AK2306" s="1">
        <v>92.026853665</v>
      </c>
      <c r="AL2306" s="1">
        <v>0.3309191126</v>
      </c>
      <c r="AM2306" s="1">
        <v>50.876795308</v>
      </c>
      <c r="AN2306" s="1">
        <v>30.824752189</v>
      </c>
      <c r="AO2306" s="1">
        <v>31561.0</v>
      </c>
      <c r="AP2306" s="1">
        <v>10.1</v>
      </c>
      <c r="AQ2306" s="1">
        <v>6.2</v>
      </c>
      <c r="AR2306" s="1">
        <v>8.2</v>
      </c>
      <c r="AS2306" s="1">
        <v>18.9</v>
      </c>
      <c r="AT2306" s="1">
        <v>19.9</v>
      </c>
      <c r="AU2306" s="1">
        <v>14.7</v>
      </c>
      <c r="AV2306" s="1">
        <v>7.3</v>
      </c>
      <c r="AW2306" s="1">
        <v>0.4</v>
      </c>
      <c r="AX2306" s="1">
        <v>0.1694</v>
      </c>
      <c r="AY2306" s="1">
        <v>9.9</v>
      </c>
      <c r="AZ2306" s="1">
        <v>9.6</v>
      </c>
      <c r="BA2306" s="1">
        <v>13.6</v>
      </c>
      <c r="BB2306" s="1">
        <v>3.31</v>
      </c>
      <c r="BC2306" s="1" t="s">
        <v>3714</v>
      </c>
      <c r="BD2306" s="1">
        <v>6.9</v>
      </c>
      <c r="BE2306" s="1">
        <v>37.3</v>
      </c>
      <c r="BF2306" s="1">
        <v>25.8</v>
      </c>
      <c r="BG2306" s="1">
        <v>30.0</v>
      </c>
      <c r="BH2306" s="1" t="s">
        <v>3807</v>
      </c>
    </row>
    <row r="2307">
      <c r="A2307" s="1">
        <v>42127.0</v>
      </c>
      <c r="B2307" s="2" t="str">
        <f>IFERROR(__xludf.DUMMYFUNCTION("TO_TEXT(A2307)"),"42127")</f>
        <v>42127</v>
      </c>
      <c r="C2307" s="1">
        <v>51307.0</v>
      </c>
      <c r="D2307" s="1">
        <v>725.604232626914</v>
      </c>
      <c r="E2307" s="1" t="s">
        <v>1048</v>
      </c>
      <c r="F2307" s="1" t="s">
        <v>3808</v>
      </c>
      <c r="G2307" s="1">
        <v>70.7093449748117</v>
      </c>
      <c r="H2307" s="1">
        <v>15.413296012</v>
      </c>
      <c r="I2307" s="1">
        <v>4.252721046</v>
      </c>
      <c r="J2307" s="1">
        <v>7.3624017155</v>
      </c>
      <c r="K2307" s="1">
        <v>17.335412959</v>
      </c>
      <c r="L2307" s="1">
        <v>30.9</v>
      </c>
      <c r="M2307" s="1">
        <v>8.6</v>
      </c>
      <c r="N2307" s="1">
        <v>25.2</v>
      </c>
      <c r="O2307" s="1">
        <v>58.229525576</v>
      </c>
      <c r="P2307" s="1">
        <v>7.6027819844</v>
      </c>
      <c r="Q2307" s="1">
        <v>58.58803</v>
      </c>
      <c r="R2307" s="1">
        <v>94.540229885</v>
      </c>
      <c r="S2307" s="1">
        <v>18.3</v>
      </c>
      <c r="T2307" s="1">
        <v>8670.0</v>
      </c>
      <c r="U2307" s="1">
        <v>25.928489043</v>
      </c>
      <c r="V2307" s="1">
        <v>110.88323897</v>
      </c>
      <c r="W2307" s="1">
        <v>15.17601043</v>
      </c>
      <c r="X2307" s="1">
        <v>14.206932773</v>
      </c>
      <c r="Y2307" s="1">
        <v>78.247456293</v>
      </c>
      <c r="Z2307" s="1">
        <v>13.4</v>
      </c>
      <c r="AA2307" s="1">
        <v>1.466020535</v>
      </c>
      <c r="AB2307" s="1">
        <v>53602.0</v>
      </c>
      <c r="AC2307" s="1">
        <v>49.829424307</v>
      </c>
      <c r="AD2307" s="1">
        <v>80.46320508</v>
      </c>
      <c r="AE2307" s="1">
        <v>13.70039128</v>
      </c>
      <c r="AF2307" s="1">
        <v>3.0969654419</v>
      </c>
      <c r="AG2307" s="1">
        <v>0.30618613</v>
      </c>
      <c r="AH2307" s="1">
        <v>0.6825805445</v>
      </c>
      <c r="AI2307" s="1">
        <v>0.031203682</v>
      </c>
      <c r="AJ2307" s="1">
        <v>4.6805523052</v>
      </c>
      <c r="AK2307" s="1">
        <v>90.293704657</v>
      </c>
      <c r="AL2307" s="1">
        <v>0.4113391826</v>
      </c>
      <c r="AM2307" s="1">
        <v>47.0356502069999</v>
      </c>
      <c r="AN2307" s="1">
        <v>88.093975995</v>
      </c>
      <c r="AO2307" s="1">
        <v>24962.0</v>
      </c>
      <c r="AP2307" s="1">
        <v>12.7</v>
      </c>
      <c r="AQ2307" s="1">
        <v>7.4</v>
      </c>
      <c r="AR2307" s="1">
        <v>10.1</v>
      </c>
      <c r="AS2307" s="1">
        <v>20.7</v>
      </c>
      <c r="AT2307" s="1">
        <v>17.6</v>
      </c>
      <c r="AU2307" s="1">
        <v>17.5</v>
      </c>
      <c r="AV2307" s="1">
        <v>9.0</v>
      </c>
      <c r="AW2307" s="1">
        <v>0.5</v>
      </c>
      <c r="AX2307" s="1">
        <v>0.249</v>
      </c>
      <c r="AY2307" s="1">
        <v>12.4</v>
      </c>
      <c r="AZ2307" s="1">
        <v>10.9</v>
      </c>
      <c r="BA2307" s="1">
        <v>16.6</v>
      </c>
      <c r="BB2307" s="1">
        <v>3.3</v>
      </c>
      <c r="BC2307" s="1" t="s">
        <v>3714</v>
      </c>
      <c r="BD2307" s="1">
        <v>10.4</v>
      </c>
      <c r="BE2307" s="1">
        <v>42.9</v>
      </c>
      <c r="BF2307" s="1">
        <v>26.3</v>
      </c>
      <c r="BG2307" s="1">
        <v>20.4</v>
      </c>
      <c r="BH2307" s="1" t="s">
        <v>3808</v>
      </c>
    </row>
    <row r="2308">
      <c r="A2308" s="1">
        <v>42129.0</v>
      </c>
      <c r="B2308" s="2" t="str">
        <f>IFERROR(__xludf.DUMMYFUNCTION("TO_TEXT(A2308)"),"42129")</f>
        <v>42129</v>
      </c>
      <c r="C2308" s="1">
        <v>359377.0</v>
      </c>
      <c r="D2308" s="1">
        <v>1027.56066352539</v>
      </c>
      <c r="E2308" s="1" t="s">
        <v>3809</v>
      </c>
      <c r="F2308" s="1" t="s">
        <v>3810</v>
      </c>
      <c r="G2308" s="1">
        <v>349.737988964113</v>
      </c>
      <c r="H2308" s="1">
        <v>15.745838565</v>
      </c>
      <c r="I2308" s="1">
        <v>4.5742884082</v>
      </c>
      <c r="J2308" s="1">
        <v>7.1568300014</v>
      </c>
      <c r="K2308" s="1">
        <v>18.67719958</v>
      </c>
      <c r="L2308" s="1">
        <v>31.1</v>
      </c>
      <c r="M2308" s="1">
        <v>8.0</v>
      </c>
      <c r="N2308" s="1">
        <v>25.0</v>
      </c>
      <c r="O2308" s="1">
        <v>85.956639255</v>
      </c>
      <c r="P2308" s="1">
        <v>4.92728152149999</v>
      </c>
      <c r="Q2308" s="1">
        <v>77.41892</v>
      </c>
      <c r="R2308" s="1">
        <v>94.276629571</v>
      </c>
      <c r="S2308" s="1">
        <v>12.3</v>
      </c>
      <c r="T2308" s="1">
        <v>65292.0</v>
      </c>
      <c r="U2308" s="1">
        <v>26.860871163</v>
      </c>
      <c r="V2308" s="1">
        <v>168.57601932</v>
      </c>
      <c r="W2308" s="1">
        <v>10.086598759</v>
      </c>
      <c r="X2308" s="1">
        <v>8.9063808407</v>
      </c>
      <c r="Y2308" s="1">
        <v>77.57179172</v>
      </c>
      <c r="Z2308" s="1">
        <v>11.7</v>
      </c>
      <c r="AA2308" s="1">
        <v>7.8365093737</v>
      </c>
      <c r="AB2308" s="1">
        <v>58398.0</v>
      </c>
      <c r="AC2308" s="1">
        <v>38.403182533</v>
      </c>
      <c r="AD2308" s="1">
        <v>77.46348861</v>
      </c>
      <c r="AE2308" s="1">
        <v>9.413659969</v>
      </c>
      <c r="AF2308" s="1">
        <v>2.4639843017</v>
      </c>
      <c r="AG2308" s="1">
        <v>0.1391855932</v>
      </c>
      <c r="AH2308" s="1">
        <v>0.9751548012</v>
      </c>
      <c r="AI2308" s="1">
        <v>0.0265251233</v>
      </c>
      <c r="AJ2308" s="1">
        <v>1.2409764668</v>
      </c>
      <c r="AK2308" s="1">
        <v>93.7720151389999</v>
      </c>
      <c r="AL2308" s="1">
        <v>0.3083693935</v>
      </c>
      <c r="AM2308" s="1">
        <v>51.0828239839999</v>
      </c>
      <c r="AN2308" s="1">
        <v>25.363598772</v>
      </c>
      <c r="AO2308" s="1">
        <v>30153.0</v>
      </c>
      <c r="AP2308" s="1">
        <v>10.3</v>
      </c>
      <c r="AQ2308" s="1">
        <v>5.3</v>
      </c>
      <c r="AR2308" s="1">
        <v>7.0</v>
      </c>
      <c r="AS2308" s="1">
        <v>20.7</v>
      </c>
      <c r="AT2308" s="1">
        <v>18.9</v>
      </c>
      <c r="AU2308" s="1">
        <v>14.8</v>
      </c>
      <c r="AV2308" s="1">
        <v>5.8</v>
      </c>
      <c r="AW2308" s="1">
        <v>0.3</v>
      </c>
      <c r="AX2308" s="1">
        <v>0.1321</v>
      </c>
      <c r="AY2308" s="1">
        <v>10.5</v>
      </c>
      <c r="AZ2308" s="1">
        <v>9.9</v>
      </c>
      <c r="BA2308" s="1">
        <v>14.8</v>
      </c>
      <c r="BB2308" s="1">
        <v>3.13</v>
      </c>
      <c r="BC2308" s="1" t="s">
        <v>3714</v>
      </c>
      <c r="BD2308" s="1">
        <v>5.6</v>
      </c>
      <c r="BE2308" s="1">
        <v>36.9</v>
      </c>
      <c r="BF2308" s="1">
        <v>28.3</v>
      </c>
      <c r="BG2308" s="1">
        <v>29.1</v>
      </c>
      <c r="BH2308" s="1" t="s">
        <v>3810</v>
      </c>
    </row>
    <row r="2309">
      <c r="A2309" s="1">
        <v>42131.0</v>
      </c>
      <c r="B2309" s="2" t="str">
        <f>IFERROR(__xludf.DUMMYFUNCTION("TO_TEXT(A2309)"),"42131")</f>
        <v>42131</v>
      </c>
      <c r="C2309" s="1">
        <v>27975.0</v>
      </c>
      <c r="D2309" s="1">
        <v>397.305150689978</v>
      </c>
      <c r="E2309" s="1" t="s">
        <v>3163</v>
      </c>
      <c r="F2309" s="1" t="s">
        <v>3811</v>
      </c>
      <c r="G2309" s="1">
        <v>70.4118734716058</v>
      </c>
      <c r="H2309" s="1">
        <v>15.361888455</v>
      </c>
      <c r="I2309" s="1">
        <v>4.2831941986</v>
      </c>
      <c r="J2309" s="1">
        <v>6.855918586</v>
      </c>
      <c r="K2309" s="1">
        <v>17.985287428</v>
      </c>
      <c r="L2309" s="1">
        <v>33.9</v>
      </c>
      <c r="M2309" s="1">
        <v>8.7</v>
      </c>
      <c r="N2309" s="1">
        <v>30.8</v>
      </c>
      <c r="O2309" s="1">
        <v>65.309803367</v>
      </c>
      <c r="P2309" s="1">
        <v>6.4018493183</v>
      </c>
      <c r="Q2309" s="1">
        <v>51.24076</v>
      </c>
      <c r="R2309" s="1">
        <v>90.344827586</v>
      </c>
      <c r="S2309" s="1">
        <v>17.1</v>
      </c>
      <c r="T2309" s="1">
        <v>5324.0</v>
      </c>
      <c r="U2309" s="1">
        <v>32.607062359</v>
      </c>
      <c r="V2309" s="1">
        <v>135.85233757</v>
      </c>
      <c r="W2309" s="1">
        <v>13.287037037</v>
      </c>
      <c r="X2309" s="1">
        <v>11.588785047</v>
      </c>
      <c r="Y2309" s="1">
        <v>75.616088901</v>
      </c>
      <c r="Z2309" s="1">
        <v>12.1</v>
      </c>
      <c r="AA2309" s="1">
        <v>0.8667394648</v>
      </c>
      <c r="AB2309" s="1">
        <v>57599.0</v>
      </c>
      <c r="AC2309" s="1">
        <v>54.758285193</v>
      </c>
      <c r="AD2309" s="1">
        <v>77.856083086</v>
      </c>
      <c r="AE2309" s="1">
        <v>11.3093525179999</v>
      </c>
      <c r="AF2309" s="1">
        <v>0.8541004215</v>
      </c>
      <c r="AG2309" s="1">
        <v>0.2810027361</v>
      </c>
      <c r="AH2309" s="1">
        <v>0.4843599793</v>
      </c>
      <c r="AI2309" s="1">
        <v>0.0147896177</v>
      </c>
      <c r="AJ2309" s="1">
        <v>1.9041632774</v>
      </c>
      <c r="AK2309" s="1">
        <v>95.5372328629999</v>
      </c>
      <c r="AL2309" s="1">
        <v>0.1067927839</v>
      </c>
      <c r="AM2309" s="1">
        <v>49.822524588</v>
      </c>
      <c r="AN2309" s="1">
        <v>83.455934361</v>
      </c>
      <c r="AO2309" s="1">
        <v>26823.0</v>
      </c>
      <c r="AP2309" s="1">
        <v>10.3</v>
      </c>
      <c r="AQ2309" s="1">
        <v>7.0</v>
      </c>
      <c r="AR2309" s="1">
        <v>8.4</v>
      </c>
      <c r="AS2309" s="1">
        <v>18.4</v>
      </c>
      <c r="AT2309" s="1">
        <v>20.4</v>
      </c>
      <c r="AU2309" s="1">
        <v>14.3</v>
      </c>
      <c r="AV2309" s="1">
        <v>4.1</v>
      </c>
      <c r="AW2309" s="1">
        <v>0.1</v>
      </c>
      <c r="AX2309" s="1">
        <v>0.0949</v>
      </c>
      <c r="AY2309" s="1">
        <v>9.9</v>
      </c>
      <c r="AZ2309" s="1">
        <v>9.7</v>
      </c>
      <c r="BA2309" s="1">
        <v>15.2</v>
      </c>
      <c r="BB2309" s="1">
        <v>3.14</v>
      </c>
      <c r="BC2309" s="1" t="s">
        <v>3714</v>
      </c>
      <c r="BD2309" s="1">
        <v>7.8</v>
      </c>
      <c r="BE2309" s="1">
        <v>46.4</v>
      </c>
      <c r="BF2309" s="1">
        <v>26.2</v>
      </c>
      <c r="BG2309" s="1">
        <v>19.6</v>
      </c>
      <c r="BH2309" s="1" t="s">
        <v>3811</v>
      </c>
    </row>
    <row r="2310">
      <c r="A2310" s="1">
        <v>42133.0</v>
      </c>
      <c r="B2310" s="2" t="str">
        <f>IFERROR(__xludf.DUMMYFUNCTION("TO_TEXT(A2310)"),"42133")</f>
        <v>42133</v>
      </c>
      <c r="C2310" s="1">
        <v>440604.0</v>
      </c>
      <c r="D2310" s="1">
        <v>904.205788830807</v>
      </c>
      <c r="E2310" s="1" t="s">
        <v>2074</v>
      </c>
      <c r="F2310" s="1" t="s">
        <v>3812</v>
      </c>
      <c r="G2310" s="1">
        <v>487.282879011123</v>
      </c>
      <c r="H2310" s="1">
        <v>14.70234574</v>
      </c>
      <c r="I2310" s="1">
        <v>4.2912878433</v>
      </c>
      <c r="J2310" s="1">
        <v>8.18614427929999</v>
      </c>
      <c r="K2310" s="1">
        <v>16.231194929</v>
      </c>
      <c r="L2310" s="1">
        <v>31.7</v>
      </c>
      <c r="M2310" s="1">
        <v>8.4</v>
      </c>
      <c r="N2310" s="1">
        <v>21.4</v>
      </c>
      <c r="O2310" s="1">
        <v>72.163035782</v>
      </c>
      <c r="P2310" s="1">
        <v>6.5137132977</v>
      </c>
      <c r="Q2310" s="1">
        <v>69.2704</v>
      </c>
      <c r="R2310" s="1">
        <v>89.723063609</v>
      </c>
      <c r="S2310" s="1">
        <v>12.8</v>
      </c>
      <c r="T2310" s="1">
        <v>97602.0</v>
      </c>
      <c r="U2310" s="1">
        <v>32.6099875</v>
      </c>
      <c r="V2310" s="1">
        <v>219.86835085</v>
      </c>
      <c r="W2310" s="1">
        <v>12.972442117</v>
      </c>
      <c r="X2310" s="1">
        <v>11.421465812</v>
      </c>
      <c r="Y2310" s="1">
        <v>78.877690271</v>
      </c>
      <c r="Z2310" s="1">
        <v>11.1</v>
      </c>
      <c r="AA2310" s="1">
        <v>4.9267789075</v>
      </c>
      <c r="AB2310" s="1">
        <v>65238.0</v>
      </c>
      <c r="AC2310" s="1">
        <v>39.043129861</v>
      </c>
      <c r="AD2310" s="1">
        <v>74.70042746</v>
      </c>
      <c r="AE2310" s="1">
        <v>11.835176095</v>
      </c>
      <c r="AF2310" s="1">
        <v>5.7186134342</v>
      </c>
      <c r="AG2310" s="1">
        <v>0.3625023144</v>
      </c>
      <c r="AH2310" s="1">
        <v>1.527863601</v>
      </c>
      <c r="AI2310" s="1">
        <v>0.0729466196</v>
      </c>
      <c r="AJ2310" s="1">
        <v>7.9079043351</v>
      </c>
      <c r="AK2310" s="1">
        <v>82.878513763</v>
      </c>
      <c r="AL2310" s="1">
        <v>1.3921146953</v>
      </c>
      <c r="AM2310" s="1">
        <v>50.561822818</v>
      </c>
      <c r="AN2310" s="1">
        <v>24.7204417759999</v>
      </c>
      <c r="AO2310" s="1">
        <v>28975.0</v>
      </c>
      <c r="AP2310" s="1">
        <v>10.5</v>
      </c>
      <c r="AQ2310" s="1">
        <v>6.2</v>
      </c>
      <c r="AR2310" s="1">
        <v>11.5</v>
      </c>
      <c r="AS2310" s="1">
        <v>15.8</v>
      </c>
      <c r="AT2310" s="1">
        <v>22.5</v>
      </c>
      <c r="AU2310" s="1">
        <v>13.3</v>
      </c>
      <c r="AV2310" s="1">
        <v>15.3</v>
      </c>
      <c r="AW2310" s="1">
        <v>1.3</v>
      </c>
      <c r="AX2310" s="1">
        <v>0.2872</v>
      </c>
      <c r="AY2310" s="1">
        <v>9.2</v>
      </c>
      <c r="AZ2310" s="1">
        <v>9.1</v>
      </c>
      <c r="BA2310" s="1">
        <v>13.5</v>
      </c>
      <c r="BB2310" s="1">
        <v>3.23</v>
      </c>
      <c r="BC2310" s="1" t="s">
        <v>3714</v>
      </c>
      <c r="BD2310" s="1">
        <v>10.1</v>
      </c>
      <c r="BE2310" s="1">
        <v>39.6</v>
      </c>
      <c r="BF2310" s="1">
        <v>25.5</v>
      </c>
      <c r="BG2310" s="1">
        <v>24.9</v>
      </c>
      <c r="BH2310" s="1" t="s">
        <v>3812</v>
      </c>
    </row>
    <row r="2311">
      <c r="A2311" s="1">
        <v>44001.0</v>
      </c>
      <c r="B2311" s="2" t="str">
        <f>IFERROR(__xludf.DUMMYFUNCTION("TO_TEXT(A2311)"),"44001")</f>
        <v>44001</v>
      </c>
      <c r="C2311" s="1">
        <v>49228.0</v>
      </c>
      <c r="D2311" s="1">
        <v>24.165204871138</v>
      </c>
      <c r="E2311" s="1" t="s">
        <v>2121</v>
      </c>
      <c r="F2311" s="1" t="s">
        <v>3813</v>
      </c>
      <c r="G2311" s="1">
        <v>2037.14391260121</v>
      </c>
      <c r="H2311" s="1">
        <v>11.423613349</v>
      </c>
      <c r="I2311" s="1">
        <v>3.9368172798</v>
      </c>
      <c r="J2311" s="1">
        <v>5.5320945946</v>
      </c>
      <c r="K2311" s="1">
        <v>12.437275319</v>
      </c>
      <c r="L2311" s="1">
        <v>23.2</v>
      </c>
      <c r="M2311" s="1">
        <v>7.9</v>
      </c>
      <c r="N2311" s="1">
        <v>20.3</v>
      </c>
      <c r="O2311" s="1">
        <v>96.360902256</v>
      </c>
      <c r="P2311" s="1">
        <v>3.4871767838</v>
      </c>
      <c r="Q2311" s="1">
        <v>204.44881</v>
      </c>
      <c r="R2311" s="1">
        <v>92.9824561389999</v>
      </c>
      <c r="S2311" s="1">
        <v>7.1</v>
      </c>
      <c r="T2311" s="1">
        <v>9254.0</v>
      </c>
      <c r="U2311" s="1">
        <v>23.352063972</v>
      </c>
      <c r="V2311" s="1">
        <v>70.294830783</v>
      </c>
      <c r="W2311" s="1">
        <v>16.89119171</v>
      </c>
      <c r="X2311" s="1">
        <v>15.844427043</v>
      </c>
      <c r="Y2311" s="1">
        <v>81.659197338</v>
      </c>
      <c r="Z2311" s="1">
        <v>8.1</v>
      </c>
      <c r="AA2311" s="1">
        <v>11.870314249</v>
      </c>
      <c r="AB2311" s="1">
        <v>80231.0</v>
      </c>
      <c r="AC2311" s="1">
        <v>17.869731801</v>
      </c>
      <c r="AD2311" s="1">
        <v>69.64148724</v>
      </c>
      <c r="AE2311" s="1">
        <v>16.923560868</v>
      </c>
      <c r="AF2311" s="1">
        <v>1.2312688853</v>
      </c>
      <c r="AG2311" s="1">
        <v>0.2857201587</v>
      </c>
      <c r="AH2311" s="1">
        <v>2.2364282925</v>
      </c>
      <c r="AI2311" s="1">
        <v>0.0452218956</v>
      </c>
      <c r="AJ2311" s="1">
        <v>3.1943102633</v>
      </c>
      <c r="AK2311" s="1">
        <v>91.479783757</v>
      </c>
      <c r="AL2311" s="1">
        <v>1.3062842287</v>
      </c>
      <c r="AM2311" s="1">
        <v>51.6906822339999</v>
      </c>
      <c r="AN2311" s="1">
        <v>1.1428571429</v>
      </c>
      <c r="AO2311" s="1">
        <v>40998.0</v>
      </c>
      <c r="AP2311" s="1">
        <v>7.1</v>
      </c>
      <c r="AQ2311" s="1">
        <v>5.0</v>
      </c>
      <c r="AR2311" s="1">
        <v>9.6</v>
      </c>
      <c r="AS2311" s="1">
        <v>18.8</v>
      </c>
      <c r="AT2311" s="1">
        <v>19.5</v>
      </c>
      <c r="AU2311" s="1">
        <v>11.6</v>
      </c>
      <c r="AV2311" s="1">
        <v>6.9</v>
      </c>
      <c r="AW2311" s="1">
        <v>1.8</v>
      </c>
      <c r="AX2311" s="1">
        <v>0.1105</v>
      </c>
      <c r="AY2311" s="1">
        <v>6.8</v>
      </c>
      <c r="AZ2311" s="1">
        <v>8.1</v>
      </c>
      <c r="BA2311" s="1">
        <v>12.0</v>
      </c>
      <c r="BB2311" s="1">
        <v>4.73</v>
      </c>
      <c r="BC2311" s="1" t="s">
        <v>3814</v>
      </c>
      <c r="BD2311" s="1">
        <v>9.1</v>
      </c>
      <c r="BE2311" s="1">
        <v>19.4</v>
      </c>
      <c r="BF2311" s="1">
        <v>22.5</v>
      </c>
      <c r="BG2311" s="1">
        <v>49.0</v>
      </c>
      <c r="BH2311" s="1" t="s">
        <v>3813</v>
      </c>
    </row>
    <row r="2312">
      <c r="A2312" s="1">
        <v>44003.0</v>
      </c>
      <c r="B2312" s="2" t="str">
        <f>IFERROR(__xludf.DUMMYFUNCTION("TO_TEXT(A2312)"),"44003")</f>
        <v>44003</v>
      </c>
      <c r="C2312" s="1">
        <v>164886.0</v>
      </c>
      <c r="D2312" s="1">
        <v>168.539533449834</v>
      </c>
      <c r="E2312" s="1" t="s">
        <v>669</v>
      </c>
      <c r="F2312" s="1" t="s">
        <v>3815</v>
      </c>
      <c r="G2312" s="1">
        <v>978.322394900175</v>
      </c>
      <c r="H2312" s="1">
        <v>14.33040384</v>
      </c>
      <c r="I2312" s="1">
        <v>4.9166085099</v>
      </c>
      <c r="J2312" s="1">
        <v>6.6245189665</v>
      </c>
      <c r="K2312" s="1">
        <v>14.487549538</v>
      </c>
      <c r="L2312" s="1">
        <v>29.8</v>
      </c>
      <c r="M2312" s="1">
        <v>8.4</v>
      </c>
      <c r="N2312" s="1">
        <v>24.2</v>
      </c>
      <c r="O2312" s="1">
        <v>94.2127372739999</v>
      </c>
      <c r="P2312" s="1">
        <v>3.6707931257</v>
      </c>
      <c r="Q2312" s="1">
        <v>86.10161</v>
      </c>
      <c r="R2312" s="1">
        <v>91.997216424</v>
      </c>
      <c r="S2312" s="1">
        <v>10.1</v>
      </c>
      <c r="T2312" s="1">
        <v>31054.0</v>
      </c>
      <c r="U2312" s="1">
        <v>26.373414053</v>
      </c>
      <c r="V2312" s="1">
        <v>111.85648419</v>
      </c>
      <c r="W2312" s="1">
        <v>16.880279639</v>
      </c>
      <c r="X2312" s="1">
        <v>15.054630784</v>
      </c>
      <c r="Y2312" s="1">
        <v>79.358548946</v>
      </c>
      <c r="Z2312" s="1">
        <v>10.3</v>
      </c>
      <c r="AA2312" s="1">
        <v>5.307248361</v>
      </c>
      <c r="AB2312" s="1">
        <v>69089.0</v>
      </c>
      <c r="AC2312" s="1">
        <v>29.747695294</v>
      </c>
      <c r="AD2312" s="1">
        <v>69.874914648</v>
      </c>
      <c r="AE2312" s="1">
        <v>13.963516738</v>
      </c>
      <c r="AF2312" s="1">
        <v>1.833871391</v>
      </c>
      <c r="AG2312" s="1">
        <v>0.4650282862</v>
      </c>
      <c r="AH2312" s="1">
        <v>2.7480608565</v>
      </c>
      <c r="AI2312" s="1">
        <v>0.0915410012</v>
      </c>
      <c r="AJ2312" s="1">
        <v>5.3197527172</v>
      </c>
      <c r="AK2312" s="1">
        <v>88.094177382</v>
      </c>
      <c r="AL2312" s="1">
        <v>1.0512669114</v>
      </c>
      <c r="AM2312" s="1">
        <v>51.6718438189999</v>
      </c>
      <c r="AN2312" s="1">
        <v>7.9863744147</v>
      </c>
      <c r="AO2312" s="1">
        <v>35323.0</v>
      </c>
      <c r="AP2312" s="1">
        <v>8.2</v>
      </c>
      <c r="AQ2312" s="1">
        <v>7.3</v>
      </c>
      <c r="AR2312" s="1">
        <v>8.6</v>
      </c>
      <c r="AS2312" s="1">
        <v>17.5</v>
      </c>
      <c r="AT2312" s="1">
        <v>19.4</v>
      </c>
      <c r="AU2312" s="1">
        <v>14.8</v>
      </c>
      <c r="AV2312" s="1">
        <v>10.1</v>
      </c>
      <c r="AW2312" s="1">
        <v>0.9</v>
      </c>
      <c r="AX2312" s="1">
        <v>0.1369</v>
      </c>
      <c r="AY2312" s="1">
        <v>8.1</v>
      </c>
      <c r="AZ2312" s="1">
        <v>9.2</v>
      </c>
      <c r="BA2312" s="1">
        <v>14.8</v>
      </c>
      <c r="BB2312" s="1">
        <v>3.43</v>
      </c>
      <c r="BC2312" s="1" t="s">
        <v>3814</v>
      </c>
      <c r="BD2312" s="1">
        <v>7.8</v>
      </c>
      <c r="BE2312" s="1">
        <v>28.0</v>
      </c>
      <c r="BF2312" s="1">
        <v>30.9</v>
      </c>
      <c r="BG2312" s="1">
        <v>33.3</v>
      </c>
      <c r="BH2312" s="1" t="s">
        <v>3815</v>
      </c>
    </row>
    <row r="2313">
      <c r="A2313" s="1">
        <v>44005.0</v>
      </c>
      <c r="B2313" s="2" t="str">
        <f>IFERROR(__xludf.DUMMYFUNCTION("TO_TEXT(A2313)"),"44005")</f>
        <v>44005</v>
      </c>
      <c r="C2313" s="1">
        <v>82714.0</v>
      </c>
      <c r="D2313" s="1">
        <v>102.437979540316</v>
      </c>
      <c r="E2313" s="1" t="s">
        <v>3816</v>
      </c>
      <c r="F2313" s="1" t="s">
        <v>3817</v>
      </c>
      <c r="G2313" s="1">
        <v>807.454426289682</v>
      </c>
      <c r="H2313" s="1">
        <v>12.056788365</v>
      </c>
      <c r="I2313" s="1">
        <v>3.7801232354</v>
      </c>
      <c r="J2313" s="1">
        <v>6.7388688327</v>
      </c>
      <c r="K2313" s="1">
        <v>12.7806658909999</v>
      </c>
      <c r="L2313" s="1">
        <v>25.3</v>
      </c>
      <c r="M2313" s="1">
        <v>8.3</v>
      </c>
      <c r="N2313" s="1">
        <v>19.5</v>
      </c>
      <c r="O2313" s="1">
        <v>89.181787472</v>
      </c>
      <c r="P2313" s="1">
        <v>4.0533696306</v>
      </c>
      <c r="Q2313" s="1">
        <v>82.67434</v>
      </c>
      <c r="R2313" s="1">
        <v>90.909090912</v>
      </c>
      <c r="S2313" s="1">
        <v>11.0</v>
      </c>
      <c r="T2313" s="1">
        <v>14319.0</v>
      </c>
      <c r="U2313" s="1">
        <v>30.630630631</v>
      </c>
      <c r="V2313" s="1">
        <v>163.8130832</v>
      </c>
      <c r="W2313" s="1">
        <v>16.798979303</v>
      </c>
      <c r="X2313" s="1">
        <v>14.966963516</v>
      </c>
      <c r="Y2313" s="1">
        <v>81.417106862</v>
      </c>
      <c r="Z2313" s="1">
        <v>7.7</v>
      </c>
      <c r="AA2313" s="1">
        <v>4.8878344199</v>
      </c>
      <c r="AB2313" s="1">
        <v>77760.0</v>
      </c>
      <c r="AC2313" s="1">
        <v>31.844535108</v>
      </c>
      <c r="AD2313" s="1">
        <v>62.041059715</v>
      </c>
      <c r="AE2313" s="1">
        <v>15.024094969</v>
      </c>
      <c r="AF2313" s="1">
        <v>3.6999345788</v>
      </c>
      <c r="AG2313" s="1">
        <v>0.5718300986</v>
      </c>
      <c r="AH2313" s="1">
        <v>1.9577911851</v>
      </c>
      <c r="AI2313" s="1">
        <v>0.1490150469</v>
      </c>
      <c r="AJ2313" s="1">
        <v>5.9581788665</v>
      </c>
      <c r="AK2313" s="1">
        <v>85.581885586</v>
      </c>
      <c r="AL2313" s="1">
        <v>0.9147185385</v>
      </c>
      <c r="AM2313" s="1">
        <v>50.608175232</v>
      </c>
      <c r="AN2313" s="1">
        <v>12.092220828</v>
      </c>
      <c r="AO2313" s="1">
        <v>42086.0</v>
      </c>
      <c r="AP2313" s="1">
        <v>9.2</v>
      </c>
      <c r="AQ2313" s="1">
        <v>6.5</v>
      </c>
      <c r="AR2313" s="1">
        <v>6.9</v>
      </c>
      <c r="AS2313" s="1">
        <v>19.2</v>
      </c>
      <c r="AT2313" s="1">
        <v>18.4</v>
      </c>
      <c r="AU2313" s="1">
        <v>12.3</v>
      </c>
      <c r="AV2313" s="1">
        <v>13.8</v>
      </c>
      <c r="AW2313" s="1">
        <v>1.1</v>
      </c>
      <c r="AX2313" s="1">
        <v>0.2034</v>
      </c>
      <c r="AY2313" s="1">
        <v>8.5</v>
      </c>
      <c r="AZ2313" s="1">
        <v>9.0</v>
      </c>
      <c r="BA2313" s="1">
        <v>13.6</v>
      </c>
      <c r="BB2313" s="1">
        <v>3.69</v>
      </c>
      <c r="BC2313" s="1" t="s">
        <v>3814</v>
      </c>
      <c r="BD2313" s="1">
        <v>6.0</v>
      </c>
      <c r="BE2313" s="1">
        <v>22.1</v>
      </c>
      <c r="BF2313" s="1">
        <v>23.8</v>
      </c>
      <c r="BG2313" s="1">
        <v>48.1</v>
      </c>
      <c r="BH2313" s="1" t="s">
        <v>3817</v>
      </c>
    </row>
    <row r="2314">
      <c r="A2314" s="1">
        <v>44007.0</v>
      </c>
      <c r="B2314" s="2" t="str">
        <f>IFERROR(__xludf.DUMMYFUNCTION("TO_TEXT(A2314)"),"44007")</f>
        <v>44007</v>
      </c>
      <c r="C2314" s="1">
        <v>631344.0</v>
      </c>
      <c r="D2314" s="1">
        <v>409.537652400772</v>
      </c>
      <c r="E2314" s="1" t="s">
        <v>3818</v>
      </c>
      <c r="F2314" s="1" t="s">
        <v>3819</v>
      </c>
      <c r="G2314" s="1">
        <v>1541.60184368632</v>
      </c>
      <c r="H2314" s="1">
        <v>17.306257964</v>
      </c>
      <c r="I2314" s="1">
        <v>4.3307225325</v>
      </c>
      <c r="J2314" s="1">
        <v>8.0281358064</v>
      </c>
      <c r="K2314" s="1">
        <v>14.460953443</v>
      </c>
      <c r="L2314" s="1">
        <v>29.1</v>
      </c>
      <c r="M2314" s="1">
        <v>8.1</v>
      </c>
      <c r="N2314" s="1">
        <v>26.6</v>
      </c>
      <c r="O2314" s="1">
        <v>96.311757281</v>
      </c>
      <c r="P2314" s="1">
        <v>6.5703769927</v>
      </c>
      <c r="Q2314" s="1">
        <v>94.92325</v>
      </c>
      <c r="R2314" s="1">
        <v>82.354942999</v>
      </c>
      <c r="S2314" s="1">
        <v>22.7</v>
      </c>
      <c r="T2314" s="1">
        <v>130854.0</v>
      </c>
      <c r="U2314" s="1">
        <v>42.146972962</v>
      </c>
      <c r="V2314" s="1">
        <v>312.12648114</v>
      </c>
      <c r="W2314" s="1">
        <v>19.9612566329999</v>
      </c>
      <c r="X2314" s="1">
        <v>18.045435983</v>
      </c>
      <c r="Y2314" s="1">
        <v>79.438687469</v>
      </c>
      <c r="Z2314" s="1">
        <v>10.0</v>
      </c>
      <c r="AA2314" s="1">
        <v>3.2010944063</v>
      </c>
      <c r="AB2314" s="1">
        <v>56141.0</v>
      </c>
      <c r="AC2314" s="1">
        <v>58.727746175</v>
      </c>
      <c r="AD2314" s="1">
        <v>53.488459972</v>
      </c>
      <c r="AE2314" s="1">
        <v>17.478367177</v>
      </c>
      <c r="AF2314" s="1">
        <v>8.6615918652</v>
      </c>
      <c r="AG2314" s="1">
        <v>1.3724602411</v>
      </c>
      <c r="AH2314" s="1">
        <v>4.5061658523</v>
      </c>
      <c r="AI2314" s="1">
        <v>0.2812521617</v>
      </c>
      <c r="AJ2314" s="1">
        <v>23.4244219319999</v>
      </c>
      <c r="AK2314" s="1">
        <v>60.871362902</v>
      </c>
      <c r="AL2314" s="1">
        <v>6.7110750792</v>
      </c>
      <c r="AM2314" s="1">
        <v>51.304544683</v>
      </c>
      <c r="AN2314" s="1">
        <v>5.508826857</v>
      </c>
      <c r="AO2314" s="1">
        <v>27809.0</v>
      </c>
      <c r="AP2314" s="1">
        <v>17.2</v>
      </c>
      <c r="AQ2314" s="1">
        <v>8.5</v>
      </c>
      <c r="AR2314" s="1">
        <v>16.8</v>
      </c>
      <c r="AS2314" s="1">
        <v>14.2</v>
      </c>
      <c r="AT2314" s="1">
        <v>21.1</v>
      </c>
      <c r="AU2314" s="1">
        <v>13.3</v>
      </c>
      <c r="AV2314" s="1">
        <v>36.8</v>
      </c>
      <c r="AW2314" s="1">
        <v>7.0</v>
      </c>
      <c r="AX2314" s="1">
        <v>0.7536</v>
      </c>
      <c r="AY2314" s="1">
        <v>14.0</v>
      </c>
      <c r="AZ2314" s="1">
        <v>12.0</v>
      </c>
      <c r="BA2314" s="1">
        <v>17.8</v>
      </c>
      <c r="BB2314" s="1">
        <v>3.52</v>
      </c>
      <c r="BC2314" s="1" t="s">
        <v>3814</v>
      </c>
      <c r="BD2314" s="1">
        <v>14.2</v>
      </c>
      <c r="BE2314" s="1">
        <v>31.0</v>
      </c>
      <c r="BF2314" s="1">
        <v>25.8</v>
      </c>
      <c r="BG2314" s="1">
        <v>29.0</v>
      </c>
      <c r="BH2314" s="1" t="s">
        <v>3819</v>
      </c>
    </row>
    <row r="2315">
      <c r="A2315" s="1">
        <v>44009.0</v>
      </c>
      <c r="B2315" s="2" t="str">
        <f>IFERROR(__xludf.DUMMYFUNCTION("TO_TEXT(A2315)"),"44009")</f>
        <v>44009</v>
      </c>
      <c r="C2315" s="1">
        <v>126319.0</v>
      </c>
      <c r="D2315" s="1">
        <v>329.26168325789</v>
      </c>
      <c r="E2315" s="1" t="s">
        <v>188</v>
      </c>
      <c r="F2315" s="1" t="s">
        <v>3820</v>
      </c>
      <c r="G2315" s="1">
        <v>383.64318237741</v>
      </c>
      <c r="H2315" s="1">
        <v>12.184185604</v>
      </c>
      <c r="I2315" s="1">
        <v>3.8553074523</v>
      </c>
      <c r="J2315" s="1">
        <v>6.36059301769999</v>
      </c>
      <c r="K2315" s="1">
        <v>12.318396858</v>
      </c>
      <c r="L2315" s="1">
        <v>24.3</v>
      </c>
      <c r="M2315" s="1">
        <v>8.1</v>
      </c>
      <c r="N2315" s="1">
        <v>18.7</v>
      </c>
      <c r="O2315" s="1">
        <v>92.2207609129999</v>
      </c>
      <c r="P2315" s="1">
        <v>3.5567757978</v>
      </c>
      <c r="Q2315" s="1">
        <v>91.16132</v>
      </c>
      <c r="R2315" s="1">
        <v>93.189655172</v>
      </c>
      <c r="S2315" s="1">
        <v>9.7</v>
      </c>
      <c r="T2315" s="1">
        <v>21347.0</v>
      </c>
      <c r="U2315" s="1">
        <v>25.137021596</v>
      </c>
      <c r="V2315" s="1">
        <v>75.128806361</v>
      </c>
      <c r="W2315" s="1">
        <v>14.973262032</v>
      </c>
      <c r="X2315" s="1">
        <v>13.971710593</v>
      </c>
      <c r="Y2315" s="1">
        <v>81.274027285</v>
      </c>
      <c r="Z2315" s="1">
        <v>8.0</v>
      </c>
      <c r="AA2315" s="1">
        <v>8.5135071243</v>
      </c>
      <c r="AB2315" s="1">
        <v>86715.0</v>
      </c>
      <c r="AC2315" s="1">
        <v>21.546391753</v>
      </c>
      <c r="AD2315" s="1">
        <v>74.541345116</v>
      </c>
      <c r="AE2315" s="1">
        <v>13.92634963</v>
      </c>
      <c r="AF2315" s="1">
        <v>1.244264101</v>
      </c>
      <c r="AG2315" s="1">
        <v>0.9549925106</v>
      </c>
      <c r="AH2315" s="1">
        <v>2.0201459831</v>
      </c>
      <c r="AI2315" s="1">
        <v>0.0404187702</v>
      </c>
      <c r="AJ2315" s="1">
        <v>3.2921484558</v>
      </c>
      <c r="AK2315" s="1">
        <v>90.941440335</v>
      </c>
      <c r="AL2315" s="1">
        <v>0.618563485</v>
      </c>
      <c r="AM2315" s="1">
        <v>51.556122651</v>
      </c>
      <c r="AN2315" s="1">
        <v>30.823206987</v>
      </c>
      <c r="AO2315" s="1">
        <v>37692.0</v>
      </c>
      <c r="AP2315" s="1">
        <v>10.0</v>
      </c>
      <c r="AQ2315" s="1">
        <v>6.6</v>
      </c>
      <c r="AR2315" s="1">
        <v>6.5</v>
      </c>
      <c r="AS2315" s="1">
        <v>18.0</v>
      </c>
      <c r="AT2315" s="1">
        <v>18.0</v>
      </c>
      <c r="AU2315" s="1">
        <v>11.0</v>
      </c>
      <c r="AV2315" s="1">
        <v>8.5</v>
      </c>
      <c r="AW2315" s="1">
        <v>0.4</v>
      </c>
      <c r="AX2315" s="1">
        <v>0.0844</v>
      </c>
      <c r="AY2315" s="1">
        <v>8.0</v>
      </c>
      <c r="AZ2315" s="1">
        <v>7.8</v>
      </c>
      <c r="BA2315" s="1">
        <v>13.3</v>
      </c>
      <c r="BB2315" s="1">
        <v>3.84</v>
      </c>
      <c r="BC2315" s="1" t="s">
        <v>3814</v>
      </c>
      <c r="BD2315" s="1">
        <v>5.1</v>
      </c>
      <c r="BE2315" s="1">
        <v>22.8</v>
      </c>
      <c r="BF2315" s="1">
        <v>26.0</v>
      </c>
      <c r="BG2315" s="1">
        <v>46.1</v>
      </c>
      <c r="BH2315" s="1" t="s">
        <v>3820</v>
      </c>
    </row>
    <row r="2316">
      <c r="A2316" s="1">
        <v>45001.0</v>
      </c>
      <c r="B2316" s="2" t="str">
        <f>IFERROR(__xludf.DUMMYFUNCTION("TO_TEXT(A2316)"),"45001")</f>
        <v>45001</v>
      </c>
      <c r="C2316" s="1">
        <v>24951.0</v>
      </c>
      <c r="D2316" s="1">
        <v>490.48224132689</v>
      </c>
      <c r="E2316" s="1" t="s">
        <v>3821</v>
      </c>
      <c r="F2316" s="1" t="s">
        <v>3822</v>
      </c>
      <c r="G2316" s="1">
        <v>50.8703433023399</v>
      </c>
      <c r="H2316" s="1">
        <v>19.895035607</v>
      </c>
      <c r="I2316" s="1">
        <v>4.778818241</v>
      </c>
      <c r="J2316" s="1">
        <v>9.2362344583</v>
      </c>
      <c r="K2316" s="1">
        <v>17.323519011</v>
      </c>
      <c r="L2316" s="1">
        <v>36.7</v>
      </c>
      <c r="M2316" s="1">
        <v>7.8</v>
      </c>
      <c r="N2316" s="1">
        <v>29.1</v>
      </c>
      <c r="O2316" s="1">
        <v>59.039225715</v>
      </c>
      <c r="P2316" s="1">
        <v>12.904608789</v>
      </c>
      <c r="Q2316" s="1">
        <v>56.6297199999999</v>
      </c>
      <c r="R2316" s="1">
        <v>87.6651982379999</v>
      </c>
      <c r="S2316" s="1">
        <v>30.8</v>
      </c>
      <c r="T2316" s="1">
        <v>5127.0</v>
      </c>
      <c r="U2316" s="1">
        <v>37.117222547</v>
      </c>
      <c r="V2316" s="1">
        <v>341.19308921</v>
      </c>
      <c r="W2316" s="1">
        <v>14.315789474</v>
      </c>
      <c r="X2316" s="1">
        <v>13.660618997</v>
      </c>
      <c r="Y2316" s="1">
        <v>75.909621205</v>
      </c>
      <c r="Z2316" s="1">
        <v>15.8</v>
      </c>
      <c r="AA2316" s="1">
        <v>0.5918238395</v>
      </c>
      <c r="AB2316" s="1">
        <v>42412.0</v>
      </c>
      <c r="AC2316" s="1">
        <v>75.015873016</v>
      </c>
      <c r="AD2316" s="1">
        <v>76.255949233</v>
      </c>
      <c r="AE2316" s="1">
        <v>15.689381933</v>
      </c>
      <c r="AF2316" s="1">
        <v>27.5049916469999</v>
      </c>
      <c r="AG2316" s="1">
        <v>0.3341347133</v>
      </c>
      <c r="AH2316" s="1">
        <v>0.4115561713</v>
      </c>
      <c r="AI2316" s="1">
        <v>0.0203740679</v>
      </c>
      <c r="AJ2316" s="1">
        <v>1.5402795322</v>
      </c>
      <c r="AK2316" s="1">
        <v>68.933621287</v>
      </c>
      <c r="AL2316" s="1">
        <v>0.4282288455</v>
      </c>
      <c r="AM2316" s="1">
        <v>51.640112465</v>
      </c>
      <c r="AN2316" s="1">
        <v>78.577330133</v>
      </c>
      <c r="AO2316" s="1">
        <v>18460.0</v>
      </c>
      <c r="AP2316" s="1">
        <v>21.6</v>
      </c>
      <c r="AQ2316" s="1">
        <v>9.4</v>
      </c>
      <c r="AR2316" s="1">
        <v>21.7</v>
      </c>
      <c r="AS2316" s="1">
        <v>19.6</v>
      </c>
      <c r="AT2316" s="1">
        <v>21.4</v>
      </c>
      <c r="AU2316" s="1">
        <v>20.9</v>
      </c>
      <c r="AV2316" s="1">
        <v>31.1</v>
      </c>
      <c r="AW2316" s="1">
        <v>0.3</v>
      </c>
      <c r="AX2316" s="1">
        <v>0.8405</v>
      </c>
      <c r="AY2316" s="1">
        <v>14.8</v>
      </c>
      <c r="AZ2316" s="1">
        <v>14.4</v>
      </c>
      <c r="BA2316" s="1">
        <v>21.0</v>
      </c>
      <c r="BB2316" s="1">
        <v>3.24</v>
      </c>
      <c r="BC2316" s="1" t="s">
        <v>3823</v>
      </c>
      <c r="BD2316" s="1">
        <v>18.3</v>
      </c>
      <c r="BE2316" s="1">
        <v>34.0</v>
      </c>
      <c r="BF2316" s="1">
        <v>32.0</v>
      </c>
      <c r="BG2316" s="1">
        <v>15.6</v>
      </c>
      <c r="BH2316" s="1" t="s">
        <v>3822</v>
      </c>
    </row>
    <row r="2317">
      <c r="A2317" s="1">
        <v>45003.0</v>
      </c>
      <c r="B2317" s="2" t="str">
        <f>IFERROR(__xludf.DUMMYFUNCTION("TO_TEXT(A2317)"),"45003")</f>
        <v>45003</v>
      </c>
      <c r="C2317" s="1">
        <v>165146.0</v>
      </c>
      <c r="D2317" s="1">
        <v>1071.08934894944</v>
      </c>
      <c r="E2317" s="1" t="s">
        <v>3824</v>
      </c>
      <c r="F2317" s="1" t="s">
        <v>3825</v>
      </c>
      <c r="G2317" s="1">
        <v>154.185082842977</v>
      </c>
      <c r="H2317" s="1">
        <v>17.706604007</v>
      </c>
      <c r="I2317" s="1">
        <v>4.2851557816</v>
      </c>
      <c r="J2317" s="1">
        <v>9.32074322269999</v>
      </c>
      <c r="K2317" s="1">
        <v>14.9159067629999</v>
      </c>
      <c r="L2317" s="1">
        <v>35.8</v>
      </c>
      <c r="M2317" s="1">
        <v>7.7</v>
      </c>
      <c r="N2317" s="1">
        <v>26.9</v>
      </c>
      <c r="O2317" s="1">
        <v>68.288996184</v>
      </c>
      <c r="P2317" s="1">
        <v>13.428511849</v>
      </c>
      <c r="Q2317" s="1">
        <v>33.29786</v>
      </c>
      <c r="R2317" s="1">
        <v>89.9494311</v>
      </c>
      <c r="S2317" s="1">
        <v>22.8</v>
      </c>
      <c r="T2317" s="1">
        <v>36335.0</v>
      </c>
      <c r="U2317" s="1">
        <v>39.768817944</v>
      </c>
      <c r="V2317" s="1">
        <v>453.0783204</v>
      </c>
      <c r="W2317" s="1">
        <v>12.884958498</v>
      </c>
      <c r="X2317" s="1">
        <v>11.229760682</v>
      </c>
      <c r="Y2317" s="1">
        <v>76.690939591</v>
      </c>
      <c r="Z2317" s="1">
        <v>13.9</v>
      </c>
      <c r="AA2317" s="1">
        <v>7.2779398153</v>
      </c>
      <c r="AB2317" s="1">
        <v>52633.0</v>
      </c>
      <c r="AC2317" s="1">
        <v>66.018697747</v>
      </c>
      <c r="AD2317" s="1">
        <v>71.656423325</v>
      </c>
      <c r="AE2317" s="1">
        <v>11.9804707059999</v>
      </c>
      <c r="AF2317" s="1">
        <v>24.789109864</v>
      </c>
      <c r="AG2317" s="1">
        <v>0.5619801536</v>
      </c>
      <c r="AH2317" s="1">
        <v>1.1534760716</v>
      </c>
      <c r="AI2317" s="1">
        <v>0.0696572038999999</v>
      </c>
      <c r="AJ2317" s="1">
        <v>5.8553373357</v>
      </c>
      <c r="AK2317" s="1">
        <v>65.947072331</v>
      </c>
      <c r="AL2317" s="1">
        <v>1.6390003242</v>
      </c>
      <c r="AM2317" s="1">
        <v>51.684464673</v>
      </c>
      <c r="AN2317" s="1">
        <v>36.99898188</v>
      </c>
      <c r="AO2317" s="1">
        <v>25602.0</v>
      </c>
      <c r="AP2317" s="1">
        <v>17.4</v>
      </c>
      <c r="AQ2317" s="1">
        <v>10.1</v>
      </c>
      <c r="AR2317" s="1">
        <v>14.5</v>
      </c>
      <c r="AS2317" s="1">
        <v>17.4</v>
      </c>
      <c r="AT2317" s="1">
        <v>22.1</v>
      </c>
      <c r="AU2317" s="1">
        <v>14.2</v>
      </c>
      <c r="AV2317" s="1">
        <v>33.1</v>
      </c>
      <c r="AW2317" s="1">
        <v>1.9</v>
      </c>
      <c r="AX2317" s="1">
        <v>0.6855</v>
      </c>
      <c r="AY2317" s="1">
        <v>12.5</v>
      </c>
      <c r="AZ2317" s="1">
        <v>10.6</v>
      </c>
      <c r="BA2317" s="1">
        <v>15.1</v>
      </c>
      <c r="BB2317" s="1">
        <v>2.86</v>
      </c>
      <c r="BC2317" s="1" t="s">
        <v>3823</v>
      </c>
      <c r="BD2317" s="1">
        <v>12.0</v>
      </c>
      <c r="BE2317" s="1">
        <v>32.8</v>
      </c>
      <c r="BF2317" s="1">
        <v>28.8</v>
      </c>
      <c r="BG2317" s="1">
        <v>26.4</v>
      </c>
      <c r="BH2317" s="1" t="s">
        <v>3825</v>
      </c>
    </row>
    <row r="2318">
      <c r="A2318" s="1">
        <v>45005.0</v>
      </c>
      <c r="B2318" s="2" t="str">
        <f>IFERROR(__xludf.DUMMYFUNCTION("TO_TEXT(A2318)"),"45005")</f>
        <v>45005</v>
      </c>
      <c r="C2318" s="1">
        <v>9589.0</v>
      </c>
      <c r="D2318" s="1">
        <v>408.089964110078</v>
      </c>
      <c r="E2318" s="1" t="s">
        <v>3826</v>
      </c>
      <c r="F2318" s="1" t="s">
        <v>3827</v>
      </c>
      <c r="G2318" s="1">
        <v>23.4972698260559</v>
      </c>
      <c r="H2318" s="1">
        <v>26.677644363</v>
      </c>
      <c r="I2318" s="1">
        <v>4.9019000766</v>
      </c>
      <c r="J2318" s="1">
        <v>11.986863711</v>
      </c>
      <c r="K2318" s="1">
        <v>22.2203630319999</v>
      </c>
      <c r="L2318" s="1">
        <v>39.9</v>
      </c>
      <c r="M2318" s="1">
        <v>5.1</v>
      </c>
      <c r="N2318" s="1">
        <v>41.1</v>
      </c>
      <c r="O2318" s="1">
        <v>61.22468567</v>
      </c>
      <c r="P2318" s="1">
        <v>11.830614599</v>
      </c>
      <c r="Q2318" s="1">
        <v>77.7605</v>
      </c>
      <c r="R2318" s="1">
        <v>83.516483516</v>
      </c>
      <c r="S2318" s="1">
        <v>51.6</v>
      </c>
      <c r="T2318" s="1">
        <v>1750.0</v>
      </c>
      <c r="U2318" s="1">
        <v>66.171428571</v>
      </c>
      <c r="V2318" s="1">
        <v>481.86659904</v>
      </c>
      <c r="W2318" s="1">
        <v>17.883755589</v>
      </c>
      <c r="X2318" s="1">
        <v>16.3987138259999</v>
      </c>
      <c r="Y2318" s="1">
        <v>72.759130636</v>
      </c>
      <c r="Z2318" s="1">
        <v>17.0</v>
      </c>
      <c r="AA2318" s="1">
        <v>12.375132129</v>
      </c>
      <c r="AB2318" s="1">
        <v>29124.0</v>
      </c>
      <c r="AC2318" s="1">
        <v>100.0</v>
      </c>
      <c r="AD2318" s="1">
        <v>67.313432836</v>
      </c>
      <c r="AE2318" s="1">
        <v>14.217687075</v>
      </c>
      <c r="AF2318" s="1">
        <v>72.469953948</v>
      </c>
      <c r="AG2318" s="1">
        <v>0.3706615748</v>
      </c>
      <c r="AH2318" s="1">
        <v>0.763787487399999</v>
      </c>
      <c r="AI2318" s="1">
        <v>0.0449286757</v>
      </c>
      <c r="AJ2318" s="1">
        <v>3.5942940582</v>
      </c>
      <c r="AK2318" s="1">
        <v>22.2284623159999</v>
      </c>
      <c r="AL2318" s="1">
        <v>0.4201680672</v>
      </c>
      <c r="AM2318" s="1">
        <v>47.309895541</v>
      </c>
      <c r="AN2318" s="1">
        <v>68.25990978</v>
      </c>
      <c r="AO2318" s="1">
        <v>12649.0</v>
      </c>
      <c r="AP2318" s="1">
        <v>29.7</v>
      </c>
      <c r="AQ2318" s="1">
        <v>17.7</v>
      </c>
      <c r="AR2318" s="1">
        <v>25.4</v>
      </c>
      <c r="AS2318" s="1">
        <v>16.8</v>
      </c>
      <c r="AT2318" s="1">
        <v>19.9</v>
      </c>
      <c r="AU2318" s="1">
        <v>25.8</v>
      </c>
      <c r="AV2318" s="1">
        <v>77.3</v>
      </c>
      <c r="AW2318" s="1">
        <v>0.6</v>
      </c>
      <c r="AX2318" s="1">
        <v>0.9968</v>
      </c>
      <c r="AY2318" s="1">
        <v>30.2</v>
      </c>
      <c r="AZ2318" s="1">
        <v>17.7</v>
      </c>
      <c r="BA2318" s="1">
        <v>26.3</v>
      </c>
      <c r="BB2318" s="1">
        <v>2.93</v>
      </c>
      <c r="BC2318" s="1" t="s">
        <v>3823</v>
      </c>
      <c r="BD2318" s="1">
        <v>20.2</v>
      </c>
      <c r="BE2318" s="1">
        <v>45.9</v>
      </c>
      <c r="BF2318" s="1">
        <v>24.7</v>
      </c>
      <c r="BG2318" s="1">
        <v>9.2</v>
      </c>
      <c r="BH2318" s="1" t="s">
        <v>3827</v>
      </c>
    </row>
    <row r="2319">
      <c r="A2319" s="1">
        <v>45007.0</v>
      </c>
      <c r="B2319" s="2" t="str">
        <f>IFERROR(__xludf.DUMMYFUNCTION("TO_TEXT(A2319)"),"45007")</f>
        <v>45007</v>
      </c>
      <c r="C2319" s="1">
        <v>192709.0</v>
      </c>
      <c r="D2319" s="1">
        <v>715.457011447228</v>
      </c>
      <c r="E2319" s="1" t="s">
        <v>1589</v>
      </c>
      <c r="F2319" s="1" t="s">
        <v>3828</v>
      </c>
      <c r="G2319" s="1">
        <v>269.350914054484</v>
      </c>
      <c r="H2319" s="1">
        <v>16.188643285</v>
      </c>
      <c r="I2319" s="1">
        <v>4.6138480538</v>
      </c>
      <c r="J2319" s="1">
        <v>9.2536560767</v>
      </c>
      <c r="K2319" s="1">
        <v>17.546998452</v>
      </c>
      <c r="L2319" s="1">
        <v>34.1</v>
      </c>
      <c r="M2319" s="1">
        <v>7.5</v>
      </c>
      <c r="N2319" s="1">
        <v>26.9</v>
      </c>
      <c r="O2319" s="1">
        <v>51.748020051</v>
      </c>
      <c r="P2319" s="1">
        <v>13.339790274</v>
      </c>
      <c r="Q2319" s="1">
        <v>66.41209</v>
      </c>
      <c r="R2319" s="1">
        <v>87.716336007</v>
      </c>
      <c r="S2319" s="1">
        <v>21.3</v>
      </c>
      <c r="T2319" s="1">
        <v>44700.0</v>
      </c>
      <c r="U2319" s="1">
        <v>34.342281879</v>
      </c>
      <c r="V2319" s="1">
        <v>600.10181676</v>
      </c>
      <c r="W2319" s="1">
        <v>12.84501771</v>
      </c>
      <c r="X2319" s="1">
        <v>10.901923469</v>
      </c>
      <c r="Y2319" s="1">
        <v>75.885894749</v>
      </c>
      <c r="Z2319" s="1">
        <v>14.2</v>
      </c>
      <c r="AA2319" s="1">
        <v>11.2241857109999</v>
      </c>
      <c r="AB2319" s="1">
        <v>51740.0</v>
      </c>
      <c r="AC2319" s="1">
        <v>67.866908354</v>
      </c>
      <c r="AD2319" s="1">
        <v>70.180864391</v>
      </c>
      <c r="AE2319" s="1">
        <v>11.169923257</v>
      </c>
      <c r="AF2319" s="1">
        <v>15.975997845</v>
      </c>
      <c r="AG2319" s="1">
        <v>0.3396813679</v>
      </c>
      <c r="AH2319" s="1">
        <v>1.0155525184</v>
      </c>
      <c r="AI2319" s="1">
        <v>0.0463882044</v>
      </c>
      <c r="AJ2319" s="1">
        <v>3.9235442583</v>
      </c>
      <c r="AK2319" s="1">
        <v>77.232369988</v>
      </c>
      <c r="AL2319" s="1">
        <v>0.7735507443</v>
      </c>
      <c r="AM2319" s="1">
        <v>51.85253539</v>
      </c>
      <c r="AN2319" s="1">
        <v>37.925782628</v>
      </c>
      <c r="AO2319" s="1">
        <v>23341.0</v>
      </c>
      <c r="AP2319" s="1">
        <v>16.3</v>
      </c>
      <c r="AQ2319" s="1">
        <v>8.1</v>
      </c>
      <c r="AR2319" s="1">
        <v>16.1</v>
      </c>
      <c r="AS2319" s="1">
        <v>17.0</v>
      </c>
      <c r="AT2319" s="1">
        <v>23.3</v>
      </c>
      <c r="AU2319" s="1">
        <v>16.2</v>
      </c>
      <c r="AV2319" s="1">
        <v>22.2</v>
      </c>
      <c r="AW2319" s="1">
        <v>1.0</v>
      </c>
      <c r="AX2319" s="1">
        <v>0.6861</v>
      </c>
      <c r="AY2319" s="1">
        <v>12.9</v>
      </c>
      <c r="AZ2319" s="1">
        <v>10.9</v>
      </c>
      <c r="BA2319" s="1">
        <v>14.9</v>
      </c>
      <c r="BB2319" s="1">
        <v>2.82</v>
      </c>
      <c r="BC2319" s="1" t="s">
        <v>3823</v>
      </c>
      <c r="BD2319" s="1">
        <v>14.7</v>
      </c>
      <c r="BE2319" s="1">
        <v>31.2</v>
      </c>
      <c r="BF2319" s="1">
        <v>31.8</v>
      </c>
      <c r="BG2319" s="1">
        <v>22.2</v>
      </c>
      <c r="BH2319" s="1" t="s">
        <v>3828</v>
      </c>
    </row>
    <row r="2320">
      <c r="A2320" s="1">
        <v>45009.0</v>
      </c>
      <c r="B2320" s="2" t="str">
        <f>IFERROR(__xludf.DUMMYFUNCTION("TO_TEXT(A2320)"),"45009")</f>
        <v>45009</v>
      </c>
      <c r="C2320" s="1">
        <v>15057.0</v>
      </c>
      <c r="D2320" s="1">
        <v>393.366716080672</v>
      </c>
      <c r="E2320" s="1" t="s">
        <v>3829</v>
      </c>
      <c r="F2320" s="1" t="s">
        <v>3830</v>
      </c>
      <c r="G2320" s="1">
        <v>38.2772598302702</v>
      </c>
      <c r="H2320" s="1">
        <v>22.696039386</v>
      </c>
      <c r="I2320" s="1">
        <v>4.8079262409</v>
      </c>
      <c r="J2320" s="1">
        <v>10.939112487</v>
      </c>
      <c r="K2320" s="1">
        <v>17.8340138</v>
      </c>
      <c r="L2320" s="1">
        <v>37.2</v>
      </c>
      <c r="M2320" s="1">
        <v>5.6</v>
      </c>
      <c r="N2320" s="1">
        <v>35.8</v>
      </c>
      <c r="O2320" s="1">
        <v>6.8743353975</v>
      </c>
      <c r="P2320" s="1">
        <v>13.185982809</v>
      </c>
      <c r="Q2320" s="1">
        <v>34.7681</v>
      </c>
      <c r="R2320" s="1">
        <v>82.24852071</v>
      </c>
      <c r="S2320" s="1">
        <v>39.1</v>
      </c>
      <c r="T2320" s="1">
        <v>2858.0</v>
      </c>
      <c r="U2320" s="1">
        <v>54.9685094469999</v>
      </c>
      <c r="V2320" s="1">
        <v>419.02718648</v>
      </c>
      <c r="W2320" s="1">
        <v>16.230366492</v>
      </c>
      <c r="X2320" s="1">
        <v>13.143382353</v>
      </c>
      <c r="Y2320" s="1">
        <v>73.393864309</v>
      </c>
      <c r="Z2320" s="1">
        <v>19.1</v>
      </c>
      <c r="AA2320" s="1">
        <v>13.970288486</v>
      </c>
      <c r="AB2320" s="1">
        <v>36230.0</v>
      </c>
      <c r="AC2320" s="1">
        <v>100.0</v>
      </c>
      <c r="AD2320" s="1">
        <v>71.6340833639999</v>
      </c>
      <c r="AE2320" s="1">
        <v>12.699696663</v>
      </c>
      <c r="AF2320" s="1">
        <v>59.80385289</v>
      </c>
      <c r="AG2320" s="1">
        <v>0.4273204904</v>
      </c>
      <c r="AH2320" s="1">
        <v>0.5253940455</v>
      </c>
      <c r="AI2320" s="1">
        <v>0.0770577933</v>
      </c>
      <c r="AJ2320" s="1">
        <v>2.2276707531</v>
      </c>
      <c r="AK2320" s="1">
        <v>36.098073555</v>
      </c>
      <c r="AL2320" s="1">
        <v>0.1223021583</v>
      </c>
      <c r="AM2320" s="1">
        <v>51.901926445</v>
      </c>
      <c r="AN2320" s="1">
        <v>54.506786764</v>
      </c>
      <c r="AO2320" s="1">
        <v>18260.0</v>
      </c>
      <c r="AP2320" s="1">
        <v>27.1</v>
      </c>
      <c r="AQ2320" s="1">
        <v>9.2</v>
      </c>
      <c r="AR2320" s="1">
        <v>22.5</v>
      </c>
      <c r="AS2320" s="1">
        <v>18.3</v>
      </c>
      <c r="AT2320" s="1">
        <v>20.5</v>
      </c>
      <c r="AU2320" s="1">
        <v>21.6</v>
      </c>
      <c r="AV2320" s="1">
        <v>64.6</v>
      </c>
      <c r="AW2320" s="1">
        <v>0.6</v>
      </c>
      <c r="AX2320" s="1">
        <v>0.9879</v>
      </c>
      <c r="AY2320" s="1">
        <v>24.2</v>
      </c>
      <c r="AZ2320" s="1">
        <v>16.7</v>
      </c>
      <c r="BA2320" s="1">
        <v>27.3</v>
      </c>
      <c r="BB2320" s="1">
        <v>2.94</v>
      </c>
      <c r="BC2320" s="1" t="s">
        <v>3823</v>
      </c>
      <c r="BD2320" s="1">
        <v>19.7</v>
      </c>
      <c r="BE2320" s="1">
        <v>32.5</v>
      </c>
      <c r="BF2320" s="1">
        <v>29.0</v>
      </c>
      <c r="BG2320" s="1">
        <v>18.8</v>
      </c>
      <c r="BH2320" s="1" t="s">
        <v>3830</v>
      </c>
    </row>
    <row r="2321">
      <c r="A2321" s="1">
        <v>45011.0</v>
      </c>
      <c r="B2321" s="2" t="str">
        <f>IFERROR(__xludf.DUMMYFUNCTION("TO_TEXT(A2321)"),"45011")</f>
        <v>45011</v>
      </c>
      <c r="C2321" s="1">
        <v>21917.0</v>
      </c>
      <c r="D2321" s="1">
        <v>548.378717696084</v>
      </c>
      <c r="E2321" s="1" t="s">
        <v>3831</v>
      </c>
      <c r="F2321" s="1" t="s">
        <v>3832</v>
      </c>
      <c r="G2321" s="1">
        <v>39.966904791784</v>
      </c>
      <c r="H2321" s="1">
        <v>22.0722980519999</v>
      </c>
      <c r="I2321" s="1">
        <v>4.7002334244</v>
      </c>
      <c r="J2321" s="1">
        <v>10.9198493809999</v>
      </c>
      <c r="K2321" s="1">
        <v>19.713759309</v>
      </c>
      <c r="L2321" s="1">
        <v>38.9</v>
      </c>
      <c r="M2321" s="1">
        <v>7.0</v>
      </c>
      <c r="N2321" s="1">
        <v>34.5</v>
      </c>
      <c r="O2321" s="1">
        <v>55.585517882</v>
      </c>
      <c r="P2321" s="1">
        <v>12.656386383</v>
      </c>
      <c r="Q2321" s="1">
        <v>18.73975</v>
      </c>
      <c r="R2321" s="1">
        <v>86.166007905</v>
      </c>
      <c r="S2321" s="1">
        <v>33.6</v>
      </c>
      <c r="T2321" s="1">
        <v>5151.0</v>
      </c>
      <c r="U2321" s="1">
        <v>57.095709571</v>
      </c>
      <c r="V2321" s="1">
        <v>730.14419776</v>
      </c>
      <c r="W2321" s="1">
        <v>14.92992078</v>
      </c>
      <c r="X2321" s="1">
        <v>13.211125158</v>
      </c>
      <c r="Y2321" s="1">
        <v>73.455137083</v>
      </c>
      <c r="Z2321" s="1">
        <v>18.5</v>
      </c>
      <c r="AA2321" s="1">
        <v>0.9285878949</v>
      </c>
      <c r="AB2321" s="1">
        <v>38131.0</v>
      </c>
      <c r="AC2321" s="1">
        <v>99.785637728</v>
      </c>
      <c r="AD2321" s="1">
        <v>69.721354792</v>
      </c>
      <c r="AE2321" s="1">
        <v>13.927540037</v>
      </c>
      <c r="AF2321" s="1">
        <v>43.719211823</v>
      </c>
      <c r="AG2321" s="1">
        <v>0.6394467601</v>
      </c>
      <c r="AH2321" s="1">
        <v>0.9189086775</v>
      </c>
      <c r="AI2321" s="1">
        <v>0.0236832133</v>
      </c>
      <c r="AJ2321" s="1">
        <v>2.5577870405</v>
      </c>
      <c r="AK2321" s="1">
        <v>50.90469875</v>
      </c>
      <c r="AL2321" s="1">
        <v>0.8174386921</v>
      </c>
      <c r="AM2321" s="1">
        <v>52.3067449789999</v>
      </c>
      <c r="AN2321" s="1">
        <v>82.542769992</v>
      </c>
      <c r="AO2321" s="1">
        <v>19652.0</v>
      </c>
      <c r="AP2321" s="1">
        <v>26.5</v>
      </c>
      <c r="AQ2321" s="1">
        <v>10.8</v>
      </c>
      <c r="AR2321" s="1">
        <v>20.4</v>
      </c>
      <c r="AS2321" s="1">
        <v>15.9</v>
      </c>
      <c r="AT2321" s="1">
        <v>24.9</v>
      </c>
      <c r="AU2321" s="1">
        <v>23.5</v>
      </c>
      <c r="AV2321" s="1">
        <v>48.7</v>
      </c>
      <c r="AW2321" s="1">
        <v>0.9</v>
      </c>
      <c r="AX2321" s="1">
        <v>0.9917</v>
      </c>
      <c r="AY2321" s="1">
        <v>24.9</v>
      </c>
      <c r="AZ2321" s="1">
        <v>17.1</v>
      </c>
      <c r="BA2321" s="1">
        <v>26.2</v>
      </c>
      <c r="BB2321" s="1">
        <v>2.74</v>
      </c>
      <c r="BC2321" s="1" t="s">
        <v>3823</v>
      </c>
      <c r="BD2321" s="1">
        <v>20.2</v>
      </c>
      <c r="BE2321" s="1">
        <v>35.4</v>
      </c>
      <c r="BF2321" s="1">
        <v>31.9</v>
      </c>
      <c r="BG2321" s="1">
        <v>12.5</v>
      </c>
      <c r="BH2321" s="1" t="s">
        <v>3832</v>
      </c>
    </row>
    <row r="2322">
      <c r="A2322" s="1">
        <v>45013.0</v>
      </c>
      <c r="B2322" s="2" t="str">
        <f>IFERROR(__xludf.DUMMYFUNCTION("TO_TEXT(A2322)"),"45013")</f>
        <v>45013</v>
      </c>
      <c r="C2322" s="1">
        <v>175316.0</v>
      </c>
      <c r="D2322" s="1">
        <v>576.265467466844</v>
      </c>
      <c r="E2322" s="1" t="s">
        <v>3179</v>
      </c>
      <c r="F2322" s="1" t="s">
        <v>3833</v>
      </c>
      <c r="G2322" s="1">
        <v>304.227842717449</v>
      </c>
      <c r="H2322" s="1">
        <v>12.3640594009999</v>
      </c>
      <c r="I2322" s="1">
        <v>3.7761528431</v>
      </c>
      <c r="J2322" s="1">
        <v>8.2978723404</v>
      </c>
      <c r="K2322" s="1">
        <v>12.818830372</v>
      </c>
      <c r="L2322" s="1">
        <v>23.5</v>
      </c>
      <c r="M2322" s="1">
        <v>7.9</v>
      </c>
      <c r="N2322" s="1">
        <v>17.1</v>
      </c>
      <c r="O2322" s="1">
        <v>83.074343691</v>
      </c>
      <c r="P2322" s="1">
        <v>15.348488974</v>
      </c>
      <c r="Q2322" s="1">
        <v>70.11197</v>
      </c>
      <c r="R2322" s="1">
        <v>84.036568214</v>
      </c>
      <c r="S2322" s="1">
        <v>20.1</v>
      </c>
      <c r="T2322" s="1">
        <v>35057.0</v>
      </c>
      <c r="U2322" s="1">
        <v>34.4467581369999</v>
      </c>
      <c r="V2322" s="1">
        <v>388.52511178</v>
      </c>
      <c r="W2322" s="1">
        <v>17.061400252</v>
      </c>
      <c r="X2322" s="1">
        <v>14.962706246</v>
      </c>
      <c r="Y2322" s="1">
        <v>82.624217739</v>
      </c>
      <c r="Z2322" s="1">
        <v>9.1</v>
      </c>
      <c r="AA2322" s="1">
        <v>11.317553598</v>
      </c>
      <c r="AB2322" s="1">
        <v>65843.0</v>
      </c>
      <c r="AC2322" s="1">
        <v>57.218720318</v>
      </c>
      <c r="AD2322" s="1">
        <v>71.604798391</v>
      </c>
      <c r="AE2322" s="1">
        <v>15.969748292</v>
      </c>
      <c r="AF2322" s="1">
        <v>17.528018441</v>
      </c>
      <c r="AG2322" s="1">
        <v>0.4244495668</v>
      </c>
      <c r="AH2322" s="1">
        <v>1.3883369102</v>
      </c>
      <c r="AI2322" s="1">
        <v>0.1383037914</v>
      </c>
      <c r="AJ2322" s="1">
        <v>11.15968524</v>
      </c>
      <c r="AK2322" s="1">
        <v>68.1503855019999</v>
      </c>
      <c r="AL2322" s="1">
        <v>2.261251245</v>
      </c>
      <c r="AM2322" s="1">
        <v>50.997006067</v>
      </c>
      <c r="AN2322" s="1">
        <v>19.646434449</v>
      </c>
      <c r="AO2322" s="1">
        <v>33877.0</v>
      </c>
      <c r="AP2322" s="1">
        <v>12.4</v>
      </c>
      <c r="AQ2322" s="1">
        <v>6.6</v>
      </c>
      <c r="AR2322" s="1">
        <v>7.6</v>
      </c>
      <c r="AS2322" s="1">
        <v>24.2</v>
      </c>
      <c r="AT2322" s="1">
        <v>19.9</v>
      </c>
      <c r="AU2322" s="1">
        <v>12.8</v>
      </c>
      <c r="AV2322" s="1">
        <v>32.8</v>
      </c>
      <c r="AW2322" s="1">
        <v>2.5</v>
      </c>
      <c r="AX2322" s="1">
        <v>0.4492</v>
      </c>
      <c r="AY2322" s="1">
        <v>10.2</v>
      </c>
      <c r="AZ2322" s="1">
        <v>8.6</v>
      </c>
      <c r="BA2322" s="1">
        <v>12.5</v>
      </c>
      <c r="BB2322" s="1">
        <v>3.63</v>
      </c>
      <c r="BC2322" s="1" t="s">
        <v>3823</v>
      </c>
      <c r="BD2322" s="1">
        <v>7.2</v>
      </c>
      <c r="BE2322" s="1">
        <v>22.3</v>
      </c>
      <c r="BF2322" s="1">
        <v>29.3</v>
      </c>
      <c r="BG2322" s="1">
        <v>41.2</v>
      </c>
      <c r="BH2322" s="1" t="s">
        <v>3833</v>
      </c>
    </row>
    <row r="2323">
      <c r="A2323" s="1">
        <v>45015.0</v>
      </c>
      <c r="B2323" s="2" t="str">
        <f>IFERROR(__xludf.DUMMYFUNCTION("TO_TEXT(A2323)"),"45015")</f>
        <v>45015</v>
      </c>
      <c r="C2323" s="1">
        <v>199081.0</v>
      </c>
      <c r="D2323" s="1">
        <v>1098.92947535929</v>
      </c>
      <c r="E2323" s="1" t="s">
        <v>3834</v>
      </c>
      <c r="F2323" s="1" t="s">
        <v>3835</v>
      </c>
      <c r="G2323" s="1">
        <v>181.159032006955</v>
      </c>
      <c r="H2323" s="1">
        <v>16.562800423</v>
      </c>
      <c r="I2323" s="1">
        <v>4.3295214615</v>
      </c>
      <c r="J2323" s="1">
        <v>8.4581076776</v>
      </c>
      <c r="K2323" s="1">
        <v>15.751734455</v>
      </c>
      <c r="L2323" s="1">
        <v>35.0</v>
      </c>
      <c r="M2323" s="1">
        <v>7.8</v>
      </c>
      <c r="N2323" s="1">
        <v>25.1</v>
      </c>
      <c r="O2323" s="1">
        <v>79.312652171</v>
      </c>
      <c r="P2323" s="1">
        <v>11.780302003</v>
      </c>
      <c r="Q2323" s="1">
        <v>31.20168</v>
      </c>
      <c r="R2323" s="1">
        <v>83.479061206</v>
      </c>
      <c r="S2323" s="1">
        <v>18.2</v>
      </c>
      <c r="T2323" s="1">
        <v>50266.0</v>
      </c>
      <c r="U2323" s="1">
        <v>32.359845621</v>
      </c>
      <c r="V2323" s="1">
        <v>337.9659031</v>
      </c>
      <c r="W2323" s="1">
        <v>14.26645857</v>
      </c>
      <c r="X2323" s="1">
        <v>12.6388988459999</v>
      </c>
      <c r="Y2323" s="1">
        <v>78.607196065</v>
      </c>
      <c r="Z2323" s="1">
        <v>12.5</v>
      </c>
      <c r="AA2323" s="1">
        <v>9.3522177872</v>
      </c>
      <c r="AB2323" s="1">
        <v>62204.0</v>
      </c>
      <c r="AC2323" s="1">
        <v>61.4490964189999</v>
      </c>
      <c r="AD2323" s="1">
        <v>71.746006326</v>
      </c>
      <c r="AE2323" s="1">
        <v>11.684281974</v>
      </c>
      <c r="AF2323" s="1">
        <v>23.8702615669999</v>
      </c>
      <c r="AG2323" s="1">
        <v>0.6834289953</v>
      </c>
      <c r="AH2323" s="1">
        <v>2.6826058048</v>
      </c>
      <c r="AI2323" s="1">
        <v>0.128906197</v>
      </c>
      <c r="AJ2323" s="1">
        <v>6.884043222</v>
      </c>
      <c r="AK2323" s="1">
        <v>63.5656811</v>
      </c>
      <c r="AL2323" s="1">
        <v>1.5714848971</v>
      </c>
      <c r="AM2323" s="1">
        <v>50.329502332</v>
      </c>
      <c r="AN2323" s="1">
        <v>28.953627638</v>
      </c>
      <c r="AO2323" s="1">
        <v>25992.0</v>
      </c>
      <c r="AP2323" s="1">
        <v>13.2</v>
      </c>
      <c r="AQ2323" s="1">
        <v>8.0</v>
      </c>
      <c r="AR2323" s="1">
        <v>11.8</v>
      </c>
      <c r="AS2323" s="1">
        <v>12.2</v>
      </c>
      <c r="AT2323" s="1">
        <v>24.4</v>
      </c>
      <c r="AU2323" s="1">
        <v>13.6</v>
      </c>
      <c r="AV2323" s="1">
        <v>35.9</v>
      </c>
      <c r="AW2323" s="1">
        <v>1.4</v>
      </c>
      <c r="AX2323" s="1">
        <v>0.5587</v>
      </c>
      <c r="AY2323" s="1">
        <v>10.7</v>
      </c>
      <c r="AZ2323" s="1">
        <v>9.2</v>
      </c>
      <c r="BA2323" s="1">
        <v>12.2</v>
      </c>
      <c r="BB2323" s="1">
        <v>3.21</v>
      </c>
      <c r="BC2323" s="1" t="s">
        <v>3823</v>
      </c>
      <c r="BD2323" s="1">
        <v>10.6</v>
      </c>
      <c r="BE2323" s="1">
        <v>29.4</v>
      </c>
      <c r="BF2323" s="1">
        <v>34.9</v>
      </c>
      <c r="BG2323" s="1">
        <v>25.0</v>
      </c>
      <c r="BH2323" s="1" t="s">
        <v>3835</v>
      </c>
    </row>
    <row r="2324">
      <c r="A2324" s="1">
        <v>45017.0</v>
      </c>
      <c r="B2324" s="2" t="str">
        <f>IFERROR(__xludf.DUMMYFUNCTION("TO_TEXT(A2324)"),"45017")</f>
        <v>45017</v>
      </c>
      <c r="C2324" s="1">
        <v>14886.0</v>
      </c>
      <c r="D2324" s="1">
        <v>381.151850350932</v>
      </c>
      <c r="E2324" s="1" t="s">
        <v>74</v>
      </c>
      <c r="F2324" s="1" t="s">
        <v>3836</v>
      </c>
      <c r="G2324" s="1">
        <v>39.0553003646557</v>
      </c>
      <c r="H2324" s="1">
        <v>19.352866556</v>
      </c>
      <c r="I2324" s="1">
        <v>4.391583483</v>
      </c>
      <c r="J2324" s="1">
        <v>10.165975104</v>
      </c>
      <c r="K2324" s="1">
        <v>16.376316025</v>
      </c>
      <c r="L2324" s="1">
        <v>38.6</v>
      </c>
      <c r="M2324" s="1">
        <v>7.9</v>
      </c>
      <c r="N2324" s="1">
        <v>35.3</v>
      </c>
      <c r="O2324" s="1">
        <v>5.0148270181</v>
      </c>
      <c r="P2324" s="1">
        <v>12.589199189</v>
      </c>
      <c r="Q2324" s="1">
        <v>20.40261</v>
      </c>
      <c r="R2324" s="1">
        <v>90.099009901</v>
      </c>
      <c r="S2324" s="1">
        <v>28.0</v>
      </c>
      <c r="T2324" s="1">
        <v>2882.0</v>
      </c>
      <c r="U2324" s="1">
        <v>36.294240111</v>
      </c>
      <c r="V2324" s="1">
        <v>312.61680655</v>
      </c>
      <c r="W2324" s="1">
        <v>16.557377049</v>
      </c>
      <c r="X2324" s="1">
        <v>14.31703204</v>
      </c>
      <c r="Y2324" s="1">
        <v>75.620521476</v>
      </c>
      <c r="Z2324" s="1">
        <v>15.7</v>
      </c>
      <c r="AA2324" s="1">
        <v>0.3023471041</v>
      </c>
      <c r="AB2324" s="1">
        <v>45385.0</v>
      </c>
      <c r="AC2324" s="1">
        <v>100.0</v>
      </c>
      <c r="AD2324" s="1">
        <v>80.999836628</v>
      </c>
      <c r="AE2324" s="1">
        <v>15.72794899</v>
      </c>
      <c r="AF2324" s="1">
        <v>40.055096419</v>
      </c>
      <c r="AG2324" s="1">
        <v>0.5096418733</v>
      </c>
      <c r="AH2324" s="1">
        <v>0.3236914601</v>
      </c>
      <c r="AI2324" s="1">
        <v>0.1033057851</v>
      </c>
      <c r="AJ2324" s="1">
        <v>3.870523416</v>
      </c>
      <c r="AK2324" s="1">
        <v>54.256198347</v>
      </c>
      <c r="AL2324" s="1">
        <v>0.3213138165</v>
      </c>
      <c r="AM2324" s="1">
        <v>52.183195592</v>
      </c>
      <c r="AN2324" s="1">
        <v>100.0</v>
      </c>
      <c r="AO2324" s="1">
        <v>22964.0</v>
      </c>
      <c r="AP2324" s="1">
        <v>19.3</v>
      </c>
      <c r="AQ2324" s="1">
        <v>8.5</v>
      </c>
      <c r="AR2324" s="1">
        <v>16.1</v>
      </c>
      <c r="AS2324" s="1">
        <v>20.4</v>
      </c>
      <c r="AT2324" s="1">
        <v>20.4</v>
      </c>
      <c r="AU2324" s="1">
        <v>19.8</v>
      </c>
      <c r="AV2324" s="1">
        <v>46.5</v>
      </c>
      <c r="AW2324" s="1">
        <v>0.3</v>
      </c>
      <c r="AX2324" s="1">
        <v>0.6896</v>
      </c>
      <c r="AY2324" s="1">
        <v>18.2</v>
      </c>
      <c r="AZ2324" s="1">
        <v>12.5</v>
      </c>
      <c r="BA2324" s="1">
        <v>16.6</v>
      </c>
      <c r="BB2324" s="1">
        <v>2.99</v>
      </c>
      <c r="BC2324" s="1" t="s">
        <v>3823</v>
      </c>
      <c r="BD2324" s="1">
        <v>13.8</v>
      </c>
      <c r="BE2324" s="1">
        <v>36.2</v>
      </c>
      <c r="BF2324" s="1">
        <v>30.1</v>
      </c>
      <c r="BG2324" s="1">
        <v>19.9</v>
      </c>
      <c r="BH2324" s="1" t="s">
        <v>3836</v>
      </c>
    </row>
    <row r="2325">
      <c r="A2325" s="1">
        <v>45019.0</v>
      </c>
      <c r="B2325" s="2" t="str">
        <f>IFERROR(__xludf.DUMMYFUNCTION("TO_TEXT(A2325)"),"45019")</f>
        <v>45019</v>
      </c>
      <c r="C2325" s="1">
        <v>380673.0</v>
      </c>
      <c r="D2325" s="1">
        <v>917.448685112524</v>
      </c>
      <c r="E2325" s="1" t="s">
        <v>3837</v>
      </c>
      <c r="F2325" s="1" t="s">
        <v>3838</v>
      </c>
      <c r="G2325" s="1">
        <v>414.925658706798</v>
      </c>
      <c r="H2325" s="1">
        <v>14.893294252</v>
      </c>
      <c r="I2325" s="1">
        <v>4.322144328</v>
      </c>
      <c r="J2325" s="1">
        <v>9.2552379834</v>
      </c>
      <c r="K2325" s="1">
        <v>15.818134664</v>
      </c>
      <c r="L2325" s="1">
        <v>26.7</v>
      </c>
      <c r="M2325" s="1">
        <v>7.7</v>
      </c>
      <c r="N2325" s="1">
        <v>20.6</v>
      </c>
      <c r="O2325" s="1">
        <v>79.942834136</v>
      </c>
      <c r="P2325" s="1">
        <v>13.538923377</v>
      </c>
      <c r="Q2325" s="1">
        <v>121.56298</v>
      </c>
      <c r="R2325" s="1">
        <v>84.755332497</v>
      </c>
      <c r="S2325" s="1">
        <v>23.4</v>
      </c>
      <c r="T2325" s="1">
        <v>77909.0</v>
      </c>
      <c r="U2325" s="1">
        <v>37.533532711</v>
      </c>
      <c r="V2325" s="1">
        <v>426.11384432</v>
      </c>
      <c r="W2325" s="1">
        <v>19.1889742909999</v>
      </c>
      <c r="X2325" s="1">
        <v>17.769587123</v>
      </c>
      <c r="Y2325" s="1">
        <v>79.106839262</v>
      </c>
      <c r="Z2325" s="1">
        <v>10.3</v>
      </c>
      <c r="AA2325" s="1">
        <v>6.7051847557</v>
      </c>
      <c r="AB2325" s="1">
        <v>62958.0</v>
      </c>
      <c r="AC2325" s="1">
        <v>56.548071118</v>
      </c>
      <c r="AD2325" s="1">
        <v>61.1431346739999</v>
      </c>
      <c r="AE2325" s="1">
        <v>17.26005729</v>
      </c>
      <c r="AF2325" s="1">
        <v>26.4143087669999</v>
      </c>
      <c r="AG2325" s="1">
        <v>0.3986154396</v>
      </c>
      <c r="AH2325" s="1">
        <v>1.7787413311</v>
      </c>
      <c r="AI2325" s="1">
        <v>0.0955888693</v>
      </c>
      <c r="AJ2325" s="1">
        <v>5.0942954632</v>
      </c>
      <c r="AK2325" s="1">
        <v>64.945245809</v>
      </c>
      <c r="AL2325" s="1">
        <v>1.2476012851</v>
      </c>
      <c r="AM2325" s="1">
        <v>51.613554896</v>
      </c>
      <c r="AN2325" s="1">
        <v>10.880931101</v>
      </c>
      <c r="AO2325" s="1">
        <v>33700.0</v>
      </c>
      <c r="AP2325" s="1">
        <v>16.3</v>
      </c>
      <c r="AQ2325" s="1">
        <v>6.7</v>
      </c>
      <c r="AR2325" s="1">
        <v>9.8</v>
      </c>
      <c r="AS2325" s="1">
        <v>14.5</v>
      </c>
      <c r="AT2325" s="1">
        <v>20.2</v>
      </c>
      <c r="AU2325" s="1">
        <v>11.0</v>
      </c>
      <c r="AV2325" s="1">
        <v>36.4</v>
      </c>
      <c r="AW2325" s="1">
        <v>1.2</v>
      </c>
      <c r="AX2325" s="1">
        <v>0.3827</v>
      </c>
      <c r="AY2325" s="1">
        <v>11.7</v>
      </c>
      <c r="AZ2325" s="1">
        <v>9.6</v>
      </c>
      <c r="BA2325" s="1">
        <v>12.2</v>
      </c>
      <c r="BB2325" s="1">
        <v>3.53</v>
      </c>
      <c r="BC2325" s="1" t="s">
        <v>3823</v>
      </c>
      <c r="BD2325" s="1">
        <v>8.3</v>
      </c>
      <c r="BE2325" s="1">
        <v>22.7</v>
      </c>
      <c r="BF2325" s="1">
        <v>25.3</v>
      </c>
      <c r="BG2325" s="1">
        <v>43.6</v>
      </c>
      <c r="BH2325" s="1" t="s">
        <v>3838</v>
      </c>
    </row>
    <row r="2326">
      <c r="A2326" s="1">
        <v>45021.0</v>
      </c>
      <c r="B2326" s="2" t="str">
        <f>IFERROR(__xludf.DUMMYFUNCTION("TO_TEXT(A2326)"),"45021")</f>
        <v>45021</v>
      </c>
      <c r="C2326" s="1">
        <v>56274.0</v>
      </c>
      <c r="D2326" s="1">
        <v>392.688257646271</v>
      </c>
      <c r="E2326" s="1" t="s">
        <v>78</v>
      </c>
      <c r="F2326" s="1" t="s">
        <v>3839</v>
      </c>
      <c r="G2326" s="1">
        <v>143.304514215168</v>
      </c>
      <c r="H2326" s="1">
        <v>19.74734721</v>
      </c>
      <c r="I2326" s="1">
        <v>4.836185665</v>
      </c>
      <c r="J2326" s="1">
        <v>11.4151346729999</v>
      </c>
      <c r="K2326" s="1">
        <v>20.206309856</v>
      </c>
      <c r="L2326" s="1">
        <v>42.6</v>
      </c>
      <c r="M2326" s="1">
        <v>7.3</v>
      </c>
      <c r="N2326" s="1">
        <v>39.8</v>
      </c>
      <c r="O2326" s="1">
        <v>68.875356872</v>
      </c>
      <c r="P2326" s="1">
        <v>13.803555689</v>
      </c>
      <c r="Q2326" s="1">
        <v>40.27668</v>
      </c>
      <c r="R2326" s="1">
        <v>84.0625</v>
      </c>
      <c r="S2326" s="1">
        <v>24.1</v>
      </c>
      <c r="T2326" s="1">
        <v>13203.0</v>
      </c>
      <c r="U2326" s="1">
        <v>37.983791563</v>
      </c>
      <c r="V2326" s="1">
        <v>389.64727602</v>
      </c>
      <c r="W2326" s="1">
        <v>11.888970769</v>
      </c>
      <c r="X2326" s="1">
        <v>10.1083591329999</v>
      </c>
      <c r="Y2326" s="1">
        <v>74.297307416</v>
      </c>
      <c r="Z2326" s="1">
        <v>17.5</v>
      </c>
      <c r="AA2326" s="1">
        <v>7.78452099299999</v>
      </c>
      <c r="AB2326" s="1">
        <v>42542.0</v>
      </c>
      <c r="AC2326" s="1">
        <v>83.81580418</v>
      </c>
      <c r="AD2326" s="1">
        <v>69.111078388</v>
      </c>
      <c r="AE2326" s="1">
        <v>10.646100744</v>
      </c>
      <c r="AF2326" s="1">
        <v>20.352850485</v>
      </c>
      <c r="AG2326" s="1">
        <v>0.4905567819</v>
      </c>
      <c r="AH2326" s="1">
        <v>0.5886681383</v>
      </c>
      <c r="AI2326" s="1">
        <v>0.1436630576</v>
      </c>
      <c r="AJ2326" s="1">
        <v>4.4728266583</v>
      </c>
      <c r="AK2326" s="1">
        <v>72.7425628089999</v>
      </c>
      <c r="AL2326" s="1">
        <v>0.7149140045</v>
      </c>
      <c r="AM2326" s="1">
        <v>51.31399138</v>
      </c>
      <c r="AN2326" s="1">
        <v>61.0494741789999</v>
      </c>
      <c r="AO2326" s="1">
        <v>19940.0</v>
      </c>
      <c r="AP2326" s="1">
        <v>22.7</v>
      </c>
      <c r="AQ2326" s="1">
        <v>8.7</v>
      </c>
      <c r="AR2326" s="1">
        <v>21.8</v>
      </c>
      <c r="AS2326" s="1">
        <v>15.1</v>
      </c>
      <c r="AT2326" s="1">
        <v>23.8</v>
      </c>
      <c r="AU2326" s="1">
        <v>17.8</v>
      </c>
      <c r="AV2326" s="1">
        <v>26.7</v>
      </c>
      <c r="AW2326" s="1">
        <v>0.4</v>
      </c>
      <c r="AX2326" s="1">
        <v>0.8424</v>
      </c>
      <c r="AY2326" s="1">
        <v>16.0</v>
      </c>
      <c r="AZ2326" s="1">
        <v>13.2</v>
      </c>
      <c r="BA2326" s="1">
        <v>17.5</v>
      </c>
      <c r="BB2326" s="1">
        <v>2.6</v>
      </c>
      <c r="BC2326" s="1" t="s">
        <v>3823</v>
      </c>
      <c r="BD2326" s="1">
        <v>19.7</v>
      </c>
      <c r="BE2326" s="1">
        <v>34.7</v>
      </c>
      <c r="BF2326" s="1">
        <v>31.4</v>
      </c>
      <c r="BG2326" s="1">
        <v>14.2</v>
      </c>
      <c r="BH2326" s="1" t="s">
        <v>3839</v>
      </c>
    </row>
    <row r="2327">
      <c r="A2327" s="1">
        <v>45023.0</v>
      </c>
      <c r="B2327" s="2" t="str">
        <f>IFERROR(__xludf.DUMMYFUNCTION("TO_TEXT(A2327)"),"45023")</f>
        <v>45023</v>
      </c>
      <c r="C2327" s="1">
        <v>32435.0</v>
      </c>
      <c r="D2327" s="1">
        <v>580.656215935926</v>
      </c>
      <c r="E2327" s="1" t="s">
        <v>3736</v>
      </c>
      <c r="F2327" s="1" t="s">
        <v>3840</v>
      </c>
      <c r="G2327" s="1">
        <v>55.8592142989805</v>
      </c>
      <c r="H2327" s="1">
        <v>20.03129596</v>
      </c>
      <c r="I2327" s="1">
        <v>4.5552884255</v>
      </c>
      <c r="J2327" s="1">
        <v>11.4328695</v>
      </c>
      <c r="K2327" s="1">
        <v>19.842659598</v>
      </c>
      <c r="L2327" s="1">
        <v>35.6</v>
      </c>
      <c r="M2327" s="1">
        <v>6.6</v>
      </c>
      <c r="N2327" s="1">
        <v>34.6</v>
      </c>
      <c r="O2327" s="1">
        <v>58.786964393</v>
      </c>
      <c r="P2327" s="1">
        <v>12.1628910459999</v>
      </c>
      <c r="Q2327" s="1">
        <v>24.76704</v>
      </c>
      <c r="R2327" s="1">
        <v>85.793871866</v>
      </c>
      <c r="S2327" s="1">
        <v>30.1</v>
      </c>
      <c r="T2327" s="1">
        <v>7308.0</v>
      </c>
      <c r="U2327" s="1">
        <v>45.320197044</v>
      </c>
      <c r="V2327" s="1">
        <v>688.79245108</v>
      </c>
      <c r="W2327" s="1">
        <v>14.105177334</v>
      </c>
      <c r="X2327" s="1">
        <v>12.6342494709999</v>
      </c>
      <c r="Y2327" s="1">
        <v>73.592938366</v>
      </c>
      <c r="Z2327" s="1">
        <v>15.7</v>
      </c>
      <c r="AA2327" s="1">
        <v>11.2633705629999</v>
      </c>
      <c r="AB2327" s="1">
        <v>42116.0</v>
      </c>
      <c r="AC2327" s="1">
        <v>86.776079985</v>
      </c>
      <c r="AD2327" s="1">
        <v>75.291094515</v>
      </c>
      <c r="AE2327" s="1">
        <v>12.369506097</v>
      </c>
      <c r="AF2327" s="1">
        <v>36.681033146</v>
      </c>
      <c r="AG2327" s="1">
        <v>0.5395181545</v>
      </c>
      <c r="AH2327" s="1">
        <v>0.4682025364</v>
      </c>
      <c r="AI2327" s="1">
        <v>0.0465101857</v>
      </c>
      <c r="AJ2327" s="1">
        <v>2.102260395</v>
      </c>
      <c r="AK2327" s="1">
        <v>58.519115686</v>
      </c>
      <c r="AL2327" s="1">
        <v>0.3091291765</v>
      </c>
      <c r="AM2327" s="1">
        <v>51.849555053</v>
      </c>
      <c r="AN2327" s="1">
        <v>71.7833433919999</v>
      </c>
      <c r="AO2327" s="1">
        <v>19858.0</v>
      </c>
      <c r="AP2327" s="1">
        <v>23.4</v>
      </c>
      <c r="AQ2327" s="1">
        <v>11.5</v>
      </c>
      <c r="AR2327" s="1">
        <v>20.4</v>
      </c>
      <c r="AS2327" s="1">
        <v>16.7</v>
      </c>
      <c r="AT2327" s="1">
        <v>23.2</v>
      </c>
      <c r="AU2327" s="1">
        <v>18.2</v>
      </c>
      <c r="AV2327" s="1">
        <v>41.1</v>
      </c>
      <c r="AW2327" s="1">
        <v>0.0</v>
      </c>
      <c r="AX2327" s="1">
        <v>0.7755</v>
      </c>
      <c r="AY2327" s="1">
        <v>17.7</v>
      </c>
      <c r="AZ2327" s="1">
        <v>14.2</v>
      </c>
      <c r="BA2327" s="1">
        <v>19.8</v>
      </c>
      <c r="BB2327" s="1">
        <v>2.81</v>
      </c>
      <c r="BC2327" s="1" t="s">
        <v>3823</v>
      </c>
      <c r="BD2327" s="1">
        <v>17.9</v>
      </c>
      <c r="BE2327" s="1">
        <v>39.3</v>
      </c>
      <c r="BF2327" s="1">
        <v>29.4</v>
      </c>
      <c r="BG2327" s="1">
        <v>13.4</v>
      </c>
      <c r="BH2327" s="1" t="s">
        <v>3840</v>
      </c>
    </row>
    <row r="2328">
      <c r="A2328" s="1">
        <v>45025.0</v>
      </c>
      <c r="B2328" s="2" t="str">
        <f>IFERROR(__xludf.DUMMYFUNCTION("TO_TEXT(A2328)"),"45025")</f>
        <v>45025</v>
      </c>
      <c r="C2328" s="1">
        <v>46083.0</v>
      </c>
      <c r="D2328" s="1">
        <v>799.051521874682</v>
      </c>
      <c r="E2328" s="1" t="s">
        <v>3841</v>
      </c>
      <c r="F2328" s="1" t="s">
        <v>3842</v>
      </c>
      <c r="G2328" s="1">
        <v>57.6721259373652</v>
      </c>
      <c r="H2328" s="1">
        <v>21.833418505</v>
      </c>
      <c r="I2328" s="1">
        <v>4.6257754811</v>
      </c>
      <c r="J2328" s="1">
        <v>10.850111857</v>
      </c>
      <c r="K2328" s="1">
        <v>20.310602633</v>
      </c>
      <c r="L2328" s="1">
        <v>37.7</v>
      </c>
      <c r="M2328" s="1">
        <v>7.1</v>
      </c>
      <c r="N2328" s="1">
        <v>32.7</v>
      </c>
      <c r="O2328" s="1">
        <v>56.864381393</v>
      </c>
      <c r="P2328" s="1">
        <v>14.799785004</v>
      </c>
      <c r="Q2328" s="1">
        <v>30.46923</v>
      </c>
      <c r="R2328" s="1">
        <v>90.180878553</v>
      </c>
      <c r="S2328" s="1">
        <v>30.6</v>
      </c>
      <c r="T2328" s="1">
        <v>10266.0</v>
      </c>
      <c r="U2328" s="1">
        <v>43.707383596</v>
      </c>
      <c r="V2328" s="1">
        <v>439.9700907</v>
      </c>
      <c r="W2328" s="1">
        <v>15.354980737</v>
      </c>
      <c r="X2328" s="1">
        <v>11.898734177</v>
      </c>
      <c r="Y2328" s="1">
        <v>74.179772245</v>
      </c>
      <c r="Z2328" s="1">
        <v>17.4</v>
      </c>
      <c r="AA2328" s="1">
        <v>7.26316077559999</v>
      </c>
      <c r="AB2328" s="1">
        <v>39046.0</v>
      </c>
      <c r="AC2328" s="1">
        <v>100.0</v>
      </c>
      <c r="AD2328" s="1">
        <v>70.996273016</v>
      </c>
      <c r="AE2328" s="1">
        <v>11.18767977</v>
      </c>
      <c r="AF2328" s="1">
        <v>32.508633125</v>
      </c>
      <c r="AG2328" s="1">
        <v>0.7474756305</v>
      </c>
      <c r="AH2328" s="1">
        <v>0.5966691437</v>
      </c>
      <c r="AI2328" s="1">
        <v>0.067753639</v>
      </c>
      <c r="AJ2328" s="1">
        <v>4.3493465052</v>
      </c>
      <c r="AK2328" s="1">
        <v>60.322594746</v>
      </c>
      <c r="AL2328" s="1">
        <v>1.3660761593</v>
      </c>
      <c r="AM2328" s="1">
        <v>51.350701578</v>
      </c>
      <c r="AN2328" s="1">
        <v>73.766422733</v>
      </c>
      <c r="AO2328" s="1">
        <v>19088.0</v>
      </c>
      <c r="AP2328" s="1">
        <v>24.5</v>
      </c>
      <c r="AQ2328" s="1">
        <v>9.5</v>
      </c>
      <c r="AR2328" s="1">
        <v>23.4</v>
      </c>
      <c r="AS2328" s="1">
        <v>15.8</v>
      </c>
      <c r="AT2328" s="1">
        <v>23.0</v>
      </c>
      <c r="AU2328" s="1">
        <v>15.9</v>
      </c>
      <c r="AV2328" s="1">
        <v>39.0</v>
      </c>
      <c r="AW2328" s="1">
        <v>0.9</v>
      </c>
      <c r="AX2328" s="1">
        <v>0.9083</v>
      </c>
      <c r="AY2328" s="1">
        <v>19.9</v>
      </c>
      <c r="AZ2328" s="1">
        <v>13.6</v>
      </c>
      <c r="BA2328" s="1">
        <v>19.3</v>
      </c>
      <c r="BB2328" s="1">
        <v>2.79</v>
      </c>
      <c r="BC2328" s="1" t="s">
        <v>3823</v>
      </c>
      <c r="BD2328" s="1">
        <v>23.3</v>
      </c>
      <c r="BE2328" s="1">
        <v>41.3</v>
      </c>
      <c r="BF2328" s="1">
        <v>25.0</v>
      </c>
      <c r="BG2328" s="1">
        <v>10.4</v>
      </c>
      <c r="BH2328" s="1" t="s">
        <v>3842</v>
      </c>
    </row>
    <row r="2329">
      <c r="A2329" s="1">
        <v>45027.0</v>
      </c>
      <c r="B2329" s="2" t="str">
        <f>IFERROR(__xludf.DUMMYFUNCTION("TO_TEXT(A2329)"),"45027")</f>
        <v>45027</v>
      </c>
      <c r="C2329" s="1">
        <v>34056.0</v>
      </c>
      <c r="D2329" s="1">
        <v>606.938468652426</v>
      </c>
      <c r="E2329" s="1" t="s">
        <v>3843</v>
      </c>
      <c r="F2329" s="1" t="s">
        <v>3844</v>
      </c>
      <c r="G2329" s="1">
        <v>56.1111245355957</v>
      </c>
      <c r="H2329" s="1">
        <v>22.001289983</v>
      </c>
      <c r="I2329" s="1">
        <v>4.8394952371</v>
      </c>
      <c r="J2329" s="1">
        <v>10.400682012</v>
      </c>
      <c r="K2329" s="1">
        <v>19.057520189</v>
      </c>
      <c r="L2329" s="1">
        <v>40.3</v>
      </c>
      <c r="M2329" s="1">
        <v>7.1</v>
      </c>
      <c r="N2329" s="1">
        <v>32.8</v>
      </c>
      <c r="O2329" s="1">
        <v>43.670469818</v>
      </c>
      <c r="P2329" s="1">
        <v>14.4721282059999</v>
      </c>
      <c r="Q2329" s="1">
        <v>32.29879</v>
      </c>
      <c r="R2329" s="1">
        <v>81.3186813189999</v>
      </c>
      <c r="S2329" s="1">
        <v>36.3</v>
      </c>
      <c r="T2329" s="1">
        <v>6653.0</v>
      </c>
      <c r="U2329" s="1">
        <v>49.36119044</v>
      </c>
      <c r="V2329" s="1">
        <v>454.58557684</v>
      </c>
      <c r="W2329" s="1">
        <v>14.53313253</v>
      </c>
      <c r="X2329" s="1">
        <v>11.795665635</v>
      </c>
      <c r="Y2329" s="1">
        <v>75.809277757</v>
      </c>
      <c r="Z2329" s="1">
        <v>15.6</v>
      </c>
      <c r="AA2329" s="1">
        <v>2.3501659016</v>
      </c>
      <c r="AB2329" s="1">
        <v>36722.0</v>
      </c>
      <c r="AC2329" s="1">
        <v>99.941257098</v>
      </c>
      <c r="AD2329" s="1">
        <v>76.348765664</v>
      </c>
      <c r="AE2329" s="1">
        <v>11.578862314</v>
      </c>
      <c r="AF2329" s="1">
        <v>46.872403561</v>
      </c>
      <c r="AG2329" s="1">
        <v>0.4005934718</v>
      </c>
      <c r="AH2329" s="1">
        <v>0.7863501484</v>
      </c>
      <c r="AI2329" s="1">
        <v>0.0445103858</v>
      </c>
      <c r="AJ2329" s="1">
        <v>3.1661721068</v>
      </c>
      <c r="AK2329" s="1">
        <v>48.038575668</v>
      </c>
      <c r="AL2329" s="1">
        <v>0.7325667656</v>
      </c>
      <c r="AM2329" s="1">
        <v>50.896142433</v>
      </c>
      <c r="AN2329" s="1">
        <v>85.708158188</v>
      </c>
      <c r="AO2329" s="1">
        <v>18765.0</v>
      </c>
      <c r="AP2329" s="1">
        <v>26.0</v>
      </c>
      <c r="AQ2329" s="1">
        <v>15.4</v>
      </c>
      <c r="AR2329" s="1">
        <v>20.5</v>
      </c>
      <c r="AS2329" s="1">
        <v>19.8</v>
      </c>
      <c r="AT2329" s="1">
        <v>20.6</v>
      </c>
      <c r="AU2329" s="1">
        <v>23.4</v>
      </c>
      <c r="AV2329" s="1">
        <v>52.8</v>
      </c>
      <c r="AW2329" s="1">
        <v>0.8</v>
      </c>
      <c r="AX2329" s="1">
        <v>0.9761</v>
      </c>
      <c r="AY2329" s="1">
        <v>25.1</v>
      </c>
      <c r="AZ2329" s="1">
        <v>16.0</v>
      </c>
      <c r="BA2329" s="1">
        <v>23.0</v>
      </c>
      <c r="BB2329" s="1">
        <v>2.78</v>
      </c>
      <c r="BC2329" s="1" t="s">
        <v>3823</v>
      </c>
      <c r="BD2329" s="1">
        <v>21.5</v>
      </c>
      <c r="BE2329" s="1">
        <v>36.5</v>
      </c>
      <c r="BF2329" s="1">
        <v>26.9</v>
      </c>
      <c r="BG2329" s="1">
        <v>15.1</v>
      </c>
      <c r="BH2329" s="1" t="s">
        <v>3844</v>
      </c>
    </row>
    <row r="2330">
      <c r="A2330" s="1">
        <v>45029.0</v>
      </c>
      <c r="B2330" s="2" t="str">
        <f>IFERROR(__xludf.DUMMYFUNCTION("TO_TEXT(A2330)"),"45029")</f>
        <v>45029</v>
      </c>
      <c r="C2330" s="1">
        <v>37884.0</v>
      </c>
      <c r="D2330" s="1">
        <v>1056.49087209794</v>
      </c>
      <c r="E2330" s="1" t="s">
        <v>3845</v>
      </c>
      <c r="F2330" s="1" t="s">
        <v>3846</v>
      </c>
      <c r="G2330" s="1">
        <v>35.8583315772254</v>
      </c>
      <c r="H2330" s="1">
        <v>21.720487214</v>
      </c>
      <c r="I2330" s="1">
        <v>4.8805976149</v>
      </c>
      <c r="J2330" s="1">
        <v>11.104120793</v>
      </c>
      <c r="K2330" s="1">
        <v>20.559703354</v>
      </c>
      <c r="L2330" s="1">
        <v>42.3</v>
      </c>
      <c r="M2330" s="1">
        <v>6.5</v>
      </c>
      <c r="N2330" s="1">
        <v>34.5</v>
      </c>
      <c r="O2330" s="1">
        <v>44.492440605</v>
      </c>
      <c r="P2330" s="1">
        <v>13.594284564</v>
      </c>
      <c r="Q2330" s="1">
        <v>50.51714</v>
      </c>
      <c r="R2330" s="1">
        <v>86.5384615379999</v>
      </c>
      <c r="S2330" s="1">
        <v>33.5</v>
      </c>
      <c r="T2330" s="1">
        <v>8343.0</v>
      </c>
      <c r="U2330" s="1">
        <v>43.317751408</v>
      </c>
      <c r="V2330" s="1">
        <v>807.93047546</v>
      </c>
      <c r="W2330" s="1">
        <v>13.252606794</v>
      </c>
      <c r="X2330" s="1">
        <v>10.814510609</v>
      </c>
      <c r="Y2330" s="1">
        <v>71.988392096</v>
      </c>
      <c r="Z2330" s="1">
        <v>15.5</v>
      </c>
      <c r="AA2330" s="1">
        <v>13.1331102409999</v>
      </c>
      <c r="AB2330" s="1">
        <v>39079.0</v>
      </c>
      <c r="AC2330" s="1">
        <v>100.0</v>
      </c>
      <c r="AD2330" s="1">
        <v>75.734565863</v>
      </c>
      <c r="AE2330" s="1">
        <v>10.478279326</v>
      </c>
      <c r="AF2330" s="1">
        <v>36.797663303</v>
      </c>
      <c r="AG2330" s="1">
        <v>0.9081253319</v>
      </c>
      <c r="AH2330" s="1">
        <v>0.4938927244</v>
      </c>
      <c r="AI2330" s="1">
        <v>0.0557620818</v>
      </c>
      <c r="AJ2330" s="1">
        <v>3.3828996283</v>
      </c>
      <c r="AK2330" s="1">
        <v>57.010090281</v>
      </c>
      <c r="AL2330" s="1">
        <v>0.744731868299999</v>
      </c>
      <c r="AM2330" s="1">
        <v>51.856080722</v>
      </c>
      <c r="AN2330" s="1">
        <v>75.568240255</v>
      </c>
      <c r="AO2330" s="1">
        <v>20297.0</v>
      </c>
      <c r="AP2330" s="1">
        <v>20.8</v>
      </c>
      <c r="AQ2330" s="1">
        <v>10.5</v>
      </c>
      <c r="AR2330" s="1">
        <v>16.4</v>
      </c>
      <c r="AS2330" s="1">
        <v>18.7</v>
      </c>
      <c r="AT2330" s="1">
        <v>23.0</v>
      </c>
      <c r="AU2330" s="1">
        <v>16.7</v>
      </c>
      <c r="AV2330" s="1">
        <v>43.7</v>
      </c>
      <c r="AW2330" s="1">
        <v>0.7</v>
      </c>
      <c r="AX2330" s="1">
        <v>0.9035</v>
      </c>
      <c r="AY2330" s="1">
        <v>21.0</v>
      </c>
      <c r="AZ2330" s="1">
        <v>12.8</v>
      </c>
      <c r="BA2330" s="1">
        <v>19.0</v>
      </c>
      <c r="BB2330" s="1">
        <v>3.03</v>
      </c>
      <c r="BC2330" s="1" t="s">
        <v>3823</v>
      </c>
      <c r="BD2330" s="1">
        <v>13.4</v>
      </c>
      <c r="BE2330" s="1">
        <v>45.4</v>
      </c>
      <c r="BF2330" s="1">
        <v>26.6</v>
      </c>
      <c r="BG2330" s="1">
        <v>14.6</v>
      </c>
      <c r="BH2330" s="1" t="s">
        <v>3846</v>
      </c>
    </row>
    <row r="2331">
      <c r="A2331" s="1">
        <v>45031.0</v>
      </c>
      <c r="B2331" s="2" t="str">
        <f>IFERROR(__xludf.DUMMYFUNCTION("TO_TEXT(A2331)"),"45031")</f>
        <v>45031</v>
      </c>
      <c r="C2331" s="1">
        <v>67689.0</v>
      </c>
      <c r="D2331" s="1">
        <v>561.149346752766</v>
      </c>
      <c r="E2331" s="1" t="s">
        <v>3847</v>
      </c>
      <c r="F2331" s="1" t="s">
        <v>3848</v>
      </c>
      <c r="G2331" s="1">
        <v>120.625641625887</v>
      </c>
      <c r="H2331" s="1">
        <v>23.455379449</v>
      </c>
      <c r="I2331" s="1">
        <v>4.7986731121</v>
      </c>
      <c r="J2331" s="1">
        <v>12.354651163</v>
      </c>
      <c r="K2331" s="1">
        <v>18.676525002</v>
      </c>
      <c r="L2331" s="1">
        <v>37.4</v>
      </c>
      <c r="M2331" s="1">
        <v>6.7</v>
      </c>
      <c r="N2331" s="1">
        <v>31.8</v>
      </c>
      <c r="O2331" s="1">
        <v>65.438767636</v>
      </c>
      <c r="P2331" s="1">
        <v>12.266716684</v>
      </c>
      <c r="Q2331" s="1">
        <v>49.05969</v>
      </c>
      <c r="R2331" s="1">
        <v>89.927184466</v>
      </c>
      <c r="S2331" s="1">
        <v>33.4</v>
      </c>
      <c r="T2331" s="1">
        <v>14797.0</v>
      </c>
      <c r="U2331" s="1">
        <v>49.8344258969999</v>
      </c>
      <c r="V2331" s="1">
        <v>675.85593597</v>
      </c>
      <c r="W2331" s="1">
        <v>14.4290854</v>
      </c>
      <c r="X2331" s="1">
        <v>12.812560574</v>
      </c>
      <c r="Y2331" s="1">
        <v>73.365239854</v>
      </c>
      <c r="Z2331" s="1">
        <v>15.4</v>
      </c>
      <c r="AA2331" s="1">
        <v>7.72145076659999</v>
      </c>
      <c r="AB2331" s="1">
        <v>37206.0</v>
      </c>
      <c r="AC2331" s="1">
        <v>97.380675204</v>
      </c>
      <c r="AD2331" s="1">
        <v>69.69765343</v>
      </c>
      <c r="AE2331" s="1">
        <v>13.759263784</v>
      </c>
      <c r="AF2331" s="1">
        <v>41.193377444</v>
      </c>
      <c r="AG2331" s="1">
        <v>0.372743331</v>
      </c>
      <c r="AH2331" s="1">
        <v>0.4625610012</v>
      </c>
      <c r="AI2331" s="1">
        <v>0.0568845244</v>
      </c>
      <c r="AJ2331" s="1">
        <v>2.1062243645</v>
      </c>
      <c r="AK2331" s="1">
        <v>54.709439837</v>
      </c>
      <c r="AL2331" s="1">
        <v>0.6034755134</v>
      </c>
      <c r="AM2331" s="1">
        <v>52.8202748419999</v>
      </c>
      <c r="AN2331" s="1">
        <v>57.764156026</v>
      </c>
      <c r="AO2331" s="1">
        <v>20144.0</v>
      </c>
      <c r="AP2331" s="1">
        <v>23.0</v>
      </c>
      <c r="AQ2331" s="1">
        <v>15.7</v>
      </c>
      <c r="AR2331" s="1">
        <v>19.1</v>
      </c>
      <c r="AS2331" s="1">
        <v>16.5</v>
      </c>
      <c r="AT2331" s="1">
        <v>23.1</v>
      </c>
      <c r="AU2331" s="1">
        <v>18.8</v>
      </c>
      <c r="AV2331" s="1">
        <v>44.8</v>
      </c>
      <c r="AW2331" s="1">
        <v>0.6</v>
      </c>
      <c r="AX2331" s="1">
        <v>0.9029</v>
      </c>
      <c r="AY2331" s="1">
        <v>19.6</v>
      </c>
      <c r="AZ2331" s="1">
        <v>14.6</v>
      </c>
      <c r="BA2331" s="1">
        <v>19.9</v>
      </c>
      <c r="BB2331" s="1">
        <v>2.92</v>
      </c>
      <c r="BC2331" s="1" t="s">
        <v>3823</v>
      </c>
      <c r="BD2331" s="1">
        <v>17.6</v>
      </c>
      <c r="BE2331" s="1">
        <v>35.1</v>
      </c>
      <c r="BF2331" s="1">
        <v>28.8</v>
      </c>
      <c r="BG2331" s="1">
        <v>18.4</v>
      </c>
      <c r="BH2331" s="1" t="s">
        <v>3848</v>
      </c>
    </row>
    <row r="2332">
      <c r="A2332" s="1">
        <v>45033.0</v>
      </c>
      <c r="B2332" s="2" t="str">
        <f>IFERROR(__xludf.DUMMYFUNCTION("TO_TEXT(A2332)"),"45033")</f>
        <v>45033</v>
      </c>
      <c r="C2332" s="1">
        <v>31273.0</v>
      </c>
      <c r="D2332" s="1">
        <v>404.837068273648</v>
      </c>
      <c r="E2332" s="1" t="s">
        <v>3849</v>
      </c>
      <c r="F2332" s="1" t="s">
        <v>3850</v>
      </c>
      <c r="G2332" s="1">
        <v>77.248361009425</v>
      </c>
      <c r="H2332" s="1">
        <v>24.224177116</v>
      </c>
      <c r="I2332" s="1">
        <v>4.8834441147</v>
      </c>
      <c r="J2332" s="1">
        <v>11.979522184</v>
      </c>
      <c r="K2332" s="1">
        <v>21.872837224</v>
      </c>
      <c r="L2332" s="1">
        <v>41.6</v>
      </c>
      <c r="M2332" s="1">
        <v>6.1</v>
      </c>
      <c r="N2332" s="1">
        <v>37.0</v>
      </c>
      <c r="O2332" s="1">
        <v>31.167737509</v>
      </c>
      <c r="P2332" s="1">
        <v>15.824606283</v>
      </c>
      <c r="Q2332" s="1">
        <v>52.17505</v>
      </c>
      <c r="R2332" s="1">
        <v>88.341968912</v>
      </c>
      <c r="S2332" s="1">
        <v>48.5</v>
      </c>
      <c r="T2332" s="1">
        <v>7868.0</v>
      </c>
      <c r="U2332" s="1">
        <v>47.267412303</v>
      </c>
      <c r="V2332" s="1">
        <v>913.61592807</v>
      </c>
      <c r="W2332" s="1">
        <v>15.31207903</v>
      </c>
      <c r="X2332" s="1">
        <v>12.216518899</v>
      </c>
      <c r="Y2332" s="1">
        <v>72.709600744</v>
      </c>
      <c r="Z2332" s="1">
        <v>23.0</v>
      </c>
      <c r="AA2332" s="1">
        <v>7.9517730157</v>
      </c>
      <c r="AB2332" s="1">
        <v>33159.0</v>
      </c>
      <c r="AC2332" s="1">
        <v>96.611329796</v>
      </c>
      <c r="AD2332" s="1">
        <v>64.788475565</v>
      </c>
      <c r="AE2332" s="1">
        <v>15.7834101379999</v>
      </c>
      <c r="AF2332" s="1">
        <v>46.968855191</v>
      </c>
      <c r="AG2332" s="1">
        <v>3.013170365</v>
      </c>
      <c r="AH2332" s="1">
        <v>0.5490375502</v>
      </c>
      <c r="AI2332" s="1">
        <v>0.0326808066</v>
      </c>
      <c r="AJ2332" s="1">
        <v>2.8530344129</v>
      </c>
      <c r="AK2332" s="1">
        <v>45.2563809269999</v>
      </c>
      <c r="AL2332" s="1">
        <v>0.8173913043</v>
      </c>
      <c r="AM2332" s="1">
        <v>52.563809275</v>
      </c>
      <c r="AN2332" s="1">
        <v>69.505957208</v>
      </c>
      <c r="AO2332" s="1">
        <v>15729.0</v>
      </c>
      <c r="AP2332" s="1">
        <v>30.6</v>
      </c>
      <c r="AQ2332" s="1">
        <v>9.5</v>
      </c>
      <c r="AR2332" s="1">
        <v>27.2</v>
      </c>
      <c r="AS2332" s="1">
        <v>15.1</v>
      </c>
      <c r="AT2332" s="1">
        <v>25.9</v>
      </c>
      <c r="AU2332" s="1">
        <v>20.7</v>
      </c>
      <c r="AV2332" s="1">
        <v>53.4</v>
      </c>
      <c r="AW2332" s="1">
        <v>1.0</v>
      </c>
      <c r="AX2332" s="1">
        <v>0.9774</v>
      </c>
      <c r="AY2332" s="1">
        <v>26.8</v>
      </c>
      <c r="AZ2332" s="1">
        <v>18.5</v>
      </c>
      <c r="BA2332" s="1">
        <v>25.8</v>
      </c>
      <c r="BB2332" s="1">
        <v>2.79</v>
      </c>
      <c r="BC2332" s="1" t="s">
        <v>3823</v>
      </c>
      <c r="BD2332" s="1">
        <v>24.7</v>
      </c>
      <c r="BE2332" s="1">
        <v>39.0</v>
      </c>
      <c r="BF2332" s="1">
        <v>25.2</v>
      </c>
      <c r="BG2332" s="1">
        <v>11.1</v>
      </c>
      <c r="BH2332" s="1" t="s">
        <v>3850</v>
      </c>
    </row>
    <row r="2333">
      <c r="A2333" s="1">
        <v>45035.0</v>
      </c>
      <c r="B2333" s="2" t="str">
        <f>IFERROR(__xludf.DUMMYFUNCTION("TO_TEXT(A2333)"),"45035")</f>
        <v>45035</v>
      </c>
      <c r="C2333" s="1">
        <v>148517.0</v>
      </c>
      <c r="D2333" s="1">
        <v>573.252359119208</v>
      </c>
      <c r="E2333" s="1" t="s">
        <v>2090</v>
      </c>
      <c r="F2333" s="1" t="s">
        <v>3851</v>
      </c>
      <c r="G2333" s="1">
        <v>259.077869698075</v>
      </c>
      <c r="H2333" s="1">
        <v>16.386607352</v>
      </c>
      <c r="I2333" s="1">
        <v>4.1860166517</v>
      </c>
      <c r="J2333" s="1">
        <v>8.2090711401</v>
      </c>
      <c r="K2333" s="1">
        <v>17.119669006</v>
      </c>
      <c r="L2333" s="1">
        <v>31.5</v>
      </c>
      <c r="M2333" s="1">
        <v>8.1</v>
      </c>
      <c r="N2333" s="1">
        <v>24.2</v>
      </c>
      <c r="O2333" s="1">
        <v>72.244883014</v>
      </c>
      <c r="P2333" s="1">
        <v>11.3198261009999</v>
      </c>
      <c r="Q2333" s="1">
        <v>37.07113</v>
      </c>
      <c r="R2333" s="1">
        <v>86.410635155</v>
      </c>
      <c r="S2333" s="1">
        <v>17.0</v>
      </c>
      <c r="T2333" s="1">
        <v>38198.0</v>
      </c>
      <c r="U2333" s="1">
        <v>34.677208231</v>
      </c>
      <c r="V2333" s="1">
        <v>461.31606646</v>
      </c>
      <c r="W2333" s="1">
        <v>14.328836902</v>
      </c>
      <c r="X2333" s="1">
        <v>13.019683149</v>
      </c>
      <c r="Y2333" s="1">
        <v>77.753271086</v>
      </c>
      <c r="Z2333" s="1">
        <v>9.8</v>
      </c>
      <c r="AA2333" s="1">
        <v>5.7085404451</v>
      </c>
      <c r="AB2333" s="1">
        <v>65468.0</v>
      </c>
      <c r="AC2333" s="1">
        <v>49.755159147</v>
      </c>
      <c r="AD2333" s="1">
        <v>71.372527452</v>
      </c>
      <c r="AE2333" s="1">
        <v>14.026293389</v>
      </c>
      <c r="AF2333" s="1">
        <v>25.194370265</v>
      </c>
      <c r="AG2333" s="1">
        <v>0.7227025715</v>
      </c>
      <c r="AH2333" s="1">
        <v>2.0019047975</v>
      </c>
      <c r="AI2333" s="1">
        <v>0.1624680199</v>
      </c>
      <c r="AJ2333" s="1">
        <v>5.5749562706</v>
      </c>
      <c r="AK2333" s="1">
        <v>64.017379721</v>
      </c>
      <c r="AL2333" s="1">
        <v>0.9825215312</v>
      </c>
      <c r="AM2333" s="1">
        <v>51.3990301719999</v>
      </c>
      <c r="AN2333" s="1">
        <v>19.482992201</v>
      </c>
      <c r="AO2333" s="1">
        <v>26288.0</v>
      </c>
      <c r="AP2333" s="1">
        <v>12.1</v>
      </c>
      <c r="AQ2333" s="1">
        <v>6.7</v>
      </c>
      <c r="AR2333" s="1">
        <v>10.1</v>
      </c>
      <c r="AS2333" s="1">
        <v>11.7</v>
      </c>
      <c r="AT2333" s="1">
        <v>25.6</v>
      </c>
      <c r="AU2333" s="1">
        <v>12.3</v>
      </c>
      <c r="AV2333" s="1">
        <v>35.1</v>
      </c>
      <c r="AW2333" s="1">
        <v>1.1</v>
      </c>
      <c r="AX2333" s="1">
        <v>0.4295</v>
      </c>
      <c r="AY2333" s="1">
        <v>9.3</v>
      </c>
      <c r="AZ2333" s="1">
        <v>9.1</v>
      </c>
      <c r="BA2333" s="1">
        <v>12.0</v>
      </c>
      <c r="BB2333" s="1">
        <v>3.2</v>
      </c>
      <c r="BC2333" s="1" t="s">
        <v>3823</v>
      </c>
      <c r="BD2333" s="1">
        <v>10.3</v>
      </c>
      <c r="BE2333" s="1">
        <v>27.3</v>
      </c>
      <c r="BF2333" s="1">
        <v>34.2</v>
      </c>
      <c r="BG2333" s="1">
        <v>28.2</v>
      </c>
      <c r="BH2333" s="1" t="s">
        <v>3851</v>
      </c>
    </row>
    <row r="2334">
      <c r="A2334" s="1">
        <v>45037.0</v>
      </c>
      <c r="B2334" s="2" t="str">
        <f>IFERROR(__xludf.DUMMYFUNCTION("TO_TEXT(A2334)"),"45037")</f>
        <v>45037</v>
      </c>
      <c r="C2334" s="1">
        <v>26388.0</v>
      </c>
      <c r="D2334" s="1">
        <v>500.398020612511</v>
      </c>
      <c r="E2334" s="1" t="s">
        <v>3852</v>
      </c>
      <c r="F2334" s="1" t="s">
        <v>3853</v>
      </c>
      <c r="G2334" s="1">
        <v>52.734021544889</v>
      </c>
      <c r="H2334" s="1">
        <v>18.941104075</v>
      </c>
      <c r="I2334" s="1">
        <v>4.3734980045</v>
      </c>
      <c r="J2334" s="1">
        <v>8.7153001937</v>
      </c>
      <c r="K2334" s="1">
        <v>16.655441499</v>
      </c>
      <c r="L2334" s="1">
        <v>38.3</v>
      </c>
      <c r="M2334" s="1">
        <v>7.9</v>
      </c>
      <c r="N2334" s="1">
        <v>30.6</v>
      </c>
      <c r="O2334" s="1">
        <v>42.808967945</v>
      </c>
      <c r="P2334" s="1">
        <v>13.257006683</v>
      </c>
      <c r="Q2334" s="1">
        <v>33.7167</v>
      </c>
      <c r="R2334" s="1">
        <v>88.9880952379999</v>
      </c>
      <c r="S2334" s="1">
        <v>25.0</v>
      </c>
      <c r="T2334" s="1">
        <v>4889.0</v>
      </c>
      <c r="U2334" s="1">
        <v>47.883002659</v>
      </c>
      <c r="V2334" s="1">
        <v>98.651135437</v>
      </c>
      <c r="W2334" s="1">
        <v>12.328013209</v>
      </c>
      <c r="X2334" s="1">
        <v>11.131019037</v>
      </c>
      <c r="Y2334" s="1">
        <v>79.816560495</v>
      </c>
      <c r="Z2334" s="1">
        <v>17.6</v>
      </c>
      <c r="AA2334" s="1">
        <v>3.6265751861</v>
      </c>
      <c r="AB2334" s="1">
        <v>48818.0</v>
      </c>
      <c r="AC2334" s="1">
        <v>63.565708902</v>
      </c>
      <c r="AD2334" s="1">
        <v>72.989076465</v>
      </c>
      <c r="AE2334" s="1">
        <v>11.506398967</v>
      </c>
      <c r="AF2334" s="1">
        <v>35.091675292</v>
      </c>
      <c r="AG2334" s="1">
        <v>0.4805559663</v>
      </c>
      <c r="AH2334" s="1">
        <v>0.5360047316</v>
      </c>
      <c r="AI2334" s="1">
        <v>0.0739316871</v>
      </c>
      <c r="AJ2334" s="1">
        <v>6.0439154221</v>
      </c>
      <c r="AK2334" s="1">
        <v>56.6908176839999</v>
      </c>
      <c r="AL2334" s="1">
        <v>2.4107142857</v>
      </c>
      <c r="AM2334" s="1">
        <v>46.310808813</v>
      </c>
      <c r="AN2334" s="1">
        <v>73.3110987589999</v>
      </c>
      <c r="AO2334" s="1">
        <v>22695.0</v>
      </c>
      <c r="AP2334" s="1">
        <v>16.9</v>
      </c>
      <c r="AQ2334" s="1">
        <v>7.0</v>
      </c>
      <c r="AR2334" s="1">
        <v>19.7</v>
      </c>
      <c r="AS2334" s="1">
        <v>15.8</v>
      </c>
      <c r="AT2334" s="1">
        <v>19.3</v>
      </c>
      <c r="AU2334" s="1">
        <v>15.7</v>
      </c>
      <c r="AV2334" s="1">
        <v>43.7</v>
      </c>
      <c r="AW2334" s="1">
        <v>2.1</v>
      </c>
      <c r="AX2334" s="1">
        <v>0.7826</v>
      </c>
      <c r="AY2334" s="1">
        <v>15.7</v>
      </c>
      <c r="AZ2334" s="1">
        <v>11.4</v>
      </c>
      <c r="BA2334" s="1">
        <v>15.1</v>
      </c>
      <c r="BB2334" s="1">
        <v>3.08</v>
      </c>
      <c r="BC2334" s="1" t="s">
        <v>3823</v>
      </c>
      <c r="BD2334" s="1">
        <v>17.1</v>
      </c>
      <c r="BE2334" s="1">
        <v>36.7</v>
      </c>
      <c r="BF2334" s="1">
        <v>29.6</v>
      </c>
      <c r="BG2334" s="1">
        <v>16.7</v>
      </c>
      <c r="BH2334" s="1" t="s">
        <v>3853</v>
      </c>
    </row>
    <row r="2335">
      <c r="A2335" s="1">
        <v>45039.0</v>
      </c>
      <c r="B2335" s="2" t="str">
        <f>IFERROR(__xludf.DUMMYFUNCTION("TO_TEXT(A2335)"),"45039")</f>
        <v>45039</v>
      </c>
      <c r="C2335" s="1">
        <v>23025.0</v>
      </c>
      <c r="D2335" s="1">
        <v>686.27675279472</v>
      </c>
      <c r="E2335" s="1" t="s">
        <v>652</v>
      </c>
      <c r="F2335" s="1" t="s">
        <v>3854</v>
      </c>
      <c r="G2335" s="1">
        <v>33.5506046303265</v>
      </c>
      <c r="H2335" s="1">
        <v>22.944390714</v>
      </c>
      <c r="I2335" s="1">
        <v>4.6118281548</v>
      </c>
      <c r="J2335" s="1">
        <v>11.432414257</v>
      </c>
      <c r="K2335" s="1">
        <v>19.361243329</v>
      </c>
      <c r="L2335" s="1">
        <v>42.4</v>
      </c>
      <c r="M2335" s="1">
        <v>6.2</v>
      </c>
      <c r="N2335" s="1">
        <v>36.6</v>
      </c>
      <c r="O2335" s="1">
        <v>32.3885456669999</v>
      </c>
      <c r="P2335" s="1">
        <v>11.693112666</v>
      </c>
      <c r="Q2335" s="1">
        <v>39.81068</v>
      </c>
      <c r="R2335" s="1">
        <v>90.9574468089999</v>
      </c>
      <c r="S2335" s="1">
        <v>34.1</v>
      </c>
      <c r="T2335" s="1">
        <v>4401.0</v>
      </c>
      <c r="U2335" s="1">
        <v>49.488752556</v>
      </c>
      <c r="V2335" s="1">
        <v>725.71804429</v>
      </c>
      <c r="W2335" s="1">
        <v>15.371621622</v>
      </c>
      <c r="X2335" s="1">
        <v>15.572792363</v>
      </c>
      <c r="Y2335" s="1">
        <v>73.771041923</v>
      </c>
      <c r="Z2335" s="1">
        <v>20.7</v>
      </c>
      <c r="AA2335" s="1">
        <v>9.4377692578</v>
      </c>
      <c r="AB2335" s="1">
        <v>39522.0</v>
      </c>
      <c r="AC2335" s="1">
        <v>100.0</v>
      </c>
      <c r="AD2335" s="1">
        <v>73.694175298</v>
      </c>
      <c r="AE2335" s="1">
        <v>16.534375382</v>
      </c>
      <c r="AF2335" s="1">
        <v>57.00830283</v>
      </c>
      <c r="AG2335" s="1">
        <v>0.3347915365</v>
      </c>
      <c r="AH2335" s="1">
        <v>0.6963663959</v>
      </c>
      <c r="AI2335" s="1">
        <v>0.0267833229</v>
      </c>
      <c r="AJ2335" s="1">
        <v>2.2453352379</v>
      </c>
      <c r="AK2335" s="1">
        <v>38.242121239</v>
      </c>
      <c r="AL2335" s="1">
        <v>0.5307855626</v>
      </c>
      <c r="AM2335" s="1">
        <v>52.223015802</v>
      </c>
      <c r="AN2335" s="1">
        <v>78.314409751</v>
      </c>
      <c r="AO2335" s="1">
        <v>20762.0</v>
      </c>
      <c r="AP2335" s="1">
        <v>24.5</v>
      </c>
      <c r="AQ2335" s="1">
        <v>10.8</v>
      </c>
      <c r="AR2335" s="1">
        <v>17.9</v>
      </c>
      <c r="AS2335" s="1">
        <v>17.9</v>
      </c>
      <c r="AT2335" s="1">
        <v>20.4</v>
      </c>
      <c r="AU2335" s="1">
        <v>19.2</v>
      </c>
      <c r="AV2335" s="1">
        <v>62.5</v>
      </c>
      <c r="AW2335" s="1">
        <v>0.8</v>
      </c>
      <c r="AX2335" s="1">
        <v>0.8475</v>
      </c>
      <c r="AY2335" s="1">
        <v>19.1</v>
      </c>
      <c r="AZ2335" s="1">
        <v>15.8</v>
      </c>
      <c r="BA2335" s="1">
        <v>22.9</v>
      </c>
      <c r="BB2335" s="1">
        <v>3.24</v>
      </c>
      <c r="BC2335" s="1" t="s">
        <v>3823</v>
      </c>
      <c r="BD2335" s="1">
        <v>13.8</v>
      </c>
      <c r="BE2335" s="1">
        <v>41.3</v>
      </c>
      <c r="BF2335" s="1">
        <v>28.0</v>
      </c>
      <c r="BG2335" s="1">
        <v>16.9</v>
      </c>
      <c r="BH2335" s="1" t="s">
        <v>3854</v>
      </c>
    </row>
    <row r="2336">
      <c r="A2336" s="1">
        <v>45041.0</v>
      </c>
      <c r="B2336" s="2" t="str">
        <f>IFERROR(__xludf.DUMMYFUNCTION("TO_TEXT(A2336)"),"45041")</f>
        <v>45041</v>
      </c>
      <c r="C2336" s="1">
        <v>138575.0</v>
      </c>
      <c r="D2336" s="1">
        <v>799.96269325093</v>
      </c>
      <c r="E2336" s="1" t="s">
        <v>3855</v>
      </c>
      <c r="F2336" s="1" t="s">
        <v>3856</v>
      </c>
      <c r="G2336" s="1">
        <v>173.226828162263</v>
      </c>
      <c r="H2336" s="1">
        <v>19.754710755</v>
      </c>
      <c r="I2336" s="1">
        <v>4.6278479707</v>
      </c>
      <c r="J2336" s="1">
        <v>12.7716482779999</v>
      </c>
      <c r="K2336" s="1">
        <v>18.043963314</v>
      </c>
      <c r="L2336" s="1">
        <v>38.2</v>
      </c>
      <c r="M2336" s="1">
        <v>6.7</v>
      </c>
      <c r="N2336" s="1">
        <v>32.1</v>
      </c>
      <c r="O2336" s="1">
        <v>45.7610402889999</v>
      </c>
      <c r="P2336" s="1">
        <v>11.472648284</v>
      </c>
      <c r="Q2336" s="1">
        <v>101.03489</v>
      </c>
      <c r="R2336" s="1">
        <v>85.427135678</v>
      </c>
      <c r="S2336" s="1">
        <v>26.3</v>
      </c>
      <c r="T2336" s="1">
        <v>33015.0</v>
      </c>
      <c r="U2336" s="1">
        <v>46.245645919</v>
      </c>
      <c r="V2336" s="1">
        <v>560.25450321</v>
      </c>
      <c r="W2336" s="1">
        <v>13.661835749</v>
      </c>
      <c r="X2336" s="1">
        <v>11.819610926</v>
      </c>
      <c r="Y2336" s="1">
        <v>74.413099144</v>
      </c>
      <c r="Z2336" s="1">
        <v>16.0</v>
      </c>
      <c r="AA2336" s="1">
        <v>10.202823041</v>
      </c>
      <c r="AB2336" s="1">
        <v>47949.0</v>
      </c>
      <c r="AC2336" s="1">
        <v>80.003470866</v>
      </c>
      <c r="AD2336" s="1">
        <v>65.445428522</v>
      </c>
      <c r="AE2336" s="1">
        <v>12.937999919</v>
      </c>
      <c r="AF2336" s="1">
        <v>42.668953886</v>
      </c>
      <c r="AG2336" s="1">
        <v>0.4161871467</v>
      </c>
      <c r="AH2336" s="1">
        <v>1.5590732417</v>
      </c>
      <c r="AI2336" s="1">
        <v>0.0955420928</v>
      </c>
      <c r="AJ2336" s="1">
        <v>2.7178830188</v>
      </c>
      <c r="AK2336" s="1">
        <v>51.510940293</v>
      </c>
      <c r="AL2336" s="1">
        <v>0.6642447007</v>
      </c>
      <c r="AM2336" s="1">
        <v>53.34433515</v>
      </c>
      <c r="AN2336" s="1">
        <v>38.518464404</v>
      </c>
      <c r="AO2336" s="1">
        <v>23420.0</v>
      </c>
      <c r="AP2336" s="1">
        <v>19.6</v>
      </c>
      <c r="AQ2336" s="1">
        <v>10.5</v>
      </c>
      <c r="AR2336" s="1">
        <v>15.3</v>
      </c>
      <c r="AS2336" s="1">
        <v>15.0</v>
      </c>
      <c r="AT2336" s="1">
        <v>24.2</v>
      </c>
      <c r="AU2336" s="1">
        <v>16.0</v>
      </c>
      <c r="AV2336" s="1">
        <v>47.1</v>
      </c>
      <c r="AW2336" s="1">
        <v>0.5</v>
      </c>
      <c r="AX2336" s="1">
        <v>0.865</v>
      </c>
      <c r="AY2336" s="1">
        <v>17.0</v>
      </c>
      <c r="AZ2336" s="1">
        <v>12.8</v>
      </c>
      <c r="BA2336" s="1">
        <v>17.1</v>
      </c>
      <c r="BB2336" s="1">
        <v>2.68</v>
      </c>
      <c r="BC2336" s="1" t="s">
        <v>3823</v>
      </c>
      <c r="BD2336" s="1">
        <v>15.0</v>
      </c>
      <c r="BE2336" s="1">
        <v>32.9</v>
      </c>
      <c r="BF2336" s="1">
        <v>28.5</v>
      </c>
      <c r="BG2336" s="1">
        <v>23.6</v>
      </c>
      <c r="BH2336" s="1" t="s">
        <v>3856</v>
      </c>
    </row>
    <row r="2337">
      <c r="A2337" s="1">
        <v>45043.0</v>
      </c>
      <c r="B2337" s="2" t="str">
        <f>IFERROR(__xludf.DUMMYFUNCTION("TO_TEXT(A2337)"),"45043")</f>
        <v>45043</v>
      </c>
      <c r="C2337" s="1">
        <v>60804.0</v>
      </c>
      <c r="D2337" s="1">
        <v>813.587778388876</v>
      </c>
      <c r="E2337" s="1" t="s">
        <v>3857</v>
      </c>
      <c r="F2337" s="1" t="s">
        <v>3858</v>
      </c>
      <c r="G2337" s="1">
        <v>74.735635926597</v>
      </c>
      <c r="H2337" s="1">
        <v>18.5388099159999</v>
      </c>
      <c r="I2337" s="1">
        <v>4.4534782197</v>
      </c>
      <c r="J2337" s="1">
        <v>10.300429185</v>
      </c>
      <c r="K2337" s="1">
        <v>16.353671164</v>
      </c>
      <c r="L2337" s="1">
        <v>34.0</v>
      </c>
      <c r="M2337" s="1">
        <v>7.3</v>
      </c>
      <c r="N2337" s="1">
        <v>26.3</v>
      </c>
      <c r="O2337" s="1">
        <v>69.442135709</v>
      </c>
      <c r="P2337" s="1">
        <v>13.232845894</v>
      </c>
      <c r="Q2337" s="1">
        <v>61.6813</v>
      </c>
      <c r="R2337" s="1">
        <v>90.2757619739999</v>
      </c>
      <c r="S2337" s="1">
        <v>32.8</v>
      </c>
      <c r="T2337" s="1">
        <v>11747.0</v>
      </c>
      <c r="U2337" s="1">
        <v>45.850004256</v>
      </c>
      <c r="V2337" s="1">
        <v>477.41281494</v>
      </c>
      <c r="W2337" s="1">
        <v>14.704675964</v>
      </c>
      <c r="X2337" s="1">
        <v>13.32492644</v>
      </c>
      <c r="Y2337" s="1">
        <v>76.129197037</v>
      </c>
      <c r="Z2337" s="1">
        <v>15.7</v>
      </c>
      <c r="AA2337" s="1">
        <v>7.8133943394</v>
      </c>
      <c r="AB2337" s="1">
        <v>46058.0</v>
      </c>
      <c r="AC2337" s="1">
        <v>83.416287197</v>
      </c>
      <c r="AD2337" s="1">
        <v>77.0937039539999</v>
      </c>
      <c r="AE2337" s="1">
        <v>15.189294768</v>
      </c>
      <c r="AF2337" s="1">
        <v>30.6398496359999</v>
      </c>
      <c r="AG2337" s="1">
        <v>0.3228967534</v>
      </c>
      <c r="AH2337" s="1">
        <v>0.5863548009</v>
      </c>
      <c r="AI2337" s="1">
        <v>0.0626516089</v>
      </c>
      <c r="AJ2337" s="1">
        <v>3.2209352761</v>
      </c>
      <c r="AK2337" s="1">
        <v>64.431557133</v>
      </c>
      <c r="AL2337" s="1">
        <v>0.8720237081</v>
      </c>
      <c r="AM2337" s="1">
        <v>52.673938537</v>
      </c>
      <c r="AN2337" s="1">
        <v>41.517337677</v>
      </c>
      <c r="AO2337" s="1">
        <v>26601.0</v>
      </c>
      <c r="AP2337" s="1">
        <v>19.1</v>
      </c>
      <c r="AQ2337" s="1">
        <v>9.5</v>
      </c>
      <c r="AR2337" s="1">
        <v>14.0</v>
      </c>
      <c r="AS2337" s="1">
        <v>24.2</v>
      </c>
      <c r="AT2337" s="1">
        <v>20.0</v>
      </c>
      <c r="AU2337" s="1">
        <v>15.7</v>
      </c>
      <c r="AV2337" s="1">
        <v>37.0</v>
      </c>
      <c r="AW2337" s="1">
        <v>0.8</v>
      </c>
      <c r="AX2337" s="1">
        <v>0.7179</v>
      </c>
      <c r="AY2337" s="1">
        <v>17.5</v>
      </c>
      <c r="AZ2337" s="1">
        <v>12.3</v>
      </c>
      <c r="BA2337" s="1">
        <v>19.1</v>
      </c>
      <c r="BB2337" s="1">
        <v>3.34</v>
      </c>
      <c r="BC2337" s="1" t="s">
        <v>3823</v>
      </c>
      <c r="BD2337" s="1">
        <v>12.8</v>
      </c>
      <c r="BE2337" s="1">
        <v>28.8</v>
      </c>
      <c r="BF2337" s="1">
        <v>31.1</v>
      </c>
      <c r="BG2337" s="1">
        <v>27.3</v>
      </c>
      <c r="BH2337" s="1" t="s">
        <v>3858</v>
      </c>
    </row>
    <row r="2338">
      <c r="A2338" s="1">
        <v>45045.0</v>
      </c>
      <c r="B2338" s="2" t="str">
        <f>IFERROR(__xludf.DUMMYFUNCTION("TO_TEXT(A2338)"),"45045")</f>
        <v>45045</v>
      </c>
      <c r="C2338" s="1">
        <v>482191.0</v>
      </c>
      <c r="D2338" s="1">
        <v>785.162083894294</v>
      </c>
      <c r="E2338" s="1" t="s">
        <v>3859</v>
      </c>
      <c r="F2338" s="1" t="s">
        <v>3860</v>
      </c>
      <c r="G2338" s="1">
        <v>614.129247821546</v>
      </c>
      <c r="H2338" s="1">
        <v>15.4013418809999</v>
      </c>
      <c r="I2338" s="1">
        <v>3.8286400794</v>
      </c>
      <c r="J2338" s="1">
        <v>8.2420460498</v>
      </c>
      <c r="K2338" s="1">
        <v>14.801699718</v>
      </c>
      <c r="L2338" s="1">
        <v>28.5</v>
      </c>
      <c r="M2338" s="1">
        <v>7.6</v>
      </c>
      <c r="N2338" s="1">
        <v>22.2</v>
      </c>
      <c r="O2338" s="1">
        <v>79.915563189</v>
      </c>
      <c r="P2338" s="1">
        <v>13.116678972</v>
      </c>
      <c r="Q2338" s="1">
        <v>104.96471</v>
      </c>
      <c r="R2338" s="1">
        <v>87.2620790629999</v>
      </c>
      <c r="S2338" s="1">
        <v>14.6</v>
      </c>
      <c r="T2338" s="1">
        <v>115351.0</v>
      </c>
      <c r="U2338" s="1">
        <v>28.912623211</v>
      </c>
      <c r="V2338" s="1">
        <v>532.54528161</v>
      </c>
      <c r="W2338" s="1">
        <v>13.1285452</v>
      </c>
      <c r="X2338" s="1">
        <v>11.3132668179999</v>
      </c>
      <c r="Y2338" s="1">
        <v>78.006418283</v>
      </c>
      <c r="Z2338" s="1">
        <v>10.9</v>
      </c>
      <c r="AA2338" s="1">
        <v>12.8894364379999</v>
      </c>
      <c r="AB2338" s="1">
        <v>61162.0</v>
      </c>
      <c r="AC2338" s="1">
        <v>51.3560009339999</v>
      </c>
      <c r="AD2338" s="1">
        <v>66.503110905</v>
      </c>
      <c r="AE2338" s="1">
        <v>10.978684017</v>
      </c>
      <c r="AF2338" s="1">
        <v>17.915338585</v>
      </c>
      <c r="AG2338" s="1">
        <v>0.4910416501</v>
      </c>
      <c r="AH2338" s="1">
        <v>2.616425489</v>
      </c>
      <c r="AI2338" s="1">
        <v>0.0820671588999999</v>
      </c>
      <c r="AJ2338" s="1">
        <v>9.2556975417</v>
      </c>
      <c r="AK2338" s="1">
        <v>68.262373763</v>
      </c>
      <c r="AL2338" s="1">
        <v>2.6830093926</v>
      </c>
      <c r="AM2338" s="1">
        <v>51.505699</v>
      </c>
      <c r="AN2338" s="1">
        <v>12.605684525</v>
      </c>
      <c r="AO2338" s="1">
        <v>28065.0</v>
      </c>
      <c r="AP2338" s="1">
        <v>14.3</v>
      </c>
      <c r="AQ2338" s="1">
        <v>6.4</v>
      </c>
      <c r="AR2338" s="1">
        <v>13.1</v>
      </c>
      <c r="AS2338" s="1">
        <v>14.3</v>
      </c>
      <c r="AT2338" s="1">
        <v>23.5</v>
      </c>
      <c r="AU2338" s="1">
        <v>12.1</v>
      </c>
      <c r="AV2338" s="1">
        <v>30.7</v>
      </c>
      <c r="AW2338" s="1">
        <v>2.5</v>
      </c>
      <c r="AX2338" s="1">
        <v>0.5358</v>
      </c>
      <c r="AY2338" s="1">
        <v>10.7</v>
      </c>
      <c r="AZ2338" s="1">
        <v>9.1</v>
      </c>
      <c r="BA2338" s="1">
        <v>11.0</v>
      </c>
      <c r="BB2338" s="1">
        <v>3.06</v>
      </c>
      <c r="BC2338" s="1" t="s">
        <v>3823</v>
      </c>
      <c r="BD2338" s="1">
        <v>12.0</v>
      </c>
      <c r="BE2338" s="1">
        <v>23.8</v>
      </c>
      <c r="BF2338" s="1">
        <v>29.2</v>
      </c>
      <c r="BG2338" s="1">
        <v>35.1</v>
      </c>
      <c r="BH2338" s="1" t="s">
        <v>3860</v>
      </c>
    </row>
    <row r="2339">
      <c r="A2339" s="1">
        <v>45047.0</v>
      </c>
      <c r="B2339" s="2" t="str">
        <f>IFERROR(__xludf.DUMMYFUNCTION("TO_TEXT(A2339)"),"45047")</f>
        <v>45047</v>
      </c>
      <c r="C2339" s="1">
        <v>69881.0</v>
      </c>
      <c r="D2339" s="1">
        <v>454.730380687826</v>
      </c>
      <c r="E2339" s="1" t="s">
        <v>1644</v>
      </c>
      <c r="F2339" s="1" t="s">
        <v>3861</v>
      </c>
      <c r="G2339" s="1">
        <v>153.675678968925</v>
      </c>
      <c r="H2339" s="1">
        <v>19.04520344</v>
      </c>
      <c r="I2339" s="1">
        <v>4.6248933154</v>
      </c>
      <c r="J2339" s="1">
        <v>10.49518337</v>
      </c>
      <c r="K2339" s="1">
        <v>18.733482757</v>
      </c>
      <c r="L2339" s="1">
        <v>36.3</v>
      </c>
      <c r="M2339" s="1">
        <v>7.0</v>
      </c>
      <c r="N2339" s="1">
        <v>29.0</v>
      </c>
      <c r="O2339" s="1">
        <v>74.485005957</v>
      </c>
      <c r="P2339" s="1">
        <v>14.4452501809999</v>
      </c>
      <c r="Q2339" s="1">
        <v>105.18087</v>
      </c>
      <c r="R2339" s="1">
        <v>83.542857143</v>
      </c>
      <c r="S2339" s="1">
        <v>31.0</v>
      </c>
      <c r="T2339" s="1">
        <v>16055.0</v>
      </c>
      <c r="U2339" s="1">
        <v>48.59545313</v>
      </c>
      <c r="V2339" s="1">
        <v>617.00182815</v>
      </c>
      <c r="W2339" s="1">
        <v>15.594105577</v>
      </c>
      <c r="X2339" s="1">
        <v>13.126309773</v>
      </c>
      <c r="Y2339" s="1">
        <v>75.98464512</v>
      </c>
      <c r="Z2339" s="1">
        <v>13.7</v>
      </c>
      <c r="AA2339" s="1">
        <v>7.2039954895</v>
      </c>
      <c r="AB2339" s="1">
        <v>43879.0</v>
      </c>
      <c r="AC2339" s="1">
        <v>96.477231983</v>
      </c>
      <c r="AD2339" s="1">
        <v>64.193038556</v>
      </c>
      <c r="AE2339" s="1">
        <v>13.392515497</v>
      </c>
      <c r="AF2339" s="1">
        <v>31.772239578</v>
      </c>
      <c r="AG2339" s="1">
        <v>0.5074850511</v>
      </c>
      <c r="AH2339" s="1">
        <v>1.3655447336</v>
      </c>
      <c r="AI2339" s="1">
        <v>0.0947116948</v>
      </c>
      <c r="AJ2339" s="1">
        <v>6.2636943215</v>
      </c>
      <c r="AK2339" s="1">
        <v>59.238631063</v>
      </c>
      <c r="AL2339" s="1">
        <v>1.8759960537</v>
      </c>
      <c r="AM2339" s="1">
        <v>53.423050282</v>
      </c>
      <c r="AN2339" s="1">
        <v>39.752515755</v>
      </c>
      <c r="AO2339" s="1">
        <v>21887.0</v>
      </c>
      <c r="AP2339" s="1">
        <v>24.2</v>
      </c>
      <c r="AQ2339" s="1">
        <v>11.4</v>
      </c>
      <c r="AR2339" s="1">
        <v>17.5</v>
      </c>
      <c r="AS2339" s="1">
        <v>16.9</v>
      </c>
      <c r="AT2339" s="1">
        <v>23.2</v>
      </c>
      <c r="AU2339" s="1">
        <v>15.5</v>
      </c>
      <c r="AV2339" s="1">
        <v>39.7</v>
      </c>
      <c r="AW2339" s="1">
        <v>2.1</v>
      </c>
      <c r="AX2339" s="1">
        <v>0.9386</v>
      </c>
      <c r="AY2339" s="1">
        <v>18.0</v>
      </c>
      <c r="AZ2339" s="1">
        <v>13.5</v>
      </c>
      <c r="BA2339" s="1">
        <v>20.4</v>
      </c>
      <c r="BB2339" s="1">
        <v>2.77</v>
      </c>
      <c r="BC2339" s="1" t="s">
        <v>3823</v>
      </c>
      <c r="BD2339" s="1">
        <v>14.8</v>
      </c>
      <c r="BE2339" s="1">
        <v>30.5</v>
      </c>
      <c r="BF2339" s="1">
        <v>30.1</v>
      </c>
      <c r="BG2339" s="1">
        <v>24.6</v>
      </c>
      <c r="BH2339" s="1" t="s">
        <v>3861</v>
      </c>
    </row>
    <row r="2340">
      <c r="A2340" s="1">
        <v>45049.0</v>
      </c>
      <c r="B2340" s="2" t="str">
        <f>IFERROR(__xludf.DUMMYFUNCTION("TO_TEXT(A2340)"),"45049")</f>
        <v>45049</v>
      </c>
      <c r="C2340" s="1">
        <v>20296.0</v>
      </c>
      <c r="D2340" s="1">
        <v>559.894901740868</v>
      </c>
      <c r="E2340" s="1" t="s">
        <v>3862</v>
      </c>
      <c r="F2340" s="1" t="s">
        <v>3863</v>
      </c>
      <c r="G2340" s="1">
        <v>36.2496603146307</v>
      </c>
      <c r="H2340" s="1">
        <v>22.1805770609999</v>
      </c>
      <c r="I2340" s="1">
        <v>4.7050927405</v>
      </c>
      <c r="J2340" s="1">
        <v>12.834224599</v>
      </c>
      <c r="K2340" s="1">
        <v>20.19513916</v>
      </c>
      <c r="L2340" s="1">
        <v>42.3</v>
      </c>
      <c r="M2340" s="1">
        <v>6.7</v>
      </c>
      <c r="N2340" s="1">
        <v>34.4</v>
      </c>
      <c r="O2340" s="1">
        <v>44.812707444</v>
      </c>
      <c r="P2340" s="1">
        <v>12.289620114</v>
      </c>
      <c r="Q2340" s="1">
        <v>30.60912</v>
      </c>
      <c r="R2340" s="1">
        <v>86.206896552</v>
      </c>
      <c r="S2340" s="1">
        <v>36.7</v>
      </c>
      <c r="T2340" s="1">
        <v>4320.0</v>
      </c>
      <c r="U2340" s="1">
        <v>51.736111111</v>
      </c>
      <c r="V2340" s="1">
        <v>723.34293948</v>
      </c>
      <c r="W2340" s="1">
        <v>9.6021947874</v>
      </c>
      <c r="X2340" s="1">
        <v>8.0499653019</v>
      </c>
      <c r="Y2340" s="1">
        <v>73.98070018</v>
      </c>
      <c r="Z2340" s="1">
        <v>17.9</v>
      </c>
      <c r="AA2340" s="1">
        <v>10.241663595</v>
      </c>
      <c r="AB2340" s="1">
        <v>35871.0</v>
      </c>
      <c r="AC2340" s="1">
        <v>100.0</v>
      </c>
      <c r="AD2340" s="1">
        <v>73.844598498</v>
      </c>
      <c r="AE2340" s="1">
        <v>6.295020357</v>
      </c>
      <c r="AF2340" s="1">
        <v>52.74146039</v>
      </c>
      <c r="AG2340" s="1">
        <v>0.4857630097</v>
      </c>
      <c r="AH2340" s="1">
        <v>0.5529430004</v>
      </c>
      <c r="AI2340" s="1">
        <v>0.0465092243</v>
      </c>
      <c r="AJ2340" s="1">
        <v>4.1341532737</v>
      </c>
      <c r="AK2340" s="1">
        <v>40.95912356</v>
      </c>
      <c r="AL2340" s="1">
        <v>1.0637160573</v>
      </c>
      <c r="AM2340" s="1">
        <v>48.839853238</v>
      </c>
      <c r="AN2340" s="1">
        <v>78.473210052</v>
      </c>
      <c r="AO2340" s="1">
        <v>20291.0</v>
      </c>
      <c r="AP2340" s="1">
        <v>17.5</v>
      </c>
      <c r="AQ2340" s="1">
        <v>9.6</v>
      </c>
      <c r="AR2340" s="1">
        <v>20.1</v>
      </c>
      <c r="AS2340" s="1">
        <v>16.0</v>
      </c>
      <c r="AT2340" s="1">
        <v>22.4</v>
      </c>
      <c r="AU2340" s="1">
        <v>15.8</v>
      </c>
      <c r="AV2340" s="1">
        <v>58.9</v>
      </c>
      <c r="AW2340" s="1">
        <v>0.9</v>
      </c>
      <c r="AX2340" s="1">
        <v>0.8386</v>
      </c>
      <c r="AY2340" s="1">
        <v>23.2</v>
      </c>
      <c r="AZ2340" s="1">
        <v>11.9</v>
      </c>
      <c r="BA2340" s="1">
        <v>16.7</v>
      </c>
      <c r="BB2340" s="1">
        <v>3.43</v>
      </c>
      <c r="BC2340" s="1" t="s">
        <v>3823</v>
      </c>
      <c r="BD2340" s="1">
        <v>19.0</v>
      </c>
      <c r="BE2340" s="1">
        <v>42.5</v>
      </c>
      <c r="BF2340" s="1">
        <v>26.6</v>
      </c>
      <c r="BG2340" s="1">
        <v>11.9</v>
      </c>
      <c r="BH2340" s="1" t="s">
        <v>3863</v>
      </c>
    </row>
    <row r="2341">
      <c r="A2341" s="1">
        <v>45051.0</v>
      </c>
      <c r="B2341" s="2" t="str">
        <f>IFERROR(__xludf.DUMMYFUNCTION("TO_TEXT(A2341)"),"45051")</f>
        <v>45051</v>
      </c>
      <c r="C2341" s="1">
        <v>300418.0</v>
      </c>
      <c r="D2341" s="1">
        <v>1133.92271468061</v>
      </c>
      <c r="E2341" s="1" t="s">
        <v>3864</v>
      </c>
      <c r="F2341" s="1" t="s">
        <v>3865</v>
      </c>
      <c r="G2341" s="1">
        <v>264.936927455957</v>
      </c>
      <c r="H2341" s="1">
        <v>17.855810359</v>
      </c>
      <c r="I2341" s="1">
        <v>4.7098655316</v>
      </c>
      <c r="J2341" s="1">
        <v>9.48465919529999</v>
      </c>
      <c r="K2341" s="1">
        <v>17.395272353</v>
      </c>
      <c r="L2341" s="1">
        <v>30.6</v>
      </c>
      <c r="M2341" s="1">
        <v>7.9</v>
      </c>
      <c r="N2341" s="1">
        <v>25.3</v>
      </c>
      <c r="O2341" s="1">
        <v>84.198506448</v>
      </c>
      <c r="P2341" s="1">
        <v>17.444710623</v>
      </c>
      <c r="Q2341" s="1">
        <v>59.11159</v>
      </c>
      <c r="R2341" s="1">
        <v>80.21190402</v>
      </c>
      <c r="S2341" s="1">
        <v>24.5</v>
      </c>
      <c r="T2341" s="1">
        <v>59426.0</v>
      </c>
      <c r="U2341" s="1">
        <v>39.640897923</v>
      </c>
      <c r="V2341" s="1">
        <v>569.06809604</v>
      </c>
      <c r="W2341" s="1">
        <v>16.626407369</v>
      </c>
      <c r="X2341" s="1">
        <v>15.119946875</v>
      </c>
      <c r="Y2341" s="1">
        <v>76.805169292</v>
      </c>
      <c r="Z2341" s="1">
        <v>12.2</v>
      </c>
      <c r="AA2341" s="1">
        <v>6.27231328429999</v>
      </c>
      <c r="AB2341" s="1">
        <v>49082.0</v>
      </c>
      <c r="AC2341" s="1">
        <v>63.012418213</v>
      </c>
      <c r="AD2341" s="1">
        <v>70.800087101</v>
      </c>
      <c r="AE2341" s="1">
        <v>14.559476513</v>
      </c>
      <c r="AF2341" s="1">
        <v>12.724504354</v>
      </c>
      <c r="AG2341" s="1">
        <v>0.5918982295</v>
      </c>
      <c r="AH2341" s="1">
        <v>1.3767372663</v>
      </c>
      <c r="AI2341" s="1">
        <v>0.1391847089</v>
      </c>
      <c r="AJ2341" s="1">
        <v>6.0779260026</v>
      </c>
      <c r="AK2341" s="1">
        <v>77.542445525</v>
      </c>
      <c r="AL2341" s="1">
        <v>1.5179177224</v>
      </c>
      <c r="AM2341" s="1">
        <v>51.820007148</v>
      </c>
      <c r="AN2341" s="1">
        <v>30.375690238</v>
      </c>
      <c r="AO2341" s="1">
        <v>24986.0</v>
      </c>
      <c r="AP2341" s="1">
        <v>17.6</v>
      </c>
      <c r="AQ2341" s="1">
        <v>8.0</v>
      </c>
      <c r="AR2341" s="1">
        <v>11.5</v>
      </c>
      <c r="AS2341" s="1">
        <v>20.5</v>
      </c>
      <c r="AT2341" s="1">
        <v>19.2</v>
      </c>
      <c r="AU2341" s="1">
        <v>16.4</v>
      </c>
      <c r="AV2341" s="1">
        <v>22.8</v>
      </c>
      <c r="AW2341" s="1">
        <v>1.7</v>
      </c>
      <c r="AX2341" s="1">
        <v>0.6055</v>
      </c>
      <c r="AY2341" s="1">
        <v>12.7</v>
      </c>
      <c r="AZ2341" s="1">
        <v>11.6</v>
      </c>
      <c r="BA2341" s="1">
        <v>18.2</v>
      </c>
      <c r="BB2341" s="1">
        <v>2.98</v>
      </c>
      <c r="BC2341" s="1" t="s">
        <v>3823</v>
      </c>
      <c r="BD2341" s="1">
        <v>10.4</v>
      </c>
      <c r="BE2341" s="1">
        <v>32.5</v>
      </c>
      <c r="BF2341" s="1">
        <v>33.5</v>
      </c>
      <c r="BG2341" s="1">
        <v>23.6</v>
      </c>
      <c r="BH2341" s="1" t="s">
        <v>3865</v>
      </c>
    </row>
    <row r="2342">
      <c r="A2342" s="1">
        <v>45053.0</v>
      </c>
      <c r="B2342" s="2" t="str">
        <f>IFERROR(__xludf.DUMMYFUNCTION("TO_TEXT(A2342)"),"45053")</f>
        <v>45053</v>
      </c>
      <c r="C2342" s="1">
        <v>27186.0</v>
      </c>
      <c r="D2342" s="1">
        <v>655.317517594152</v>
      </c>
      <c r="E2342" s="1" t="s">
        <v>932</v>
      </c>
      <c r="F2342" s="1" t="s">
        <v>3866</v>
      </c>
      <c r="G2342" s="1">
        <v>41.4852331428697</v>
      </c>
      <c r="H2342" s="1">
        <v>23.5328154559999</v>
      </c>
      <c r="I2342" s="1">
        <v>4.7573553115</v>
      </c>
      <c r="J2342" s="1">
        <v>10.604192355</v>
      </c>
      <c r="K2342" s="1">
        <v>20.540317895</v>
      </c>
      <c r="L2342" s="1">
        <v>37.4</v>
      </c>
      <c r="M2342" s="1">
        <v>7.4</v>
      </c>
      <c r="N2342" s="1">
        <v>28.4</v>
      </c>
      <c r="O2342" s="1">
        <v>51.935262542</v>
      </c>
      <c r="P2342" s="1">
        <v>20.395956973</v>
      </c>
      <c r="Q2342" s="1">
        <v>24.59765</v>
      </c>
      <c r="R2342" s="1">
        <v>74.5</v>
      </c>
      <c r="S2342" s="1">
        <v>33.6</v>
      </c>
      <c r="T2342" s="1">
        <v>5880.0</v>
      </c>
      <c r="U2342" s="1">
        <v>47.636054422</v>
      </c>
      <c r="V2342" s="1">
        <v>317.81372883</v>
      </c>
      <c r="W2342" s="1">
        <v>18.333333333</v>
      </c>
      <c r="X2342" s="1">
        <v>16.482910695</v>
      </c>
      <c r="Y2342" s="1">
        <v>78.201075859</v>
      </c>
      <c r="Z2342" s="1">
        <v>17.6</v>
      </c>
      <c r="AA2342" s="1">
        <v>5.4994112248</v>
      </c>
      <c r="AB2342" s="1">
        <v>43125.0</v>
      </c>
      <c r="AC2342" s="1">
        <v>99.910287081</v>
      </c>
      <c r="AD2342" s="1">
        <v>68.483269886</v>
      </c>
      <c r="AE2342" s="1">
        <v>16.798336798</v>
      </c>
      <c r="AF2342" s="1">
        <v>41.027234131</v>
      </c>
      <c r="AG2342" s="1">
        <v>0.8629318974</v>
      </c>
      <c r="AH2342" s="1">
        <v>0.9078043561</v>
      </c>
      <c r="AI2342" s="1">
        <v>0.0862931897</v>
      </c>
      <c r="AJ2342" s="1">
        <v>13.213213213</v>
      </c>
      <c r="AK2342" s="1">
        <v>43.339891616</v>
      </c>
      <c r="AL2342" s="1">
        <v>5.253726791</v>
      </c>
      <c r="AM2342" s="1">
        <v>49.535742639</v>
      </c>
      <c r="AN2342" s="1">
        <v>66.670702668</v>
      </c>
      <c r="AO2342" s="1">
        <v>18921.0</v>
      </c>
      <c r="AP2342" s="1">
        <v>23.4</v>
      </c>
      <c r="AQ2342" s="1">
        <v>10.0</v>
      </c>
      <c r="AR2342" s="1">
        <v>21.6</v>
      </c>
      <c r="AS2342" s="1">
        <v>15.4</v>
      </c>
      <c r="AT2342" s="1">
        <v>21.6</v>
      </c>
      <c r="AU2342" s="1">
        <v>15.8</v>
      </c>
      <c r="AV2342" s="1">
        <v>59.0</v>
      </c>
      <c r="AW2342" s="1">
        <v>5.1</v>
      </c>
      <c r="AX2342" s="1">
        <v>0.957</v>
      </c>
      <c r="AY2342" s="1">
        <v>17.2</v>
      </c>
      <c r="AZ2342" s="1">
        <v>12.2</v>
      </c>
      <c r="BA2342" s="1">
        <v>18.9</v>
      </c>
      <c r="BB2342" s="1">
        <v>3.33</v>
      </c>
      <c r="BC2342" s="1" t="s">
        <v>3823</v>
      </c>
      <c r="BD2342" s="1">
        <v>18.2</v>
      </c>
      <c r="BE2342" s="1">
        <v>37.5</v>
      </c>
      <c r="BF2342" s="1">
        <v>26.5</v>
      </c>
      <c r="BG2342" s="1">
        <v>17.8</v>
      </c>
      <c r="BH2342" s="1" t="s">
        <v>3866</v>
      </c>
    </row>
    <row r="2343">
      <c r="A2343" s="1">
        <v>45055.0</v>
      </c>
      <c r="B2343" s="2" t="str">
        <f>IFERROR(__xludf.DUMMYFUNCTION("TO_TEXT(A2343)"),"45055")</f>
        <v>45055</v>
      </c>
      <c r="C2343" s="1">
        <v>63090.0</v>
      </c>
      <c r="D2343" s="1">
        <v>726.558064799243</v>
      </c>
      <c r="E2343" s="1" t="s">
        <v>3867</v>
      </c>
      <c r="F2343" s="1" t="s">
        <v>3868</v>
      </c>
      <c r="G2343" s="1">
        <v>86.8340784537743</v>
      </c>
      <c r="H2343" s="1">
        <v>16.105885701</v>
      </c>
      <c r="I2343" s="1">
        <v>4.1681327356</v>
      </c>
      <c r="J2343" s="1">
        <v>9.4193047194</v>
      </c>
      <c r="K2343" s="1">
        <v>15.911290239</v>
      </c>
      <c r="L2343" s="1">
        <v>38.8</v>
      </c>
      <c r="M2343" s="1">
        <v>7.8</v>
      </c>
      <c r="N2343" s="1">
        <v>28.0</v>
      </c>
      <c r="O2343" s="1">
        <v>52.3834222089999</v>
      </c>
      <c r="P2343" s="1">
        <v>11.6797529609999</v>
      </c>
      <c r="Q2343" s="1">
        <v>61.5044</v>
      </c>
      <c r="R2343" s="1">
        <v>84.745762712</v>
      </c>
      <c r="S2343" s="1">
        <v>22.1</v>
      </c>
      <c r="T2343" s="1">
        <v>14947.0</v>
      </c>
      <c r="U2343" s="1">
        <v>38.783702415</v>
      </c>
      <c r="V2343" s="1">
        <v>349.2597895</v>
      </c>
      <c r="W2343" s="1">
        <v>12.404065547</v>
      </c>
      <c r="X2343" s="1">
        <v>11.43707483</v>
      </c>
      <c r="Y2343" s="1">
        <v>76.6547030289999</v>
      </c>
      <c r="Z2343" s="1">
        <v>12.7</v>
      </c>
      <c r="AA2343" s="1">
        <v>7.4061022128</v>
      </c>
      <c r="AB2343" s="1">
        <v>52270.0</v>
      </c>
      <c r="AC2343" s="1">
        <v>71.347636296</v>
      </c>
      <c r="AD2343" s="1">
        <v>82.164861273</v>
      </c>
      <c r="AE2343" s="1">
        <v>13.594206581</v>
      </c>
      <c r="AF2343" s="1">
        <v>24.16453226</v>
      </c>
      <c r="AG2343" s="1">
        <v>0.4238321747</v>
      </c>
      <c r="AH2343" s="1">
        <v>0.751616050699999</v>
      </c>
      <c r="AI2343" s="1">
        <v>0.0670813514</v>
      </c>
      <c r="AJ2343" s="1">
        <v>4.4349920722</v>
      </c>
      <c r="AK2343" s="1">
        <v>68.779729235</v>
      </c>
      <c r="AL2343" s="1">
        <v>0.6399078796</v>
      </c>
      <c r="AM2343" s="1">
        <v>51.789852421</v>
      </c>
      <c r="AN2343" s="1">
        <v>57.680276188</v>
      </c>
      <c r="AO2343" s="1">
        <v>23149.0</v>
      </c>
      <c r="AP2343" s="1">
        <v>15.9</v>
      </c>
      <c r="AQ2343" s="1">
        <v>8.3</v>
      </c>
      <c r="AR2343" s="1">
        <v>14.1</v>
      </c>
      <c r="AS2343" s="1">
        <v>16.5</v>
      </c>
      <c r="AT2343" s="1">
        <v>23.6</v>
      </c>
      <c r="AU2343" s="1">
        <v>15.0</v>
      </c>
      <c r="AV2343" s="1">
        <v>30.9</v>
      </c>
      <c r="AW2343" s="1">
        <v>0.4</v>
      </c>
      <c r="AX2343" s="1">
        <v>0.4288</v>
      </c>
      <c r="AY2343" s="1">
        <v>13.8</v>
      </c>
      <c r="AZ2343" s="1">
        <v>11.0</v>
      </c>
      <c r="BA2343" s="1">
        <v>14.8</v>
      </c>
      <c r="BB2343" s="1">
        <v>3.03</v>
      </c>
      <c r="BC2343" s="1" t="s">
        <v>3823</v>
      </c>
      <c r="BD2343" s="1">
        <v>12.2</v>
      </c>
      <c r="BE2343" s="1">
        <v>36.5</v>
      </c>
      <c r="BF2343" s="1">
        <v>31.0</v>
      </c>
      <c r="BG2343" s="1">
        <v>20.3</v>
      </c>
      <c r="BH2343" s="1" t="s">
        <v>3868</v>
      </c>
    </row>
    <row r="2344">
      <c r="A2344" s="1">
        <v>45057.0</v>
      </c>
      <c r="B2344" s="2" t="str">
        <f>IFERROR(__xludf.DUMMYFUNCTION("TO_TEXT(A2344)"),"45057")</f>
        <v>45057</v>
      </c>
      <c r="C2344" s="1">
        <v>83704.0</v>
      </c>
      <c r="D2344" s="1">
        <v>549.158476167816</v>
      </c>
      <c r="E2344" s="1" t="s">
        <v>2881</v>
      </c>
      <c r="F2344" s="1" t="s">
        <v>3869</v>
      </c>
      <c r="G2344" s="1">
        <v>152.422303638305</v>
      </c>
      <c r="H2344" s="1">
        <v>18.023961657</v>
      </c>
      <c r="I2344" s="1">
        <v>4.1805668027</v>
      </c>
      <c r="J2344" s="1">
        <v>9.59850338179999</v>
      </c>
      <c r="K2344" s="1">
        <v>15.760962046</v>
      </c>
      <c r="L2344" s="1">
        <v>31.5</v>
      </c>
      <c r="M2344" s="1">
        <v>7.5</v>
      </c>
      <c r="N2344" s="1">
        <v>26.3</v>
      </c>
      <c r="O2344" s="1">
        <v>59.737515003</v>
      </c>
      <c r="P2344" s="1">
        <v>13.265576422</v>
      </c>
      <c r="Q2344" s="1">
        <v>45.38088</v>
      </c>
      <c r="R2344" s="1">
        <v>83.0</v>
      </c>
      <c r="S2344" s="1">
        <v>20.2</v>
      </c>
      <c r="T2344" s="1">
        <v>19467.0</v>
      </c>
      <c r="U2344" s="1">
        <v>35.804181435</v>
      </c>
      <c r="V2344" s="1">
        <v>409.70847187</v>
      </c>
      <c r="W2344" s="1">
        <v>11.314833168</v>
      </c>
      <c r="X2344" s="1">
        <v>9.8906644239</v>
      </c>
      <c r="Y2344" s="1">
        <v>78.012571326</v>
      </c>
      <c r="Z2344" s="1">
        <v>15.1</v>
      </c>
      <c r="AA2344" s="1">
        <v>12.095782083</v>
      </c>
      <c r="AB2344" s="1">
        <v>58035.0</v>
      </c>
      <c r="AC2344" s="1">
        <v>57.031780781</v>
      </c>
      <c r="AD2344" s="1">
        <v>78.193184604</v>
      </c>
      <c r="AE2344" s="1">
        <v>9.9824701195</v>
      </c>
      <c r="AF2344" s="1">
        <v>21.159572237</v>
      </c>
      <c r="AG2344" s="1">
        <v>0.340742294</v>
      </c>
      <c r="AH2344" s="1">
        <v>1.5453973579</v>
      </c>
      <c r="AI2344" s="1">
        <v>0.0461312644</v>
      </c>
      <c r="AJ2344" s="1">
        <v>5.5829314322</v>
      </c>
      <c r="AK2344" s="1">
        <v>70.042985951</v>
      </c>
      <c r="AL2344" s="1">
        <v>1.1188578623</v>
      </c>
      <c r="AM2344" s="1">
        <v>51.4919270289999</v>
      </c>
      <c r="AN2344" s="1">
        <v>49.954339091</v>
      </c>
      <c r="AO2344" s="1">
        <v>24528.0</v>
      </c>
      <c r="AP2344" s="1">
        <v>17.4</v>
      </c>
      <c r="AQ2344" s="1">
        <v>9.9</v>
      </c>
      <c r="AR2344" s="1">
        <v>15.8</v>
      </c>
      <c r="AS2344" s="1">
        <v>18.7</v>
      </c>
      <c r="AT2344" s="1">
        <v>22.2</v>
      </c>
      <c r="AU2344" s="1">
        <v>14.2</v>
      </c>
      <c r="AV2344" s="1">
        <v>29.9</v>
      </c>
      <c r="AW2344" s="1">
        <v>1.0</v>
      </c>
      <c r="AX2344" s="1">
        <v>0.624</v>
      </c>
      <c r="AY2344" s="1">
        <v>11.8</v>
      </c>
      <c r="AZ2344" s="1">
        <v>10.0</v>
      </c>
      <c r="BA2344" s="1">
        <v>14.3</v>
      </c>
      <c r="BB2344" s="1">
        <v>2.88</v>
      </c>
      <c r="BC2344" s="1" t="s">
        <v>3823</v>
      </c>
      <c r="BD2344" s="1">
        <v>14.1</v>
      </c>
      <c r="BE2344" s="1">
        <v>29.9</v>
      </c>
      <c r="BF2344" s="1">
        <v>29.1</v>
      </c>
      <c r="BG2344" s="1">
        <v>26.9</v>
      </c>
      <c r="BH2344" s="1" t="s">
        <v>3869</v>
      </c>
    </row>
    <row r="2345">
      <c r="A2345" s="1">
        <v>45059.0</v>
      </c>
      <c r="B2345" s="2" t="str">
        <f>IFERROR(__xludf.DUMMYFUNCTION("TO_TEXT(A2345)"),"45059")</f>
        <v>45059</v>
      </c>
      <c r="C2345" s="1">
        <v>66442.0</v>
      </c>
      <c r="D2345" s="1">
        <v>713.821442062314</v>
      </c>
      <c r="E2345" s="1" t="s">
        <v>945</v>
      </c>
      <c r="F2345" s="1" t="s">
        <v>3870</v>
      </c>
      <c r="G2345" s="1">
        <v>93.0792997868504</v>
      </c>
      <c r="H2345" s="1">
        <v>21.31371985</v>
      </c>
      <c r="I2345" s="1">
        <v>5.021291245</v>
      </c>
      <c r="J2345" s="1">
        <v>10.454460445</v>
      </c>
      <c r="K2345" s="1">
        <v>19.603984837</v>
      </c>
      <c r="L2345" s="1">
        <v>36.1</v>
      </c>
      <c r="M2345" s="1">
        <v>6.9</v>
      </c>
      <c r="N2345" s="1">
        <v>31.0</v>
      </c>
      <c r="O2345" s="1">
        <v>53.971474518</v>
      </c>
      <c r="P2345" s="1">
        <v>14.138310383</v>
      </c>
      <c r="Q2345" s="1">
        <v>55.34945</v>
      </c>
      <c r="R2345" s="1">
        <v>81.008902077</v>
      </c>
      <c r="S2345" s="1">
        <v>28.4</v>
      </c>
      <c r="T2345" s="1">
        <v>14473.0</v>
      </c>
      <c r="U2345" s="1">
        <v>45.4086920469999</v>
      </c>
      <c r="V2345" s="1">
        <v>550.95178046</v>
      </c>
      <c r="W2345" s="1">
        <v>13.037502454</v>
      </c>
      <c r="X2345" s="1">
        <v>10.802715655</v>
      </c>
      <c r="Y2345" s="1">
        <v>74.096150282</v>
      </c>
      <c r="Z2345" s="1">
        <v>12.7</v>
      </c>
      <c r="AA2345" s="1">
        <v>12.716805205</v>
      </c>
      <c r="AB2345" s="1">
        <v>42099.0</v>
      </c>
      <c r="AC2345" s="1">
        <v>100.0</v>
      </c>
      <c r="AD2345" s="1">
        <v>70.405549206</v>
      </c>
      <c r="AE2345" s="1">
        <v>12.866713828</v>
      </c>
      <c r="AF2345" s="1">
        <v>24.873869302</v>
      </c>
      <c r="AG2345" s="1">
        <v>0.3836164433</v>
      </c>
      <c r="AH2345" s="1">
        <v>0.5716929874</v>
      </c>
      <c r="AI2345" s="1">
        <v>0.1492670985</v>
      </c>
      <c r="AJ2345" s="1">
        <v>5.0720960086</v>
      </c>
      <c r="AK2345" s="1">
        <v>67.877720393</v>
      </c>
      <c r="AL2345" s="1">
        <v>0.9254253458</v>
      </c>
      <c r="AM2345" s="1">
        <v>51.66582082</v>
      </c>
      <c r="AN2345" s="1">
        <v>64.194358026</v>
      </c>
      <c r="AO2345" s="1">
        <v>20417.0</v>
      </c>
      <c r="AP2345" s="1">
        <v>20.3</v>
      </c>
      <c r="AQ2345" s="1">
        <v>9.0</v>
      </c>
      <c r="AR2345" s="1">
        <v>20.6</v>
      </c>
      <c r="AS2345" s="1">
        <v>16.7</v>
      </c>
      <c r="AT2345" s="1">
        <v>22.4</v>
      </c>
      <c r="AU2345" s="1">
        <v>19.6</v>
      </c>
      <c r="AV2345" s="1">
        <v>31.7</v>
      </c>
      <c r="AW2345" s="1">
        <v>0.9</v>
      </c>
      <c r="AX2345" s="1">
        <v>0.9007</v>
      </c>
      <c r="AY2345" s="1">
        <v>19.1</v>
      </c>
      <c r="AZ2345" s="1">
        <v>13.5</v>
      </c>
      <c r="BA2345" s="1">
        <v>19.3</v>
      </c>
      <c r="BB2345" s="1">
        <v>2.58</v>
      </c>
      <c r="BC2345" s="1" t="s">
        <v>3823</v>
      </c>
      <c r="BD2345" s="1">
        <v>19.1</v>
      </c>
      <c r="BE2345" s="1">
        <v>33.8</v>
      </c>
      <c r="BF2345" s="1">
        <v>30.9</v>
      </c>
      <c r="BG2345" s="1">
        <v>16.2</v>
      </c>
      <c r="BH2345" s="1" t="s">
        <v>3870</v>
      </c>
    </row>
    <row r="2346">
      <c r="A2346" s="1">
        <v>45061.0</v>
      </c>
      <c r="B2346" s="2" t="str">
        <f>IFERROR(__xludf.DUMMYFUNCTION("TO_TEXT(A2346)"),"45061")</f>
        <v>45061</v>
      </c>
      <c r="C2346" s="1">
        <v>18189.0</v>
      </c>
      <c r="D2346" s="1">
        <v>410.184101048862</v>
      </c>
      <c r="E2346" s="1" t="s">
        <v>140</v>
      </c>
      <c r="F2346" s="1" t="s">
        <v>3871</v>
      </c>
      <c r="G2346" s="1">
        <v>44.3435032062183</v>
      </c>
      <c r="H2346" s="1">
        <v>27.616556968</v>
      </c>
      <c r="I2346" s="1">
        <v>5.0049653599</v>
      </c>
      <c r="J2346" s="1">
        <v>13.4136546179999</v>
      </c>
      <c r="K2346" s="1">
        <v>21.318829815</v>
      </c>
      <c r="L2346" s="1">
        <v>39.7</v>
      </c>
      <c r="M2346" s="1">
        <v>6.5</v>
      </c>
      <c r="N2346" s="1">
        <v>32.1</v>
      </c>
      <c r="O2346" s="1">
        <v>38.990634755</v>
      </c>
      <c r="P2346" s="1">
        <v>11.826754035</v>
      </c>
      <c r="Q2346" s="1">
        <v>17.29107</v>
      </c>
      <c r="R2346" s="1">
        <v>84.662576687</v>
      </c>
      <c r="S2346" s="1">
        <v>42.8</v>
      </c>
      <c r="T2346" s="1">
        <v>3590.0</v>
      </c>
      <c r="U2346" s="1">
        <v>60.501392758</v>
      </c>
      <c r="V2346" s="1">
        <v>610.01086321</v>
      </c>
      <c r="W2346" s="1">
        <v>16.40625</v>
      </c>
      <c r="X2346" s="1">
        <v>14.838709677</v>
      </c>
      <c r="Y2346" s="1">
        <v>71.623280565</v>
      </c>
      <c r="Z2346" s="1">
        <v>17.5</v>
      </c>
      <c r="AA2346" s="1">
        <v>3.2020890612</v>
      </c>
      <c r="AB2346" s="1">
        <v>33199.0</v>
      </c>
      <c r="AC2346" s="1">
        <v>99.862511457</v>
      </c>
      <c r="AD2346" s="1">
        <v>73.242095328</v>
      </c>
      <c r="AE2346" s="1">
        <v>16.758525663</v>
      </c>
      <c r="AF2346" s="1">
        <v>63.6331816589999</v>
      </c>
      <c r="AG2346" s="1">
        <v>0.4375218761</v>
      </c>
      <c r="AH2346" s="1">
        <v>0.4200210011</v>
      </c>
      <c r="AI2346" s="1">
        <v>0.0233345001</v>
      </c>
      <c r="AJ2346" s="1">
        <v>2.5317932563</v>
      </c>
      <c r="AK2346" s="1">
        <v>32.090771205</v>
      </c>
      <c r="AL2346" s="1">
        <v>0.1257259175</v>
      </c>
      <c r="AM2346" s="1">
        <v>48.588262746</v>
      </c>
      <c r="AN2346" s="1">
        <v>71.951092612</v>
      </c>
      <c r="AO2346" s="1">
        <v>15545.0</v>
      </c>
      <c r="AP2346" s="1">
        <v>28.2</v>
      </c>
      <c r="AQ2346" s="1">
        <v>11.9</v>
      </c>
      <c r="AR2346" s="1">
        <v>22.4</v>
      </c>
      <c r="AS2346" s="1">
        <v>16.2</v>
      </c>
      <c r="AT2346" s="1">
        <v>21.5</v>
      </c>
      <c r="AU2346" s="1">
        <v>21.7</v>
      </c>
      <c r="AV2346" s="1">
        <v>67.3</v>
      </c>
      <c r="AW2346" s="1">
        <v>0.1</v>
      </c>
      <c r="AX2346" s="1">
        <v>0.9663</v>
      </c>
      <c r="AY2346" s="1">
        <v>25.4</v>
      </c>
      <c r="AZ2346" s="1">
        <v>16.3</v>
      </c>
      <c r="BA2346" s="1">
        <v>24.0</v>
      </c>
      <c r="BB2346" s="1">
        <v>2.78</v>
      </c>
      <c r="BC2346" s="1" t="s">
        <v>3823</v>
      </c>
      <c r="BD2346" s="1">
        <v>18.5</v>
      </c>
      <c r="BE2346" s="1">
        <v>41.5</v>
      </c>
      <c r="BF2346" s="1">
        <v>24.2</v>
      </c>
      <c r="BG2346" s="1">
        <v>15.9</v>
      </c>
      <c r="BH2346" s="1" t="s">
        <v>3871</v>
      </c>
    </row>
    <row r="2347">
      <c r="A2347" s="1">
        <v>45063.0</v>
      </c>
      <c r="B2347" s="2" t="str">
        <f>IFERROR(__xludf.DUMMYFUNCTION("TO_TEXT(A2347)"),"45063")</f>
        <v>45063</v>
      </c>
      <c r="C2347" s="1">
        <v>277702.0</v>
      </c>
      <c r="D2347" s="1">
        <v>699.058201973849</v>
      </c>
      <c r="E2347" s="1" t="s">
        <v>3872</v>
      </c>
      <c r="F2347" s="1" t="s">
        <v>3873</v>
      </c>
      <c r="G2347" s="1">
        <v>397.251615410398</v>
      </c>
      <c r="H2347" s="1">
        <v>16.666464918</v>
      </c>
      <c r="I2347" s="1">
        <v>4.4659507854</v>
      </c>
      <c r="J2347" s="1">
        <v>8.5480301018</v>
      </c>
      <c r="K2347" s="1">
        <v>16.304205353</v>
      </c>
      <c r="L2347" s="1">
        <v>32.1</v>
      </c>
      <c r="M2347" s="1">
        <v>8.2</v>
      </c>
      <c r="N2347" s="1">
        <v>23.2</v>
      </c>
      <c r="O2347" s="1">
        <v>63.363453777</v>
      </c>
      <c r="P2347" s="1">
        <v>12.059425267</v>
      </c>
      <c r="Q2347" s="1">
        <v>60.21153</v>
      </c>
      <c r="R2347" s="1">
        <v>85.614035088</v>
      </c>
      <c r="S2347" s="1">
        <v>17.5</v>
      </c>
      <c r="T2347" s="1">
        <v>66457.0</v>
      </c>
      <c r="U2347" s="1">
        <v>33.071008321</v>
      </c>
      <c r="V2347" s="1">
        <v>345.84698675</v>
      </c>
      <c r="W2347" s="1">
        <v>12.36456638</v>
      </c>
      <c r="X2347" s="1">
        <v>10.224321133</v>
      </c>
      <c r="Y2347" s="1">
        <v>77.903377992</v>
      </c>
      <c r="Z2347" s="1">
        <v>11.8</v>
      </c>
      <c r="AA2347" s="1">
        <v>7.65223136409999</v>
      </c>
      <c r="AB2347" s="1">
        <v>60627.0</v>
      </c>
      <c r="AC2347" s="1">
        <v>54.885580806</v>
      </c>
      <c r="AD2347" s="1">
        <v>73.957668629</v>
      </c>
      <c r="AE2347" s="1">
        <v>10.741576372</v>
      </c>
      <c r="AF2347" s="1">
        <v>14.95532688</v>
      </c>
      <c r="AG2347" s="1">
        <v>0.5287562027</v>
      </c>
      <c r="AH2347" s="1">
        <v>2.1787467122</v>
      </c>
      <c r="AI2347" s="1">
        <v>0.1491363649</v>
      </c>
      <c r="AJ2347" s="1">
        <v>6.2501694731</v>
      </c>
      <c r="AK2347" s="1">
        <v>74.47734483</v>
      </c>
      <c r="AL2347" s="1">
        <v>1.5795277754</v>
      </c>
      <c r="AM2347" s="1">
        <v>51.342905176</v>
      </c>
      <c r="AN2347" s="1">
        <v>25.276019376</v>
      </c>
      <c r="AO2347" s="1">
        <v>28141.0</v>
      </c>
      <c r="AP2347" s="1">
        <v>13.7</v>
      </c>
      <c r="AQ2347" s="1">
        <v>6.9</v>
      </c>
      <c r="AR2347" s="1">
        <v>10.8</v>
      </c>
      <c r="AS2347" s="1">
        <v>14.2</v>
      </c>
      <c r="AT2347" s="1">
        <v>23.7</v>
      </c>
      <c r="AU2347" s="1">
        <v>12.8</v>
      </c>
      <c r="AV2347" s="1">
        <v>24.1</v>
      </c>
      <c r="AW2347" s="1">
        <v>1.6</v>
      </c>
      <c r="AX2347" s="1">
        <v>0.4269</v>
      </c>
      <c r="AY2347" s="1">
        <v>11.9</v>
      </c>
      <c r="AZ2347" s="1">
        <v>8.9</v>
      </c>
      <c r="BA2347" s="1">
        <v>12.1</v>
      </c>
      <c r="BB2347" s="1">
        <v>2.93</v>
      </c>
      <c r="BC2347" s="1" t="s">
        <v>3823</v>
      </c>
      <c r="BD2347" s="1">
        <v>10.4</v>
      </c>
      <c r="BE2347" s="1">
        <v>28.2</v>
      </c>
      <c r="BF2347" s="1">
        <v>31.1</v>
      </c>
      <c r="BG2347" s="1">
        <v>30.4</v>
      </c>
      <c r="BH2347" s="1" t="s">
        <v>3873</v>
      </c>
    </row>
    <row r="2348">
      <c r="A2348" s="1">
        <v>45065.0</v>
      </c>
      <c r="B2348" s="2" t="str">
        <f>IFERROR(__xludf.DUMMYFUNCTION("TO_TEXT(A2348)"),"45065")</f>
        <v>45065</v>
      </c>
      <c r="C2348" s="1">
        <v>9806.0</v>
      </c>
      <c r="D2348" s="1">
        <v>359.129603085968</v>
      </c>
      <c r="E2348" s="1" t="s">
        <v>3874</v>
      </c>
      <c r="F2348" s="1" t="s">
        <v>3875</v>
      </c>
      <c r="G2348" s="1">
        <v>27.3049058494146</v>
      </c>
      <c r="H2348" s="1">
        <v>20.0142846229999</v>
      </c>
      <c r="I2348" s="1">
        <v>4.161800255</v>
      </c>
      <c r="J2348" s="1">
        <v>12.5313283209999</v>
      </c>
      <c r="K2348" s="1">
        <v>16.77162927</v>
      </c>
      <c r="L2348" s="1">
        <v>34.2</v>
      </c>
      <c r="M2348" s="1">
        <v>7.5</v>
      </c>
      <c r="N2348" s="1">
        <v>27.1</v>
      </c>
      <c r="O2348" s="1">
        <v>96.41356396</v>
      </c>
      <c r="P2348" s="1">
        <v>12.0106423409999</v>
      </c>
      <c r="Q2348" s="1">
        <v>41.90676</v>
      </c>
      <c r="R2348" s="1">
        <v>80.85106383</v>
      </c>
      <c r="S2348" s="1">
        <v>34.5</v>
      </c>
      <c r="T2348" s="1">
        <v>1066.0</v>
      </c>
      <c r="U2348" s="1">
        <v>66.69793621</v>
      </c>
      <c r="V2348" s="1">
        <v>240.45840581</v>
      </c>
      <c r="W2348" s="1">
        <v>8.9195979899</v>
      </c>
      <c r="X2348" s="1">
        <v>8.59375</v>
      </c>
      <c r="Y2348" s="1">
        <v>73.883676863</v>
      </c>
      <c r="Z2348" s="1">
        <v>16.0</v>
      </c>
      <c r="AA2348" s="1">
        <v>0.9396585996</v>
      </c>
      <c r="AB2348" s="1">
        <v>44683.0</v>
      </c>
      <c r="AC2348" s="1">
        <v>97.519582245</v>
      </c>
      <c r="AD2348" s="1">
        <v>76.63221578</v>
      </c>
      <c r="AE2348" s="1">
        <v>10.114878117</v>
      </c>
      <c r="AF2348" s="1">
        <v>45.1009564289999</v>
      </c>
      <c r="AG2348" s="1">
        <v>0.1381509033</v>
      </c>
      <c r="AH2348" s="1">
        <v>0.573857598299999</v>
      </c>
      <c r="AI2348" s="1">
        <v>0.0850159405</v>
      </c>
      <c r="AJ2348" s="1">
        <v>1.3708820404</v>
      </c>
      <c r="AK2348" s="1">
        <v>51.764080765</v>
      </c>
      <c r="AL2348" s="1">
        <v>0.0428770501</v>
      </c>
      <c r="AM2348" s="1">
        <v>46.3018065889999</v>
      </c>
      <c r="AN2348" s="1">
        <v>100.0</v>
      </c>
      <c r="AO2348" s="1">
        <v>22454.0</v>
      </c>
      <c r="AP2348" s="1">
        <v>19.6</v>
      </c>
      <c r="AQ2348" s="1">
        <v>13.9</v>
      </c>
      <c r="AR2348" s="1">
        <v>19.2</v>
      </c>
      <c r="AS2348" s="1">
        <v>30.4</v>
      </c>
      <c r="AT2348" s="1">
        <v>12.8</v>
      </c>
      <c r="AU2348" s="1">
        <v>21.7</v>
      </c>
      <c r="AV2348" s="1">
        <v>51.1</v>
      </c>
      <c r="AW2348" s="1">
        <v>0.0</v>
      </c>
      <c r="AX2348" s="1">
        <v>0.7042</v>
      </c>
      <c r="AY2348" s="1">
        <v>18.1</v>
      </c>
      <c r="AZ2348" s="1">
        <v>13.4</v>
      </c>
      <c r="BA2348" s="1">
        <v>25.5</v>
      </c>
      <c r="BB2348" s="1">
        <v>2.91</v>
      </c>
      <c r="BC2348" s="1" t="s">
        <v>3823</v>
      </c>
      <c r="BD2348" s="1">
        <v>16.6</v>
      </c>
      <c r="BE2348" s="1">
        <v>33.9</v>
      </c>
      <c r="BF2348" s="1">
        <v>29.0</v>
      </c>
      <c r="BG2348" s="1">
        <v>20.5</v>
      </c>
      <c r="BH2348" s="1" t="s">
        <v>3875</v>
      </c>
    </row>
    <row r="2349">
      <c r="A2349" s="1">
        <v>45067.0</v>
      </c>
      <c r="B2349" s="2" t="str">
        <f>IFERROR(__xludf.DUMMYFUNCTION("TO_TEXT(A2349)"),"45067")</f>
        <v>45067</v>
      </c>
      <c r="C2349" s="1">
        <v>31975.0</v>
      </c>
      <c r="D2349" s="1">
        <v>489.253791404346</v>
      </c>
      <c r="E2349" s="1" t="s">
        <v>152</v>
      </c>
      <c r="F2349" s="1" t="s">
        <v>3876</v>
      </c>
      <c r="G2349" s="1">
        <v>65.3546289507936</v>
      </c>
      <c r="H2349" s="1">
        <v>26.035783578</v>
      </c>
      <c r="I2349" s="1">
        <v>4.898275404</v>
      </c>
      <c r="J2349" s="1">
        <v>12.333460221</v>
      </c>
      <c r="K2349" s="1">
        <v>20.03992965</v>
      </c>
      <c r="L2349" s="1">
        <v>43.6</v>
      </c>
      <c r="M2349" s="1">
        <v>6.2</v>
      </c>
      <c r="N2349" s="1">
        <v>38.1</v>
      </c>
      <c r="O2349" s="1">
        <v>59.333978586</v>
      </c>
      <c r="P2349" s="1">
        <v>13.609777742</v>
      </c>
      <c r="Q2349" s="1">
        <v>41.54284</v>
      </c>
      <c r="R2349" s="1">
        <v>85.593220339</v>
      </c>
      <c r="S2349" s="1">
        <v>37.1</v>
      </c>
      <c r="T2349" s="1">
        <v>7243.0</v>
      </c>
      <c r="U2349" s="1">
        <v>57.862764048</v>
      </c>
      <c r="V2349" s="1">
        <v>741.82805373</v>
      </c>
      <c r="W2349" s="1">
        <v>16.335814723</v>
      </c>
      <c r="X2349" s="1">
        <v>15.263605442</v>
      </c>
      <c r="Y2349" s="1">
        <v>72.589547628</v>
      </c>
      <c r="Z2349" s="1">
        <v>21.9</v>
      </c>
      <c r="AA2349" s="1">
        <v>5.93678473029999</v>
      </c>
      <c r="AB2349" s="1">
        <v>34365.0</v>
      </c>
      <c r="AC2349" s="1">
        <v>100.0</v>
      </c>
      <c r="AD2349" s="1">
        <v>70.601490726</v>
      </c>
      <c r="AE2349" s="1">
        <v>15.913010155</v>
      </c>
      <c r="AF2349" s="1">
        <v>56.2743645089999</v>
      </c>
      <c r="AG2349" s="1">
        <v>0.7120074745</v>
      </c>
      <c r="AH2349" s="1">
        <v>0.6669029286</v>
      </c>
      <c r="AI2349" s="1">
        <v>0.0193305197</v>
      </c>
      <c r="AJ2349" s="1">
        <v>2.9414607429</v>
      </c>
      <c r="AK2349" s="1">
        <v>38.377525049</v>
      </c>
      <c r="AL2349" s="1">
        <v>1.210440898</v>
      </c>
      <c r="AM2349" s="1">
        <v>54.154450852</v>
      </c>
      <c r="AN2349" s="1">
        <v>60.752525558</v>
      </c>
      <c r="AO2349" s="1">
        <v>18373.0</v>
      </c>
      <c r="AP2349" s="1">
        <v>26.0</v>
      </c>
      <c r="AQ2349" s="1">
        <v>12.0</v>
      </c>
      <c r="AR2349" s="1">
        <v>20.1</v>
      </c>
      <c r="AS2349" s="1">
        <v>16.8</v>
      </c>
      <c r="AT2349" s="1">
        <v>23.7</v>
      </c>
      <c r="AU2349" s="1">
        <v>18.3</v>
      </c>
      <c r="AV2349" s="1">
        <v>60.9</v>
      </c>
      <c r="AW2349" s="1">
        <v>1.3</v>
      </c>
      <c r="AX2349" s="1">
        <v>0.914</v>
      </c>
      <c r="AY2349" s="1">
        <v>24.9</v>
      </c>
      <c r="AZ2349" s="1">
        <v>15.6</v>
      </c>
      <c r="BA2349" s="1">
        <v>21.9</v>
      </c>
      <c r="BB2349" s="1">
        <v>2.71</v>
      </c>
      <c r="BC2349" s="1" t="s">
        <v>3823</v>
      </c>
      <c r="BD2349" s="1">
        <v>21.1</v>
      </c>
      <c r="BE2349" s="1">
        <v>42.0</v>
      </c>
      <c r="BF2349" s="1">
        <v>23.4</v>
      </c>
      <c r="BG2349" s="1">
        <v>13.5</v>
      </c>
      <c r="BH2349" s="1" t="s">
        <v>3876</v>
      </c>
    </row>
    <row r="2350">
      <c r="A2350" s="1">
        <v>45069.0</v>
      </c>
      <c r="B2350" s="2" t="str">
        <f>IFERROR(__xludf.DUMMYFUNCTION("TO_TEXT(A2350)"),"45069")</f>
        <v>45069</v>
      </c>
      <c r="C2350" s="1">
        <v>27702.0</v>
      </c>
      <c r="D2350" s="1">
        <v>479.68491047995</v>
      </c>
      <c r="E2350" s="1" t="s">
        <v>3877</v>
      </c>
      <c r="F2350" s="1" t="s">
        <v>3878</v>
      </c>
      <c r="G2350" s="1">
        <v>57.7504094766765</v>
      </c>
      <c r="H2350" s="1">
        <v>25.918764105</v>
      </c>
      <c r="I2350" s="1">
        <v>4.8267710108</v>
      </c>
      <c r="J2350" s="1">
        <v>10.972688069</v>
      </c>
      <c r="K2350" s="1">
        <v>21.379465067</v>
      </c>
      <c r="L2350" s="1">
        <v>38.6</v>
      </c>
      <c r="M2350" s="1">
        <v>6.1</v>
      </c>
      <c r="N2350" s="1">
        <v>31.9</v>
      </c>
      <c r="O2350" s="1">
        <v>26.9242733209999</v>
      </c>
      <c r="P2350" s="1">
        <v>14.500598553</v>
      </c>
      <c r="Q2350" s="1">
        <v>18.63933</v>
      </c>
      <c r="R2350" s="1">
        <v>83.505154639</v>
      </c>
      <c r="S2350" s="1">
        <v>42.8</v>
      </c>
      <c r="T2350" s="1">
        <v>5490.0</v>
      </c>
      <c r="U2350" s="1">
        <v>55.519125683</v>
      </c>
      <c r="V2350" s="1">
        <v>895.21945562</v>
      </c>
      <c r="W2350" s="1">
        <v>13.148433487</v>
      </c>
      <c r="X2350" s="1">
        <v>10.357518402</v>
      </c>
      <c r="Y2350" s="1">
        <v>72.263609641</v>
      </c>
      <c r="Z2350" s="1">
        <v>18.2</v>
      </c>
      <c r="AA2350" s="1">
        <v>9.0545025862</v>
      </c>
      <c r="AB2350" s="1">
        <v>33534.0</v>
      </c>
      <c r="AC2350" s="1">
        <v>100.0</v>
      </c>
      <c r="AD2350" s="1">
        <v>65.765859766</v>
      </c>
      <c r="AE2350" s="1">
        <v>12.836767036</v>
      </c>
      <c r="AF2350" s="1">
        <v>50.617471021</v>
      </c>
      <c r="AG2350" s="1">
        <v>4.8753693462</v>
      </c>
      <c r="AH2350" s="1">
        <v>0.4583680582</v>
      </c>
      <c r="AI2350" s="1">
        <v>0.0416698235</v>
      </c>
      <c r="AJ2350" s="1">
        <v>3.2653988939</v>
      </c>
      <c r="AK2350" s="1">
        <v>39.177210395</v>
      </c>
      <c r="AL2350" s="1">
        <v>0.7934964409</v>
      </c>
      <c r="AM2350" s="1">
        <v>47.806652019</v>
      </c>
      <c r="AN2350" s="1">
        <v>55.047869215</v>
      </c>
      <c r="AO2350" s="1">
        <v>15849.0</v>
      </c>
      <c r="AP2350" s="1">
        <v>26.7</v>
      </c>
      <c r="AQ2350" s="1">
        <v>15.5</v>
      </c>
      <c r="AR2350" s="1">
        <v>25.5</v>
      </c>
      <c r="AS2350" s="1">
        <v>15.4</v>
      </c>
      <c r="AT2350" s="1">
        <v>20.5</v>
      </c>
      <c r="AU2350" s="1">
        <v>21.1</v>
      </c>
      <c r="AV2350" s="1">
        <v>60.7</v>
      </c>
      <c r="AW2350" s="1">
        <v>0.9</v>
      </c>
      <c r="AX2350" s="1">
        <v>0.9768</v>
      </c>
      <c r="AY2350" s="1">
        <v>28.9</v>
      </c>
      <c r="AZ2350" s="1">
        <v>16.9</v>
      </c>
      <c r="BA2350" s="1">
        <v>24.8</v>
      </c>
      <c r="BB2350" s="1">
        <v>2.67</v>
      </c>
      <c r="BC2350" s="1" t="s">
        <v>3823</v>
      </c>
      <c r="BD2350" s="1">
        <v>22.8</v>
      </c>
      <c r="BE2350" s="1">
        <v>42.2</v>
      </c>
      <c r="BF2350" s="1">
        <v>26.1</v>
      </c>
      <c r="BG2350" s="1">
        <v>8.9</v>
      </c>
      <c r="BH2350" s="1" t="s">
        <v>3878</v>
      </c>
    </row>
    <row r="2351">
      <c r="A2351" s="1">
        <v>45071.0</v>
      </c>
      <c r="B2351" s="2" t="str">
        <f>IFERROR(__xludf.DUMMYFUNCTION("TO_TEXT(A2351)"),"45071")</f>
        <v>45071</v>
      </c>
      <c r="C2351" s="1">
        <v>37750.0</v>
      </c>
      <c r="D2351" s="1">
        <v>630.043360211164</v>
      </c>
      <c r="E2351" s="1" t="s">
        <v>3879</v>
      </c>
      <c r="F2351" s="1" t="s">
        <v>3880</v>
      </c>
      <c r="G2351" s="1">
        <v>59.9165111228976</v>
      </c>
      <c r="H2351" s="1">
        <v>17.771591863</v>
      </c>
      <c r="I2351" s="1">
        <v>4.5808131999</v>
      </c>
      <c r="J2351" s="1">
        <v>11.8265440209999</v>
      </c>
      <c r="K2351" s="1">
        <v>18.348437379</v>
      </c>
      <c r="L2351" s="1">
        <v>35.7</v>
      </c>
      <c r="M2351" s="1">
        <v>6.9</v>
      </c>
      <c r="N2351" s="1">
        <v>31.3</v>
      </c>
      <c r="O2351" s="1">
        <v>54.0897941769999</v>
      </c>
      <c r="P2351" s="1">
        <v>14.7528948509999</v>
      </c>
      <c r="Q2351" s="1">
        <v>64.95531</v>
      </c>
      <c r="R2351" s="1">
        <v>83.962264151</v>
      </c>
      <c r="S2351" s="1">
        <v>24.8</v>
      </c>
      <c r="T2351" s="1">
        <v>8371.0</v>
      </c>
      <c r="U2351" s="1">
        <v>46.995579978</v>
      </c>
      <c r="V2351" s="1">
        <v>290.03849602</v>
      </c>
      <c r="W2351" s="1">
        <v>11.547742158</v>
      </c>
      <c r="X2351" s="1">
        <v>9.1327433628</v>
      </c>
      <c r="Y2351" s="1">
        <v>77.293393633</v>
      </c>
      <c r="Z2351" s="1">
        <v>15.5</v>
      </c>
      <c r="AA2351" s="1">
        <v>13.070114667</v>
      </c>
      <c r="AB2351" s="1">
        <v>48029.0</v>
      </c>
      <c r="AC2351" s="1">
        <v>82.4128862589999</v>
      </c>
      <c r="AD2351" s="1">
        <v>73.016935538</v>
      </c>
      <c r="AE2351" s="1">
        <v>10.125061824</v>
      </c>
      <c r="AF2351" s="1">
        <v>29.984423676</v>
      </c>
      <c r="AG2351" s="1">
        <v>0.8021806854</v>
      </c>
      <c r="AH2351" s="1">
        <v>0.659397715499999</v>
      </c>
      <c r="AI2351" s="1">
        <v>0.2881619938</v>
      </c>
      <c r="AJ2351" s="1">
        <v>7.63239875389999</v>
      </c>
      <c r="AK2351" s="1">
        <v>60.20768432</v>
      </c>
      <c r="AL2351" s="1">
        <v>2.0868300324</v>
      </c>
      <c r="AM2351" s="1">
        <v>51.212357217</v>
      </c>
      <c r="AN2351" s="1">
        <v>67.849525435</v>
      </c>
      <c r="AO2351" s="1">
        <v>21883.0</v>
      </c>
      <c r="AP2351" s="1">
        <v>18.7</v>
      </c>
      <c r="AQ2351" s="1">
        <v>8.6</v>
      </c>
      <c r="AR2351" s="1">
        <v>21.9</v>
      </c>
      <c r="AS2351" s="1">
        <v>17.8</v>
      </c>
      <c r="AT2351" s="1">
        <v>22.1</v>
      </c>
      <c r="AU2351" s="1">
        <v>14.6</v>
      </c>
      <c r="AV2351" s="1">
        <v>40.0</v>
      </c>
      <c r="AW2351" s="1">
        <v>1.9</v>
      </c>
      <c r="AX2351" s="1">
        <v>0.9064</v>
      </c>
      <c r="AY2351" s="1">
        <v>14.0</v>
      </c>
      <c r="AZ2351" s="1">
        <v>11.5</v>
      </c>
      <c r="BA2351" s="1">
        <v>16.6</v>
      </c>
      <c r="BB2351" s="1">
        <v>2.75</v>
      </c>
      <c r="BC2351" s="1" t="s">
        <v>3823</v>
      </c>
      <c r="BD2351" s="1">
        <v>18.0</v>
      </c>
      <c r="BE2351" s="1">
        <v>36.0</v>
      </c>
      <c r="BF2351" s="1">
        <v>28.1</v>
      </c>
      <c r="BG2351" s="1">
        <v>17.9</v>
      </c>
      <c r="BH2351" s="1" t="s">
        <v>3880</v>
      </c>
    </row>
    <row r="2352">
      <c r="A2352" s="1">
        <v>45073.0</v>
      </c>
      <c r="B2352" s="2" t="str">
        <f>IFERROR(__xludf.DUMMYFUNCTION("TO_TEXT(A2352)"),"45073")</f>
        <v>45073</v>
      </c>
      <c r="C2352" s="1">
        <v>75375.0</v>
      </c>
      <c r="D2352" s="1">
        <v>626.301434917472</v>
      </c>
      <c r="E2352" s="1" t="s">
        <v>975</v>
      </c>
      <c r="F2352" s="1" t="s">
        <v>3881</v>
      </c>
      <c r="G2352" s="1">
        <v>120.349396948024</v>
      </c>
      <c r="H2352" s="1">
        <v>14.561356907</v>
      </c>
      <c r="I2352" s="1">
        <v>4.318245087</v>
      </c>
      <c r="J2352" s="1">
        <v>8.2020125309</v>
      </c>
      <c r="K2352" s="1">
        <v>17.379811163</v>
      </c>
      <c r="L2352" s="1">
        <v>31.5</v>
      </c>
      <c r="M2352" s="1">
        <v>8.0</v>
      </c>
      <c r="N2352" s="1">
        <v>22.8</v>
      </c>
      <c r="O2352" s="1">
        <v>63.592422549</v>
      </c>
      <c r="P2352" s="1">
        <v>15.107402204</v>
      </c>
      <c r="Q2352" s="1">
        <v>53.0607</v>
      </c>
      <c r="R2352" s="1">
        <v>85.517241379</v>
      </c>
      <c r="S2352" s="1">
        <v>20.5</v>
      </c>
      <c r="T2352" s="1">
        <v>15237.0</v>
      </c>
      <c r="U2352" s="1">
        <v>37.553324145</v>
      </c>
      <c r="V2352" s="1">
        <v>370.49489416</v>
      </c>
      <c r="W2352" s="1">
        <v>14.9846104</v>
      </c>
      <c r="X2352" s="1">
        <v>12.318010797</v>
      </c>
      <c r="Y2352" s="1">
        <v>76.666013366</v>
      </c>
      <c r="Z2352" s="1">
        <v>12.6</v>
      </c>
      <c r="AA2352" s="1">
        <v>6.8929457237</v>
      </c>
      <c r="AB2352" s="1">
        <v>50529.0</v>
      </c>
      <c r="AC2352" s="1">
        <v>60.230081765</v>
      </c>
      <c r="AD2352" s="1">
        <v>72.2264127219999</v>
      </c>
      <c r="AE2352" s="1">
        <v>11.321129465</v>
      </c>
      <c r="AF2352" s="1">
        <v>7.321305535</v>
      </c>
      <c r="AG2352" s="1">
        <v>0.36236507</v>
      </c>
      <c r="AH2352" s="1">
        <v>0.9403628754</v>
      </c>
      <c r="AI2352" s="1">
        <v>0.037002067</v>
      </c>
      <c r="AJ2352" s="1">
        <v>5.7455278536</v>
      </c>
      <c r="AK2352" s="1">
        <v>84.149080052</v>
      </c>
      <c r="AL2352" s="1">
        <v>1.4007953435</v>
      </c>
      <c r="AM2352" s="1">
        <v>50.803838008</v>
      </c>
      <c r="AN2352" s="1">
        <v>64.9213038389999</v>
      </c>
      <c r="AO2352" s="1">
        <v>25944.0</v>
      </c>
      <c r="AP2352" s="1">
        <v>18.5</v>
      </c>
      <c r="AQ2352" s="1">
        <v>8.6</v>
      </c>
      <c r="AR2352" s="1">
        <v>16.3</v>
      </c>
      <c r="AS2352" s="1">
        <v>21.5</v>
      </c>
      <c r="AT2352" s="1">
        <v>20.4</v>
      </c>
      <c r="AU2352" s="1">
        <v>20.5</v>
      </c>
      <c r="AV2352" s="1">
        <v>14.8</v>
      </c>
      <c r="AW2352" s="1">
        <v>1.4</v>
      </c>
      <c r="AX2352" s="1">
        <v>0.709</v>
      </c>
      <c r="AY2352" s="1">
        <v>13.1</v>
      </c>
      <c r="AZ2352" s="1">
        <v>12.3</v>
      </c>
      <c r="BA2352" s="1">
        <v>17.5</v>
      </c>
      <c r="BB2352" s="1">
        <v>2.59</v>
      </c>
      <c r="BC2352" s="1" t="s">
        <v>3823</v>
      </c>
      <c r="BD2352" s="1">
        <v>15.1</v>
      </c>
      <c r="BE2352" s="1">
        <v>29.0</v>
      </c>
      <c r="BF2352" s="1">
        <v>30.0</v>
      </c>
      <c r="BG2352" s="1">
        <v>25.8</v>
      </c>
      <c r="BH2352" s="1" t="s">
        <v>3881</v>
      </c>
    </row>
    <row r="2353">
      <c r="A2353" s="1">
        <v>45075.0</v>
      </c>
      <c r="B2353" s="2" t="str">
        <f>IFERROR(__xludf.DUMMYFUNCTION("TO_TEXT(A2353)"),"45075")</f>
        <v>45075</v>
      </c>
      <c r="C2353" s="1">
        <v>89731.0</v>
      </c>
      <c r="D2353" s="1">
        <v>1106.057250327</v>
      </c>
      <c r="E2353" s="1" t="s">
        <v>3882</v>
      </c>
      <c r="F2353" s="1" t="s">
        <v>3883</v>
      </c>
      <c r="G2353" s="1">
        <v>81.1269036692908</v>
      </c>
      <c r="H2353" s="1">
        <v>22.778461074</v>
      </c>
      <c r="I2353" s="1">
        <v>4.6192126176</v>
      </c>
      <c r="J2353" s="1">
        <v>12.401241535</v>
      </c>
      <c r="K2353" s="1">
        <v>17.230344709</v>
      </c>
      <c r="L2353" s="1">
        <v>41.1</v>
      </c>
      <c r="M2353" s="1">
        <v>6.3</v>
      </c>
      <c r="N2353" s="1">
        <v>28.8</v>
      </c>
      <c r="O2353" s="1">
        <v>41.493605475</v>
      </c>
      <c r="P2353" s="1">
        <v>13.91691218</v>
      </c>
      <c r="Q2353" s="1">
        <v>43.44049</v>
      </c>
      <c r="R2353" s="1">
        <v>82.064650678</v>
      </c>
      <c r="S2353" s="1">
        <v>36.5</v>
      </c>
      <c r="T2353" s="1">
        <v>19502.0</v>
      </c>
      <c r="U2353" s="1">
        <v>50.9178545789999</v>
      </c>
      <c r="V2353" s="1">
        <v>500.93466389</v>
      </c>
      <c r="W2353" s="1">
        <v>15.7673860909999</v>
      </c>
      <c r="X2353" s="1">
        <v>14.612826603</v>
      </c>
      <c r="Y2353" s="1">
        <v>74.299295255</v>
      </c>
      <c r="Z2353" s="1">
        <v>17.6</v>
      </c>
      <c r="AA2353" s="1">
        <v>5.9399981391</v>
      </c>
      <c r="AB2353" s="1">
        <v>37134.0</v>
      </c>
      <c r="AC2353" s="1">
        <v>99.16953464</v>
      </c>
      <c r="AD2353" s="1">
        <v>68.030698295</v>
      </c>
      <c r="AE2353" s="1">
        <v>14.33688123</v>
      </c>
      <c r="AF2353" s="1">
        <v>61.612257575</v>
      </c>
      <c r="AG2353" s="1">
        <v>0.677525479099999</v>
      </c>
      <c r="AH2353" s="1">
        <v>0.9973083029</v>
      </c>
      <c r="AI2353" s="1">
        <v>0.0368095337</v>
      </c>
      <c r="AJ2353" s="1">
        <v>2.3627119424</v>
      </c>
      <c r="AK2353" s="1">
        <v>33.181494007</v>
      </c>
      <c r="AL2353" s="1">
        <v>0.5727843551</v>
      </c>
      <c r="AM2353" s="1">
        <v>53.3577196489999</v>
      </c>
      <c r="AN2353" s="1">
        <v>63.77768889</v>
      </c>
      <c r="AO2353" s="1">
        <v>18490.0</v>
      </c>
      <c r="AP2353" s="1">
        <v>23.4</v>
      </c>
      <c r="AQ2353" s="1">
        <v>11.3</v>
      </c>
      <c r="AR2353" s="1">
        <v>15.7</v>
      </c>
      <c r="AS2353" s="1">
        <v>17.1</v>
      </c>
      <c r="AT2353" s="1">
        <v>22.6</v>
      </c>
      <c r="AU2353" s="1">
        <v>17.7</v>
      </c>
      <c r="AV2353" s="1">
        <v>66.6</v>
      </c>
      <c r="AW2353" s="1">
        <v>0.7</v>
      </c>
      <c r="AX2353" s="1">
        <v>0.9335</v>
      </c>
      <c r="AY2353" s="1">
        <v>26.3</v>
      </c>
      <c r="AZ2353" s="1">
        <v>15.7</v>
      </c>
      <c r="BA2353" s="1">
        <v>22.5</v>
      </c>
      <c r="BB2353" s="1">
        <v>2.6</v>
      </c>
      <c r="BC2353" s="1" t="s">
        <v>3823</v>
      </c>
      <c r="BD2353" s="1">
        <v>14.1</v>
      </c>
      <c r="BE2353" s="1">
        <v>31.2</v>
      </c>
      <c r="BF2353" s="1">
        <v>34.8</v>
      </c>
      <c r="BG2353" s="1">
        <v>19.9</v>
      </c>
      <c r="BH2353" s="1" t="s">
        <v>3883</v>
      </c>
    </row>
    <row r="2354">
      <c r="A2354" s="1">
        <v>45077.0</v>
      </c>
      <c r="B2354" s="2" t="str">
        <f>IFERROR(__xludf.DUMMYFUNCTION("TO_TEXT(A2354)"),"45077")</f>
        <v>45077</v>
      </c>
      <c r="C2354" s="1">
        <v>120722.0</v>
      </c>
      <c r="D2354" s="1">
        <v>496.348047313038</v>
      </c>
      <c r="E2354" s="1" t="s">
        <v>166</v>
      </c>
      <c r="F2354" s="1" t="s">
        <v>3884</v>
      </c>
      <c r="G2354" s="1">
        <v>243.220459219138</v>
      </c>
      <c r="H2354" s="1">
        <v>16.633882835</v>
      </c>
      <c r="I2354" s="1">
        <v>4.413239413</v>
      </c>
      <c r="J2354" s="1">
        <v>7.8603657089</v>
      </c>
      <c r="K2354" s="1">
        <v>16.619570915</v>
      </c>
      <c r="L2354" s="1">
        <v>32.1</v>
      </c>
      <c r="M2354" s="1">
        <v>7.5</v>
      </c>
      <c r="N2354" s="1">
        <v>24.1</v>
      </c>
      <c r="O2354" s="1">
        <v>74.703079917</v>
      </c>
      <c r="P2354" s="1">
        <v>13.050794962</v>
      </c>
      <c r="Q2354" s="1">
        <v>61.54893</v>
      </c>
      <c r="R2354" s="1">
        <v>83.980967486</v>
      </c>
      <c r="S2354" s="1">
        <v>17.3</v>
      </c>
      <c r="T2354" s="1">
        <v>23338.0</v>
      </c>
      <c r="U2354" s="1">
        <v>32.239266432</v>
      </c>
      <c r="V2354" s="1">
        <v>342.03864913</v>
      </c>
      <c r="W2354" s="1">
        <v>15.881192459</v>
      </c>
      <c r="X2354" s="1">
        <v>13.294797688</v>
      </c>
      <c r="Y2354" s="1">
        <v>77.005576398</v>
      </c>
      <c r="Z2354" s="1">
        <v>11.5</v>
      </c>
      <c r="AA2354" s="1">
        <v>11.515947909</v>
      </c>
      <c r="AB2354" s="1">
        <v>48794.0</v>
      </c>
      <c r="AC2354" s="1">
        <v>60.278894166</v>
      </c>
      <c r="AD2354" s="1">
        <v>67.586279683</v>
      </c>
      <c r="AE2354" s="1">
        <v>13.908111423</v>
      </c>
      <c r="AF2354" s="1">
        <v>6.8226386099</v>
      </c>
      <c r="AG2354" s="1">
        <v>0.2809415946</v>
      </c>
      <c r="AH2354" s="1">
        <v>2.0682423942</v>
      </c>
      <c r="AI2354" s="1">
        <v>0.0304153293</v>
      </c>
      <c r="AJ2354" s="1">
        <v>3.7578939786</v>
      </c>
      <c r="AK2354" s="1">
        <v>85.570327445</v>
      </c>
      <c r="AL2354" s="1">
        <v>0.6101642552</v>
      </c>
      <c r="AM2354" s="1">
        <v>50.203702666</v>
      </c>
      <c r="AN2354" s="1">
        <v>35.792290143</v>
      </c>
      <c r="AO2354" s="1">
        <v>22258.0</v>
      </c>
      <c r="AP2354" s="1">
        <v>18.7</v>
      </c>
      <c r="AQ2354" s="1">
        <v>8.0</v>
      </c>
      <c r="AR2354" s="1">
        <v>15.8</v>
      </c>
      <c r="AS2354" s="1">
        <v>15.1</v>
      </c>
      <c r="AT2354" s="1">
        <v>19.7</v>
      </c>
      <c r="AU2354" s="1">
        <v>14.4</v>
      </c>
      <c r="AV2354" s="1">
        <v>13.6</v>
      </c>
      <c r="AW2354" s="1">
        <v>0.6</v>
      </c>
      <c r="AX2354" s="1">
        <v>0.6183</v>
      </c>
      <c r="AY2354" s="1">
        <v>15.3</v>
      </c>
      <c r="AZ2354" s="1">
        <v>10.2</v>
      </c>
      <c r="BA2354" s="1">
        <v>12.8</v>
      </c>
      <c r="BB2354" s="1">
        <v>2.95</v>
      </c>
      <c r="BC2354" s="1" t="s">
        <v>3823</v>
      </c>
      <c r="BD2354" s="1">
        <v>14.7</v>
      </c>
      <c r="BE2354" s="1">
        <v>29.1</v>
      </c>
      <c r="BF2354" s="1">
        <v>30.3</v>
      </c>
      <c r="BG2354" s="1">
        <v>26.0</v>
      </c>
      <c r="BH2354" s="1" t="s">
        <v>3884</v>
      </c>
    </row>
    <row r="2355">
      <c r="A2355" s="1">
        <v>45079.0</v>
      </c>
      <c r="B2355" s="2" t="str">
        <f>IFERROR(__xludf.DUMMYFUNCTION("TO_TEXT(A2355)"),"45079")</f>
        <v>45079</v>
      </c>
      <c r="C2355" s="1">
        <v>401743.0</v>
      </c>
      <c r="D2355" s="1">
        <v>757.155121651936</v>
      </c>
      <c r="E2355" s="1" t="s">
        <v>1271</v>
      </c>
      <c r="F2355" s="1" t="s">
        <v>3885</v>
      </c>
      <c r="G2355" s="1">
        <v>530.59536746379</v>
      </c>
      <c r="H2355" s="1">
        <v>17.4302445529999</v>
      </c>
      <c r="I2355" s="1">
        <v>4.2672722555</v>
      </c>
      <c r="J2355" s="1">
        <v>10.766521402</v>
      </c>
      <c r="K2355" s="1">
        <v>15.9110915379999</v>
      </c>
      <c r="L2355" s="1">
        <v>32.7</v>
      </c>
      <c r="M2355" s="1">
        <v>6.7</v>
      </c>
      <c r="N2355" s="1">
        <v>24.9</v>
      </c>
      <c r="O2355" s="1">
        <v>75.966179806</v>
      </c>
      <c r="P2355" s="1">
        <v>10.990800638</v>
      </c>
      <c r="Q2355" s="1">
        <v>86.0075</v>
      </c>
      <c r="R2355" s="1">
        <v>69.521208226</v>
      </c>
      <c r="S2355" s="1">
        <v>20.2</v>
      </c>
      <c r="T2355" s="1">
        <v>86799.0</v>
      </c>
      <c r="U2355" s="1">
        <v>44.871484695</v>
      </c>
      <c r="V2355" s="1">
        <v>796.20056957</v>
      </c>
      <c r="W2355" s="1">
        <v>16.877078667</v>
      </c>
      <c r="X2355" s="1">
        <v>15.221819437</v>
      </c>
      <c r="Y2355" s="1">
        <v>77.423955397</v>
      </c>
      <c r="Z2355" s="1">
        <v>11.2</v>
      </c>
      <c r="AA2355" s="1">
        <v>10.519688855</v>
      </c>
      <c r="AB2355" s="1">
        <v>52611.0</v>
      </c>
      <c r="AC2355" s="1">
        <v>62.981888378</v>
      </c>
      <c r="AD2355" s="1">
        <v>58.84544505</v>
      </c>
      <c r="AE2355" s="1">
        <v>16.440821802</v>
      </c>
      <c r="AF2355" s="1">
        <v>47.30206283</v>
      </c>
      <c r="AG2355" s="1">
        <v>0.3654335996</v>
      </c>
      <c r="AH2355" s="1">
        <v>2.9475898267</v>
      </c>
      <c r="AI2355" s="1">
        <v>0.1468970707</v>
      </c>
      <c r="AJ2355" s="1">
        <v>5.1925340589</v>
      </c>
      <c r="AK2355" s="1">
        <v>42.136544325</v>
      </c>
      <c r="AL2355" s="1">
        <v>1.1810306704</v>
      </c>
      <c r="AM2355" s="1">
        <v>51.680994558</v>
      </c>
      <c r="AN2355" s="1">
        <v>9.070386784</v>
      </c>
      <c r="AO2355" s="1">
        <v>26852.0</v>
      </c>
      <c r="AP2355" s="1">
        <v>16.6</v>
      </c>
      <c r="AQ2355" s="1">
        <v>8.5</v>
      </c>
      <c r="AR2355" s="1">
        <v>9.4</v>
      </c>
      <c r="AS2355" s="1">
        <v>11.3</v>
      </c>
      <c r="AT2355" s="1">
        <v>21.9</v>
      </c>
      <c r="AU2355" s="1">
        <v>11.8</v>
      </c>
      <c r="AV2355" s="1">
        <v>56.2</v>
      </c>
      <c r="AW2355" s="1">
        <v>1.2</v>
      </c>
      <c r="AX2355" s="1">
        <v>0.5938</v>
      </c>
      <c r="AY2355" s="1">
        <v>16.2</v>
      </c>
      <c r="AZ2355" s="1">
        <v>11.2</v>
      </c>
      <c r="BA2355" s="1">
        <v>13.5</v>
      </c>
      <c r="BB2355" s="1">
        <v>3.16</v>
      </c>
      <c r="BC2355" s="1" t="s">
        <v>3823</v>
      </c>
      <c r="BD2355" s="1">
        <v>8.5</v>
      </c>
      <c r="BE2355" s="1">
        <v>22.5</v>
      </c>
      <c r="BF2355" s="1">
        <v>29.9</v>
      </c>
      <c r="BG2355" s="1">
        <v>39.1</v>
      </c>
      <c r="BH2355" s="1" t="s">
        <v>3885</v>
      </c>
    </row>
    <row r="2356">
      <c r="A2356" s="1">
        <v>45081.0</v>
      </c>
      <c r="B2356" s="2" t="str">
        <f>IFERROR(__xludf.DUMMYFUNCTION("TO_TEXT(A2356)"),"45081")</f>
        <v>45081</v>
      </c>
      <c r="C2356" s="1">
        <v>20113.0</v>
      </c>
      <c r="D2356" s="1">
        <v>452.778194921546</v>
      </c>
      <c r="E2356" s="1" t="s">
        <v>3886</v>
      </c>
      <c r="F2356" s="1" t="s">
        <v>3887</v>
      </c>
      <c r="G2356" s="1">
        <v>44.4213087679389</v>
      </c>
      <c r="H2356" s="1">
        <v>22.344502173</v>
      </c>
      <c r="I2356" s="1">
        <v>4.4752083623</v>
      </c>
      <c r="J2356" s="1">
        <v>10.482921084</v>
      </c>
      <c r="K2356" s="1">
        <v>18.9883621659999</v>
      </c>
      <c r="L2356" s="1">
        <v>38.1</v>
      </c>
      <c r="M2356" s="1">
        <v>8.0</v>
      </c>
      <c r="N2356" s="1">
        <v>33.3</v>
      </c>
      <c r="O2356" s="1">
        <v>43.577358491</v>
      </c>
      <c r="P2356" s="1">
        <v>18.609481916</v>
      </c>
      <c r="Q2356" s="1">
        <v>9.77899</v>
      </c>
      <c r="R2356" s="1">
        <v>73.376623377</v>
      </c>
      <c r="S2356" s="1">
        <v>23.8</v>
      </c>
      <c r="T2356" s="1">
        <v>4462.0</v>
      </c>
      <c r="U2356" s="1">
        <v>38.435679068</v>
      </c>
      <c r="V2356" s="1">
        <v>312.27539716</v>
      </c>
      <c r="W2356" s="1">
        <v>10.274454609</v>
      </c>
      <c r="X2356" s="1">
        <v>8.6800573888</v>
      </c>
      <c r="Y2356" s="1">
        <v>78.998067624</v>
      </c>
      <c r="Z2356" s="1">
        <v>17.3</v>
      </c>
      <c r="AA2356" s="1">
        <v>4.8263953172</v>
      </c>
      <c r="AB2356" s="1">
        <v>46019.0</v>
      </c>
      <c r="AC2356" s="1">
        <v>90.108303249</v>
      </c>
      <c r="AD2356" s="1">
        <v>73.679101373</v>
      </c>
      <c r="AE2356" s="1">
        <v>7.9295154185</v>
      </c>
      <c r="AF2356" s="1">
        <v>24.104361371</v>
      </c>
      <c r="AG2356" s="1">
        <v>1.3872663551</v>
      </c>
      <c r="AH2356" s="1">
        <v>0.355334891</v>
      </c>
      <c r="AI2356" s="1">
        <v>0.9637850467</v>
      </c>
      <c r="AJ2356" s="1">
        <v>16.20911215</v>
      </c>
      <c r="AK2356" s="1">
        <v>57.909852025</v>
      </c>
      <c r="AL2356" s="1">
        <v>6.4041994751</v>
      </c>
      <c r="AM2356" s="1">
        <v>49.299065421</v>
      </c>
      <c r="AN2356" s="1">
        <v>80.528301887</v>
      </c>
      <c r="AO2356" s="1">
        <v>21468.0</v>
      </c>
      <c r="AP2356" s="1">
        <v>18.9</v>
      </c>
      <c r="AQ2356" s="1">
        <v>7.6</v>
      </c>
      <c r="AR2356" s="1">
        <v>21.9</v>
      </c>
      <c r="AS2356" s="1">
        <v>18.1</v>
      </c>
      <c r="AT2356" s="1">
        <v>22.4</v>
      </c>
      <c r="AU2356" s="1">
        <v>14.0</v>
      </c>
      <c r="AV2356" s="1">
        <v>41.8</v>
      </c>
      <c r="AW2356" s="1">
        <v>6.5</v>
      </c>
      <c r="AX2356" s="1">
        <v>0.7832</v>
      </c>
      <c r="AY2356" s="1">
        <v>16.1</v>
      </c>
      <c r="AZ2356" s="1">
        <v>10.1</v>
      </c>
      <c r="BA2356" s="1">
        <v>13.4</v>
      </c>
      <c r="BB2356" s="1">
        <v>3.27</v>
      </c>
      <c r="BC2356" s="1" t="s">
        <v>3823</v>
      </c>
      <c r="BD2356" s="1">
        <v>21.8</v>
      </c>
      <c r="BE2356" s="1">
        <v>35.2</v>
      </c>
      <c r="BF2356" s="1">
        <v>26.2</v>
      </c>
      <c r="BG2356" s="1">
        <v>16.8</v>
      </c>
      <c r="BH2356" s="1" t="s">
        <v>3887</v>
      </c>
    </row>
    <row r="2357">
      <c r="A2357" s="1">
        <v>45083.0</v>
      </c>
      <c r="B2357" s="2" t="str">
        <f>IFERROR(__xludf.DUMMYFUNCTION("TO_TEXT(A2357)"),"45083")</f>
        <v>45083</v>
      </c>
      <c r="C2357" s="1">
        <v>294229.0</v>
      </c>
      <c r="D2357" s="1">
        <v>807.956081489408</v>
      </c>
      <c r="E2357" s="1" t="s">
        <v>3888</v>
      </c>
      <c r="F2357" s="1" t="s">
        <v>3889</v>
      </c>
      <c r="G2357" s="1">
        <v>364.164595998349</v>
      </c>
      <c r="H2357" s="1">
        <v>17.065961254</v>
      </c>
      <c r="I2357" s="1">
        <v>4.7466667655</v>
      </c>
      <c r="J2357" s="1">
        <v>8.9746597841</v>
      </c>
      <c r="K2357" s="1">
        <v>17.019495795</v>
      </c>
      <c r="L2357" s="1">
        <v>32.3</v>
      </c>
      <c r="M2357" s="1">
        <v>7.3</v>
      </c>
      <c r="N2357" s="1">
        <v>27.8</v>
      </c>
      <c r="O2357" s="1">
        <v>77.050864031</v>
      </c>
      <c r="P2357" s="1">
        <v>12.926273078</v>
      </c>
      <c r="Q2357" s="1">
        <v>68.43646</v>
      </c>
      <c r="R2357" s="1">
        <v>87.820512821</v>
      </c>
      <c r="S2357" s="1">
        <v>20.7</v>
      </c>
      <c r="T2357" s="1">
        <v>69724.0</v>
      </c>
      <c r="U2357" s="1">
        <v>37.142160519</v>
      </c>
      <c r="V2357" s="1">
        <v>419.47028626</v>
      </c>
      <c r="W2357" s="1">
        <v>13.708953885</v>
      </c>
      <c r="X2357" s="1">
        <v>11.234162793</v>
      </c>
      <c r="Y2357" s="1">
        <v>75.872757943</v>
      </c>
      <c r="Z2357" s="1">
        <v>12.1</v>
      </c>
      <c r="AA2357" s="1">
        <v>13.727565632</v>
      </c>
      <c r="AB2357" s="1">
        <v>53567.0</v>
      </c>
      <c r="AC2357" s="1">
        <v>61.300180581</v>
      </c>
      <c r="AD2357" s="1">
        <v>69.601360782</v>
      </c>
      <c r="AE2357" s="1">
        <v>11.497282461</v>
      </c>
      <c r="AF2357" s="1">
        <v>20.519102355</v>
      </c>
      <c r="AG2357" s="1">
        <v>0.4304082985</v>
      </c>
      <c r="AH2357" s="1">
        <v>2.4875114691</v>
      </c>
      <c r="AI2357" s="1">
        <v>0.0675400142999999</v>
      </c>
      <c r="AJ2357" s="1">
        <v>7.0913829137</v>
      </c>
      <c r="AK2357" s="1">
        <v>68.016617392</v>
      </c>
      <c r="AL2357" s="1">
        <v>1.8621068651</v>
      </c>
      <c r="AM2357" s="1">
        <v>51.515190132</v>
      </c>
      <c r="AN2357" s="1">
        <v>27.432317882</v>
      </c>
      <c r="AO2357" s="1">
        <v>23277.0</v>
      </c>
      <c r="AP2357" s="1">
        <v>17.0</v>
      </c>
      <c r="AQ2357" s="1">
        <v>7.6</v>
      </c>
      <c r="AR2357" s="1">
        <v>16.4</v>
      </c>
      <c r="AS2357" s="1">
        <v>15.0</v>
      </c>
      <c r="AT2357" s="1">
        <v>23.7</v>
      </c>
      <c r="AU2357" s="1">
        <v>15.5</v>
      </c>
      <c r="AV2357" s="1">
        <v>30.9</v>
      </c>
      <c r="AW2357" s="1">
        <v>2.2</v>
      </c>
      <c r="AX2357" s="1">
        <v>0.8131</v>
      </c>
      <c r="AY2357" s="1">
        <v>12.9</v>
      </c>
      <c r="AZ2357" s="1">
        <v>10.5</v>
      </c>
      <c r="BA2357" s="1">
        <v>14.3</v>
      </c>
      <c r="BB2357" s="1">
        <v>2.81</v>
      </c>
      <c r="BC2357" s="1" t="s">
        <v>3823</v>
      </c>
      <c r="BD2357" s="1">
        <v>14.3</v>
      </c>
      <c r="BE2357" s="1">
        <v>29.3</v>
      </c>
      <c r="BF2357" s="1">
        <v>31.9</v>
      </c>
      <c r="BG2357" s="1">
        <v>24.5</v>
      </c>
      <c r="BH2357" s="1" t="s">
        <v>3889</v>
      </c>
    </row>
    <row r="2358">
      <c r="A2358" s="1">
        <v>45085.0</v>
      </c>
      <c r="B2358" s="2" t="str">
        <f>IFERROR(__xludf.DUMMYFUNCTION("TO_TEXT(A2358)"),"45085")</f>
        <v>45085</v>
      </c>
      <c r="C2358" s="1">
        <v>107682.0</v>
      </c>
      <c r="D2358" s="1">
        <v>665.075214365709</v>
      </c>
      <c r="E2358" s="1" t="s">
        <v>178</v>
      </c>
      <c r="F2358" s="1" t="s">
        <v>3890</v>
      </c>
      <c r="G2358" s="1">
        <v>161.909506885921</v>
      </c>
      <c r="H2358" s="1">
        <v>22.275342544</v>
      </c>
      <c r="I2358" s="1">
        <v>4.4715523385</v>
      </c>
      <c r="J2358" s="1">
        <v>10.484347312</v>
      </c>
      <c r="K2358" s="1">
        <v>18.015323165</v>
      </c>
      <c r="L2358" s="1">
        <v>38.2</v>
      </c>
      <c r="M2358" s="1">
        <v>6.4</v>
      </c>
      <c r="N2358" s="1">
        <v>28.0</v>
      </c>
      <c r="O2358" s="1">
        <v>68.561085468</v>
      </c>
      <c r="P2358" s="1">
        <v>12.764410594</v>
      </c>
      <c r="Q2358" s="1">
        <v>50.53956</v>
      </c>
      <c r="R2358" s="1">
        <v>84.219409283</v>
      </c>
      <c r="S2358" s="1">
        <v>28.2</v>
      </c>
      <c r="T2358" s="1">
        <v>25847.0</v>
      </c>
      <c r="U2358" s="1">
        <v>48.032653693</v>
      </c>
      <c r="V2358" s="1">
        <v>621.01756315</v>
      </c>
      <c r="W2358" s="1">
        <v>15.276246478</v>
      </c>
      <c r="X2358" s="1">
        <v>12.765691423</v>
      </c>
      <c r="Y2358" s="1">
        <v>75.420333865</v>
      </c>
      <c r="Z2358" s="1">
        <v>13.9</v>
      </c>
      <c r="AA2358" s="1">
        <v>11.274104419</v>
      </c>
      <c r="AB2358" s="1">
        <v>45181.0</v>
      </c>
      <c r="AC2358" s="1">
        <v>99.98213435</v>
      </c>
      <c r="AD2358" s="1">
        <v>64.681430343</v>
      </c>
      <c r="AE2358" s="1">
        <v>13.7635182</v>
      </c>
      <c r="AF2358" s="1">
        <v>47.266974613</v>
      </c>
      <c r="AG2358" s="1">
        <v>0.5548670572</v>
      </c>
      <c r="AH2358" s="1">
        <v>1.4880952381</v>
      </c>
      <c r="AI2358" s="1">
        <v>0.1276851435</v>
      </c>
      <c r="AJ2358" s="1">
        <v>4.0671473637</v>
      </c>
      <c r="AK2358" s="1">
        <v>44.89822743</v>
      </c>
      <c r="AL2358" s="1">
        <v>1.0296074684</v>
      </c>
      <c r="AM2358" s="1">
        <v>51.915277152</v>
      </c>
      <c r="AN2358" s="1">
        <v>31.965641751</v>
      </c>
      <c r="AO2358" s="1">
        <v>20916.0</v>
      </c>
      <c r="AP2358" s="1">
        <v>20.0</v>
      </c>
      <c r="AQ2358" s="1">
        <v>12.5</v>
      </c>
      <c r="AR2358" s="1">
        <v>17.3</v>
      </c>
      <c r="AS2358" s="1">
        <v>14.6</v>
      </c>
      <c r="AT2358" s="1">
        <v>24.7</v>
      </c>
      <c r="AU2358" s="1">
        <v>20.3</v>
      </c>
      <c r="AV2358" s="1">
        <v>53.9</v>
      </c>
      <c r="AW2358" s="1">
        <v>1.0</v>
      </c>
      <c r="AX2358" s="1">
        <v>0.9602</v>
      </c>
      <c r="AY2358" s="1">
        <v>17.8</v>
      </c>
      <c r="AZ2358" s="1">
        <v>14.3</v>
      </c>
      <c r="BA2358" s="1">
        <v>19.2</v>
      </c>
      <c r="BB2358" s="1">
        <v>2.81</v>
      </c>
      <c r="BC2358" s="1" t="s">
        <v>3823</v>
      </c>
      <c r="BD2358" s="1">
        <v>14.5</v>
      </c>
      <c r="BE2358" s="1">
        <v>30.8</v>
      </c>
      <c r="BF2358" s="1">
        <v>35.4</v>
      </c>
      <c r="BG2358" s="1">
        <v>19.3</v>
      </c>
      <c r="BH2358" s="1" t="s">
        <v>3890</v>
      </c>
    </row>
    <row r="2359">
      <c r="A2359" s="1">
        <v>45087.0</v>
      </c>
      <c r="B2359" s="2" t="str">
        <f>IFERROR(__xludf.DUMMYFUNCTION("TO_TEXT(A2359)"),"45087")</f>
        <v>45087</v>
      </c>
      <c r="C2359" s="1">
        <v>27928.0</v>
      </c>
      <c r="D2359" s="1">
        <v>514.170673934858</v>
      </c>
      <c r="E2359" s="1" t="s">
        <v>406</v>
      </c>
      <c r="F2359" s="1" t="s">
        <v>3891</v>
      </c>
      <c r="G2359" s="1">
        <v>54.3165945001723</v>
      </c>
      <c r="H2359" s="1">
        <v>20.336813723</v>
      </c>
      <c r="I2359" s="1">
        <v>4.5195448255</v>
      </c>
      <c r="J2359" s="1">
        <v>12.30486685</v>
      </c>
      <c r="K2359" s="1">
        <v>18.5837617559999</v>
      </c>
      <c r="L2359" s="1">
        <v>38.6</v>
      </c>
      <c r="M2359" s="1">
        <v>7.4</v>
      </c>
      <c r="N2359" s="1">
        <v>30.2</v>
      </c>
      <c r="O2359" s="1">
        <v>65.280894997</v>
      </c>
      <c r="P2359" s="1">
        <v>12.14676179</v>
      </c>
      <c r="Q2359" s="1">
        <v>39.94625</v>
      </c>
      <c r="R2359" s="1">
        <v>75.649350649</v>
      </c>
      <c r="S2359" s="1">
        <v>32.3</v>
      </c>
      <c r="T2359" s="1">
        <v>5822.0</v>
      </c>
      <c r="U2359" s="1">
        <v>49.948471316</v>
      </c>
      <c r="V2359" s="1">
        <v>671.45505931</v>
      </c>
      <c r="W2359" s="1">
        <v>11.336206897</v>
      </c>
      <c r="X2359" s="1">
        <v>9.5254988914</v>
      </c>
      <c r="Y2359" s="1">
        <v>73.647346845</v>
      </c>
      <c r="Z2359" s="1">
        <v>14.3</v>
      </c>
      <c r="AA2359" s="1">
        <v>4.6782433332</v>
      </c>
      <c r="AB2359" s="1">
        <v>40686.0</v>
      </c>
      <c r="AC2359" s="1">
        <v>99.925742574</v>
      </c>
      <c r="AD2359" s="1">
        <v>69.334719335</v>
      </c>
      <c r="AE2359" s="1">
        <v>10.8320251179999</v>
      </c>
      <c r="AF2359" s="1">
        <v>31.725647574</v>
      </c>
      <c r="AG2359" s="1">
        <v>0.324699015</v>
      </c>
      <c r="AH2359" s="1">
        <v>0.372126961</v>
      </c>
      <c r="AI2359" s="1">
        <v>0.0510762495</v>
      </c>
      <c r="AJ2359" s="1">
        <v>1.685516235</v>
      </c>
      <c r="AK2359" s="1">
        <v>64.2137905869999</v>
      </c>
      <c r="AL2359" s="1">
        <v>0.1685888348</v>
      </c>
      <c r="AM2359" s="1">
        <v>52.619481941</v>
      </c>
      <c r="AN2359" s="1">
        <v>65.3568592239999</v>
      </c>
      <c r="AO2359" s="1">
        <v>19614.0</v>
      </c>
      <c r="AP2359" s="1">
        <v>19.9</v>
      </c>
      <c r="AQ2359" s="1">
        <v>9.9</v>
      </c>
      <c r="AR2359" s="1">
        <v>20.2</v>
      </c>
      <c r="AS2359" s="1">
        <v>18.6</v>
      </c>
      <c r="AT2359" s="1">
        <v>21.7</v>
      </c>
      <c r="AU2359" s="1">
        <v>19.8</v>
      </c>
      <c r="AV2359" s="1">
        <v>34.6</v>
      </c>
      <c r="AW2359" s="1">
        <v>0.3</v>
      </c>
      <c r="AX2359" s="1">
        <v>0.8539</v>
      </c>
      <c r="AY2359" s="1">
        <v>19.9</v>
      </c>
      <c r="AZ2359" s="1">
        <v>14.5</v>
      </c>
      <c r="BA2359" s="1">
        <v>21.7</v>
      </c>
      <c r="BB2359" s="1">
        <v>2.8</v>
      </c>
      <c r="BC2359" s="1" t="s">
        <v>3823</v>
      </c>
      <c r="BD2359" s="1">
        <v>18.8</v>
      </c>
      <c r="BE2359" s="1">
        <v>40.0</v>
      </c>
      <c r="BF2359" s="1">
        <v>29.9</v>
      </c>
      <c r="BG2359" s="1">
        <v>11.3</v>
      </c>
      <c r="BH2359" s="1" t="s">
        <v>3891</v>
      </c>
    </row>
    <row r="2360">
      <c r="A2360" s="1">
        <v>45089.0</v>
      </c>
      <c r="B2360" s="2" t="str">
        <f>IFERROR(__xludf.DUMMYFUNCTION("TO_TEXT(A2360)"),"45089")</f>
        <v>45089</v>
      </c>
      <c r="C2360" s="1">
        <v>32816.0</v>
      </c>
      <c r="D2360" s="1">
        <v>934.160175815684</v>
      </c>
      <c r="E2360" s="1" t="s">
        <v>3892</v>
      </c>
      <c r="F2360" s="1" t="s">
        <v>3893</v>
      </c>
      <c r="G2360" s="1">
        <v>35.1288792324569</v>
      </c>
      <c r="H2360" s="1">
        <v>25.1775832069999</v>
      </c>
      <c r="I2360" s="1">
        <v>4.5460002345</v>
      </c>
      <c r="J2360" s="1">
        <v>13.537117904</v>
      </c>
      <c r="K2360" s="1">
        <v>19.384639217</v>
      </c>
      <c r="L2360" s="1">
        <v>42.0</v>
      </c>
      <c r="M2360" s="1">
        <v>6.2</v>
      </c>
      <c r="N2360" s="1">
        <v>34.2</v>
      </c>
      <c r="O2360" s="1">
        <v>20.329430904</v>
      </c>
      <c r="P2360" s="1">
        <v>11.982154238</v>
      </c>
      <c r="Q2360" s="1">
        <v>16.0601299999999</v>
      </c>
      <c r="R2360" s="1">
        <v>85.623003195</v>
      </c>
      <c r="S2360" s="1">
        <v>37.7</v>
      </c>
      <c r="T2360" s="1">
        <v>6724.0</v>
      </c>
      <c r="U2360" s="1">
        <v>51.189767995</v>
      </c>
      <c r="V2360" s="1">
        <v>531.05766427</v>
      </c>
      <c r="W2360" s="1">
        <v>19.194017449</v>
      </c>
      <c r="X2360" s="1">
        <v>17.304048234</v>
      </c>
      <c r="Y2360" s="1">
        <v>72.923255026</v>
      </c>
      <c r="Z2360" s="1">
        <v>24.2</v>
      </c>
      <c r="AA2360" s="1">
        <v>4.9649596841</v>
      </c>
      <c r="AB2360" s="1">
        <v>32814.0</v>
      </c>
      <c r="AC2360" s="1">
        <v>99.923722349</v>
      </c>
      <c r="AD2360" s="1">
        <v>74.61928934</v>
      </c>
      <c r="AE2360" s="1">
        <v>16.118656183</v>
      </c>
      <c r="AF2360" s="1">
        <v>64.353394759</v>
      </c>
      <c r="AG2360" s="1">
        <v>0.5097039796</v>
      </c>
      <c r="AH2360" s="1">
        <v>0.8102986343</v>
      </c>
      <c r="AI2360" s="1">
        <v>0.0424753316</v>
      </c>
      <c r="AJ2360" s="1">
        <v>2.1401032477</v>
      </c>
      <c r="AK2360" s="1">
        <v>31.448082075</v>
      </c>
      <c r="AL2360" s="1">
        <v>0.3549981752</v>
      </c>
      <c r="AM2360" s="1">
        <v>52.649807227</v>
      </c>
      <c r="AN2360" s="1">
        <v>81.936495947</v>
      </c>
      <c r="AO2360" s="1">
        <v>16650.0</v>
      </c>
      <c r="AP2360" s="1">
        <v>29.3</v>
      </c>
      <c r="AQ2360" s="1">
        <v>10.3</v>
      </c>
      <c r="AR2360" s="1">
        <v>20.7</v>
      </c>
      <c r="AS2360" s="1">
        <v>17.8</v>
      </c>
      <c r="AT2360" s="1">
        <v>21.7</v>
      </c>
      <c r="AU2360" s="1">
        <v>20.1</v>
      </c>
      <c r="AV2360" s="1">
        <v>68.8</v>
      </c>
      <c r="AW2360" s="1">
        <v>0.3</v>
      </c>
      <c r="AX2360" s="1">
        <v>0.9691</v>
      </c>
      <c r="AY2360" s="1">
        <v>27.8</v>
      </c>
      <c r="AZ2360" s="1">
        <v>16.4</v>
      </c>
      <c r="BA2360" s="1">
        <v>22.4</v>
      </c>
      <c r="BB2360" s="1">
        <v>2.98</v>
      </c>
      <c r="BC2360" s="1" t="s">
        <v>3823</v>
      </c>
      <c r="BD2360" s="1">
        <v>19.9</v>
      </c>
      <c r="BE2360" s="1">
        <v>41.6</v>
      </c>
      <c r="BF2360" s="1">
        <v>26.2</v>
      </c>
      <c r="BG2360" s="1">
        <v>12.3</v>
      </c>
      <c r="BH2360" s="1" t="s">
        <v>3893</v>
      </c>
    </row>
    <row r="2361">
      <c r="A2361" s="1">
        <v>45091.0</v>
      </c>
      <c r="B2361" s="2" t="str">
        <f>IFERROR(__xludf.DUMMYFUNCTION("TO_TEXT(A2361)"),"45091")</f>
        <v>45091</v>
      </c>
      <c r="C2361" s="1">
        <v>245606.0</v>
      </c>
      <c r="D2361" s="1">
        <v>680.695573867034</v>
      </c>
      <c r="E2361" s="1" t="s">
        <v>2074</v>
      </c>
      <c r="F2361" s="1" t="s">
        <v>3894</v>
      </c>
      <c r="G2361" s="1">
        <v>360.816214221449</v>
      </c>
      <c r="H2361" s="1">
        <v>14.167778864</v>
      </c>
      <c r="I2361" s="1">
        <v>4.1644317899</v>
      </c>
      <c r="J2361" s="1">
        <v>8.390386016</v>
      </c>
      <c r="K2361" s="1">
        <v>15.4837032409999</v>
      </c>
      <c r="L2361" s="1">
        <v>32.3</v>
      </c>
      <c r="M2361" s="1">
        <v>8.1</v>
      </c>
      <c r="N2361" s="1">
        <v>24.3</v>
      </c>
      <c r="O2361" s="1">
        <v>72.803032649</v>
      </c>
      <c r="P2361" s="1">
        <v>11.050547937</v>
      </c>
      <c r="Q2361" s="1">
        <v>43.91249</v>
      </c>
      <c r="R2361" s="1">
        <v>89.170846857</v>
      </c>
      <c r="S2361" s="1">
        <v>13.0</v>
      </c>
      <c r="T2361" s="1">
        <v>62794.0</v>
      </c>
      <c r="U2361" s="1">
        <v>33.213364334</v>
      </c>
      <c r="V2361" s="1">
        <v>383.79011216</v>
      </c>
      <c r="W2361" s="1">
        <v>12.773564464</v>
      </c>
      <c r="X2361" s="1">
        <v>11.206896552</v>
      </c>
      <c r="Y2361" s="1">
        <v>78.0013191869999</v>
      </c>
      <c r="Z2361" s="1">
        <v>11.3</v>
      </c>
      <c r="AA2361" s="1">
        <v>7.0791101839</v>
      </c>
      <c r="AB2361" s="1">
        <v>64904.0</v>
      </c>
      <c r="AC2361" s="1">
        <v>39.14076173</v>
      </c>
      <c r="AD2361" s="1">
        <v>71.538892568</v>
      </c>
      <c r="AE2361" s="1">
        <v>10.311993729</v>
      </c>
      <c r="AF2361" s="1">
        <v>18.907550763</v>
      </c>
      <c r="AG2361" s="1">
        <v>0.8605782911</v>
      </c>
      <c r="AH2361" s="1">
        <v>2.463902407</v>
      </c>
      <c r="AI2361" s="1">
        <v>0.0901071801</v>
      </c>
      <c r="AJ2361" s="1">
        <v>5.7464303694</v>
      </c>
      <c r="AK2361" s="1">
        <v>70.20188386</v>
      </c>
      <c r="AL2361" s="1">
        <v>1.017291482</v>
      </c>
      <c r="AM2361" s="1">
        <v>51.758731641</v>
      </c>
      <c r="AN2361" s="1">
        <v>22.954974721</v>
      </c>
      <c r="AO2361" s="1">
        <v>28830.0</v>
      </c>
      <c r="AP2361" s="1">
        <v>12.5</v>
      </c>
      <c r="AQ2361" s="1">
        <v>7.8</v>
      </c>
      <c r="AR2361" s="1">
        <v>11.5</v>
      </c>
      <c r="AS2361" s="1">
        <v>13.0</v>
      </c>
      <c r="AT2361" s="1">
        <v>24.7</v>
      </c>
      <c r="AU2361" s="1">
        <v>11.4</v>
      </c>
      <c r="AV2361" s="1">
        <v>28.5</v>
      </c>
      <c r="AW2361" s="1">
        <v>1.0</v>
      </c>
      <c r="AX2361" s="1">
        <v>0.4053</v>
      </c>
      <c r="AY2361" s="1">
        <v>8.6</v>
      </c>
      <c r="AZ2361" s="1">
        <v>8.3</v>
      </c>
      <c r="BA2361" s="1">
        <v>10.5</v>
      </c>
      <c r="BB2361" s="1">
        <v>3.11</v>
      </c>
      <c r="BC2361" s="1" t="s">
        <v>3823</v>
      </c>
      <c r="BD2361" s="1">
        <v>9.2</v>
      </c>
      <c r="BE2361" s="1">
        <v>25.1</v>
      </c>
      <c r="BF2361" s="1">
        <v>32.4</v>
      </c>
      <c r="BG2361" s="1">
        <v>33.3</v>
      </c>
      <c r="BH2361" s="1" t="s">
        <v>3894</v>
      </c>
    </row>
    <row r="2362">
      <c r="A2362" s="1">
        <v>46003.0</v>
      </c>
      <c r="B2362" s="2" t="str">
        <f>IFERROR(__xludf.DUMMYFUNCTION("TO_TEXT(A2362)"),"46003")</f>
        <v>46003</v>
      </c>
      <c r="C2362" s="1">
        <v>2732.0</v>
      </c>
      <c r="D2362" s="1">
        <v>708.425259660806</v>
      </c>
      <c r="E2362" s="1" t="s">
        <v>3895</v>
      </c>
      <c r="F2362" s="1" t="s">
        <v>3896</v>
      </c>
      <c r="G2362" s="1">
        <v>3.85644069398102</v>
      </c>
      <c r="H2362" s="1">
        <v>9.7010358431</v>
      </c>
      <c r="I2362" s="1">
        <v>2.6571010468</v>
      </c>
      <c r="J2362" s="1">
        <v>5.8823529412</v>
      </c>
      <c r="K2362" s="1">
        <v>12.351549554</v>
      </c>
      <c r="L2362" s="1">
        <v>36.8</v>
      </c>
      <c r="M2362" s="1">
        <v>7.1</v>
      </c>
      <c r="N2362" s="1">
        <v>18.7</v>
      </c>
      <c r="O2362" s="1">
        <v>57.822878229</v>
      </c>
      <c r="P2362" s="1">
        <v>15.454983149</v>
      </c>
      <c r="Q2362" s="1">
        <v>36.52301</v>
      </c>
      <c r="R2362" s="1">
        <v>84.0</v>
      </c>
      <c r="S2362" s="1">
        <v>14.0</v>
      </c>
      <c r="T2362" s="1">
        <v>672.0</v>
      </c>
      <c r="U2362" s="1">
        <v>18.898809524</v>
      </c>
      <c r="V2362" s="1">
        <v>18.315018315</v>
      </c>
      <c r="W2362" s="1">
        <v>4.8034934498</v>
      </c>
      <c r="X2362" s="1">
        <v>3.768624014</v>
      </c>
      <c r="Y2362" s="1">
        <v>82.177097659</v>
      </c>
      <c r="Z2362" s="1">
        <v>26.4</v>
      </c>
      <c r="AA2362" s="1">
        <v>23.279247626</v>
      </c>
      <c r="AB2362" s="1">
        <v>53107.0</v>
      </c>
      <c r="AC2362" s="1">
        <v>35.526315789</v>
      </c>
      <c r="AD2362" s="1">
        <v>75.021533161</v>
      </c>
      <c r="AE2362" s="1">
        <v>4.1255605381</v>
      </c>
      <c r="AF2362" s="1">
        <v>0.678329168199999</v>
      </c>
      <c r="AG2362" s="1">
        <v>2.7133166726</v>
      </c>
      <c r="AH2362" s="1">
        <v>0.7140307033</v>
      </c>
      <c r="AI2362" s="1">
        <v>0.0</v>
      </c>
      <c r="AJ2362" s="1">
        <v>6.3905747947</v>
      </c>
      <c r="AK2362" s="1">
        <v>88.646911817</v>
      </c>
      <c r="AL2362" s="1">
        <v>2.683504341</v>
      </c>
      <c r="AM2362" s="1">
        <v>46.804712603</v>
      </c>
      <c r="AN2362" s="1">
        <v>100.0</v>
      </c>
      <c r="AO2362" s="1">
        <v>28385.0</v>
      </c>
      <c r="AP2362" s="1">
        <v>6.2</v>
      </c>
      <c r="AQ2362" s="1">
        <v>1.7</v>
      </c>
      <c r="AR2362" s="1">
        <v>11.4</v>
      </c>
      <c r="AS2362" s="1">
        <v>19.6</v>
      </c>
      <c r="AT2362" s="1">
        <v>26.0</v>
      </c>
      <c r="AU2362" s="1">
        <v>13.8</v>
      </c>
      <c r="AV2362" s="1">
        <v>11.0</v>
      </c>
      <c r="AW2362" s="1">
        <v>2.5</v>
      </c>
      <c r="AX2362" s="1">
        <v>0.2114</v>
      </c>
      <c r="AY2362" s="1">
        <v>10.2</v>
      </c>
      <c r="AZ2362" s="1">
        <v>8.6</v>
      </c>
      <c r="BA2362" s="1">
        <v>13.9</v>
      </c>
      <c r="BB2362" s="1">
        <v>3.28</v>
      </c>
      <c r="BC2362" s="1" t="s">
        <v>3897</v>
      </c>
      <c r="BD2362" s="1">
        <v>13.0</v>
      </c>
      <c r="BE2362" s="1">
        <v>33.5</v>
      </c>
      <c r="BF2362" s="1">
        <v>32.1</v>
      </c>
      <c r="BG2362" s="1">
        <v>21.5</v>
      </c>
      <c r="BH2362" s="1" t="s">
        <v>3896</v>
      </c>
    </row>
    <row r="2363">
      <c r="A2363" s="1">
        <v>46005.0</v>
      </c>
      <c r="B2363" s="2" t="str">
        <f>IFERROR(__xludf.DUMMYFUNCTION("TO_TEXT(A2363)"),"46005")</f>
        <v>46005</v>
      </c>
      <c r="C2363" s="1">
        <v>18155.0</v>
      </c>
      <c r="D2363" s="1">
        <v>1258.70543279529</v>
      </c>
      <c r="E2363" s="1" t="s">
        <v>3898</v>
      </c>
      <c r="F2363" s="1" t="s">
        <v>3899</v>
      </c>
      <c r="G2363" s="1">
        <v>14.4235494079675</v>
      </c>
      <c r="H2363" s="1">
        <v>12.979679951</v>
      </c>
      <c r="I2363" s="1">
        <v>3.063209253</v>
      </c>
      <c r="J2363" s="1">
        <v>7.433945365</v>
      </c>
      <c r="K2363" s="1">
        <v>15.6174013179999</v>
      </c>
      <c r="L2363" s="1">
        <v>35.7</v>
      </c>
      <c r="M2363" s="1">
        <v>7.6</v>
      </c>
      <c r="N2363" s="1">
        <v>19.4</v>
      </c>
      <c r="O2363" s="1">
        <v>68.117024945</v>
      </c>
      <c r="P2363" s="1">
        <v>13.46808221</v>
      </c>
      <c r="Q2363" s="1">
        <v>60.5827</v>
      </c>
      <c r="R2363" s="1">
        <v>72.946859903</v>
      </c>
      <c r="S2363" s="1">
        <v>18.3</v>
      </c>
      <c r="T2363" s="1">
        <v>4798.0</v>
      </c>
      <c r="U2363" s="1">
        <v>32.471863276</v>
      </c>
      <c r="V2363" s="1">
        <v>258.15918911</v>
      </c>
      <c r="W2363" s="1">
        <v>12.7079174979999</v>
      </c>
      <c r="X2363" s="1">
        <v>7.8894133513</v>
      </c>
      <c r="Y2363" s="1">
        <v>78.876076689</v>
      </c>
      <c r="Z2363" s="1">
        <v>8.8</v>
      </c>
      <c r="AA2363" s="1">
        <v>8.0611489338</v>
      </c>
      <c r="AB2363" s="1">
        <v>49712.0</v>
      </c>
      <c r="AC2363" s="1">
        <v>54.336569579</v>
      </c>
      <c r="AD2363" s="1">
        <v>66.936936937</v>
      </c>
      <c r="AE2363" s="1">
        <v>6.4251718667</v>
      </c>
      <c r="AF2363" s="1">
        <v>0.9161679818</v>
      </c>
      <c r="AG2363" s="1">
        <v>1.5039983054</v>
      </c>
      <c r="AH2363" s="1">
        <v>11.380606895</v>
      </c>
      <c r="AI2363" s="1">
        <v>0.4183657258</v>
      </c>
      <c r="AJ2363" s="1">
        <v>11.0575650059999</v>
      </c>
      <c r="AK2363" s="1">
        <v>73.796536567</v>
      </c>
      <c r="AL2363" s="1">
        <v>7.734904271</v>
      </c>
      <c r="AM2363" s="1">
        <v>49.0600010589999</v>
      </c>
      <c r="AN2363" s="1">
        <v>27.365214392</v>
      </c>
      <c r="AO2363" s="1">
        <v>24532.0</v>
      </c>
      <c r="AP2363" s="1">
        <v>21.4</v>
      </c>
      <c r="AQ2363" s="1">
        <v>2.9</v>
      </c>
      <c r="AR2363" s="1">
        <v>16.6</v>
      </c>
      <c r="AS2363" s="1">
        <v>16.3</v>
      </c>
      <c r="AT2363" s="1">
        <v>26.0</v>
      </c>
      <c r="AU2363" s="1">
        <v>12.8</v>
      </c>
      <c r="AV2363" s="1">
        <v>19.7</v>
      </c>
      <c r="AW2363" s="1">
        <v>7.5</v>
      </c>
      <c r="AX2363" s="1">
        <v>0.7017</v>
      </c>
      <c r="AY2363" s="1">
        <v>12.9</v>
      </c>
      <c r="AZ2363" s="1">
        <v>11.3</v>
      </c>
      <c r="BA2363" s="1">
        <v>19.6</v>
      </c>
      <c r="BB2363" s="1">
        <v>3.16</v>
      </c>
      <c r="BC2363" s="1" t="s">
        <v>3897</v>
      </c>
      <c r="BD2363" s="1">
        <v>15.7</v>
      </c>
      <c r="BE2363" s="1">
        <v>34.0</v>
      </c>
      <c r="BF2363" s="1">
        <v>29.8</v>
      </c>
      <c r="BG2363" s="1">
        <v>20.5</v>
      </c>
      <c r="BH2363" s="1" t="s">
        <v>3899</v>
      </c>
    </row>
    <row r="2364">
      <c r="A2364" s="1">
        <v>46007.0</v>
      </c>
      <c r="B2364" s="2" t="str">
        <f>IFERROR(__xludf.DUMMYFUNCTION("TO_TEXT(A2364)"),"46007")</f>
        <v>46007</v>
      </c>
      <c r="C2364" s="1">
        <v>3445.0</v>
      </c>
      <c r="D2364" s="1">
        <v>1184.70884704298</v>
      </c>
      <c r="E2364" s="1" t="s">
        <v>3900</v>
      </c>
      <c r="F2364" s="1" t="s">
        <v>3901</v>
      </c>
      <c r="G2364" s="1">
        <v>2.90788745994316</v>
      </c>
      <c r="H2364" s="1">
        <v>20.514142082</v>
      </c>
      <c r="I2364" s="1">
        <v>3.9821017022</v>
      </c>
      <c r="J2364" s="1">
        <v>5.85683297179999</v>
      </c>
      <c r="K2364" s="1">
        <v>26.641082683</v>
      </c>
      <c r="L2364" s="1">
        <v>41.8</v>
      </c>
      <c r="M2364" s="1">
        <v>2.0</v>
      </c>
      <c r="N2364" s="1">
        <v>22.7</v>
      </c>
      <c r="O2364" s="1">
        <v>4.0221509764</v>
      </c>
      <c r="P2364" s="1">
        <v>21.7750258</v>
      </c>
      <c r="Q2364" s="1">
        <v>48.31939</v>
      </c>
      <c r="R2364" s="1">
        <v>67.5</v>
      </c>
      <c r="S2364" s="1">
        <v>44.7</v>
      </c>
      <c r="T2364" s="1">
        <v>1205.0</v>
      </c>
      <c r="U2364" s="1">
        <v>68.630705394</v>
      </c>
      <c r="V2364" s="1">
        <v>451.30295531</v>
      </c>
      <c r="W2364" s="1">
        <v>23.0769230769999</v>
      </c>
      <c r="X2364" s="1">
        <v>10.259067358</v>
      </c>
      <c r="Y2364" s="1">
        <v>69.07406829</v>
      </c>
      <c r="Z2364" s="1">
        <v>13.7</v>
      </c>
      <c r="AA2364" s="1">
        <v>59.334817647</v>
      </c>
      <c r="AB2364" s="1">
        <v>37071.0</v>
      </c>
      <c r="AC2364" s="1">
        <v>77.171717172</v>
      </c>
      <c r="AD2364" s="1">
        <v>63.350253807</v>
      </c>
      <c r="AE2364" s="1">
        <v>10.461192351</v>
      </c>
      <c r="AF2364" s="1">
        <v>0.4036908881</v>
      </c>
      <c r="AG2364" s="1">
        <v>59.8904267589999</v>
      </c>
      <c r="AH2364" s="1">
        <v>0.4325259516</v>
      </c>
      <c r="AI2364" s="1">
        <v>0.0576701269</v>
      </c>
      <c r="AJ2364" s="1">
        <v>5.59400230679999</v>
      </c>
      <c r="AK2364" s="1">
        <v>31.9780853519999</v>
      </c>
      <c r="AL2364" s="1">
        <v>0.5052099779</v>
      </c>
      <c r="AM2364" s="1">
        <v>51.1245674739999</v>
      </c>
      <c r="AN2364" s="1">
        <v>100.0</v>
      </c>
      <c r="AO2364" s="1">
        <v>15011.0</v>
      </c>
      <c r="AP2364" s="1">
        <v>38.2</v>
      </c>
      <c r="AQ2364" s="1">
        <v>16.5</v>
      </c>
      <c r="AR2364" s="1">
        <v>21.1</v>
      </c>
      <c r="AS2364" s="1">
        <v>11.5</v>
      </c>
      <c r="AT2364" s="1">
        <v>34.6</v>
      </c>
      <c r="AU2364" s="1">
        <v>13.4</v>
      </c>
      <c r="AV2364" s="1">
        <v>69.6</v>
      </c>
      <c r="AW2364" s="1">
        <v>0.4</v>
      </c>
      <c r="AX2364" s="1">
        <v>0.8526</v>
      </c>
      <c r="AY2364" s="1">
        <v>31.6</v>
      </c>
      <c r="AZ2364" s="1">
        <v>18.2</v>
      </c>
      <c r="BA2364" s="1">
        <v>27.8</v>
      </c>
      <c r="BB2364" s="1">
        <v>3.29</v>
      </c>
      <c r="BC2364" s="1" t="s">
        <v>3897</v>
      </c>
      <c r="BD2364" s="1">
        <v>19.6</v>
      </c>
      <c r="BE2364" s="1">
        <v>33.0</v>
      </c>
      <c r="BF2364" s="1">
        <v>31.7</v>
      </c>
      <c r="BG2364" s="1">
        <v>15.7</v>
      </c>
      <c r="BH2364" s="1" t="s">
        <v>3901</v>
      </c>
    </row>
    <row r="2365">
      <c r="A2365" s="1">
        <v>46009.0</v>
      </c>
      <c r="B2365" s="2" t="str">
        <f>IFERROR(__xludf.DUMMYFUNCTION("TO_TEXT(A2365)"),"46009")</f>
        <v>46009</v>
      </c>
      <c r="C2365" s="1">
        <v>7001.0</v>
      </c>
      <c r="D2365" s="1">
        <v>563.700807610878</v>
      </c>
      <c r="E2365" s="1" t="s">
        <v>3902</v>
      </c>
      <c r="F2365" s="1" t="s">
        <v>3903</v>
      </c>
      <c r="G2365" s="1">
        <v>12.4197090113676</v>
      </c>
      <c r="H2365" s="1">
        <v>11.834727371</v>
      </c>
      <c r="I2365" s="1">
        <v>2.8512727205</v>
      </c>
      <c r="J2365" s="1">
        <v>4.8523206751</v>
      </c>
      <c r="K2365" s="1">
        <v>15.315605285</v>
      </c>
      <c r="L2365" s="1">
        <v>39.7</v>
      </c>
      <c r="M2365" s="1">
        <v>8.5</v>
      </c>
      <c r="N2365" s="1">
        <v>27.2</v>
      </c>
      <c r="O2365" s="1">
        <v>66.803394625</v>
      </c>
      <c r="P2365" s="1">
        <v>11.069593648</v>
      </c>
      <c r="Q2365" s="1">
        <v>57.2737699999999</v>
      </c>
      <c r="R2365" s="1">
        <v>97.183098592</v>
      </c>
      <c r="S2365" s="1">
        <v>19.2</v>
      </c>
      <c r="T2365" s="1">
        <v>1299.0</v>
      </c>
      <c r="U2365" s="1">
        <v>25.635103926</v>
      </c>
      <c r="V2365" s="1">
        <v>14.281633819</v>
      </c>
      <c r="W2365" s="1">
        <v>7.5848303393</v>
      </c>
      <c r="X2365" s="1">
        <v>3.3400402414</v>
      </c>
      <c r="Y2365" s="1">
        <v>80.769244909</v>
      </c>
      <c r="Z2365" s="1">
        <v>13.1</v>
      </c>
      <c r="AA2365" s="1">
        <v>4.2803471948</v>
      </c>
      <c r="AB2365" s="1">
        <v>50278.0</v>
      </c>
      <c r="AC2365" s="1">
        <v>33.057090239</v>
      </c>
      <c r="AD2365" s="1">
        <v>74.4479495269999</v>
      </c>
      <c r="AE2365" s="1">
        <v>5.3658536585</v>
      </c>
      <c r="AF2365" s="1">
        <v>1.2607449857</v>
      </c>
      <c r="AG2365" s="1">
        <v>8.5386819484</v>
      </c>
      <c r="AH2365" s="1">
        <v>0.2578796562</v>
      </c>
      <c r="AI2365" s="1">
        <v>0.0429799427</v>
      </c>
      <c r="AJ2365" s="1">
        <v>3.4670487106</v>
      </c>
      <c r="AK2365" s="1">
        <v>85.573065903</v>
      </c>
      <c r="AL2365" s="1">
        <v>0.4374057315</v>
      </c>
      <c r="AM2365" s="1">
        <v>40.816618911</v>
      </c>
      <c r="AN2365" s="1">
        <v>100.0</v>
      </c>
      <c r="AO2365" s="1">
        <v>23359.0</v>
      </c>
      <c r="AP2365" s="1">
        <v>10.8</v>
      </c>
      <c r="AQ2365" s="1">
        <v>0.9</v>
      </c>
      <c r="AR2365" s="1">
        <v>11.0</v>
      </c>
      <c r="AS2365" s="1">
        <v>20.8</v>
      </c>
      <c r="AT2365" s="1">
        <v>18.0</v>
      </c>
      <c r="AU2365" s="1">
        <v>13.7</v>
      </c>
      <c r="AV2365" s="1">
        <v>12.4</v>
      </c>
      <c r="AW2365" s="1">
        <v>0.3</v>
      </c>
      <c r="AX2365" s="1">
        <v>0.205</v>
      </c>
      <c r="AY2365" s="1">
        <v>14.1</v>
      </c>
      <c r="AZ2365" s="1">
        <v>9.6</v>
      </c>
      <c r="BA2365" s="1">
        <v>16.6</v>
      </c>
      <c r="BB2365" s="1">
        <v>3.27</v>
      </c>
      <c r="BC2365" s="1" t="s">
        <v>3897</v>
      </c>
      <c r="BD2365" s="1">
        <v>12.6</v>
      </c>
      <c r="BE2365" s="1">
        <v>37.0</v>
      </c>
      <c r="BF2365" s="1">
        <v>32.2</v>
      </c>
      <c r="BG2365" s="1">
        <v>18.3</v>
      </c>
      <c r="BH2365" s="1" t="s">
        <v>3903</v>
      </c>
    </row>
    <row r="2366">
      <c r="A2366" s="1">
        <v>46011.0</v>
      </c>
      <c r="B2366" s="2" t="str">
        <f>IFERROR(__xludf.DUMMYFUNCTION("TO_TEXT(A2366)"),"46011")</f>
        <v>46011</v>
      </c>
      <c r="C2366" s="1">
        <v>33435.0</v>
      </c>
      <c r="D2366" s="1">
        <v>792.206877434072</v>
      </c>
      <c r="E2366" s="1" t="s">
        <v>3904</v>
      </c>
      <c r="F2366" s="1" t="s">
        <v>3905</v>
      </c>
      <c r="G2366" s="1">
        <v>42.2048848001607</v>
      </c>
      <c r="H2366" s="1">
        <v>10.509990651</v>
      </c>
      <c r="I2366" s="1">
        <v>2.877465989</v>
      </c>
      <c r="J2366" s="1">
        <v>5.1529255319</v>
      </c>
      <c r="K2366" s="1">
        <v>13.497288102</v>
      </c>
      <c r="L2366" s="1">
        <v>28.4</v>
      </c>
      <c r="M2366" s="1">
        <v>6.9</v>
      </c>
      <c r="N2366" s="1">
        <v>14.8</v>
      </c>
      <c r="O2366" s="1">
        <v>83.760362897</v>
      </c>
      <c r="P2366" s="1">
        <v>8.9133719002</v>
      </c>
      <c r="Q2366" s="1">
        <v>58.38564</v>
      </c>
      <c r="R2366" s="1">
        <v>87.9879879879999</v>
      </c>
      <c r="S2366" s="1">
        <v>9.2</v>
      </c>
      <c r="T2366" s="1">
        <v>6912.0</v>
      </c>
      <c r="U2366" s="1">
        <v>17.549189815</v>
      </c>
      <c r="V2366" s="1">
        <v>114.15863603</v>
      </c>
      <c r="W2366" s="1">
        <v>13.430420712</v>
      </c>
      <c r="X2366" s="1">
        <v>11.9211742759999</v>
      </c>
      <c r="Y2366" s="1">
        <v>81.8754325999999</v>
      </c>
      <c r="Z2366" s="1">
        <v>6.3</v>
      </c>
      <c r="AA2366" s="1">
        <v>16.374930432</v>
      </c>
      <c r="AB2366" s="1">
        <v>62109.0</v>
      </c>
      <c r="AC2366" s="1">
        <v>22.862054147</v>
      </c>
      <c r="AD2366" s="1">
        <v>59.103729238</v>
      </c>
      <c r="AE2366" s="1">
        <v>12.96742096</v>
      </c>
      <c r="AF2366" s="1">
        <v>1.5412125341</v>
      </c>
      <c r="AG2366" s="1">
        <v>1.1892597639</v>
      </c>
      <c r="AH2366" s="1">
        <v>2.9263169846</v>
      </c>
      <c r="AI2366" s="1">
        <v>0.0794732062</v>
      </c>
      <c r="AJ2366" s="1">
        <v>3.425862852</v>
      </c>
      <c r="AK2366" s="1">
        <v>89.742279746</v>
      </c>
      <c r="AL2366" s="1">
        <v>1.1055057299</v>
      </c>
      <c r="AM2366" s="1">
        <v>48.095481381</v>
      </c>
      <c r="AN2366" s="1">
        <v>29.666823088</v>
      </c>
      <c r="AO2366" s="1">
        <v>26589.0</v>
      </c>
      <c r="AP2366" s="1">
        <v>16.5</v>
      </c>
      <c r="AQ2366" s="1">
        <v>3.5</v>
      </c>
      <c r="AR2366" s="1">
        <v>4.3</v>
      </c>
      <c r="AS2366" s="1">
        <v>10.2</v>
      </c>
      <c r="AT2366" s="1">
        <v>19.9</v>
      </c>
      <c r="AU2366" s="1">
        <v>10.4</v>
      </c>
      <c r="AV2366" s="1">
        <v>8.9</v>
      </c>
      <c r="AW2366" s="1">
        <v>0.8</v>
      </c>
      <c r="AX2366" s="1">
        <v>0.1232</v>
      </c>
      <c r="AY2366" s="1">
        <v>11.9</v>
      </c>
      <c r="AZ2366" s="1">
        <v>9.3</v>
      </c>
      <c r="BA2366" s="1">
        <v>12.7</v>
      </c>
      <c r="BB2366" s="1">
        <v>3.42</v>
      </c>
      <c r="BC2366" s="1" t="s">
        <v>3897</v>
      </c>
      <c r="BD2366" s="1">
        <v>5.0</v>
      </c>
      <c r="BE2366" s="1">
        <v>25.2</v>
      </c>
      <c r="BF2366" s="1">
        <v>29.5</v>
      </c>
      <c r="BG2366" s="1">
        <v>40.3</v>
      </c>
      <c r="BH2366" s="1" t="s">
        <v>3905</v>
      </c>
    </row>
    <row r="2367">
      <c r="A2367" s="1">
        <v>46013.0</v>
      </c>
      <c r="B2367" s="2" t="str">
        <f>IFERROR(__xludf.DUMMYFUNCTION("TO_TEXT(A2367)"),"46013")</f>
        <v>46013</v>
      </c>
      <c r="C2367" s="1">
        <v>38430.0</v>
      </c>
      <c r="D2367" s="1">
        <v>1713.02964923709</v>
      </c>
      <c r="E2367" s="1" t="s">
        <v>1158</v>
      </c>
      <c r="F2367" s="1" t="s">
        <v>3906</v>
      </c>
      <c r="G2367" s="1">
        <v>22.4339374494277</v>
      </c>
      <c r="H2367" s="1">
        <v>11.857167757</v>
      </c>
      <c r="I2367" s="1">
        <v>2.8794113677</v>
      </c>
      <c r="J2367" s="1">
        <v>6.1085972851</v>
      </c>
      <c r="K2367" s="1">
        <v>14.467267802</v>
      </c>
      <c r="L2367" s="1">
        <v>31.5</v>
      </c>
      <c r="M2367" s="1">
        <v>7.9</v>
      </c>
      <c r="N2367" s="1">
        <v>21.1</v>
      </c>
      <c r="O2367" s="1">
        <v>79.234075169</v>
      </c>
      <c r="P2367" s="1">
        <v>10.67093253</v>
      </c>
      <c r="Q2367" s="1">
        <v>63.81132</v>
      </c>
      <c r="R2367" s="1">
        <v>90.2813299229999</v>
      </c>
      <c r="S2367" s="1">
        <v>11.4</v>
      </c>
      <c r="T2367" s="1">
        <v>9230.0</v>
      </c>
      <c r="U2367" s="1">
        <v>29.599133261</v>
      </c>
      <c r="V2367" s="1">
        <v>311.83214828</v>
      </c>
      <c r="W2367" s="1">
        <v>11.2523248609999</v>
      </c>
      <c r="X2367" s="1">
        <v>9.73561430789999</v>
      </c>
      <c r="Y2367" s="1">
        <v>80.623084161</v>
      </c>
      <c r="Z2367" s="1">
        <v>10.4</v>
      </c>
      <c r="AA2367" s="1">
        <v>8.2336256736</v>
      </c>
      <c r="AB2367" s="1">
        <v>60082.0</v>
      </c>
      <c r="AC2367" s="1">
        <v>31.594982079</v>
      </c>
      <c r="AD2367" s="1">
        <v>65.947849728</v>
      </c>
      <c r="AE2367" s="1">
        <v>11.002661934</v>
      </c>
      <c r="AF2367" s="1">
        <v>2.4214060433</v>
      </c>
      <c r="AG2367" s="1">
        <v>3.4413470343</v>
      </c>
      <c r="AH2367" s="1">
        <v>3.1157798352</v>
      </c>
      <c r="AI2367" s="1">
        <v>0.2263709431</v>
      </c>
      <c r="AJ2367" s="1">
        <v>3.2633024723</v>
      </c>
      <c r="AK2367" s="1">
        <v>85.916675145</v>
      </c>
      <c r="AL2367" s="1">
        <v>1.2401352875</v>
      </c>
      <c r="AM2367" s="1">
        <v>50.854613898</v>
      </c>
      <c r="AN2367" s="1">
        <v>28.89053133</v>
      </c>
      <c r="AO2367" s="1">
        <v>29463.0</v>
      </c>
      <c r="AP2367" s="1">
        <v>11.0</v>
      </c>
      <c r="AQ2367" s="1">
        <v>2.2</v>
      </c>
      <c r="AR2367" s="1">
        <v>7.8</v>
      </c>
      <c r="AS2367" s="1">
        <v>15.9</v>
      </c>
      <c r="AT2367" s="1">
        <v>23.5</v>
      </c>
      <c r="AU2367" s="1">
        <v>10.3</v>
      </c>
      <c r="AV2367" s="1">
        <v>10.8</v>
      </c>
      <c r="AW2367" s="1">
        <v>1.6</v>
      </c>
      <c r="AX2367" s="1">
        <v>0.2875</v>
      </c>
      <c r="AY2367" s="1">
        <v>9.4</v>
      </c>
      <c r="AZ2367" s="1">
        <v>9.8</v>
      </c>
      <c r="BA2367" s="1">
        <v>15.0</v>
      </c>
      <c r="BB2367" s="1">
        <v>3.25</v>
      </c>
      <c r="BC2367" s="1" t="s">
        <v>3897</v>
      </c>
      <c r="BD2367" s="1">
        <v>7.0</v>
      </c>
      <c r="BE2367" s="1">
        <v>31.6</v>
      </c>
      <c r="BF2367" s="1">
        <v>32.0</v>
      </c>
      <c r="BG2367" s="1">
        <v>29.4</v>
      </c>
      <c r="BH2367" s="1" t="s">
        <v>3906</v>
      </c>
    </row>
    <row r="2368">
      <c r="A2368" s="1">
        <v>46015.0</v>
      </c>
      <c r="B2368" s="2" t="str">
        <f>IFERROR(__xludf.DUMMYFUNCTION("TO_TEXT(A2368)"),"46015")</f>
        <v>46015</v>
      </c>
      <c r="C2368" s="1">
        <v>5312.0</v>
      </c>
      <c r="D2368" s="1">
        <v>817.239920295692</v>
      </c>
      <c r="E2368" s="1" t="s">
        <v>3907</v>
      </c>
      <c r="F2368" s="1" t="s">
        <v>3908</v>
      </c>
      <c r="G2368" s="1">
        <v>6.49992721608365</v>
      </c>
      <c r="H2368" s="1">
        <v>11.980890761</v>
      </c>
      <c r="I2368" s="1">
        <v>3.0518327944</v>
      </c>
      <c r="J2368" s="1">
        <v>5.0880626223</v>
      </c>
      <c r="K2368" s="1">
        <v>15.959976359</v>
      </c>
      <c r="L2368" s="1">
        <v>29.2</v>
      </c>
      <c r="M2368" s="1">
        <v>7.4</v>
      </c>
      <c r="N2368" s="1">
        <v>24.9</v>
      </c>
      <c r="O2368" s="1">
        <v>63.0256898189999</v>
      </c>
      <c r="P2368" s="1">
        <v>18.0751173709999</v>
      </c>
      <c r="Q2368" s="1">
        <v>150.60241</v>
      </c>
      <c r="R2368" s="1">
        <v>84.810126582</v>
      </c>
      <c r="S2368" s="1">
        <v>22.4</v>
      </c>
      <c r="T2368" s="1">
        <v>1293.0</v>
      </c>
      <c r="U2368" s="1">
        <v>28.3062645009999</v>
      </c>
      <c r="V2368" s="1">
        <v>662.04287516</v>
      </c>
      <c r="W2368" s="1">
        <v>10.551558753</v>
      </c>
      <c r="X2368" s="1">
        <v>5.7985257985</v>
      </c>
      <c r="Y2368" s="1">
        <v>80.787819016</v>
      </c>
      <c r="Z2368" s="1">
        <v>4.5</v>
      </c>
      <c r="AA2368" s="1">
        <v>12.8270549409999</v>
      </c>
      <c r="AB2368" s="1">
        <v>49732.0</v>
      </c>
      <c r="AC2368" s="1">
        <v>50.1195219119999</v>
      </c>
      <c r="AD2368" s="1">
        <v>63.079693832</v>
      </c>
      <c r="AE2368" s="1">
        <v>6.9341258049</v>
      </c>
      <c r="AF2368" s="1">
        <v>0.5354752343</v>
      </c>
      <c r="AG2368" s="1">
        <v>9.868043603</v>
      </c>
      <c r="AH2368" s="1">
        <v>0.3824823102</v>
      </c>
      <c r="AI2368" s="1">
        <v>0.038248231</v>
      </c>
      <c r="AJ2368" s="1">
        <v>2.887741442</v>
      </c>
      <c r="AK2368" s="1">
        <v>84.050487665</v>
      </c>
      <c r="AL2368" s="1">
        <v>0.0</v>
      </c>
      <c r="AM2368" s="1">
        <v>50.047810289</v>
      </c>
      <c r="AN2368" s="1">
        <v>100.0</v>
      </c>
      <c r="AO2368" s="1">
        <v>24496.0</v>
      </c>
      <c r="AP2368" s="1">
        <v>15.1</v>
      </c>
      <c r="AQ2368" s="1">
        <v>2.4</v>
      </c>
      <c r="AR2368" s="1">
        <v>13.8</v>
      </c>
      <c r="AS2368" s="1">
        <v>17.2</v>
      </c>
      <c r="AT2368" s="1">
        <v>25.5</v>
      </c>
      <c r="AU2368" s="1">
        <v>15.8</v>
      </c>
      <c r="AV2368" s="1">
        <v>14.7</v>
      </c>
      <c r="AW2368" s="1">
        <v>0.2</v>
      </c>
      <c r="AX2368" s="1">
        <v>0.6667</v>
      </c>
      <c r="AY2368" s="1">
        <v>12.6</v>
      </c>
      <c r="AZ2368" s="1">
        <v>12.7</v>
      </c>
      <c r="BA2368" s="1">
        <v>20.7</v>
      </c>
      <c r="BB2368" s="1">
        <v>3.47</v>
      </c>
      <c r="BC2368" s="1" t="s">
        <v>3897</v>
      </c>
      <c r="BD2368" s="1">
        <v>11.1</v>
      </c>
      <c r="BE2368" s="1">
        <v>31.4</v>
      </c>
      <c r="BF2368" s="1">
        <v>30.4</v>
      </c>
      <c r="BG2368" s="1">
        <v>27.1</v>
      </c>
      <c r="BH2368" s="1" t="s">
        <v>3908</v>
      </c>
    </row>
    <row r="2369">
      <c r="A2369" s="1">
        <v>46017.0</v>
      </c>
      <c r="B2369" s="2" t="str">
        <f>IFERROR(__xludf.DUMMYFUNCTION("TO_TEXT(A2369)"),"46017")</f>
        <v>46017</v>
      </c>
      <c r="C2369" s="1">
        <v>2052.0</v>
      </c>
      <c r="D2369" s="1">
        <v>471.38920785039</v>
      </c>
      <c r="E2369" s="1" t="s">
        <v>2815</v>
      </c>
      <c r="F2369" s="1" t="s">
        <v>3909</v>
      </c>
      <c r="G2369" s="1">
        <v>4.3530907492716</v>
      </c>
      <c r="H2369" s="1">
        <v>29.565878174</v>
      </c>
      <c r="I2369" s="1">
        <v>4.8184814695</v>
      </c>
      <c r="J2369" s="1">
        <v>8.8050314465</v>
      </c>
      <c r="K2369" s="1">
        <v>36.013489571</v>
      </c>
      <c r="L2369" s="1">
        <v>48.0</v>
      </c>
      <c r="M2369" s="1">
        <v>0.0</v>
      </c>
      <c r="N2369" s="1">
        <v>23.6</v>
      </c>
      <c r="O2369" s="1">
        <v>0.0</v>
      </c>
      <c r="P2369" s="1">
        <v>19.447576099</v>
      </c>
      <c r="Q2369" s="1">
        <v>0.0</v>
      </c>
      <c r="R2369" s="1">
        <v>89.912280702</v>
      </c>
      <c r="S2369" s="1">
        <v>51.3</v>
      </c>
      <c r="T2369" s="1">
        <v>769.0</v>
      </c>
      <c r="U2369" s="1">
        <v>67.490247074</v>
      </c>
      <c r="V2369" s="1">
        <v>204.509002055</v>
      </c>
      <c r="W2369" s="1">
        <v>25.252525253</v>
      </c>
      <c r="X2369" s="1">
        <v>14.137214137</v>
      </c>
      <c r="Y2369" s="1">
        <v>61.625628973</v>
      </c>
      <c r="Z2369" s="1">
        <v>16.0</v>
      </c>
      <c r="AA2369" s="1">
        <v>71.844209251</v>
      </c>
      <c r="AB2369" s="1">
        <v>25973.0</v>
      </c>
      <c r="AC2369" s="1">
        <v>52.4746192889999</v>
      </c>
      <c r="AD2369" s="1">
        <v>45.921985816</v>
      </c>
      <c r="AE2369" s="1">
        <v>15.714285714</v>
      </c>
      <c r="AF2369" s="1">
        <v>0.7858546169</v>
      </c>
      <c r="AG2369" s="1">
        <v>80.7956777999999</v>
      </c>
      <c r="AH2369" s="1">
        <v>0.0491159136</v>
      </c>
      <c r="AI2369" s="1">
        <v>0.0982318271</v>
      </c>
      <c r="AJ2369" s="1">
        <v>4.9115913556</v>
      </c>
      <c r="AK2369" s="1">
        <v>15.127701375</v>
      </c>
      <c r="AL2369" s="1">
        <v>0.5494505495</v>
      </c>
      <c r="AM2369" s="1">
        <v>50.294695481</v>
      </c>
      <c r="AN2369" s="1">
        <v>100.0</v>
      </c>
      <c r="AO2369" s="1">
        <v>10763.0</v>
      </c>
      <c r="AP2369" s="1">
        <v>39.2</v>
      </c>
      <c r="AQ2369" s="1">
        <v>14.4</v>
      </c>
      <c r="AR2369" s="1">
        <v>22.5</v>
      </c>
      <c r="AS2369" s="1">
        <v>8.5</v>
      </c>
      <c r="AT2369" s="1">
        <v>38.5</v>
      </c>
      <c r="AU2369" s="1">
        <v>17.1</v>
      </c>
      <c r="AV2369" s="1">
        <v>85.7</v>
      </c>
      <c r="AW2369" s="1">
        <v>0.3</v>
      </c>
      <c r="AX2369" s="1">
        <v>0.9682</v>
      </c>
      <c r="AY2369" s="1">
        <v>39.8</v>
      </c>
      <c r="AZ2369" s="1">
        <v>21.9</v>
      </c>
      <c r="BA2369" s="1">
        <v>29.9</v>
      </c>
      <c r="BB2369" s="1">
        <v>3.23</v>
      </c>
      <c r="BC2369" s="1" t="s">
        <v>3897</v>
      </c>
      <c r="BD2369" s="1">
        <v>21.9</v>
      </c>
      <c r="BE2369" s="1">
        <v>39.6</v>
      </c>
      <c r="BF2369" s="1">
        <v>30.0</v>
      </c>
      <c r="BG2369" s="1">
        <v>8.5</v>
      </c>
      <c r="BH2369" s="1" t="s">
        <v>3909</v>
      </c>
    </row>
    <row r="2370">
      <c r="A2370" s="1">
        <v>46019.0</v>
      </c>
      <c r="B2370" s="2" t="str">
        <f>IFERROR(__xludf.DUMMYFUNCTION("TO_TEXT(A2370)"),"46019")</f>
        <v>46019</v>
      </c>
      <c r="C2370" s="1">
        <v>10268.0</v>
      </c>
      <c r="D2370" s="1">
        <v>2250.0163733689</v>
      </c>
      <c r="E2370" s="1" t="s">
        <v>424</v>
      </c>
      <c r="F2370" s="1" t="s">
        <v>3910</v>
      </c>
      <c r="G2370" s="1">
        <v>4.56352234656228</v>
      </c>
      <c r="H2370" s="1">
        <v>12.859862619</v>
      </c>
      <c r="I2370" s="1">
        <v>3.135761775</v>
      </c>
      <c r="J2370" s="1">
        <v>7.2847682119</v>
      </c>
      <c r="K2370" s="1">
        <v>15.914370276</v>
      </c>
      <c r="L2370" s="1">
        <v>32.0</v>
      </c>
      <c r="M2370" s="1">
        <v>7.9</v>
      </c>
      <c r="N2370" s="1">
        <v>21.6</v>
      </c>
      <c r="O2370" s="1">
        <v>72.354104847</v>
      </c>
      <c r="P2370" s="1">
        <v>11.201197455</v>
      </c>
      <c r="Q2370" s="1">
        <v>19.78827</v>
      </c>
      <c r="R2370" s="1">
        <v>93.6936936939999</v>
      </c>
      <c r="S2370" s="1">
        <v>18.9</v>
      </c>
      <c r="T2370" s="1">
        <v>2306.0</v>
      </c>
      <c r="U2370" s="1">
        <v>32.697311362</v>
      </c>
      <c r="V2370" s="1">
        <v>154.72391452</v>
      </c>
      <c r="W2370" s="1">
        <v>11.722488038</v>
      </c>
      <c r="X2370" s="1">
        <v>9.900990099</v>
      </c>
      <c r="Y2370" s="1">
        <v>78.974129223</v>
      </c>
      <c r="Z2370" s="1">
        <v>11.0</v>
      </c>
      <c r="AA2370" s="1">
        <v>8.7425572331</v>
      </c>
      <c r="AB2370" s="1">
        <v>44388.0</v>
      </c>
      <c r="AC2370" s="1">
        <v>45.0295857989999</v>
      </c>
      <c r="AD2370" s="1">
        <v>75.107707037</v>
      </c>
      <c r="AE2370" s="1">
        <v>10.856155934</v>
      </c>
      <c r="AF2370" s="1">
        <v>0.5674036392</v>
      </c>
      <c r="AG2370" s="1">
        <v>2.4359225201</v>
      </c>
      <c r="AH2370" s="1">
        <v>0.4500097828</v>
      </c>
      <c r="AI2370" s="1">
        <v>0.1173938564</v>
      </c>
      <c r="AJ2370" s="1">
        <v>3.6196439053</v>
      </c>
      <c r="AK2370" s="1">
        <v>90.999804344</v>
      </c>
      <c r="AL2370" s="1">
        <v>0.0209380235</v>
      </c>
      <c r="AM2370" s="1">
        <v>49.364116611</v>
      </c>
      <c r="AN2370" s="1">
        <v>48.170128586</v>
      </c>
      <c r="AO2370" s="1">
        <v>26067.0</v>
      </c>
      <c r="AP2370" s="1">
        <v>10.2</v>
      </c>
      <c r="AQ2370" s="1">
        <v>1.8</v>
      </c>
      <c r="AR2370" s="1">
        <v>9.0</v>
      </c>
      <c r="AS2370" s="1">
        <v>18.4</v>
      </c>
      <c r="AT2370" s="1">
        <v>24.4</v>
      </c>
      <c r="AU2370" s="1">
        <v>15.1</v>
      </c>
      <c r="AV2370" s="1">
        <v>8.2</v>
      </c>
      <c r="AW2370" s="1">
        <v>0.1</v>
      </c>
      <c r="AX2370" s="1">
        <v>0.2305</v>
      </c>
      <c r="AY2370" s="1">
        <v>12.9</v>
      </c>
      <c r="AZ2370" s="1">
        <v>11.3</v>
      </c>
      <c r="BA2370" s="1">
        <v>16.3</v>
      </c>
      <c r="BB2370" s="1">
        <v>3.29</v>
      </c>
      <c r="BC2370" s="1" t="s">
        <v>3897</v>
      </c>
      <c r="BD2370" s="1">
        <v>9.0</v>
      </c>
      <c r="BE2370" s="1">
        <v>42.2</v>
      </c>
      <c r="BF2370" s="1">
        <v>29.7</v>
      </c>
      <c r="BG2370" s="1">
        <v>19.2</v>
      </c>
      <c r="BH2370" s="1" t="s">
        <v>3910</v>
      </c>
    </row>
    <row r="2371">
      <c r="A2371" s="1">
        <v>46021.0</v>
      </c>
      <c r="B2371" s="2" t="str">
        <f>IFERROR(__xludf.DUMMYFUNCTION("TO_TEXT(A2371)"),"46021")</f>
        <v>46021</v>
      </c>
      <c r="C2371" s="1">
        <v>1553.0</v>
      </c>
      <c r="D2371" s="1">
        <v>733.676491079238</v>
      </c>
      <c r="E2371" s="1" t="s">
        <v>1791</v>
      </c>
      <c r="F2371" s="1" t="s">
        <v>3911</v>
      </c>
      <c r="G2371" s="1">
        <v>2.11673676188743</v>
      </c>
      <c r="H2371" s="1">
        <v>9.5650749518</v>
      </c>
      <c r="I2371" s="1">
        <v>2.6272193034</v>
      </c>
      <c r="J2371" s="1">
        <v>7.80443539465</v>
      </c>
      <c r="K2371" s="1">
        <v>12.013477618</v>
      </c>
      <c r="L2371" s="1">
        <v>31.1</v>
      </c>
      <c r="M2371" s="1">
        <v>6.3</v>
      </c>
      <c r="N2371" s="1">
        <v>21.8</v>
      </c>
      <c r="O2371" s="1">
        <v>22.3055934519999</v>
      </c>
      <c r="P2371" s="1">
        <v>11.4200595829999</v>
      </c>
      <c r="Q2371" s="1">
        <v>0.0</v>
      </c>
      <c r="R2371" s="1">
        <v>73.333333333</v>
      </c>
      <c r="S2371" s="1">
        <v>13.3</v>
      </c>
      <c r="T2371" s="1">
        <v>290.0</v>
      </c>
      <c r="U2371" s="1">
        <v>3.4482758621</v>
      </c>
      <c r="V2371" s="1">
        <v>37.285607755</v>
      </c>
      <c r="W2371" s="1">
        <v>8.0882352941</v>
      </c>
      <c r="X2371" s="1">
        <v>7.39644970409999</v>
      </c>
      <c r="Y2371" s="1">
        <v>77.482572377</v>
      </c>
      <c r="Z2371" s="1">
        <v>3.9</v>
      </c>
      <c r="AA2371" s="1">
        <v>32.193785165</v>
      </c>
      <c r="AB2371" s="1">
        <v>45737.0</v>
      </c>
      <c r="AC2371" s="1">
        <v>27.52293578</v>
      </c>
      <c r="AD2371" s="1">
        <v>88.145896657</v>
      </c>
      <c r="AE2371" s="1">
        <v>7.09779179809999</v>
      </c>
      <c r="AF2371" s="1">
        <v>0.290486565</v>
      </c>
      <c r="AG2371" s="1">
        <v>1.0167029775</v>
      </c>
      <c r="AH2371" s="1">
        <v>0.4357298475</v>
      </c>
      <c r="AI2371" s="1">
        <v>0.0</v>
      </c>
      <c r="AJ2371" s="1">
        <v>2.033405955</v>
      </c>
      <c r="AK2371" s="1">
        <v>95.570079884</v>
      </c>
      <c r="AL2371" s="1">
        <v>0.0</v>
      </c>
      <c r="AM2371" s="1">
        <v>48.002904866</v>
      </c>
      <c r="AN2371" s="1">
        <v>100.0</v>
      </c>
      <c r="AO2371" s="1">
        <v>32814.0</v>
      </c>
      <c r="AP2371" s="1">
        <v>7.6</v>
      </c>
      <c r="AQ2371" s="1">
        <v>0.9</v>
      </c>
      <c r="AR2371" s="1">
        <v>9.5</v>
      </c>
      <c r="AS2371" s="1">
        <v>24.3</v>
      </c>
      <c r="AT2371" s="1">
        <v>25.8</v>
      </c>
      <c r="AU2371" s="1">
        <v>13.1</v>
      </c>
      <c r="AV2371" s="1">
        <v>5.3</v>
      </c>
      <c r="AW2371" s="1">
        <v>0.0</v>
      </c>
      <c r="AX2371" s="1">
        <v>0.0328</v>
      </c>
      <c r="AY2371" s="1">
        <v>10.5</v>
      </c>
      <c r="AZ2371" s="1">
        <v>7.9</v>
      </c>
      <c r="BA2371" s="1">
        <v>13.2</v>
      </c>
      <c r="BB2371" s="1">
        <v>3.01</v>
      </c>
      <c r="BC2371" s="1" t="s">
        <v>3897</v>
      </c>
      <c r="BD2371" s="1">
        <v>10.0</v>
      </c>
      <c r="BE2371" s="1">
        <v>35.5</v>
      </c>
      <c r="BF2371" s="1">
        <v>26.5</v>
      </c>
      <c r="BG2371" s="1">
        <v>28.0</v>
      </c>
      <c r="BH2371" s="1" t="s">
        <v>3911</v>
      </c>
    </row>
    <row r="2372">
      <c r="A2372" s="1">
        <v>46023.0</v>
      </c>
      <c r="B2372" s="2" t="str">
        <f>IFERROR(__xludf.DUMMYFUNCTION("TO_TEXT(A2372)"),"46023")</f>
        <v>46023</v>
      </c>
      <c r="C2372" s="1">
        <v>9277.0</v>
      </c>
      <c r="D2372" s="1">
        <v>1097.48755543247</v>
      </c>
      <c r="E2372" s="1" t="s">
        <v>3912</v>
      </c>
      <c r="F2372" s="1" t="s">
        <v>3913</v>
      </c>
      <c r="G2372" s="1">
        <v>8.45294322844905</v>
      </c>
      <c r="H2372" s="1">
        <v>17.312495709</v>
      </c>
      <c r="I2372" s="1">
        <v>3.5647348909</v>
      </c>
      <c r="J2372" s="1">
        <v>5.9292035398</v>
      </c>
      <c r="K2372" s="1">
        <v>20.298709102</v>
      </c>
      <c r="L2372" s="1">
        <v>42.4</v>
      </c>
      <c r="M2372" s="1">
        <v>7.8</v>
      </c>
      <c r="N2372" s="1">
        <v>22.6</v>
      </c>
      <c r="O2372" s="1">
        <v>54.912914887</v>
      </c>
      <c r="P2372" s="1">
        <v>17.063921993</v>
      </c>
      <c r="Q2372" s="1">
        <v>63.6402199999999</v>
      </c>
      <c r="R2372" s="1">
        <v>73.333333333</v>
      </c>
      <c r="S2372" s="1">
        <v>28.4</v>
      </c>
      <c r="T2372" s="1">
        <v>2713.0</v>
      </c>
      <c r="U2372" s="1">
        <v>44.415775894</v>
      </c>
      <c r="V2372" s="1">
        <v>160.83137449</v>
      </c>
      <c r="W2372" s="1">
        <v>11.956521739</v>
      </c>
      <c r="X2372" s="1">
        <v>7.4522292994</v>
      </c>
      <c r="Y2372" s="1">
        <v>74.94693942</v>
      </c>
      <c r="Z2372" s="1">
        <v>10.2</v>
      </c>
      <c r="AA2372" s="1">
        <v>3.8157926103</v>
      </c>
      <c r="AB2372" s="1">
        <v>47412.0</v>
      </c>
      <c r="AC2372" s="1">
        <v>79.367720466</v>
      </c>
      <c r="AD2372" s="1">
        <v>70.165394402</v>
      </c>
      <c r="AE2372" s="1">
        <v>6.6263033972</v>
      </c>
      <c r="AF2372" s="1">
        <v>0.4711929749</v>
      </c>
      <c r="AG2372" s="1">
        <v>32.094666952</v>
      </c>
      <c r="AH2372" s="1">
        <v>0.2677232812</v>
      </c>
      <c r="AI2372" s="1">
        <v>0.0107089312</v>
      </c>
      <c r="AJ2372" s="1">
        <v>3.4911115871</v>
      </c>
      <c r="AK2372" s="1">
        <v>62.743628186</v>
      </c>
      <c r="AL2372" s="1">
        <v>0.0466690001</v>
      </c>
      <c r="AM2372" s="1">
        <v>50.021417862</v>
      </c>
      <c r="AN2372" s="1">
        <v>100.0</v>
      </c>
      <c r="AO2372" s="1">
        <v>21323.0</v>
      </c>
      <c r="AP2372" s="1">
        <v>21.5</v>
      </c>
      <c r="AQ2372" s="1">
        <v>5.4</v>
      </c>
      <c r="AR2372" s="1">
        <v>11.6</v>
      </c>
      <c r="AS2372" s="1">
        <v>17.9</v>
      </c>
      <c r="AT2372" s="1">
        <v>29.6</v>
      </c>
      <c r="AU2372" s="1">
        <v>15.2</v>
      </c>
      <c r="AV2372" s="1">
        <v>36.8</v>
      </c>
      <c r="AW2372" s="1">
        <v>0.1</v>
      </c>
      <c r="AX2372" s="1">
        <v>0.7373</v>
      </c>
      <c r="AY2372" s="1">
        <v>21.2</v>
      </c>
      <c r="AZ2372" s="1">
        <v>13.4</v>
      </c>
      <c r="BA2372" s="1">
        <v>20.9</v>
      </c>
      <c r="BB2372" s="1">
        <v>3.25</v>
      </c>
      <c r="BC2372" s="1" t="s">
        <v>3897</v>
      </c>
      <c r="BD2372" s="1">
        <v>11.5</v>
      </c>
      <c r="BE2372" s="1">
        <v>38.1</v>
      </c>
      <c r="BF2372" s="1">
        <v>31.8</v>
      </c>
      <c r="BG2372" s="1">
        <v>18.6</v>
      </c>
      <c r="BH2372" s="1" t="s">
        <v>3913</v>
      </c>
    </row>
    <row r="2373">
      <c r="A2373" s="1">
        <v>46025.0</v>
      </c>
      <c r="B2373" s="2" t="str">
        <f>IFERROR(__xludf.DUMMYFUNCTION("TO_TEXT(A2373)"),"46025")</f>
        <v>46025</v>
      </c>
      <c r="C2373" s="1">
        <v>3639.0</v>
      </c>
      <c r="D2373" s="1">
        <v>957.603201606349</v>
      </c>
      <c r="E2373" s="1" t="s">
        <v>302</v>
      </c>
      <c r="F2373" s="1" t="s">
        <v>3914</v>
      </c>
      <c r="G2373" s="1">
        <v>3.80011260811961</v>
      </c>
      <c r="H2373" s="1">
        <v>11.872961083</v>
      </c>
      <c r="I2373" s="1">
        <v>2.871629485</v>
      </c>
      <c r="J2373" s="1">
        <v>5.9952038369</v>
      </c>
      <c r="K2373" s="1">
        <v>13.992681177</v>
      </c>
      <c r="L2373" s="1">
        <v>31.4</v>
      </c>
      <c r="M2373" s="1">
        <v>7.3</v>
      </c>
      <c r="N2373" s="1">
        <v>28.4</v>
      </c>
      <c r="O2373" s="1">
        <v>41.533459767</v>
      </c>
      <c r="P2373" s="1">
        <v>14.629888268</v>
      </c>
      <c r="Q2373" s="1">
        <v>48.31939</v>
      </c>
      <c r="R2373" s="1">
        <v>92.3076923079999</v>
      </c>
      <c r="S2373" s="1">
        <v>18.9</v>
      </c>
      <c r="T2373" s="1">
        <v>907.0</v>
      </c>
      <c r="U2373" s="1">
        <v>19.514884234</v>
      </c>
      <c r="V2373" s="1">
        <v>110.55831951</v>
      </c>
      <c r="W2373" s="1">
        <v>8.3333333333</v>
      </c>
      <c r="X2373" s="1">
        <v>5.949197861</v>
      </c>
      <c r="Y2373" s="1">
        <v>79.86371075</v>
      </c>
      <c r="Z2373" s="1">
        <v>10.0</v>
      </c>
      <c r="AA2373" s="1">
        <v>14.707434457</v>
      </c>
      <c r="AB2373" s="1">
        <v>48517.0</v>
      </c>
      <c r="AC2373" s="1">
        <v>34.410339257</v>
      </c>
      <c r="AD2373" s="1">
        <v>77.5390625</v>
      </c>
      <c r="AE2373" s="1">
        <v>7.8260869565</v>
      </c>
      <c r="AF2373" s="1">
        <v>1.8454132121</v>
      </c>
      <c r="AG2373" s="1">
        <v>0.4814121423</v>
      </c>
      <c r="AH2373" s="1">
        <v>0.6418828564</v>
      </c>
      <c r="AI2373" s="1">
        <v>0.0</v>
      </c>
      <c r="AJ2373" s="1">
        <v>3.1826691629</v>
      </c>
      <c r="AK2373" s="1">
        <v>93.313720246</v>
      </c>
      <c r="AL2373" s="1">
        <v>0.5097451274</v>
      </c>
      <c r="AM2373" s="1">
        <v>48.515645895</v>
      </c>
      <c r="AN2373" s="1">
        <v>100.0</v>
      </c>
      <c r="AO2373" s="1">
        <v>26291.0</v>
      </c>
      <c r="AP2373" s="1">
        <v>15.5</v>
      </c>
      <c r="AQ2373" s="1">
        <v>3.7</v>
      </c>
      <c r="AR2373" s="1">
        <v>10.4</v>
      </c>
      <c r="AS2373" s="1">
        <v>20.7</v>
      </c>
      <c r="AT2373" s="1">
        <v>23.8</v>
      </c>
      <c r="AU2373" s="1">
        <v>17.3</v>
      </c>
      <c r="AV2373" s="1">
        <v>5.5</v>
      </c>
      <c r="AW2373" s="1">
        <v>0.4</v>
      </c>
      <c r="AX2373" s="1">
        <v>0.3072</v>
      </c>
      <c r="AY2373" s="1">
        <v>12.1</v>
      </c>
      <c r="AZ2373" s="1">
        <v>10.9</v>
      </c>
      <c r="BA2373" s="1">
        <v>19.2</v>
      </c>
      <c r="BB2373" s="1">
        <v>3.24</v>
      </c>
      <c r="BC2373" s="1" t="s">
        <v>3897</v>
      </c>
      <c r="BD2373" s="1">
        <v>8.8</v>
      </c>
      <c r="BE2373" s="1">
        <v>42.2</v>
      </c>
      <c r="BF2373" s="1">
        <v>30.0</v>
      </c>
      <c r="BG2373" s="1">
        <v>19.1</v>
      </c>
      <c r="BH2373" s="1" t="s">
        <v>3914</v>
      </c>
    </row>
    <row r="2374">
      <c r="A2374" s="1">
        <v>46027.0</v>
      </c>
      <c r="B2374" s="2" t="str">
        <f>IFERROR(__xludf.DUMMYFUNCTION("TO_TEXT(A2374)"),"46027")</f>
        <v>46027</v>
      </c>
      <c r="C2374" s="1">
        <v>14029.0</v>
      </c>
      <c r="D2374" s="1">
        <v>412.188073904198</v>
      </c>
      <c r="E2374" s="1" t="s">
        <v>86</v>
      </c>
      <c r="F2374" s="1" t="s">
        <v>3915</v>
      </c>
      <c r="G2374" s="1">
        <v>34.0354340365041</v>
      </c>
      <c r="H2374" s="1">
        <v>13.261360674</v>
      </c>
      <c r="I2374" s="1">
        <v>3.1413015837</v>
      </c>
      <c r="J2374" s="1">
        <v>5.299313052</v>
      </c>
      <c r="K2374" s="1">
        <v>15.664606579</v>
      </c>
      <c r="L2374" s="1">
        <v>30.3</v>
      </c>
      <c r="M2374" s="1">
        <v>6.8</v>
      </c>
      <c r="N2374" s="1">
        <v>19.7</v>
      </c>
      <c r="O2374" s="1">
        <v>84.679746105</v>
      </c>
      <c r="P2374" s="1">
        <v>10.515564202</v>
      </c>
      <c r="Q2374" s="1">
        <v>64.3316699999999</v>
      </c>
      <c r="R2374" s="1">
        <v>88.775510204</v>
      </c>
      <c r="S2374" s="1">
        <v>16.3</v>
      </c>
      <c r="T2374" s="1">
        <v>2374.0</v>
      </c>
      <c r="U2374" s="1">
        <v>29.106992418</v>
      </c>
      <c r="V2374" s="1">
        <v>243.46580738</v>
      </c>
      <c r="W2374" s="1">
        <v>21.542803387</v>
      </c>
      <c r="X2374" s="1">
        <v>20.972300735</v>
      </c>
      <c r="Y2374" s="1">
        <v>78.6207008339999</v>
      </c>
      <c r="Z2374" s="1">
        <v>7.8</v>
      </c>
      <c r="AA2374" s="1">
        <v>10.669687909</v>
      </c>
      <c r="AB2374" s="1">
        <v>46378.0</v>
      </c>
      <c r="AC2374" s="1">
        <v>31.32780083</v>
      </c>
      <c r="AD2374" s="1">
        <v>51.100899866</v>
      </c>
      <c r="AE2374" s="1">
        <v>22.088194582</v>
      </c>
      <c r="AF2374" s="1">
        <v>1.6166939677</v>
      </c>
      <c r="AG2374" s="1">
        <v>4.0666619187</v>
      </c>
      <c r="AH2374" s="1">
        <v>2.8844099423</v>
      </c>
      <c r="AI2374" s="1">
        <v>0.0854639983</v>
      </c>
      <c r="AJ2374" s="1">
        <v>3.0126059397</v>
      </c>
      <c r="AK2374" s="1">
        <v>86.696104266</v>
      </c>
      <c r="AL2374" s="1">
        <v>0.5222524977</v>
      </c>
      <c r="AM2374" s="1">
        <v>49.953707001</v>
      </c>
      <c r="AN2374" s="1">
        <v>24.3219849969999</v>
      </c>
      <c r="AO2374" s="1">
        <v>23046.0</v>
      </c>
      <c r="AP2374" s="1">
        <v>27.3</v>
      </c>
      <c r="AQ2374" s="1">
        <v>6.2</v>
      </c>
      <c r="AR2374" s="1">
        <v>5.2</v>
      </c>
      <c r="AS2374" s="1">
        <v>10.9</v>
      </c>
      <c r="AT2374" s="1">
        <v>16.9</v>
      </c>
      <c r="AU2374" s="1">
        <v>9.7</v>
      </c>
      <c r="AV2374" s="1">
        <v>11.4</v>
      </c>
      <c r="AW2374" s="1">
        <v>0.3</v>
      </c>
      <c r="AX2374" s="1">
        <v>0.2308</v>
      </c>
      <c r="AY2374" s="1">
        <v>19.0</v>
      </c>
      <c r="AZ2374" s="1">
        <v>12.3</v>
      </c>
      <c r="BA2374" s="1">
        <v>16.8</v>
      </c>
      <c r="BB2374" s="1">
        <v>3.09</v>
      </c>
      <c r="BC2374" s="1" t="s">
        <v>3897</v>
      </c>
      <c r="BD2374" s="1">
        <v>5.0</v>
      </c>
      <c r="BE2374" s="1">
        <v>20.8</v>
      </c>
      <c r="BF2374" s="1">
        <v>24.2</v>
      </c>
      <c r="BG2374" s="1">
        <v>49.9</v>
      </c>
      <c r="BH2374" s="1" t="s">
        <v>3915</v>
      </c>
    </row>
    <row r="2375">
      <c r="A2375" s="1">
        <v>46029.0</v>
      </c>
      <c r="B2375" s="2" t="str">
        <f>IFERROR(__xludf.DUMMYFUNCTION("TO_TEXT(A2375)"),"46029")</f>
        <v>46029</v>
      </c>
      <c r="C2375" s="1">
        <v>27886.0</v>
      </c>
      <c r="D2375" s="1">
        <v>688.079333688549</v>
      </c>
      <c r="E2375" s="1" t="s">
        <v>3916</v>
      </c>
      <c r="F2375" s="1" t="s">
        <v>3917</v>
      </c>
      <c r="G2375" s="1">
        <v>40.5273035167515</v>
      </c>
      <c r="H2375" s="1">
        <v>12.101966573</v>
      </c>
      <c r="I2375" s="1">
        <v>2.8228766865</v>
      </c>
      <c r="J2375" s="1">
        <v>6.6536964981</v>
      </c>
      <c r="K2375" s="1">
        <v>16.391141121</v>
      </c>
      <c r="L2375" s="1">
        <v>32.2</v>
      </c>
      <c r="M2375" s="1">
        <v>7.7</v>
      </c>
      <c r="N2375" s="1">
        <v>21.2</v>
      </c>
      <c r="O2375" s="1">
        <v>82.855253976</v>
      </c>
      <c r="P2375" s="1">
        <v>8.5737662561</v>
      </c>
      <c r="Q2375" s="1">
        <v>96.08883</v>
      </c>
      <c r="R2375" s="1">
        <v>88.547486034</v>
      </c>
      <c r="S2375" s="1">
        <v>12.4</v>
      </c>
      <c r="T2375" s="1">
        <v>6580.0</v>
      </c>
      <c r="U2375" s="1">
        <v>27.933130699</v>
      </c>
      <c r="V2375" s="1">
        <v>287.17180365</v>
      </c>
      <c r="W2375" s="1">
        <v>12.3154787009999</v>
      </c>
      <c r="X2375" s="1">
        <v>8.9693356048</v>
      </c>
      <c r="Y2375" s="1">
        <v>81.024117621</v>
      </c>
      <c r="Z2375" s="1">
        <v>9.7</v>
      </c>
      <c r="AA2375" s="1">
        <v>9.7473801509</v>
      </c>
      <c r="AB2375" s="1">
        <v>55580.0</v>
      </c>
      <c r="AC2375" s="1">
        <v>35.005336179</v>
      </c>
      <c r="AD2375" s="1">
        <v>65.95122766</v>
      </c>
      <c r="AE2375" s="1">
        <v>11.962342373</v>
      </c>
      <c r="AF2375" s="1">
        <v>0.5889701945</v>
      </c>
      <c r="AG2375" s="1">
        <v>2.7199714439</v>
      </c>
      <c r="AH2375" s="1">
        <v>0.7638764947</v>
      </c>
      <c r="AI2375" s="1">
        <v>0.0071390327</v>
      </c>
      <c r="AJ2375" s="1">
        <v>2.4593967517</v>
      </c>
      <c r="AK2375" s="1">
        <v>92.568267</v>
      </c>
      <c r="AL2375" s="1">
        <v>0.3281315579</v>
      </c>
      <c r="AM2375" s="1">
        <v>49.73764055</v>
      </c>
      <c r="AN2375" s="1">
        <v>22.46299629</v>
      </c>
      <c r="AO2375" s="1">
        <v>27294.0</v>
      </c>
      <c r="AP2375" s="1">
        <v>10.4</v>
      </c>
      <c r="AQ2375" s="1">
        <v>2.8</v>
      </c>
      <c r="AR2375" s="1">
        <v>8.1</v>
      </c>
      <c r="AS2375" s="1">
        <v>15.5</v>
      </c>
      <c r="AT2375" s="1">
        <v>24.6</v>
      </c>
      <c r="AU2375" s="1">
        <v>12.7</v>
      </c>
      <c r="AV2375" s="1">
        <v>6.8</v>
      </c>
      <c r="AW2375" s="1">
        <v>0.2</v>
      </c>
      <c r="AX2375" s="1">
        <v>0.2483</v>
      </c>
      <c r="AY2375" s="1">
        <v>9.7</v>
      </c>
      <c r="AZ2375" s="1">
        <v>10.6</v>
      </c>
      <c r="BA2375" s="1">
        <v>16.2</v>
      </c>
      <c r="BB2375" s="1">
        <v>3.19</v>
      </c>
      <c r="BC2375" s="1" t="s">
        <v>3897</v>
      </c>
      <c r="BD2375" s="1">
        <v>8.5</v>
      </c>
      <c r="BE2375" s="1">
        <v>36.5</v>
      </c>
      <c r="BF2375" s="1">
        <v>33.6</v>
      </c>
      <c r="BG2375" s="1">
        <v>21.5</v>
      </c>
      <c r="BH2375" s="1" t="s">
        <v>3917</v>
      </c>
    </row>
    <row r="2376">
      <c r="A2376" s="1">
        <v>46031.0</v>
      </c>
      <c r="B2376" s="2" t="str">
        <f>IFERROR(__xludf.DUMMYFUNCTION("TO_TEXT(A2376)"),"46031")</f>
        <v>46031</v>
      </c>
      <c r="C2376" s="1">
        <v>4170.0</v>
      </c>
      <c r="D2376" s="1">
        <v>2469.693160726</v>
      </c>
      <c r="E2376" s="1" t="s">
        <v>3918</v>
      </c>
      <c r="F2376" s="1" t="s">
        <v>3919</v>
      </c>
      <c r="G2376" s="1">
        <v>1.68846886176507</v>
      </c>
      <c r="H2376" s="1">
        <v>27.241436766</v>
      </c>
      <c r="I2376" s="1">
        <v>4.7685989857</v>
      </c>
      <c r="J2376" s="1">
        <v>8.26952526799999</v>
      </c>
      <c r="K2376" s="1">
        <v>32.135084754</v>
      </c>
      <c r="L2376" s="1">
        <v>39.4</v>
      </c>
      <c r="M2376" s="1">
        <v>1.4</v>
      </c>
      <c r="N2376" s="1">
        <v>26.3</v>
      </c>
      <c r="O2376" s="1">
        <v>1.7777777778</v>
      </c>
      <c r="P2376" s="1">
        <v>21.6894340669999</v>
      </c>
      <c r="Q2376" s="1">
        <v>48.31939</v>
      </c>
      <c r="R2376" s="1">
        <v>65.9574468089999</v>
      </c>
      <c r="S2376" s="1">
        <v>41.4</v>
      </c>
      <c r="T2376" s="1">
        <v>1488.0</v>
      </c>
      <c r="U2376" s="1">
        <v>58.534946237</v>
      </c>
      <c r="V2376" s="1">
        <v>11.8035882909999</v>
      </c>
      <c r="W2376" s="1">
        <v>21.9512195119999</v>
      </c>
      <c r="X2376" s="1">
        <v>11.620294599</v>
      </c>
      <c r="Y2376" s="1">
        <v>65.692376603</v>
      </c>
      <c r="Z2376" s="1">
        <v>17.4</v>
      </c>
      <c r="AA2376" s="1">
        <v>57.644547985</v>
      </c>
      <c r="AB2376" s="1">
        <v>34024.0</v>
      </c>
      <c r="AC2376" s="1">
        <v>98.952270081</v>
      </c>
      <c r="AD2376" s="1">
        <v>52.529510961</v>
      </c>
      <c r="AE2376" s="1">
        <v>10.735009671</v>
      </c>
      <c r="AF2376" s="1">
        <v>0.4081632653</v>
      </c>
      <c r="AG2376" s="1">
        <v>65.570228091</v>
      </c>
      <c r="AH2376" s="1">
        <v>0.5282112845</v>
      </c>
      <c r="AI2376" s="1">
        <v>0.0480192077</v>
      </c>
      <c r="AJ2376" s="1">
        <v>5.2821128451</v>
      </c>
      <c r="AK2376" s="1">
        <v>28.595438175</v>
      </c>
      <c r="AL2376" s="1">
        <v>0.0</v>
      </c>
      <c r="AM2376" s="1">
        <v>49.843937575</v>
      </c>
      <c r="AN2376" s="1">
        <v>100.0</v>
      </c>
      <c r="AO2376" s="1">
        <v>13830.0</v>
      </c>
      <c r="AP2376" s="1">
        <v>46.8</v>
      </c>
      <c r="AQ2376" s="1">
        <v>29.9</v>
      </c>
      <c r="AR2376" s="1">
        <v>18.4</v>
      </c>
      <c r="AS2376" s="1">
        <v>10.8</v>
      </c>
      <c r="AT2376" s="1">
        <v>34.6</v>
      </c>
      <c r="AU2376" s="1">
        <v>12.6</v>
      </c>
      <c r="AV2376" s="1">
        <v>70.1</v>
      </c>
      <c r="AW2376" s="1">
        <v>0.1</v>
      </c>
      <c r="AX2376" s="1">
        <v>0.852</v>
      </c>
      <c r="AY2376" s="1">
        <v>40.3</v>
      </c>
      <c r="AZ2376" s="1">
        <v>21.3</v>
      </c>
      <c r="BA2376" s="1">
        <v>31.1</v>
      </c>
      <c r="BB2376" s="1">
        <v>2.91</v>
      </c>
      <c r="BC2376" s="1" t="s">
        <v>3897</v>
      </c>
      <c r="BD2376" s="1">
        <v>16.2</v>
      </c>
      <c r="BE2376" s="1">
        <v>33.6</v>
      </c>
      <c r="BF2376" s="1">
        <v>32.4</v>
      </c>
      <c r="BG2376" s="1">
        <v>17.8</v>
      </c>
      <c r="BH2376" s="1" t="s">
        <v>3919</v>
      </c>
    </row>
    <row r="2377">
      <c r="A2377" s="1">
        <v>46033.0</v>
      </c>
      <c r="B2377" s="2" t="str">
        <f>IFERROR(__xludf.DUMMYFUNCTION("TO_TEXT(A2377)"),"46033")</f>
        <v>46033</v>
      </c>
      <c r="C2377" s="1">
        <v>8447.0</v>
      </c>
      <c r="D2377" s="1">
        <v>1557.00051865966</v>
      </c>
      <c r="E2377" s="1" t="s">
        <v>561</v>
      </c>
      <c r="F2377" s="1" t="s">
        <v>3920</v>
      </c>
      <c r="G2377" s="1">
        <v>5.42517481450265</v>
      </c>
      <c r="H2377" s="1">
        <v>11.029399027</v>
      </c>
      <c r="I2377" s="1">
        <v>2.8714176927</v>
      </c>
      <c r="J2377" s="1">
        <v>8.0482897384</v>
      </c>
      <c r="K2377" s="1">
        <v>13.8547175759999</v>
      </c>
      <c r="L2377" s="1">
        <v>30.9</v>
      </c>
      <c r="M2377" s="1">
        <v>8.0</v>
      </c>
      <c r="N2377" s="1">
        <v>24.3</v>
      </c>
      <c r="O2377" s="1">
        <v>79.491236611</v>
      </c>
      <c r="P2377" s="1">
        <v>11.835788777</v>
      </c>
      <c r="Q2377" s="1">
        <v>46.02462</v>
      </c>
      <c r="R2377" s="1">
        <v>95.081967213</v>
      </c>
      <c r="S2377" s="1">
        <v>17.4</v>
      </c>
      <c r="T2377" s="1">
        <v>1172.0</v>
      </c>
      <c r="U2377" s="1">
        <v>29.863481229</v>
      </c>
      <c r="V2377" s="1">
        <v>47.089293072</v>
      </c>
      <c r="W2377" s="1">
        <v>12.337662338</v>
      </c>
      <c r="X2377" s="1">
        <v>10.435475305</v>
      </c>
      <c r="Y2377" s="1">
        <v>80.025702996</v>
      </c>
      <c r="Z2377" s="1">
        <v>16.2</v>
      </c>
      <c r="AA2377" s="1">
        <v>7.9148432986</v>
      </c>
      <c r="AB2377" s="1">
        <v>58806.0</v>
      </c>
      <c r="AC2377" s="1">
        <v>33.698030635</v>
      </c>
      <c r="AD2377" s="1">
        <v>82.441004821</v>
      </c>
      <c r="AE2377" s="1">
        <v>11.74754707</v>
      </c>
      <c r="AF2377" s="1">
        <v>0.5730002292</v>
      </c>
      <c r="AG2377" s="1">
        <v>3.6786614715</v>
      </c>
      <c r="AH2377" s="1">
        <v>0.6417602567</v>
      </c>
      <c r="AI2377" s="1">
        <v>0.0229200092</v>
      </c>
      <c r="AJ2377" s="1">
        <v>3.0942012377</v>
      </c>
      <c r="AK2377" s="1">
        <v>90.488196195</v>
      </c>
      <c r="AL2377" s="1">
        <v>1.0314282247</v>
      </c>
      <c r="AM2377" s="1">
        <v>50.2979601189999</v>
      </c>
      <c r="AN2377" s="1">
        <v>100.0</v>
      </c>
      <c r="AO2377" s="1">
        <v>31275.0</v>
      </c>
      <c r="AP2377" s="1">
        <v>11.6</v>
      </c>
      <c r="AQ2377" s="1">
        <v>4.6</v>
      </c>
      <c r="AR2377" s="1">
        <v>6.6</v>
      </c>
      <c r="AS2377" s="1">
        <v>25.9</v>
      </c>
      <c r="AT2377" s="1">
        <v>17.1</v>
      </c>
      <c r="AU2377" s="1">
        <v>15.3</v>
      </c>
      <c r="AV2377" s="1">
        <v>9.2</v>
      </c>
      <c r="AW2377" s="1">
        <v>0.8</v>
      </c>
      <c r="AX2377" s="1">
        <v>0.1662</v>
      </c>
      <c r="AY2377" s="1">
        <v>9.6</v>
      </c>
      <c r="AZ2377" s="1">
        <v>11.1</v>
      </c>
      <c r="BA2377" s="1">
        <v>21.6</v>
      </c>
      <c r="BB2377" s="1">
        <v>3.24</v>
      </c>
      <c r="BC2377" s="1" t="s">
        <v>3897</v>
      </c>
      <c r="BD2377" s="1">
        <v>6.4</v>
      </c>
      <c r="BE2377" s="1">
        <v>35.0</v>
      </c>
      <c r="BF2377" s="1">
        <v>35.1</v>
      </c>
      <c r="BG2377" s="1">
        <v>23.5</v>
      </c>
      <c r="BH2377" s="1" t="s">
        <v>3920</v>
      </c>
    </row>
    <row r="2378">
      <c r="A2378" s="1">
        <v>46035.0</v>
      </c>
      <c r="B2378" s="2" t="str">
        <f>IFERROR(__xludf.DUMMYFUNCTION("TO_TEXT(A2378)"),"46035")</f>
        <v>46035</v>
      </c>
      <c r="C2378" s="1">
        <v>19824.0</v>
      </c>
      <c r="D2378" s="1">
        <v>435.50098061815</v>
      </c>
      <c r="E2378" s="1" t="s">
        <v>3921</v>
      </c>
      <c r="F2378" s="1" t="s">
        <v>3922</v>
      </c>
      <c r="G2378" s="1">
        <v>45.5199893507973</v>
      </c>
      <c r="H2378" s="1">
        <v>12.004603249</v>
      </c>
      <c r="I2378" s="1">
        <v>2.9995330509</v>
      </c>
      <c r="J2378" s="1">
        <v>6.2115277001</v>
      </c>
      <c r="K2378" s="1">
        <v>15.107842549</v>
      </c>
      <c r="L2378" s="1">
        <v>27.3</v>
      </c>
      <c r="M2378" s="1">
        <v>7.9</v>
      </c>
      <c r="N2378" s="1">
        <v>21.5</v>
      </c>
      <c r="O2378" s="1">
        <v>83.623872026</v>
      </c>
      <c r="P2378" s="1">
        <v>8.4497071884</v>
      </c>
      <c r="Q2378" s="1">
        <v>71.05156</v>
      </c>
      <c r="R2378" s="1">
        <v>91.025641026</v>
      </c>
      <c r="S2378" s="1">
        <v>13.7</v>
      </c>
      <c r="T2378" s="1">
        <v>4338.0</v>
      </c>
      <c r="U2378" s="1">
        <v>33.26417704</v>
      </c>
      <c r="V2378" s="1">
        <v>414.54161747</v>
      </c>
      <c r="W2378" s="1">
        <v>11.246376812</v>
      </c>
      <c r="X2378" s="1">
        <v>9.8245614035</v>
      </c>
      <c r="Y2378" s="1">
        <v>79.006921843</v>
      </c>
      <c r="Z2378" s="1">
        <v>8.2</v>
      </c>
      <c r="AA2378" s="1">
        <v>6.4936651761</v>
      </c>
      <c r="AB2378" s="1">
        <v>51724.0</v>
      </c>
      <c r="AC2378" s="1">
        <v>32.4048282269999</v>
      </c>
      <c r="AD2378" s="1">
        <v>59.456659376</v>
      </c>
      <c r="AE2378" s="1">
        <v>10.751799835</v>
      </c>
      <c r="AF2378" s="1">
        <v>0.778170793299999</v>
      </c>
      <c r="AG2378" s="1">
        <v>3.350176857</v>
      </c>
      <c r="AH2378" s="1">
        <v>0.6417382516</v>
      </c>
      <c r="AI2378" s="1">
        <v>0.0859019707</v>
      </c>
      <c r="AJ2378" s="1">
        <v>3.1177362304</v>
      </c>
      <c r="AK2378" s="1">
        <v>90.560889338</v>
      </c>
      <c r="AL2378" s="1">
        <v>0.0159940289</v>
      </c>
      <c r="AM2378" s="1">
        <v>50.005053057</v>
      </c>
      <c r="AN2378" s="1">
        <v>23.3234208369999</v>
      </c>
      <c r="AO2378" s="1">
        <v>26416.0</v>
      </c>
      <c r="AP2378" s="1">
        <v>12.0</v>
      </c>
      <c r="AQ2378" s="1">
        <v>3.9</v>
      </c>
      <c r="AR2378" s="1">
        <v>9.4</v>
      </c>
      <c r="AS2378" s="1">
        <v>17.2</v>
      </c>
      <c r="AT2378" s="1">
        <v>22.9</v>
      </c>
      <c r="AU2378" s="1">
        <v>16.3</v>
      </c>
      <c r="AV2378" s="1">
        <v>8.1</v>
      </c>
      <c r="AW2378" s="1">
        <v>0.7</v>
      </c>
      <c r="AX2378" s="1">
        <v>0.3123</v>
      </c>
      <c r="AY2378" s="1">
        <v>11.7</v>
      </c>
      <c r="AZ2378" s="1">
        <v>11.2</v>
      </c>
      <c r="BA2378" s="1">
        <v>17.4</v>
      </c>
      <c r="BB2378" s="1">
        <v>3.2</v>
      </c>
      <c r="BC2378" s="1" t="s">
        <v>3897</v>
      </c>
      <c r="BD2378" s="1">
        <v>7.9</v>
      </c>
      <c r="BE2378" s="1">
        <v>31.1</v>
      </c>
      <c r="BF2378" s="1">
        <v>34.5</v>
      </c>
      <c r="BG2378" s="1">
        <v>26.5</v>
      </c>
      <c r="BH2378" s="1" t="s">
        <v>3922</v>
      </c>
    </row>
    <row r="2379">
      <c r="A2379" s="1">
        <v>46037.0</v>
      </c>
      <c r="B2379" s="2" t="str">
        <f>IFERROR(__xludf.DUMMYFUNCTION("TO_TEXT(A2379)"),"46037")</f>
        <v>46037</v>
      </c>
      <c r="C2379" s="1">
        <v>5588.0</v>
      </c>
      <c r="D2379" s="1">
        <v>1027.86754395872</v>
      </c>
      <c r="E2379" s="1" t="s">
        <v>3923</v>
      </c>
      <c r="F2379" s="1" t="s">
        <v>3924</v>
      </c>
      <c r="G2379" s="1">
        <v>5.43649814885528</v>
      </c>
      <c r="H2379" s="1">
        <v>13.237596062</v>
      </c>
      <c r="I2379" s="1">
        <v>3.0679577022</v>
      </c>
      <c r="J2379" s="1">
        <v>6.3205417607</v>
      </c>
      <c r="K2379" s="1">
        <v>15.26888868</v>
      </c>
      <c r="L2379" s="1">
        <v>36.0</v>
      </c>
      <c r="M2379" s="1">
        <v>6.8</v>
      </c>
      <c r="N2379" s="1">
        <v>29.7</v>
      </c>
      <c r="O2379" s="1">
        <v>33.134851138</v>
      </c>
      <c r="P2379" s="1">
        <v>14.453699167</v>
      </c>
      <c r="Q2379" s="1">
        <v>36.22532</v>
      </c>
      <c r="R2379" s="1">
        <v>100.0</v>
      </c>
      <c r="S2379" s="1">
        <v>18.1</v>
      </c>
      <c r="T2379" s="1">
        <v>1188.0</v>
      </c>
      <c r="U2379" s="1">
        <v>37.626262626</v>
      </c>
      <c r="V2379" s="1">
        <v>204.509002055</v>
      </c>
      <c r="W2379" s="1">
        <v>10.7421875</v>
      </c>
      <c r="X2379" s="1">
        <v>10.2777777779999</v>
      </c>
      <c r="Y2379" s="1">
        <v>77.108285599</v>
      </c>
      <c r="Z2379" s="1">
        <v>11.3</v>
      </c>
      <c r="AA2379" s="1">
        <v>17.581994273</v>
      </c>
      <c r="AB2379" s="1">
        <v>48023.0</v>
      </c>
      <c r="AC2379" s="1">
        <v>31.978319783</v>
      </c>
      <c r="AD2379" s="1">
        <v>73.37437476</v>
      </c>
      <c r="AE2379" s="1">
        <v>10.426731079</v>
      </c>
      <c r="AF2379" s="1">
        <v>0.3814713896</v>
      </c>
      <c r="AG2379" s="1">
        <v>9.3369663942</v>
      </c>
      <c r="AH2379" s="1">
        <v>0.8537693006</v>
      </c>
      <c r="AI2379" s="1">
        <v>0.0</v>
      </c>
      <c r="AJ2379" s="1">
        <v>2.3796548592</v>
      </c>
      <c r="AK2379" s="1">
        <v>85.758401453</v>
      </c>
      <c r="AL2379" s="1">
        <v>0.0</v>
      </c>
      <c r="AM2379" s="1">
        <v>49.0099909169999</v>
      </c>
      <c r="AN2379" s="1">
        <v>100.0</v>
      </c>
      <c r="AO2379" s="1">
        <v>28811.0</v>
      </c>
      <c r="AP2379" s="1">
        <v>18.5</v>
      </c>
      <c r="AQ2379" s="1">
        <v>1.9</v>
      </c>
      <c r="AR2379" s="1">
        <v>11.1</v>
      </c>
      <c r="AS2379" s="1">
        <v>24.9</v>
      </c>
      <c r="AT2379" s="1">
        <v>21.4</v>
      </c>
      <c r="AU2379" s="1">
        <v>14.4</v>
      </c>
      <c r="AV2379" s="1">
        <v>13.6</v>
      </c>
      <c r="AW2379" s="1">
        <v>0.4</v>
      </c>
      <c r="AX2379" s="1">
        <v>0.2283</v>
      </c>
      <c r="AY2379" s="1">
        <v>13.2</v>
      </c>
      <c r="AZ2379" s="1">
        <v>12.5</v>
      </c>
      <c r="BA2379" s="1">
        <v>22.2</v>
      </c>
      <c r="BB2379" s="1">
        <v>3.22</v>
      </c>
      <c r="BC2379" s="1" t="s">
        <v>3897</v>
      </c>
      <c r="BD2379" s="1">
        <v>10.5</v>
      </c>
      <c r="BE2379" s="1">
        <v>36.9</v>
      </c>
      <c r="BF2379" s="1">
        <v>31.0</v>
      </c>
      <c r="BG2379" s="1">
        <v>21.6</v>
      </c>
      <c r="BH2379" s="1" t="s">
        <v>3924</v>
      </c>
    </row>
    <row r="2380">
      <c r="A2380" s="1">
        <v>46039.0</v>
      </c>
      <c r="B2380" s="2" t="str">
        <f>IFERROR(__xludf.DUMMYFUNCTION("TO_TEXT(A2380)"),"46039")</f>
        <v>46039</v>
      </c>
      <c r="C2380" s="1">
        <v>4309.0</v>
      </c>
      <c r="D2380" s="1">
        <v>622.686021349508</v>
      </c>
      <c r="E2380" s="1" t="s">
        <v>2836</v>
      </c>
      <c r="F2380" s="1" t="s">
        <v>3925</v>
      </c>
      <c r="G2380" s="1">
        <v>6.9200204473217</v>
      </c>
      <c r="H2380" s="1">
        <v>10.651798441</v>
      </c>
      <c r="I2380" s="1">
        <v>2.7179858056</v>
      </c>
      <c r="J2380" s="1">
        <v>3.3898305085</v>
      </c>
      <c r="K2380" s="1">
        <v>13.01849925</v>
      </c>
      <c r="L2380" s="1">
        <v>36.3</v>
      </c>
      <c r="M2380" s="1">
        <v>6.5</v>
      </c>
      <c r="N2380" s="1">
        <v>26.9</v>
      </c>
      <c r="O2380" s="1">
        <v>34.715857012</v>
      </c>
      <c r="P2380" s="1">
        <v>9.6686746988</v>
      </c>
      <c r="Q2380" s="1">
        <v>46.71806</v>
      </c>
      <c r="R2380" s="1">
        <v>94.871794872</v>
      </c>
      <c r="S2380" s="1">
        <v>11.0</v>
      </c>
      <c r="T2380" s="1">
        <v>1001.0</v>
      </c>
      <c r="U2380" s="1">
        <v>17.782217782</v>
      </c>
      <c r="V2380" s="1">
        <v>34.734282737</v>
      </c>
      <c r="W2380" s="1">
        <v>8.2191780822</v>
      </c>
      <c r="X2380" s="1">
        <v>6.5492570171</v>
      </c>
      <c r="Y2380" s="1">
        <v>81.195980132</v>
      </c>
      <c r="Z2380" s="1">
        <v>11.1</v>
      </c>
      <c r="AA2380" s="1">
        <v>26.649068906</v>
      </c>
      <c r="AB2380" s="1">
        <v>55404.0</v>
      </c>
      <c r="AC2380" s="1">
        <v>28.040057225</v>
      </c>
      <c r="AD2380" s="1">
        <v>79.8777098389999</v>
      </c>
      <c r="AE2380" s="1">
        <v>7.80516431919999</v>
      </c>
      <c r="AF2380" s="1">
        <v>0.8531242795</v>
      </c>
      <c r="AG2380" s="1">
        <v>0.553377911</v>
      </c>
      <c r="AH2380" s="1">
        <v>0.2536315425</v>
      </c>
      <c r="AI2380" s="1">
        <v>0.0</v>
      </c>
      <c r="AJ2380" s="1">
        <v>2.8360617939</v>
      </c>
      <c r="AK2380" s="1">
        <v>94.627622781</v>
      </c>
      <c r="AL2380" s="1">
        <v>0.9140316206</v>
      </c>
      <c r="AM2380" s="1">
        <v>48.282222735</v>
      </c>
      <c r="AN2380" s="1">
        <v>100.0</v>
      </c>
      <c r="AO2380" s="1">
        <v>29953.0</v>
      </c>
      <c r="AP2380" s="1">
        <v>10.6</v>
      </c>
      <c r="AQ2380" s="1">
        <v>2.1</v>
      </c>
      <c r="AR2380" s="1">
        <v>8.5</v>
      </c>
      <c r="AS2380" s="1">
        <v>20.9</v>
      </c>
      <c r="AT2380" s="1">
        <v>23.1</v>
      </c>
      <c r="AU2380" s="1">
        <v>14.2</v>
      </c>
      <c r="AV2380" s="1">
        <v>1.0</v>
      </c>
      <c r="AW2380" s="1">
        <v>0.3</v>
      </c>
      <c r="AX2380" s="1">
        <v>0.0185</v>
      </c>
      <c r="AY2380" s="1">
        <v>8.7</v>
      </c>
      <c r="AZ2380" s="1">
        <v>9.8</v>
      </c>
      <c r="BA2380" s="1">
        <v>16.5</v>
      </c>
      <c r="BB2380" s="1">
        <v>3.29</v>
      </c>
      <c r="BC2380" s="1" t="s">
        <v>3897</v>
      </c>
      <c r="BD2380" s="1">
        <v>8.9</v>
      </c>
      <c r="BE2380" s="1">
        <v>36.9</v>
      </c>
      <c r="BF2380" s="1">
        <v>32.0</v>
      </c>
      <c r="BG2380" s="1">
        <v>22.2</v>
      </c>
      <c r="BH2380" s="1" t="s">
        <v>3925</v>
      </c>
    </row>
    <row r="2381">
      <c r="A2381" s="1">
        <v>46041.0</v>
      </c>
      <c r="B2381" s="2" t="str">
        <f>IFERROR(__xludf.DUMMYFUNCTION("TO_TEXT(A2381)"),"46041")</f>
        <v>46041</v>
      </c>
      <c r="C2381" s="1">
        <v>5652.0</v>
      </c>
      <c r="D2381" s="1">
        <v>2302.49251820089</v>
      </c>
      <c r="E2381" s="1" t="s">
        <v>3573</v>
      </c>
      <c r="F2381" s="1" t="s">
        <v>3926</v>
      </c>
      <c r="G2381" s="1">
        <v>2.45473110349836</v>
      </c>
      <c r="H2381" s="1">
        <v>24.4825460519999</v>
      </c>
      <c r="I2381" s="1">
        <v>4.2954726396</v>
      </c>
      <c r="J2381" s="1">
        <v>8.3333333333</v>
      </c>
      <c r="K2381" s="1">
        <v>30.71723321</v>
      </c>
      <c r="L2381" s="1">
        <v>39.3</v>
      </c>
      <c r="M2381" s="1">
        <v>5.1</v>
      </c>
      <c r="N2381" s="1">
        <v>27.2</v>
      </c>
      <c r="O2381" s="1">
        <v>53.782305225</v>
      </c>
      <c r="P2381" s="1">
        <v>19.894262777</v>
      </c>
      <c r="Q2381" s="1">
        <v>17.13796</v>
      </c>
      <c r="R2381" s="1">
        <v>85.9154929579999</v>
      </c>
      <c r="S2381" s="1">
        <v>30.9</v>
      </c>
      <c r="T2381" s="1">
        <v>2082.0</v>
      </c>
      <c r="U2381" s="1">
        <v>49.0393852069999</v>
      </c>
      <c r="V2381" s="1">
        <v>0.0</v>
      </c>
      <c r="W2381" s="1">
        <v>16.96969697</v>
      </c>
      <c r="X2381" s="1">
        <v>7.4233128834</v>
      </c>
      <c r="Y2381" s="1">
        <v>69.587324809</v>
      </c>
      <c r="Z2381" s="1">
        <v>17.6</v>
      </c>
      <c r="AA2381" s="1">
        <v>19.760596665</v>
      </c>
      <c r="AB2381" s="1">
        <v>41942.0</v>
      </c>
      <c r="AC2381" s="1">
        <v>56.611570248</v>
      </c>
      <c r="AD2381" s="1">
        <v>57.828434313</v>
      </c>
      <c r="AE2381" s="1">
        <v>8.8817891374</v>
      </c>
      <c r="AF2381" s="1">
        <v>0.4573170732</v>
      </c>
      <c r="AG2381" s="1">
        <v>74.017615176</v>
      </c>
      <c r="AH2381" s="1">
        <v>0.2032520325</v>
      </c>
      <c r="AI2381" s="1">
        <v>0.0169376694</v>
      </c>
      <c r="AJ2381" s="1">
        <v>4.810298103</v>
      </c>
      <c r="AK2381" s="1">
        <v>20.10501355</v>
      </c>
      <c r="AL2381" s="1">
        <v>0.0</v>
      </c>
      <c r="AM2381" s="1">
        <v>50.4234417339999</v>
      </c>
      <c r="AN2381" s="1">
        <v>64.082248632</v>
      </c>
      <c r="AO2381" s="1">
        <v>16305.0</v>
      </c>
      <c r="AP2381" s="1">
        <v>27.6</v>
      </c>
      <c r="AQ2381" s="1">
        <v>24.6</v>
      </c>
      <c r="AR2381" s="1">
        <v>15.1</v>
      </c>
      <c r="AS2381" s="1">
        <v>9.9</v>
      </c>
      <c r="AT2381" s="1">
        <v>35.2</v>
      </c>
      <c r="AU2381" s="1">
        <v>10.6</v>
      </c>
      <c r="AV2381" s="1">
        <v>79.2</v>
      </c>
      <c r="AW2381" s="1">
        <v>0.1</v>
      </c>
      <c r="AX2381" s="1">
        <v>0.9019</v>
      </c>
      <c r="AY2381" s="1">
        <v>27.6</v>
      </c>
      <c r="AZ2381" s="1">
        <v>19.0</v>
      </c>
      <c r="BA2381" s="1">
        <v>28.6</v>
      </c>
      <c r="BB2381" s="1">
        <v>3.19</v>
      </c>
      <c r="BC2381" s="1" t="s">
        <v>3897</v>
      </c>
      <c r="BD2381" s="1">
        <v>14.6</v>
      </c>
      <c r="BE2381" s="1">
        <v>35.9</v>
      </c>
      <c r="BF2381" s="1">
        <v>32.9</v>
      </c>
      <c r="BG2381" s="1">
        <v>16.6</v>
      </c>
      <c r="BH2381" s="1" t="s">
        <v>3926</v>
      </c>
    </row>
    <row r="2382">
      <c r="A2382" s="1">
        <v>46043.0</v>
      </c>
      <c r="B2382" s="2" t="str">
        <f>IFERROR(__xludf.DUMMYFUNCTION("TO_TEXT(A2382)"),"46043")</f>
        <v>46043</v>
      </c>
      <c r="C2382" s="1">
        <v>2961.0</v>
      </c>
      <c r="D2382" s="1">
        <v>431.80066206208</v>
      </c>
      <c r="E2382" s="1" t="s">
        <v>569</v>
      </c>
      <c r="F2382" s="1" t="s">
        <v>3927</v>
      </c>
      <c r="G2382" s="1">
        <v>6.85733084766391</v>
      </c>
      <c r="H2382" s="1">
        <v>10.4800512479999</v>
      </c>
      <c r="I2382" s="1">
        <v>2.7917985464</v>
      </c>
      <c r="J2382" s="1">
        <v>5.6338028169</v>
      </c>
      <c r="K2382" s="1">
        <v>12.657116847</v>
      </c>
      <c r="L2382" s="1">
        <v>29.1</v>
      </c>
      <c r="M2382" s="1">
        <v>6.3</v>
      </c>
      <c r="N2382" s="1">
        <v>23.3</v>
      </c>
      <c r="O2382" s="1">
        <v>50.266489007</v>
      </c>
      <c r="P2382" s="1">
        <v>13.530751708</v>
      </c>
      <c r="Q2382" s="1">
        <v>68.2361</v>
      </c>
      <c r="R2382" s="1">
        <v>96.7741935479999</v>
      </c>
      <c r="S2382" s="1">
        <v>16.2</v>
      </c>
      <c r="T2382" s="1">
        <v>635.0</v>
      </c>
      <c r="U2382" s="1">
        <v>8.3464566929</v>
      </c>
      <c r="V2382" s="1">
        <v>83.305564812</v>
      </c>
      <c r="W2382" s="1">
        <v>10.546875</v>
      </c>
      <c r="X2382" s="1">
        <v>6.95652173909999</v>
      </c>
      <c r="Y2382" s="1">
        <v>83.712352421</v>
      </c>
      <c r="Z2382" s="1">
        <v>13.3</v>
      </c>
      <c r="AA2382" s="1">
        <v>29.808513893</v>
      </c>
      <c r="AB2382" s="1">
        <v>55159.0</v>
      </c>
      <c r="AC2382" s="1">
        <v>29.209621993</v>
      </c>
      <c r="AD2382" s="1">
        <v>79.04</v>
      </c>
      <c r="AE2382" s="1">
        <v>8.0740117746</v>
      </c>
      <c r="AF2382" s="1">
        <v>0.5110732538</v>
      </c>
      <c r="AG2382" s="1">
        <v>2.4872231687</v>
      </c>
      <c r="AH2382" s="1">
        <v>0.1703577513</v>
      </c>
      <c r="AI2382" s="1">
        <v>0.0</v>
      </c>
      <c r="AJ2382" s="1">
        <v>1.9420783646</v>
      </c>
      <c r="AK2382" s="1">
        <v>93.867120954</v>
      </c>
      <c r="AL2382" s="1">
        <v>0.0731261426</v>
      </c>
      <c r="AM2382" s="1">
        <v>50.528109029</v>
      </c>
      <c r="AN2382" s="1">
        <v>100.0</v>
      </c>
      <c r="AO2382" s="1">
        <v>27397.0</v>
      </c>
      <c r="AP2382" s="1">
        <v>7.3</v>
      </c>
      <c r="AQ2382" s="1">
        <v>0.3</v>
      </c>
      <c r="AR2382" s="1">
        <v>14.3</v>
      </c>
      <c r="AS2382" s="1">
        <v>24.5</v>
      </c>
      <c r="AT2382" s="1">
        <v>22.6</v>
      </c>
      <c r="AU2382" s="1">
        <v>14.4</v>
      </c>
      <c r="AV2382" s="1">
        <v>5.1</v>
      </c>
      <c r="AW2382" s="1">
        <v>0.0</v>
      </c>
      <c r="AX2382" s="1">
        <v>0.1137</v>
      </c>
      <c r="AY2382" s="1">
        <v>11.2</v>
      </c>
      <c r="AZ2382" s="1">
        <v>8.7</v>
      </c>
      <c r="BA2382" s="1">
        <v>13.6</v>
      </c>
      <c r="BB2382" s="1">
        <v>3.28</v>
      </c>
      <c r="BC2382" s="1" t="s">
        <v>3897</v>
      </c>
      <c r="BD2382" s="1">
        <v>11.5</v>
      </c>
      <c r="BE2382" s="1">
        <v>35.2</v>
      </c>
      <c r="BF2382" s="1">
        <v>37.7</v>
      </c>
      <c r="BG2382" s="1">
        <v>15.5</v>
      </c>
      <c r="BH2382" s="1" t="s">
        <v>3927</v>
      </c>
    </row>
    <row r="2383">
      <c r="A2383" s="1">
        <v>46045.0</v>
      </c>
      <c r="B2383" s="2" t="str">
        <f>IFERROR(__xludf.DUMMYFUNCTION("TO_TEXT(A2383)"),"46045")</f>
        <v>46045</v>
      </c>
      <c r="C2383" s="1">
        <v>4000.0</v>
      </c>
      <c r="D2383" s="1">
        <v>1125.95887019497</v>
      </c>
      <c r="E2383" s="1" t="s">
        <v>3928</v>
      </c>
      <c r="F2383" s="1" t="s">
        <v>3929</v>
      </c>
      <c r="G2383" s="1">
        <v>3.55252763300969</v>
      </c>
      <c r="H2383" s="1">
        <v>9.6832589666</v>
      </c>
      <c r="I2383" s="1">
        <v>2.5810547399</v>
      </c>
      <c r="J2383" s="1">
        <v>7.80443539465</v>
      </c>
      <c r="K2383" s="1">
        <v>13.380628544</v>
      </c>
      <c r="L2383" s="1">
        <v>31.1</v>
      </c>
      <c r="M2383" s="1">
        <v>7.7</v>
      </c>
      <c r="N2383" s="1">
        <v>31.2</v>
      </c>
      <c r="O2383" s="1">
        <v>44.8538442639999</v>
      </c>
      <c r="P2383" s="1">
        <v>11.764705882</v>
      </c>
      <c r="Q2383" s="1">
        <v>51.03343</v>
      </c>
      <c r="R2383" s="1">
        <v>96.666666667</v>
      </c>
      <c r="S2383" s="1">
        <v>15.7</v>
      </c>
      <c r="T2383" s="1">
        <v>964.0</v>
      </c>
      <c r="U2383" s="1">
        <v>20.228215768</v>
      </c>
      <c r="V2383" s="1">
        <v>24.959440909</v>
      </c>
      <c r="W2383" s="1">
        <v>8.7774294671</v>
      </c>
      <c r="X2383" s="1">
        <v>7.5424261471</v>
      </c>
      <c r="Y2383" s="1">
        <v>81.254372359</v>
      </c>
      <c r="Z2383" s="1">
        <v>9.6</v>
      </c>
      <c r="AA2383" s="1">
        <v>18.148453476</v>
      </c>
      <c r="AB2383" s="1">
        <v>58977.0</v>
      </c>
      <c r="AC2383" s="1">
        <v>30.609418283</v>
      </c>
      <c r="AD2383" s="1">
        <v>82.661548305</v>
      </c>
      <c r="AE2383" s="1">
        <v>4.7875927175</v>
      </c>
      <c r="AF2383" s="1">
        <v>0.2838709677</v>
      </c>
      <c r="AG2383" s="1">
        <v>1.1612903226</v>
      </c>
      <c r="AH2383" s="1">
        <v>1.1870967742</v>
      </c>
      <c r="AI2383" s="1">
        <v>0.0</v>
      </c>
      <c r="AJ2383" s="1">
        <v>1.9870967742</v>
      </c>
      <c r="AK2383" s="1">
        <v>94.864516129</v>
      </c>
      <c r="AL2383" s="1">
        <v>0.2440347072</v>
      </c>
      <c r="AM2383" s="1">
        <v>49.961290323</v>
      </c>
      <c r="AN2383" s="1">
        <v>100.0</v>
      </c>
      <c r="AO2383" s="1">
        <v>30123.0</v>
      </c>
      <c r="AP2383" s="1">
        <v>9.8</v>
      </c>
      <c r="AQ2383" s="1">
        <v>2.0</v>
      </c>
      <c r="AR2383" s="1">
        <v>11.1</v>
      </c>
      <c r="AS2383" s="1">
        <v>20.1</v>
      </c>
      <c r="AT2383" s="1">
        <v>24.1</v>
      </c>
      <c r="AU2383" s="1">
        <v>12.6</v>
      </c>
      <c r="AV2383" s="1">
        <v>4.3</v>
      </c>
      <c r="AW2383" s="1">
        <v>0.2</v>
      </c>
      <c r="AX2383" s="1">
        <v>0.0583</v>
      </c>
      <c r="AY2383" s="1">
        <v>10.7</v>
      </c>
      <c r="AZ2383" s="1">
        <v>7.0</v>
      </c>
      <c r="BA2383" s="1">
        <v>11.1</v>
      </c>
      <c r="BB2383" s="1">
        <v>3.21</v>
      </c>
      <c r="BC2383" s="1" t="s">
        <v>3897</v>
      </c>
      <c r="BD2383" s="1">
        <v>6.9</v>
      </c>
      <c r="BE2383" s="1">
        <v>34.5</v>
      </c>
      <c r="BF2383" s="1">
        <v>32.3</v>
      </c>
      <c r="BG2383" s="1">
        <v>26.3</v>
      </c>
      <c r="BH2383" s="1" t="s">
        <v>3929</v>
      </c>
    </row>
    <row r="2384">
      <c r="A2384" s="1">
        <v>46047.0</v>
      </c>
      <c r="B2384" s="2" t="str">
        <f>IFERROR(__xludf.DUMMYFUNCTION("TO_TEXT(A2384)"),"46047")</f>
        <v>46047</v>
      </c>
      <c r="C2384" s="1">
        <v>6874.0</v>
      </c>
      <c r="D2384" s="1">
        <v>1739.80871715768</v>
      </c>
      <c r="E2384" s="1" t="s">
        <v>3930</v>
      </c>
      <c r="F2384" s="1" t="s">
        <v>3931</v>
      </c>
      <c r="G2384" s="1">
        <v>3.95100905761066</v>
      </c>
      <c r="H2384" s="1">
        <v>12.972361902</v>
      </c>
      <c r="I2384" s="1">
        <v>3.1152413619</v>
      </c>
      <c r="J2384" s="1">
        <v>7.5242718447</v>
      </c>
      <c r="K2384" s="1">
        <v>15.510840183</v>
      </c>
      <c r="L2384" s="1">
        <v>32.7</v>
      </c>
      <c r="M2384" s="1">
        <v>7.3</v>
      </c>
      <c r="N2384" s="1">
        <v>19.5</v>
      </c>
      <c r="O2384" s="1">
        <v>92.951790245</v>
      </c>
      <c r="P2384" s="1">
        <v>10.9529969809999</v>
      </c>
      <c r="Q2384" s="1">
        <v>44.86317</v>
      </c>
      <c r="R2384" s="1">
        <v>80.434782609</v>
      </c>
      <c r="S2384" s="1">
        <v>19.8</v>
      </c>
      <c r="T2384" s="1">
        <v>1191.0</v>
      </c>
      <c r="U2384" s="1">
        <v>26.8681780019999</v>
      </c>
      <c r="V2384" s="1">
        <v>171.79670723</v>
      </c>
      <c r="W2384" s="1">
        <v>15.097402597</v>
      </c>
      <c r="X2384" s="1">
        <v>11.960461285</v>
      </c>
      <c r="Y2384" s="1">
        <v>75.554436121</v>
      </c>
      <c r="Z2384" s="1">
        <v>11.2</v>
      </c>
      <c r="AA2384" s="1">
        <v>13.463686975</v>
      </c>
      <c r="AB2384" s="1">
        <v>46782.0</v>
      </c>
      <c r="AC2384" s="1">
        <v>45.283018868</v>
      </c>
      <c r="AD2384" s="1">
        <v>76.4347547289999</v>
      </c>
      <c r="AE2384" s="1">
        <v>9.0607368072</v>
      </c>
      <c r="AF2384" s="1">
        <v>1.1393903522</v>
      </c>
      <c r="AG2384" s="1">
        <v>6.5995856762</v>
      </c>
      <c r="AH2384" s="1">
        <v>1.3909440663</v>
      </c>
      <c r="AI2384" s="1">
        <v>0.0443918319</v>
      </c>
      <c r="AJ2384" s="1">
        <v>4.0100621486</v>
      </c>
      <c r="AK2384" s="1">
        <v>84.773601657</v>
      </c>
      <c r="AL2384" s="1">
        <v>0.912324107</v>
      </c>
      <c r="AM2384" s="1">
        <v>49.437703463</v>
      </c>
      <c r="AN2384" s="1">
        <v>49.957710741</v>
      </c>
      <c r="AO2384" s="1">
        <v>25591.0</v>
      </c>
      <c r="AP2384" s="1">
        <v>16.9</v>
      </c>
      <c r="AQ2384" s="1">
        <v>2.8</v>
      </c>
      <c r="AR2384" s="1">
        <v>6.9</v>
      </c>
      <c r="AS2384" s="1">
        <v>25.4</v>
      </c>
      <c r="AT2384" s="1">
        <v>18.1</v>
      </c>
      <c r="AU2384" s="1">
        <v>21.5</v>
      </c>
      <c r="AV2384" s="1">
        <v>14.5</v>
      </c>
      <c r="AW2384" s="1">
        <v>0.8</v>
      </c>
      <c r="AX2384" s="1">
        <v>0.4444</v>
      </c>
      <c r="AY2384" s="1">
        <v>13.9</v>
      </c>
      <c r="AZ2384" s="1">
        <v>12.4</v>
      </c>
      <c r="BA2384" s="1">
        <v>22.8</v>
      </c>
      <c r="BB2384" s="1">
        <v>3.21</v>
      </c>
      <c r="BC2384" s="1" t="s">
        <v>3897</v>
      </c>
      <c r="BD2384" s="1">
        <v>5.6</v>
      </c>
      <c r="BE2384" s="1">
        <v>35.1</v>
      </c>
      <c r="BF2384" s="1">
        <v>38.3</v>
      </c>
      <c r="BG2384" s="1">
        <v>21.1</v>
      </c>
      <c r="BH2384" s="1" t="s">
        <v>3931</v>
      </c>
    </row>
    <row r="2385">
      <c r="A2385" s="1">
        <v>46049.0</v>
      </c>
      <c r="B2385" s="2" t="str">
        <f>IFERROR(__xludf.DUMMYFUNCTION("TO_TEXT(A2385)"),"46049")</f>
        <v>46049</v>
      </c>
      <c r="C2385" s="1">
        <v>2354.0</v>
      </c>
      <c r="D2385" s="1">
        <v>981.693147475648</v>
      </c>
      <c r="E2385" s="1" t="s">
        <v>3932</v>
      </c>
      <c r="F2385" s="1" t="s">
        <v>3933</v>
      </c>
      <c r="G2385" s="1">
        <v>2.39789796440277</v>
      </c>
      <c r="H2385" s="1">
        <v>10.890021679</v>
      </c>
      <c r="I2385" s="1">
        <v>2.8565725675</v>
      </c>
      <c r="J2385" s="1">
        <v>7.1748878924</v>
      </c>
      <c r="K2385" s="1">
        <v>13.419591584</v>
      </c>
      <c r="L2385" s="1">
        <v>36.5</v>
      </c>
      <c r="M2385" s="1">
        <v>6.8</v>
      </c>
      <c r="N2385" s="1">
        <v>36.8</v>
      </c>
      <c r="O2385" s="1">
        <v>4.6954314721</v>
      </c>
      <c r="P2385" s="1">
        <v>9.7984322508</v>
      </c>
      <c r="Q2385" s="1">
        <v>42.93688</v>
      </c>
      <c r="R2385" s="1">
        <v>100.0</v>
      </c>
      <c r="S2385" s="1">
        <v>23.1</v>
      </c>
      <c r="T2385" s="1">
        <v>505.0</v>
      </c>
      <c r="U2385" s="1">
        <v>14.059405941</v>
      </c>
      <c r="V2385" s="1">
        <v>0.0</v>
      </c>
      <c r="W2385" s="1">
        <v>10.256410256</v>
      </c>
      <c r="X2385" s="1">
        <v>10.092687951</v>
      </c>
      <c r="Y2385" s="1">
        <v>79.944973676</v>
      </c>
      <c r="Z2385" s="1">
        <v>8.3</v>
      </c>
      <c r="AA2385" s="1">
        <v>21.780172813</v>
      </c>
      <c r="AB2385" s="1">
        <v>49068.0</v>
      </c>
      <c r="AC2385" s="1">
        <v>15.963855422</v>
      </c>
      <c r="AD2385" s="1">
        <v>80.155210643</v>
      </c>
      <c r="AE2385" s="1">
        <v>7.9422382671</v>
      </c>
      <c r="AF2385" s="1">
        <v>0.5150214592</v>
      </c>
      <c r="AG2385" s="1">
        <v>0.6008583691</v>
      </c>
      <c r="AH2385" s="1">
        <v>0.643776824</v>
      </c>
      <c r="AI2385" s="1">
        <v>0.0</v>
      </c>
      <c r="AJ2385" s="1">
        <v>1.2875536481</v>
      </c>
      <c r="AK2385" s="1">
        <v>96.78111588</v>
      </c>
      <c r="AL2385" s="1">
        <v>0.0</v>
      </c>
      <c r="AM2385" s="1">
        <v>50.3862660939999</v>
      </c>
      <c r="AN2385" s="1">
        <v>100.0</v>
      </c>
      <c r="AO2385" s="1">
        <v>28975.0</v>
      </c>
      <c r="AP2385" s="1">
        <v>12.6</v>
      </c>
      <c r="AQ2385" s="1">
        <v>0.6</v>
      </c>
      <c r="AR2385" s="1">
        <v>7.8</v>
      </c>
      <c r="AS2385" s="1">
        <v>25.5</v>
      </c>
      <c r="AT2385" s="1">
        <v>21.2</v>
      </c>
      <c r="AU2385" s="1">
        <v>14.3</v>
      </c>
      <c r="AV2385" s="1">
        <v>5.9</v>
      </c>
      <c r="AW2385" s="1">
        <v>0.0</v>
      </c>
      <c r="AX2385" s="1">
        <v>0.0761</v>
      </c>
      <c r="AY2385" s="1">
        <v>15.7</v>
      </c>
      <c r="AZ2385" s="1">
        <v>10.4</v>
      </c>
      <c r="BA2385" s="1">
        <v>12.4</v>
      </c>
      <c r="BB2385" s="1">
        <v>3.18</v>
      </c>
      <c r="BC2385" s="1" t="s">
        <v>3897</v>
      </c>
      <c r="BD2385" s="1">
        <v>6.7</v>
      </c>
      <c r="BE2385" s="1">
        <v>34.5</v>
      </c>
      <c r="BF2385" s="1">
        <v>31.9</v>
      </c>
      <c r="BG2385" s="1">
        <v>26.9</v>
      </c>
      <c r="BH2385" s="1" t="s">
        <v>3933</v>
      </c>
    </row>
    <row r="2386">
      <c r="A2386" s="1">
        <v>46051.0</v>
      </c>
      <c r="B2386" s="2" t="str">
        <f>IFERROR(__xludf.DUMMYFUNCTION("TO_TEXT(A2386)"),"46051")</f>
        <v>46051</v>
      </c>
      <c r="C2386" s="1">
        <v>7195.0</v>
      </c>
      <c r="D2386" s="1">
        <v>681.45044111503</v>
      </c>
      <c r="E2386" s="1" t="s">
        <v>332</v>
      </c>
      <c r="F2386" s="1" t="s">
        <v>3934</v>
      </c>
      <c r="G2386" s="1">
        <v>10.5583613508666</v>
      </c>
      <c r="H2386" s="1">
        <v>10.588121142</v>
      </c>
      <c r="I2386" s="1">
        <v>2.6911113717</v>
      </c>
      <c r="J2386" s="1">
        <v>4.7945205479</v>
      </c>
      <c r="K2386" s="1">
        <v>13.320887044</v>
      </c>
      <c r="L2386" s="1">
        <v>27.1</v>
      </c>
      <c r="M2386" s="1">
        <v>8.7</v>
      </c>
      <c r="N2386" s="1">
        <v>24.6</v>
      </c>
      <c r="O2386" s="1">
        <v>64.940184883</v>
      </c>
      <c r="P2386" s="1">
        <v>10.326867816</v>
      </c>
      <c r="Q2386" s="1">
        <v>99.1361</v>
      </c>
      <c r="R2386" s="1">
        <v>91.208791209</v>
      </c>
      <c r="S2386" s="1">
        <v>11.8</v>
      </c>
      <c r="T2386" s="1">
        <v>1620.0</v>
      </c>
      <c r="U2386" s="1">
        <v>23.456790123</v>
      </c>
      <c r="V2386" s="1">
        <v>204.509002055</v>
      </c>
      <c r="W2386" s="1">
        <v>6.5015479876</v>
      </c>
      <c r="X2386" s="1">
        <v>5.9171597633</v>
      </c>
      <c r="Y2386" s="1">
        <v>79.918550543</v>
      </c>
      <c r="Z2386" s="1">
        <v>7.8</v>
      </c>
      <c r="AA2386" s="1">
        <v>4.5532012185</v>
      </c>
      <c r="AB2386" s="1">
        <v>59813.0</v>
      </c>
      <c r="AC2386" s="1">
        <v>31.534090909</v>
      </c>
      <c r="AD2386" s="1">
        <v>83.8729763389999</v>
      </c>
      <c r="AE2386" s="1">
        <v>5.5483028721</v>
      </c>
      <c r="AF2386" s="1">
        <v>0.657618581199999</v>
      </c>
      <c r="AG2386" s="1">
        <v>1.4971316636</v>
      </c>
      <c r="AH2386" s="1">
        <v>0.3637890024</v>
      </c>
      <c r="AI2386" s="1">
        <v>0.0839513082</v>
      </c>
      <c r="AJ2386" s="1">
        <v>4.869175878</v>
      </c>
      <c r="AK2386" s="1">
        <v>91.968658178</v>
      </c>
      <c r="AL2386" s="1">
        <v>0.2630425252</v>
      </c>
      <c r="AM2386" s="1">
        <v>47.446481041</v>
      </c>
      <c r="AN2386" s="1">
        <v>55.3697661769999</v>
      </c>
      <c r="AO2386" s="1">
        <v>28059.0</v>
      </c>
      <c r="AP2386" s="1">
        <v>7.8</v>
      </c>
      <c r="AQ2386" s="1">
        <v>3.1</v>
      </c>
      <c r="AR2386" s="1">
        <v>9.8</v>
      </c>
      <c r="AS2386" s="1">
        <v>20.0</v>
      </c>
      <c r="AT2386" s="1">
        <v>21.9</v>
      </c>
      <c r="AU2386" s="1">
        <v>13.8</v>
      </c>
      <c r="AV2386" s="1">
        <v>5.7</v>
      </c>
      <c r="AW2386" s="1">
        <v>0.2</v>
      </c>
      <c r="AX2386" s="1">
        <v>0.0478</v>
      </c>
      <c r="AY2386" s="1">
        <v>9.1</v>
      </c>
      <c r="AZ2386" s="1">
        <v>8.4</v>
      </c>
      <c r="BA2386" s="1">
        <v>15.5</v>
      </c>
      <c r="BB2386" s="1">
        <v>3.22</v>
      </c>
      <c r="BC2386" s="1" t="s">
        <v>3897</v>
      </c>
      <c r="BD2386" s="1">
        <v>9.3</v>
      </c>
      <c r="BE2386" s="1">
        <v>38.2</v>
      </c>
      <c r="BF2386" s="1">
        <v>30.6</v>
      </c>
      <c r="BG2386" s="1">
        <v>21.9</v>
      </c>
      <c r="BH2386" s="1" t="s">
        <v>3934</v>
      </c>
    </row>
    <row r="2387">
      <c r="A2387" s="1">
        <v>46053.0</v>
      </c>
      <c r="B2387" s="2" t="str">
        <f>IFERROR(__xludf.DUMMYFUNCTION("TO_TEXT(A2387)"),"46053")</f>
        <v>46053</v>
      </c>
      <c r="C2387" s="1">
        <v>4217.0</v>
      </c>
      <c r="D2387" s="1">
        <v>1014.94919497955</v>
      </c>
      <c r="E2387" s="1" t="s">
        <v>3935</v>
      </c>
      <c r="F2387" s="1" t="s">
        <v>3936</v>
      </c>
      <c r="G2387" s="1">
        <v>4.15488777256971</v>
      </c>
      <c r="H2387" s="1">
        <v>13.185065421</v>
      </c>
      <c r="I2387" s="1">
        <v>3.1615745778</v>
      </c>
      <c r="J2387" s="1">
        <v>4.132231405</v>
      </c>
      <c r="K2387" s="1">
        <v>15.60077705</v>
      </c>
      <c r="L2387" s="1">
        <v>29.8</v>
      </c>
      <c r="M2387" s="1">
        <v>7.3</v>
      </c>
      <c r="N2387" s="1">
        <v>36.2</v>
      </c>
      <c r="O2387" s="1">
        <v>53.5705923669999</v>
      </c>
      <c r="P2387" s="1">
        <v>15.060625399</v>
      </c>
      <c r="Q2387" s="1">
        <v>70.98912</v>
      </c>
      <c r="R2387" s="1">
        <v>94.444444444</v>
      </c>
      <c r="S2387" s="1">
        <v>21.1</v>
      </c>
      <c r="T2387" s="1">
        <v>987.0</v>
      </c>
      <c r="U2387" s="1">
        <v>32.320162107</v>
      </c>
      <c r="V2387" s="1">
        <v>204.509002055</v>
      </c>
      <c r="W2387" s="1">
        <v>11.227154047</v>
      </c>
      <c r="X2387" s="1">
        <v>9.1242789722</v>
      </c>
      <c r="Y2387" s="1">
        <v>79.105859186</v>
      </c>
      <c r="Z2387" s="1">
        <v>8.9</v>
      </c>
      <c r="AA2387" s="1">
        <v>12.647450259</v>
      </c>
      <c r="AB2387" s="1">
        <v>40583.0</v>
      </c>
      <c r="AC2387" s="1">
        <v>48.122392211</v>
      </c>
      <c r="AD2387" s="1">
        <v>72.303523035</v>
      </c>
      <c r="AE2387" s="1">
        <v>8.1477139508</v>
      </c>
      <c r="AF2387" s="1">
        <v>0.3798670465</v>
      </c>
      <c r="AG2387" s="1">
        <v>7.7872744539</v>
      </c>
      <c r="AH2387" s="1">
        <v>0.4510921178</v>
      </c>
      <c r="AI2387" s="1">
        <v>0.0949667616</v>
      </c>
      <c r="AJ2387" s="1">
        <v>1.5906932574</v>
      </c>
      <c r="AK2387" s="1">
        <v>87.393162393</v>
      </c>
      <c r="AL2387" s="1">
        <v>0.0</v>
      </c>
      <c r="AM2387" s="1">
        <v>48.551756885</v>
      </c>
      <c r="AN2387" s="1">
        <v>100.0</v>
      </c>
      <c r="AO2387" s="1">
        <v>24738.0</v>
      </c>
      <c r="AP2387" s="1">
        <v>16.5</v>
      </c>
      <c r="AQ2387" s="1">
        <v>1.5</v>
      </c>
      <c r="AR2387" s="1">
        <v>11.8</v>
      </c>
      <c r="AS2387" s="1">
        <v>24.1</v>
      </c>
      <c r="AT2387" s="1">
        <v>23.6</v>
      </c>
      <c r="AU2387" s="1">
        <v>16.0</v>
      </c>
      <c r="AV2387" s="1">
        <v>11.4</v>
      </c>
      <c r="AW2387" s="1">
        <v>0.1</v>
      </c>
      <c r="AX2387" s="1">
        <v>0.3327</v>
      </c>
      <c r="AY2387" s="1">
        <v>15.5</v>
      </c>
      <c r="AZ2387" s="1">
        <v>11.3</v>
      </c>
      <c r="BA2387" s="1">
        <v>18.7</v>
      </c>
      <c r="BB2387" s="1">
        <v>3.47</v>
      </c>
      <c r="BC2387" s="1" t="s">
        <v>3897</v>
      </c>
      <c r="BD2387" s="1">
        <v>10.6</v>
      </c>
      <c r="BE2387" s="1">
        <v>35.6</v>
      </c>
      <c r="BF2387" s="1">
        <v>33.6</v>
      </c>
      <c r="BG2387" s="1">
        <v>20.2</v>
      </c>
      <c r="BH2387" s="1" t="s">
        <v>3936</v>
      </c>
    </row>
    <row r="2388">
      <c r="A2388" s="1">
        <v>46055.0</v>
      </c>
      <c r="B2388" s="2" t="str">
        <f>IFERROR(__xludf.DUMMYFUNCTION("TO_TEXT(A2388)"),"46055")</f>
        <v>46055</v>
      </c>
      <c r="C2388" s="1">
        <v>2073.0</v>
      </c>
      <c r="D2388" s="1">
        <v>1810.54050470721</v>
      </c>
      <c r="E2388" s="1" t="s">
        <v>3937</v>
      </c>
      <c r="F2388" s="1" t="s">
        <v>3938</v>
      </c>
      <c r="G2388" s="1">
        <v>1.14496195727762</v>
      </c>
      <c r="H2388" s="1">
        <v>13.214986584</v>
      </c>
      <c r="I2388" s="1">
        <v>3.160270574</v>
      </c>
      <c r="J2388" s="1">
        <v>7.80443539465</v>
      </c>
      <c r="K2388" s="1">
        <v>15.015309887</v>
      </c>
      <c r="L2388" s="1">
        <v>25.9</v>
      </c>
      <c r="M2388" s="1">
        <v>7.0</v>
      </c>
      <c r="N2388" s="1">
        <v>30.4</v>
      </c>
      <c r="O2388" s="1">
        <v>56.892101187</v>
      </c>
      <c r="P2388" s="1">
        <v>13.174061433</v>
      </c>
      <c r="Q2388" s="1">
        <v>102.93361</v>
      </c>
      <c r="R2388" s="1">
        <v>100.0</v>
      </c>
      <c r="S2388" s="1">
        <v>12.4</v>
      </c>
      <c r="T2388" s="1">
        <v>492.0</v>
      </c>
      <c r="U2388" s="1">
        <v>15.853658537</v>
      </c>
      <c r="V2388" s="1">
        <v>204.509002055</v>
      </c>
      <c r="W2388" s="1">
        <v>5.0574712644</v>
      </c>
      <c r="X2388" s="1">
        <v>4.4444444444</v>
      </c>
      <c r="Y2388" s="1">
        <v>78.76995656</v>
      </c>
      <c r="Z2388" s="1">
        <v>11.3</v>
      </c>
      <c r="AA2388" s="1">
        <v>17.035517198</v>
      </c>
      <c r="AB2388" s="1">
        <v>51801.0</v>
      </c>
      <c r="AC2388" s="1">
        <v>25.225225225</v>
      </c>
      <c r="AD2388" s="1">
        <v>79.9779978</v>
      </c>
      <c r="AE2388" s="1">
        <v>5.2247873633</v>
      </c>
      <c r="AF2388" s="1">
        <v>0.2085505735</v>
      </c>
      <c r="AG2388" s="1">
        <v>2.6068821689</v>
      </c>
      <c r="AH2388" s="1">
        <v>0.2606882169</v>
      </c>
      <c r="AI2388" s="1">
        <v>0.1042752868</v>
      </c>
      <c r="AJ2388" s="1">
        <v>2.0855057351</v>
      </c>
      <c r="AK2388" s="1">
        <v>91.5537017729999</v>
      </c>
      <c r="AL2388" s="1">
        <v>0.0</v>
      </c>
      <c r="AM2388" s="1">
        <v>50.2606882169999</v>
      </c>
      <c r="AN2388" s="1">
        <v>100.0</v>
      </c>
      <c r="AO2388" s="1">
        <v>22643.0</v>
      </c>
      <c r="AP2388" s="1">
        <v>17.9</v>
      </c>
      <c r="AQ2388" s="1">
        <v>2.7</v>
      </c>
      <c r="AR2388" s="1">
        <v>9.3</v>
      </c>
      <c r="AS2388" s="1">
        <v>22.5</v>
      </c>
      <c r="AT2388" s="1">
        <v>24.0</v>
      </c>
      <c r="AU2388" s="1">
        <v>14.4</v>
      </c>
      <c r="AV2388" s="1">
        <v>11.2</v>
      </c>
      <c r="AW2388" s="1">
        <v>0.0</v>
      </c>
      <c r="AX2388" s="1">
        <v>0.2232</v>
      </c>
      <c r="AY2388" s="1">
        <v>11.4</v>
      </c>
      <c r="AZ2388" s="1">
        <v>11.0</v>
      </c>
      <c r="BA2388" s="1">
        <v>18.7</v>
      </c>
      <c r="BB2388" s="1">
        <v>3.22</v>
      </c>
      <c r="BC2388" s="1" t="s">
        <v>3897</v>
      </c>
      <c r="BD2388" s="1">
        <v>6.1</v>
      </c>
      <c r="BE2388" s="1">
        <v>44.3</v>
      </c>
      <c r="BF2388" s="1">
        <v>34.0</v>
      </c>
      <c r="BG2388" s="1">
        <v>15.6</v>
      </c>
      <c r="BH2388" s="1" t="s">
        <v>3938</v>
      </c>
    </row>
    <row r="2389">
      <c r="A2389" s="1">
        <v>46057.0</v>
      </c>
      <c r="B2389" s="2" t="str">
        <f>IFERROR(__xludf.DUMMYFUNCTION("TO_TEXT(A2389)"),"46057")</f>
        <v>46057</v>
      </c>
      <c r="C2389" s="1">
        <v>5995.0</v>
      </c>
      <c r="D2389" s="1">
        <v>507.234234902053</v>
      </c>
      <c r="E2389" s="1" t="s">
        <v>3939</v>
      </c>
      <c r="F2389" s="1" t="s">
        <v>3940</v>
      </c>
      <c r="G2389" s="1">
        <v>11.8189971959555</v>
      </c>
      <c r="H2389" s="1">
        <v>9.7273783292</v>
      </c>
      <c r="I2389" s="1">
        <v>2.6366264395</v>
      </c>
      <c r="J2389" s="1">
        <v>4.1916167665</v>
      </c>
      <c r="K2389" s="1">
        <v>12.71634471</v>
      </c>
      <c r="L2389" s="1">
        <v>28.8</v>
      </c>
      <c r="M2389" s="1">
        <v>6.2</v>
      </c>
      <c r="N2389" s="1">
        <v>21.4</v>
      </c>
      <c r="O2389" s="1">
        <v>2.2192105709</v>
      </c>
      <c r="P2389" s="1">
        <v>10.776035384</v>
      </c>
      <c r="Q2389" s="1">
        <v>16.81237</v>
      </c>
      <c r="R2389" s="1">
        <v>97.3684210529999</v>
      </c>
      <c r="S2389" s="1">
        <v>10.8</v>
      </c>
      <c r="T2389" s="1">
        <v>1875.0</v>
      </c>
      <c r="U2389" s="1">
        <v>16.426666667</v>
      </c>
      <c r="V2389" s="1">
        <v>49.8463072189999</v>
      </c>
      <c r="W2389" s="1">
        <v>7.6923076923</v>
      </c>
      <c r="X2389" s="1">
        <v>3.7727272727</v>
      </c>
      <c r="Y2389" s="1">
        <v>79.3484876839999</v>
      </c>
      <c r="Z2389" s="1">
        <v>8.9</v>
      </c>
      <c r="AA2389" s="1">
        <v>33.211285153</v>
      </c>
      <c r="AB2389" s="1">
        <v>65776.0</v>
      </c>
      <c r="AC2389" s="1">
        <v>37.224199288</v>
      </c>
      <c r="AD2389" s="1">
        <v>78.374717833</v>
      </c>
      <c r="AE2389" s="1">
        <v>4.9523809524</v>
      </c>
      <c r="AF2389" s="1">
        <v>0.4745540828</v>
      </c>
      <c r="AG2389" s="1">
        <v>0.8509245623</v>
      </c>
      <c r="AH2389" s="1">
        <v>0.3600065456</v>
      </c>
      <c r="AI2389" s="1">
        <v>0.0163639339</v>
      </c>
      <c r="AJ2389" s="1">
        <v>4.8437244314</v>
      </c>
      <c r="AK2389" s="1">
        <v>92.996236295</v>
      </c>
      <c r="AL2389" s="1">
        <v>1.6893132574</v>
      </c>
      <c r="AM2389" s="1">
        <v>48.6499754539999</v>
      </c>
      <c r="AN2389" s="1">
        <v>100.0</v>
      </c>
      <c r="AO2389" s="1">
        <v>26140.0</v>
      </c>
      <c r="AP2389" s="1">
        <v>7.7</v>
      </c>
      <c r="AQ2389" s="1">
        <v>2.2</v>
      </c>
      <c r="AR2389" s="1">
        <v>7.2</v>
      </c>
      <c r="AS2389" s="1">
        <v>17.4</v>
      </c>
      <c r="AT2389" s="1">
        <v>30.8</v>
      </c>
      <c r="AU2389" s="1">
        <v>11.7</v>
      </c>
      <c r="AV2389" s="1">
        <v>5.3</v>
      </c>
      <c r="AW2389" s="1">
        <v>1.3</v>
      </c>
      <c r="AX2389" s="1">
        <v>0.1461</v>
      </c>
      <c r="AY2389" s="1">
        <v>8.9</v>
      </c>
      <c r="AZ2389" s="1">
        <v>7.3</v>
      </c>
      <c r="BA2389" s="1">
        <v>12.7</v>
      </c>
      <c r="BB2389" s="1">
        <v>3.29</v>
      </c>
      <c r="BC2389" s="1" t="s">
        <v>3897</v>
      </c>
      <c r="BD2389" s="1">
        <v>8.2</v>
      </c>
      <c r="BE2389" s="1">
        <v>42.5</v>
      </c>
      <c r="BF2389" s="1">
        <v>28.3</v>
      </c>
      <c r="BG2389" s="1">
        <v>21.0</v>
      </c>
      <c r="BH2389" s="1" t="s">
        <v>3940</v>
      </c>
    </row>
    <row r="2390">
      <c r="A2390" s="1">
        <v>46059.0</v>
      </c>
      <c r="B2390" s="2" t="str">
        <f>IFERROR(__xludf.DUMMYFUNCTION("TO_TEXT(A2390)"),"46059")</f>
        <v>46059</v>
      </c>
      <c r="C2390" s="1">
        <v>3311.0</v>
      </c>
      <c r="D2390" s="1">
        <v>1436.64586500017</v>
      </c>
      <c r="E2390" s="1" t="s">
        <v>3941</v>
      </c>
      <c r="F2390" s="1" t="s">
        <v>3942</v>
      </c>
      <c r="G2390" s="1">
        <v>2.30467374087323</v>
      </c>
      <c r="H2390" s="1">
        <v>9.7101350839</v>
      </c>
      <c r="I2390" s="1">
        <v>2.6621078993</v>
      </c>
      <c r="J2390" s="1">
        <v>5.9523809524</v>
      </c>
      <c r="K2390" s="1">
        <v>12.658401252</v>
      </c>
      <c r="L2390" s="1">
        <v>31.1</v>
      </c>
      <c r="M2390" s="1">
        <v>7.7</v>
      </c>
      <c r="N2390" s="1">
        <v>21.0</v>
      </c>
      <c r="O2390" s="1">
        <v>55.085980764</v>
      </c>
      <c r="P2390" s="1">
        <v>11.287693562</v>
      </c>
      <c r="Q2390" s="1">
        <v>61.03143</v>
      </c>
      <c r="R2390" s="1">
        <v>100.0</v>
      </c>
      <c r="S2390" s="1">
        <v>12.6</v>
      </c>
      <c r="T2390" s="1">
        <v>706.0</v>
      </c>
      <c r="U2390" s="1">
        <v>23.371104816</v>
      </c>
      <c r="V2390" s="1">
        <v>29.806259314</v>
      </c>
      <c r="W2390" s="1">
        <v>7.1428571429</v>
      </c>
      <c r="X2390" s="1">
        <v>5.3351573187</v>
      </c>
      <c r="Y2390" s="1">
        <v>81.086399899</v>
      </c>
      <c r="Z2390" s="1">
        <v>7.3</v>
      </c>
      <c r="AA2390" s="1">
        <v>12.7594406579999</v>
      </c>
      <c r="AB2390" s="1">
        <v>52568.0</v>
      </c>
      <c r="AC2390" s="1">
        <v>19.438444924</v>
      </c>
      <c r="AD2390" s="1">
        <v>69.038208169</v>
      </c>
      <c r="AE2390" s="1">
        <v>6.5312046444</v>
      </c>
      <c r="AF2390" s="1">
        <v>0.122624157</v>
      </c>
      <c r="AG2390" s="1">
        <v>0.5518087063</v>
      </c>
      <c r="AH2390" s="1">
        <v>0.3985285101</v>
      </c>
      <c r="AI2390" s="1">
        <v>0.0306560392</v>
      </c>
      <c r="AJ2390" s="1">
        <v>1.3795217658</v>
      </c>
      <c r="AK2390" s="1">
        <v>96.535867566</v>
      </c>
      <c r="AL2390" s="1">
        <v>0.0</v>
      </c>
      <c r="AM2390" s="1">
        <v>50.122624157</v>
      </c>
      <c r="AN2390" s="1">
        <v>100.0</v>
      </c>
      <c r="AO2390" s="1">
        <v>33496.0</v>
      </c>
      <c r="AP2390" s="1">
        <v>6.1</v>
      </c>
      <c r="AQ2390" s="1">
        <v>1.9</v>
      </c>
      <c r="AR2390" s="1">
        <v>8.2</v>
      </c>
      <c r="AS2390" s="1">
        <v>25.8</v>
      </c>
      <c r="AT2390" s="1">
        <v>20.7</v>
      </c>
      <c r="AU2390" s="1">
        <v>12.8</v>
      </c>
      <c r="AV2390" s="1">
        <v>1.5</v>
      </c>
      <c r="AW2390" s="1">
        <v>0.0</v>
      </c>
      <c r="AX2390" s="1">
        <v>0.0296</v>
      </c>
      <c r="AY2390" s="1">
        <v>10.3</v>
      </c>
      <c r="AZ2390" s="1">
        <v>9.5</v>
      </c>
      <c r="BA2390" s="1">
        <v>14.9</v>
      </c>
      <c r="BB2390" s="1">
        <v>3.14</v>
      </c>
      <c r="BC2390" s="1" t="s">
        <v>3897</v>
      </c>
      <c r="BD2390" s="1">
        <v>6.1</v>
      </c>
      <c r="BE2390" s="1">
        <v>33.0</v>
      </c>
      <c r="BF2390" s="1">
        <v>38.8</v>
      </c>
      <c r="BG2390" s="1">
        <v>22.1</v>
      </c>
      <c r="BH2390" s="1" t="s">
        <v>3942</v>
      </c>
    </row>
    <row r="2391">
      <c r="A2391" s="1">
        <v>46061.0</v>
      </c>
      <c r="B2391" s="2" t="str">
        <f>IFERROR(__xludf.DUMMYFUNCTION("TO_TEXT(A2391)"),"46061")</f>
        <v>46061</v>
      </c>
      <c r="C2391" s="1">
        <v>3390.0</v>
      </c>
      <c r="D2391" s="1">
        <v>434.514400432485</v>
      </c>
      <c r="E2391" s="1" t="s">
        <v>3943</v>
      </c>
      <c r="F2391" s="1" t="s">
        <v>3944</v>
      </c>
      <c r="G2391" s="1">
        <v>7.80181277450373</v>
      </c>
      <c r="H2391" s="1">
        <v>10.359586934</v>
      </c>
      <c r="I2391" s="1">
        <v>2.7760005504</v>
      </c>
      <c r="J2391" s="1">
        <v>4.88599348529999</v>
      </c>
      <c r="K2391" s="1">
        <v>13.690631329</v>
      </c>
      <c r="L2391" s="1">
        <v>27.8</v>
      </c>
      <c r="M2391" s="1">
        <v>8.5</v>
      </c>
      <c r="N2391" s="1">
        <v>22.0</v>
      </c>
      <c r="O2391" s="1">
        <v>14.350045032</v>
      </c>
      <c r="P2391" s="1">
        <v>11.11878453</v>
      </c>
      <c r="Q2391" s="1">
        <v>48.31939</v>
      </c>
      <c r="R2391" s="1">
        <v>98.076923077</v>
      </c>
      <c r="S2391" s="1">
        <v>12.9</v>
      </c>
      <c r="T2391" s="1">
        <v>1066.0</v>
      </c>
      <c r="U2391" s="1">
        <v>15.103189493</v>
      </c>
      <c r="V2391" s="1">
        <v>29.368575624</v>
      </c>
      <c r="W2391" s="1">
        <v>6.1320754717</v>
      </c>
      <c r="X2391" s="1">
        <v>5.0189393939</v>
      </c>
      <c r="Y2391" s="1">
        <v>78.317095001</v>
      </c>
      <c r="Z2391" s="1">
        <v>12.4</v>
      </c>
      <c r="AA2391" s="1">
        <v>5.9644498609</v>
      </c>
      <c r="AB2391" s="1">
        <v>63772.0</v>
      </c>
      <c r="AC2391" s="1">
        <v>20.031055901</v>
      </c>
      <c r="AD2391" s="1">
        <v>88.58746492</v>
      </c>
      <c r="AE2391" s="1">
        <v>5.4368932039</v>
      </c>
      <c r="AF2391" s="1">
        <v>0.4146919431</v>
      </c>
      <c r="AG2391" s="1">
        <v>0.4146919431</v>
      </c>
      <c r="AH2391" s="1">
        <v>0.4146919431</v>
      </c>
      <c r="AI2391" s="1">
        <v>0.0296208531</v>
      </c>
      <c r="AJ2391" s="1">
        <v>1.481042654</v>
      </c>
      <c r="AK2391" s="1">
        <v>96.3270142179999</v>
      </c>
      <c r="AL2391" s="1">
        <v>0.0642054575</v>
      </c>
      <c r="AM2391" s="1">
        <v>49.940758294</v>
      </c>
      <c r="AN2391" s="1">
        <v>100.0</v>
      </c>
      <c r="AO2391" s="1">
        <v>24159.0</v>
      </c>
      <c r="AP2391" s="1">
        <v>10.0</v>
      </c>
      <c r="AQ2391" s="1">
        <v>0.3</v>
      </c>
      <c r="AR2391" s="1">
        <v>7.8</v>
      </c>
      <c r="AS2391" s="1">
        <v>13.8</v>
      </c>
      <c r="AT2391" s="1">
        <v>32.5</v>
      </c>
      <c r="AU2391" s="1">
        <v>12.3</v>
      </c>
      <c r="AV2391" s="1">
        <v>6.7</v>
      </c>
      <c r="AW2391" s="1">
        <v>0.1</v>
      </c>
      <c r="AX2391" s="1">
        <v>0.0242</v>
      </c>
      <c r="AY2391" s="1">
        <v>7.9</v>
      </c>
      <c r="AZ2391" s="1">
        <v>8.6</v>
      </c>
      <c r="BA2391" s="1">
        <v>15.6</v>
      </c>
      <c r="BB2391" s="1">
        <v>3.24</v>
      </c>
      <c r="BC2391" s="1" t="s">
        <v>3897</v>
      </c>
      <c r="BD2391" s="1">
        <v>7.8</v>
      </c>
      <c r="BE2391" s="1">
        <v>37.3</v>
      </c>
      <c r="BF2391" s="1">
        <v>36.5</v>
      </c>
      <c r="BG2391" s="1">
        <v>18.5</v>
      </c>
      <c r="BH2391" s="1" t="s">
        <v>3944</v>
      </c>
    </row>
    <row r="2392">
      <c r="A2392" s="1">
        <v>46063.0</v>
      </c>
      <c r="B2392" s="2" t="str">
        <f>IFERROR(__xludf.DUMMYFUNCTION("TO_TEXT(A2392)"),"46063")</f>
        <v>46063</v>
      </c>
      <c r="C2392" s="1">
        <v>1277.0</v>
      </c>
      <c r="D2392" s="1">
        <v>2671.56892000716</v>
      </c>
      <c r="E2392" s="1" t="s">
        <v>3036</v>
      </c>
      <c r="F2392" s="1" t="s">
        <v>3945</v>
      </c>
      <c r="G2392" s="1">
        <v>0.477996277931163</v>
      </c>
      <c r="H2392" s="1">
        <v>11.283191225</v>
      </c>
      <c r="I2392" s="1">
        <v>2.9399612123</v>
      </c>
      <c r="J2392" s="1">
        <v>7.80443539465</v>
      </c>
      <c r="K2392" s="1">
        <v>14.574800107</v>
      </c>
      <c r="L2392" s="1">
        <v>39.8</v>
      </c>
      <c r="M2392" s="1">
        <v>5.7</v>
      </c>
      <c r="N2392" s="1">
        <v>29.0</v>
      </c>
      <c r="O2392" s="1">
        <v>51.792828685</v>
      </c>
      <c r="P2392" s="1">
        <v>12.97029703</v>
      </c>
      <c r="Q2392" s="1">
        <v>0.0</v>
      </c>
      <c r="R2392" s="1">
        <v>85.714285714</v>
      </c>
      <c r="S2392" s="1">
        <v>9.8</v>
      </c>
      <c r="T2392" s="1">
        <v>275.0</v>
      </c>
      <c r="U2392" s="1">
        <v>14.545454545</v>
      </c>
      <c r="V2392" s="1">
        <v>78.833267639</v>
      </c>
      <c r="W2392" s="1">
        <v>9.0909090909</v>
      </c>
      <c r="X2392" s="1">
        <v>8.8295687885</v>
      </c>
      <c r="Y2392" s="1">
        <v>77.482572377</v>
      </c>
      <c r="Z2392" s="1">
        <v>7.7</v>
      </c>
      <c r="AA2392" s="1">
        <v>33.306122303</v>
      </c>
      <c r="AB2392" s="1">
        <v>55017.0</v>
      </c>
      <c r="AC2392" s="1">
        <v>22.994652406</v>
      </c>
      <c r="AD2392" s="1">
        <v>69.160583942</v>
      </c>
      <c r="AE2392" s="1">
        <v>5.92105263159999</v>
      </c>
      <c r="AF2392" s="1">
        <v>0.8807045637</v>
      </c>
      <c r="AG2392" s="1">
        <v>2.321857486</v>
      </c>
      <c r="AH2392" s="1">
        <v>0.2401921537</v>
      </c>
      <c r="AI2392" s="1">
        <v>0.0</v>
      </c>
      <c r="AJ2392" s="1">
        <v>2.642113691</v>
      </c>
      <c r="AK2392" s="1">
        <v>92.23378703</v>
      </c>
      <c r="AL2392" s="1">
        <v>0.8058017728</v>
      </c>
      <c r="AM2392" s="1">
        <v>47.397918335</v>
      </c>
      <c r="AN2392" s="1">
        <v>100.0</v>
      </c>
      <c r="AO2392" s="1">
        <v>27239.0</v>
      </c>
      <c r="AP2392" s="1">
        <v>13.1</v>
      </c>
      <c r="AQ2392" s="1">
        <v>1.4</v>
      </c>
      <c r="AR2392" s="1">
        <v>7.0</v>
      </c>
      <c r="AS2392" s="1">
        <v>16.7</v>
      </c>
      <c r="AT2392" s="1">
        <v>23.8</v>
      </c>
      <c r="AU2392" s="1">
        <v>9.0</v>
      </c>
      <c r="AV2392" s="1">
        <v>4.8</v>
      </c>
      <c r="AW2392" s="1">
        <v>0.3</v>
      </c>
      <c r="AX2392" s="1">
        <v>0.042</v>
      </c>
      <c r="AY2392" s="1">
        <v>11.9</v>
      </c>
      <c r="AZ2392" s="1">
        <v>8.0</v>
      </c>
      <c r="BA2392" s="1">
        <v>11.5</v>
      </c>
      <c r="BB2392" s="1">
        <v>3.41</v>
      </c>
      <c r="BC2392" s="1" t="s">
        <v>3897</v>
      </c>
      <c r="BD2392" s="1">
        <v>9.3</v>
      </c>
      <c r="BE2392" s="1">
        <v>31.7</v>
      </c>
      <c r="BF2392" s="1">
        <v>33.0</v>
      </c>
      <c r="BG2392" s="1">
        <v>26.0</v>
      </c>
      <c r="BH2392" s="1" t="s">
        <v>3945</v>
      </c>
    </row>
    <row r="2393">
      <c r="A2393" s="1">
        <v>46065.0</v>
      </c>
      <c r="B2393" s="2" t="str">
        <f>IFERROR(__xludf.DUMMYFUNCTION("TO_TEXT(A2393)"),"46065")</f>
        <v>46065</v>
      </c>
      <c r="C2393" s="1">
        <v>17518.0</v>
      </c>
      <c r="D2393" s="1">
        <v>741.545184588</v>
      </c>
      <c r="E2393" s="1" t="s">
        <v>3587</v>
      </c>
      <c r="F2393" s="1" t="s">
        <v>3946</v>
      </c>
      <c r="G2393" s="1">
        <v>23.6236447408568</v>
      </c>
      <c r="H2393" s="1">
        <v>11.5296882359999</v>
      </c>
      <c r="I2393" s="1">
        <v>2.8555592957</v>
      </c>
      <c r="J2393" s="1">
        <v>6.25</v>
      </c>
      <c r="K2393" s="1">
        <v>15.23209858</v>
      </c>
      <c r="L2393" s="1">
        <v>32.5</v>
      </c>
      <c r="M2393" s="1">
        <v>8.2</v>
      </c>
      <c r="N2393" s="1">
        <v>20.3</v>
      </c>
      <c r="O2393" s="1">
        <v>80.17859241</v>
      </c>
      <c r="P2393" s="1">
        <v>9.6399943749</v>
      </c>
      <c r="Q2393" s="1">
        <v>79.2482699999999</v>
      </c>
      <c r="R2393" s="1">
        <v>82.741116751</v>
      </c>
      <c r="S2393" s="1">
        <v>12.3</v>
      </c>
      <c r="T2393" s="1">
        <v>4200.0</v>
      </c>
      <c r="U2393" s="1">
        <v>24.071428571</v>
      </c>
      <c r="V2393" s="1">
        <v>450.99985818</v>
      </c>
      <c r="W2393" s="1">
        <v>12.190082645</v>
      </c>
      <c r="X2393" s="1">
        <v>9.2978073827</v>
      </c>
      <c r="Y2393" s="1">
        <v>80.019027584</v>
      </c>
      <c r="Z2393" s="1">
        <v>9.4</v>
      </c>
      <c r="AA2393" s="1">
        <v>5.2878042271</v>
      </c>
      <c r="AB2393" s="1">
        <v>70093.0</v>
      </c>
      <c r="AC2393" s="1">
        <v>29.162092938</v>
      </c>
      <c r="AD2393" s="1">
        <v>66.573071266</v>
      </c>
      <c r="AE2393" s="1">
        <v>9.48865190049999</v>
      </c>
      <c r="AF2393" s="1">
        <v>0.7025495751</v>
      </c>
      <c r="AG2393" s="1">
        <v>11.909348442</v>
      </c>
      <c r="AH2393" s="1">
        <v>0.776203966</v>
      </c>
      <c r="AI2393" s="1">
        <v>0.045325779</v>
      </c>
      <c r="AJ2393" s="1">
        <v>3.2011331445</v>
      </c>
      <c r="AK2393" s="1">
        <v>81.8016997169999</v>
      </c>
      <c r="AL2393" s="1">
        <v>0.953953403</v>
      </c>
      <c r="AM2393" s="1">
        <v>50.821529745</v>
      </c>
      <c r="AN2393" s="1">
        <v>25.27317589</v>
      </c>
      <c r="AO2393" s="1">
        <v>30863.0</v>
      </c>
      <c r="AP2393" s="1">
        <v>8.9</v>
      </c>
      <c r="AQ2393" s="1">
        <v>2.3</v>
      </c>
      <c r="AR2393" s="1">
        <v>8.8</v>
      </c>
      <c r="AS2393" s="1">
        <v>15.1</v>
      </c>
      <c r="AT2393" s="1">
        <v>23.7</v>
      </c>
      <c r="AU2393" s="1">
        <v>10.5</v>
      </c>
      <c r="AV2393" s="1">
        <v>17.6</v>
      </c>
      <c r="AW2393" s="1">
        <v>0.8</v>
      </c>
      <c r="AX2393" s="1">
        <v>0.3025</v>
      </c>
      <c r="AY2393" s="1">
        <v>8.9</v>
      </c>
      <c r="AZ2393" s="1">
        <v>9.9</v>
      </c>
      <c r="BA2393" s="1">
        <v>16.0</v>
      </c>
      <c r="BB2393" s="1">
        <v>3.22</v>
      </c>
      <c r="BC2393" s="1" t="s">
        <v>3897</v>
      </c>
      <c r="BD2393" s="1">
        <v>7.8</v>
      </c>
      <c r="BE2393" s="1">
        <v>27.3</v>
      </c>
      <c r="BF2393" s="1">
        <v>30.3</v>
      </c>
      <c r="BG2393" s="1">
        <v>34.7</v>
      </c>
      <c r="BH2393" s="1" t="s">
        <v>3946</v>
      </c>
    </row>
    <row r="2394">
      <c r="A2394" s="1">
        <v>46067.0</v>
      </c>
      <c r="B2394" s="2" t="str">
        <f>IFERROR(__xludf.DUMMYFUNCTION("TO_TEXT(A2394)"),"46067")</f>
        <v>46067</v>
      </c>
      <c r="C2394" s="1">
        <v>7264.0</v>
      </c>
      <c r="D2394" s="1">
        <v>812.903490200378</v>
      </c>
      <c r="E2394" s="1" t="s">
        <v>3947</v>
      </c>
      <c r="F2394" s="1" t="s">
        <v>3948</v>
      </c>
      <c r="G2394" s="1">
        <v>8.93587010951257</v>
      </c>
      <c r="H2394" s="1">
        <v>11.371258959</v>
      </c>
      <c r="I2394" s="1">
        <v>2.8715487639</v>
      </c>
      <c r="J2394" s="1">
        <v>5.48302872059999</v>
      </c>
      <c r="K2394" s="1">
        <v>13.2806062159999</v>
      </c>
      <c r="L2394" s="1">
        <v>32.9</v>
      </c>
      <c r="M2394" s="1">
        <v>8.5</v>
      </c>
      <c r="N2394" s="1">
        <v>20.4</v>
      </c>
      <c r="O2394" s="1">
        <v>43.5516818739999</v>
      </c>
      <c r="P2394" s="1">
        <v>12.215099715</v>
      </c>
      <c r="Q2394" s="1">
        <v>81.5439</v>
      </c>
      <c r="R2394" s="1">
        <v>90.361445783</v>
      </c>
      <c r="S2394" s="1">
        <v>17.1</v>
      </c>
      <c r="T2394" s="1">
        <v>1769.0</v>
      </c>
      <c r="U2394" s="1">
        <v>16.902204635</v>
      </c>
      <c r="V2394" s="1">
        <v>27.808676307</v>
      </c>
      <c r="W2394" s="1">
        <v>9.3913043478</v>
      </c>
      <c r="X2394" s="1">
        <v>6.8046299544</v>
      </c>
      <c r="Y2394" s="1">
        <v>79.711853136</v>
      </c>
      <c r="Z2394" s="1">
        <v>9.9</v>
      </c>
      <c r="AA2394" s="1">
        <v>2.7382668924</v>
      </c>
      <c r="AB2394" s="1">
        <v>54434.0</v>
      </c>
      <c r="AC2394" s="1">
        <v>36.541471049</v>
      </c>
      <c r="AD2394" s="1">
        <v>77.742837177</v>
      </c>
      <c r="AE2394" s="1">
        <v>7.5958702065</v>
      </c>
      <c r="AF2394" s="1">
        <v>0.9891598916</v>
      </c>
      <c r="AG2394" s="1">
        <v>1.3821138211</v>
      </c>
      <c r="AH2394" s="1">
        <v>0.2574525745</v>
      </c>
      <c r="AI2394" s="1">
        <v>0.027100271</v>
      </c>
      <c r="AJ2394" s="1">
        <v>2.8590785908</v>
      </c>
      <c r="AK2394" s="1">
        <v>93.834688347</v>
      </c>
      <c r="AL2394" s="1">
        <v>0.3266033254</v>
      </c>
      <c r="AM2394" s="1">
        <v>51.151761518</v>
      </c>
      <c r="AN2394" s="1">
        <v>100.0</v>
      </c>
      <c r="AO2394" s="1">
        <v>28594.0</v>
      </c>
      <c r="AP2394" s="1">
        <v>13.4</v>
      </c>
      <c r="AQ2394" s="1">
        <v>5.0</v>
      </c>
      <c r="AR2394" s="1">
        <v>13.1</v>
      </c>
      <c r="AS2394" s="1">
        <v>23.4</v>
      </c>
      <c r="AT2394" s="1">
        <v>23.3</v>
      </c>
      <c r="AU2394" s="1">
        <v>16.0</v>
      </c>
      <c r="AV2394" s="1">
        <v>4.6</v>
      </c>
      <c r="AW2394" s="1">
        <v>0.4</v>
      </c>
      <c r="AX2394" s="1">
        <v>0.2553</v>
      </c>
      <c r="AY2394" s="1">
        <v>10.5</v>
      </c>
      <c r="AZ2394" s="1">
        <v>9.8</v>
      </c>
      <c r="BA2394" s="1">
        <v>15.6</v>
      </c>
      <c r="BB2394" s="1">
        <v>3.23</v>
      </c>
      <c r="BC2394" s="1" t="s">
        <v>3897</v>
      </c>
      <c r="BD2394" s="1">
        <v>12.3</v>
      </c>
      <c r="BE2394" s="1">
        <v>33.2</v>
      </c>
      <c r="BF2394" s="1">
        <v>29.3</v>
      </c>
      <c r="BG2394" s="1">
        <v>25.2</v>
      </c>
      <c r="BH2394" s="1" t="s">
        <v>3948</v>
      </c>
    </row>
    <row r="2395">
      <c r="A2395" s="1">
        <v>46069.0</v>
      </c>
      <c r="B2395" s="2" t="str">
        <f>IFERROR(__xludf.DUMMYFUNCTION("TO_TEXT(A2395)"),"46069")</f>
        <v>46069</v>
      </c>
      <c r="C2395" s="1">
        <v>1440.0</v>
      </c>
      <c r="D2395" s="1">
        <v>860.535804360534</v>
      </c>
      <c r="E2395" s="1" t="s">
        <v>3248</v>
      </c>
      <c r="F2395" s="1" t="s">
        <v>3949</v>
      </c>
      <c r="G2395" s="1">
        <v>1.67337604397537</v>
      </c>
      <c r="H2395" s="1">
        <v>11.585499566</v>
      </c>
      <c r="I2395" s="1">
        <v>2.9647007576</v>
      </c>
      <c r="J2395" s="1">
        <v>7.80443539465</v>
      </c>
      <c r="K2395" s="1">
        <v>14.156193635</v>
      </c>
      <c r="L2395" s="1">
        <v>25.4</v>
      </c>
      <c r="M2395" s="1">
        <v>7.0</v>
      </c>
      <c r="N2395" s="1">
        <v>18.8</v>
      </c>
      <c r="O2395" s="1">
        <v>58.23943662</v>
      </c>
      <c r="P2395" s="1">
        <v>12.385786802</v>
      </c>
      <c r="Q2395" s="1">
        <v>0.0</v>
      </c>
      <c r="R2395" s="1">
        <v>100.0</v>
      </c>
      <c r="S2395" s="1">
        <v>12.9</v>
      </c>
      <c r="T2395" s="1">
        <v>278.0</v>
      </c>
      <c r="U2395" s="1">
        <v>23.381294964</v>
      </c>
      <c r="V2395" s="1">
        <v>204.509002055</v>
      </c>
      <c r="W2395" s="1">
        <v>9.4827586207</v>
      </c>
      <c r="X2395" s="1">
        <v>5.7692307692</v>
      </c>
      <c r="Y2395" s="1">
        <v>77.482572377</v>
      </c>
      <c r="Z2395" s="1">
        <v>5.9</v>
      </c>
      <c r="AA2395" s="1">
        <v>19.050475152</v>
      </c>
      <c r="AB2395" s="1">
        <v>52496.0</v>
      </c>
      <c r="AC2395" s="1">
        <v>28.455284553</v>
      </c>
      <c r="AD2395" s="1">
        <v>79.264214047</v>
      </c>
      <c r="AE2395" s="1">
        <v>7.8014184397</v>
      </c>
      <c r="AF2395" s="1">
        <v>0.5460218409</v>
      </c>
      <c r="AG2395" s="1">
        <v>8.5803432137</v>
      </c>
      <c r="AH2395" s="1">
        <v>0.2340093604</v>
      </c>
      <c r="AI2395" s="1">
        <v>0.0780031201</v>
      </c>
      <c r="AJ2395" s="1">
        <v>1.4040561622</v>
      </c>
      <c r="AK2395" s="1">
        <v>87.44149766</v>
      </c>
      <c r="AL2395" s="1">
        <v>0.3246753247</v>
      </c>
      <c r="AM2395" s="1">
        <v>48.049921997</v>
      </c>
      <c r="AN2395" s="1">
        <v>100.0</v>
      </c>
      <c r="AO2395" s="1">
        <v>28343.0</v>
      </c>
      <c r="AP2395" s="1">
        <v>11.0</v>
      </c>
      <c r="AQ2395" s="1">
        <v>2.2</v>
      </c>
      <c r="AR2395" s="1">
        <v>7.0</v>
      </c>
      <c r="AS2395" s="1">
        <v>22.9</v>
      </c>
      <c r="AT2395" s="1">
        <v>22.4</v>
      </c>
      <c r="AU2395" s="1">
        <v>10.3</v>
      </c>
      <c r="AV2395" s="1">
        <v>15.2</v>
      </c>
      <c r="AW2395" s="1">
        <v>0.8</v>
      </c>
      <c r="AX2395" s="1">
        <v>0.1891</v>
      </c>
      <c r="AY2395" s="1">
        <v>11.5</v>
      </c>
      <c r="AZ2395" s="1">
        <v>10.0</v>
      </c>
      <c r="BA2395" s="1">
        <v>19.7</v>
      </c>
      <c r="BB2395" s="1">
        <v>3.2</v>
      </c>
      <c r="BC2395" s="1" t="s">
        <v>3897</v>
      </c>
      <c r="BD2395" s="1">
        <v>7.4</v>
      </c>
      <c r="BE2395" s="1">
        <v>36.5</v>
      </c>
      <c r="BF2395" s="1">
        <v>31.6</v>
      </c>
      <c r="BG2395" s="1">
        <v>24.5</v>
      </c>
      <c r="BH2395" s="1" t="s">
        <v>3949</v>
      </c>
    </row>
    <row r="2396">
      <c r="A2396" s="1">
        <v>46071.0</v>
      </c>
      <c r="B2396" s="2" t="str">
        <f>IFERROR(__xludf.DUMMYFUNCTION("TO_TEXT(A2396)"),"46071")</f>
        <v>46071</v>
      </c>
      <c r="C2396" s="1">
        <v>3268.0</v>
      </c>
      <c r="D2396" s="1">
        <v>1863.91276911508</v>
      </c>
      <c r="E2396" s="1" t="s">
        <v>130</v>
      </c>
      <c r="F2396" s="1" t="s">
        <v>3950</v>
      </c>
      <c r="G2396" s="1">
        <v>1.75330093454508</v>
      </c>
      <c r="H2396" s="1">
        <v>23.144681958</v>
      </c>
      <c r="I2396" s="1">
        <v>4.5515239036</v>
      </c>
      <c r="J2396" s="1">
        <v>6.8181818182</v>
      </c>
      <c r="K2396" s="1">
        <v>27.872673254</v>
      </c>
      <c r="L2396" s="1">
        <v>35.2</v>
      </c>
      <c r="M2396" s="1">
        <v>3.2</v>
      </c>
      <c r="N2396" s="1">
        <v>26.2</v>
      </c>
      <c r="O2396" s="1">
        <v>14.74760805</v>
      </c>
      <c r="P2396" s="1">
        <v>24.936108069</v>
      </c>
      <c r="Q2396" s="1">
        <v>48.31939</v>
      </c>
      <c r="R2396" s="1">
        <v>88.235294118</v>
      </c>
      <c r="S2396" s="1">
        <v>41.6</v>
      </c>
      <c r="T2396" s="1">
        <v>1027.0</v>
      </c>
      <c r="U2396" s="1">
        <v>64.167478092</v>
      </c>
      <c r="V2396" s="1">
        <v>204.509002055</v>
      </c>
      <c r="W2396" s="1">
        <v>21.1055276379999</v>
      </c>
      <c r="X2396" s="1">
        <v>10.153846154</v>
      </c>
      <c r="Y2396" s="1">
        <v>71.583508162</v>
      </c>
      <c r="Z2396" s="1">
        <v>13.4</v>
      </c>
      <c r="AA2396" s="1">
        <v>38.928153698</v>
      </c>
      <c r="AB2396" s="1">
        <v>34122.0</v>
      </c>
      <c r="AC2396" s="1">
        <v>45.27027027</v>
      </c>
      <c r="AD2396" s="1">
        <v>60.520361991</v>
      </c>
      <c r="AE2396" s="1">
        <v>13.2545931759999</v>
      </c>
      <c r="AF2396" s="1">
        <v>1.0583610523</v>
      </c>
      <c r="AG2396" s="1">
        <v>52.313274871</v>
      </c>
      <c r="AH2396" s="1">
        <v>0.151194436</v>
      </c>
      <c r="AI2396" s="1">
        <v>0.0302388872</v>
      </c>
      <c r="AJ2396" s="1">
        <v>4.5660719686</v>
      </c>
      <c r="AK2396" s="1">
        <v>39.43150892</v>
      </c>
      <c r="AL2396" s="1">
        <v>0.0</v>
      </c>
      <c r="AM2396" s="1">
        <v>49.7429694589999</v>
      </c>
      <c r="AN2396" s="1">
        <v>100.0</v>
      </c>
      <c r="AO2396" s="1">
        <v>17601.0</v>
      </c>
      <c r="AP2396" s="1">
        <v>36.5</v>
      </c>
      <c r="AQ2396" s="1">
        <v>15.9</v>
      </c>
      <c r="AR2396" s="1">
        <v>12.6</v>
      </c>
      <c r="AS2396" s="1">
        <v>14.3</v>
      </c>
      <c r="AT2396" s="1">
        <v>32.0</v>
      </c>
      <c r="AU2396" s="1">
        <v>14.4</v>
      </c>
      <c r="AV2396" s="1">
        <v>56.2</v>
      </c>
      <c r="AW2396" s="1">
        <v>0.0</v>
      </c>
      <c r="AX2396" s="1">
        <v>0.9175</v>
      </c>
      <c r="AY2396" s="1">
        <v>29.9</v>
      </c>
      <c r="AZ2396" s="1">
        <v>22.5</v>
      </c>
      <c r="BA2396" s="1">
        <v>32.1</v>
      </c>
      <c r="BB2396" s="1">
        <v>3.24</v>
      </c>
      <c r="BC2396" s="1" t="s">
        <v>3897</v>
      </c>
      <c r="BD2396" s="1">
        <v>17.6</v>
      </c>
      <c r="BE2396" s="1">
        <v>33.5</v>
      </c>
      <c r="BF2396" s="1">
        <v>31.1</v>
      </c>
      <c r="BG2396" s="1">
        <v>17.8</v>
      </c>
      <c r="BH2396" s="1" t="s">
        <v>3950</v>
      </c>
    </row>
    <row r="2397">
      <c r="A2397" s="1">
        <v>46073.0</v>
      </c>
      <c r="B2397" s="2" t="str">
        <f>IFERROR(__xludf.DUMMYFUNCTION("TO_TEXT(A2397)"),"46073")</f>
        <v>46073</v>
      </c>
      <c r="C2397" s="1">
        <v>2029.0</v>
      </c>
      <c r="D2397" s="1">
        <v>526.182926848568</v>
      </c>
      <c r="E2397" s="1" t="s">
        <v>3951</v>
      </c>
      <c r="F2397" s="1" t="s">
        <v>3952</v>
      </c>
      <c r="G2397" s="1">
        <v>3.85607342327155</v>
      </c>
      <c r="H2397" s="1">
        <v>10.25135394</v>
      </c>
      <c r="I2397" s="1">
        <v>2.6794171733</v>
      </c>
      <c r="J2397" s="1">
        <v>7.80443539465</v>
      </c>
      <c r="K2397" s="1">
        <v>12.198410866</v>
      </c>
      <c r="L2397" s="1">
        <v>22.5</v>
      </c>
      <c r="M2397" s="1">
        <v>6.2</v>
      </c>
      <c r="N2397" s="1">
        <v>26.2</v>
      </c>
      <c r="O2397" s="1">
        <v>38.435538387</v>
      </c>
      <c r="P2397" s="1">
        <v>12.31292517</v>
      </c>
      <c r="Q2397" s="1">
        <v>98.61933</v>
      </c>
      <c r="R2397" s="1">
        <v>94.736842105</v>
      </c>
      <c r="S2397" s="1">
        <v>20.9</v>
      </c>
      <c r="T2397" s="1">
        <v>429.0</v>
      </c>
      <c r="U2397" s="1">
        <v>8.8578088578</v>
      </c>
      <c r="V2397" s="1">
        <v>0.0</v>
      </c>
      <c r="W2397" s="1">
        <v>6.32183908049999</v>
      </c>
      <c r="X2397" s="1">
        <v>5.5427251732</v>
      </c>
      <c r="Y2397" s="1">
        <v>80.824417511</v>
      </c>
      <c r="Z2397" s="1">
        <v>18.3</v>
      </c>
      <c r="AA2397" s="1">
        <v>31.14512919</v>
      </c>
      <c r="AB2397" s="1">
        <v>47689.0</v>
      </c>
      <c r="AC2397" s="1">
        <v>21.06741573</v>
      </c>
      <c r="AD2397" s="1">
        <v>73.718647764</v>
      </c>
      <c r="AE2397" s="1">
        <v>7.0991432069</v>
      </c>
      <c r="AF2397" s="1">
        <v>0.1468428781</v>
      </c>
      <c r="AG2397" s="1">
        <v>0.685266764599999</v>
      </c>
      <c r="AH2397" s="1">
        <v>0.1957905042</v>
      </c>
      <c r="AI2397" s="1">
        <v>0.1468428781</v>
      </c>
      <c r="AJ2397" s="1">
        <v>4.9926578561</v>
      </c>
      <c r="AK2397" s="1">
        <v>92.853646598</v>
      </c>
      <c r="AL2397" s="1">
        <v>0.3630705394</v>
      </c>
      <c r="AM2397" s="1">
        <v>49.4860499269999</v>
      </c>
      <c r="AN2397" s="1">
        <v>100.0</v>
      </c>
      <c r="AO2397" s="1">
        <v>36494.0</v>
      </c>
      <c r="AP2397" s="1">
        <v>9.9</v>
      </c>
      <c r="AQ2397" s="1">
        <v>0.7</v>
      </c>
      <c r="AR2397" s="1">
        <v>11.3</v>
      </c>
      <c r="AS2397" s="1">
        <v>25.0</v>
      </c>
      <c r="AT2397" s="1">
        <v>23.3</v>
      </c>
      <c r="AU2397" s="1">
        <v>11.5</v>
      </c>
      <c r="AV2397" s="1">
        <v>3.5</v>
      </c>
      <c r="AW2397" s="1">
        <v>0.3</v>
      </c>
      <c r="AX2397" s="1">
        <v>0.0732</v>
      </c>
      <c r="AY2397" s="1">
        <v>16.3</v>
      </c>
      <c r="AZ2397" s="1">
        <v>9.2</v>
      </c>
      <c r="BA2397" s="1">
        <v>11.8</v>
      </c>
      <c r="BB2397" s="1">
        <v>3.16</v>
      </c>
      <c r="BC2397" s="1" t="s">
        <v>3897</v>
      </c>
      <c r="BD2397" s="1">
        <v>10.6</v>
      </c>
      <c r="BE2397" s="1">
        <v>38.0</v>
      </c>
      <c r="BF2397" s="1">
        <v>28.9</v>
      </c>
      <c r="BG2397" s="1">
        <v>22.5</v>
      </c>
      <c r="BH2397" s="1" t="s">
        <v>3952</v>
      </c>
    </row>
    <row r="2398">
      <c r="A2398" s="1">
        <v>46075.0</v>
      </c>
      <c r="B2398" s="2" t="str">
        <f>IFERROR(__xludf.DUMMYFUNCTION("TO_TEXT(A2398)"),"46075")</f>
        <v>46075</v>
      </c>
      <c r="C2398" s="1">
        <v>767.0</v>
      </c>
      <c r="D2398" s="1">
        <v>969.677172538657</v>
      </c>
      <c r="E2398" s="1" t="s">
        <v>940</v>
      </c>
      <c r="F2398" s="1" t="s">
        <v>3953</v>
      </c>
      <c r="G2398" s="1">
        <v>0.790984898604924</v>
      </c>
      <c r="H2398" s="1">
        <v>10.725696159</v>
      </c>
      <c r="I2398" s="1">
        <v>2.9028422813</v>
      </c>
      <c r="J2398" s="1">
        <v>7.80443539465</v>
      </c>
      <c r="K2398" s="1">
        <v>13.606109914</v>
      </c>
      <c r="L2398" s="1">
        <v>27.0</v>
      </c>
      <c r="M2398" s="1">
        <v>5.8</v>
      </c>
      <c r="N2398" s="1">
        <v>21.9</v>
      </c>
      <c r="O2398" s="1">
        <v>55.566600398</v>
      </c>
      <c r="P2398" s="1">
        <v>16.315049226</v>
      </c>
      <c r="Q2398" s="1">
        <v>0.0</v>
      </c>
      <c r="R2398" s="1">
        <v>89.912280702</v>
      </c>
      <c r="S2398" s="1">
        <v>23.8</v>
      </c>
      <c r="T2398" s="1">
        <v>101.0</v>
      </c>
      <c r="U2398" s="1">
        <v>37.623762376</v>
      </c>
      <c r="V2398" s="1">
        <v>204.509002055</v>
      </c>
      <c r="W2398" s="1">
        <v>8.3333333333</v>
      </c>
      <c r="X2398" s="1">
        <v>7.9326923077</v>
      </c>
      <c r="Y2398" s="1">
        <v>77.482572377</v>
      </c>
      <c r="Z2398" s="1">
        <v>11.3</v>
      </c>
      <c r="AA2398" s="1">
        <v>33.043478031</v>
      </c>
      <c r="AB2398" s="1">
        <v>49609.0</v>
      </c>
      <c r="AC2398" s="1">
        <v>42.702702703</v>
      </c>
      <c r="AD2398" s="1">
        <v>80.397022333</v>
      </c>
      <c r="AE2398" s="1">
        <v>5.912596401</v>
      </c>
      <c r="AF2398" s="1">
        <v>0.3232758621</v>
      </c>
      <c r="AG2398" s="1">
        <v>4.525862069</v>
      </c>
      <c r="AH2398" s="1">
        <v>0.0</v>
      </c>
      <c r="AI2398" s="1">
        <v>0.3232758621</v>
      </c>
      <c r="AJ2398" s="1">
        <v>2.3706896552</v>
      </c>
      <c r="AK2398" s="1">
        <v>88.900862069</v>
      </c>
      <c r="AL2398" s="1">
        <v>0.0</v>
      </c>
      <c r="AM2398" s="1">
        <v>50.646551724</v>
      </c>
      <c r="AN2398" s="1">
        <v>100.0</v>
      </c>
      <c r="AO2398" s="1">
        <v>25229.0</v>
      </c>
      <c r="AP2398" s="1">
        <v>10.3</v>
      </c>
      <c r="AQ2398" s="1">
        <v>2.3</v>
      </c>
      <c r="AR2398" s="1">
        <v>8.3</v>
      </c>
      <c r="AS2398" s="1">
        <v>21.4</v>
      </c>
      <c r="AT2398" s="1">
        <v>15.3</v>
      </c>
      <c r="AU2398" s="1">
        <v>13.0</v>
      </c>
      <c r="AV2398" s="1">
        <v>4.8</v>
      </c>
      <c r="AW2398" s="1">
        <v>0.0</v>
      </c>
      <c r="AX2398" s="1">
        <v>0.0127</v>
      </c>
      <c r="AY2398" s="1">
        <v>12.9</v>
      </c>
      <c r="AZ2398" s="1">
        <v>9.0</v>
      </c>
      <c r="BA2398" s="1">
        <v>18.0</v>
      </c>
      <c r="BB2398" s="1">
        <v>3.27</v>
      </c>
      <c r="BC2398" s="1" t="s">
        <v>3897</v>
      </c>
      <c r="BD2398" s="1">
        <v>4.7</v>
      </c>
      <c r="BE2398" s="1">
        <v>42.6</v>
      </c>
      <c r="BF2398" s="1">
        <v>27.0</v>
      </c>
      <c r="BG2398" s="1">
        <v>25.7</v>
      </c>
      <c r="BH2398" s="1" t="s">
        <v>3953</v>
      </c>
    </row>
    <row r="2399">
      <c r="A2399" s="1">
        <v>46077.0</v>
      </c>
      <c r="B2399" s="2" t="str">
        <f>IFERROR(__xludf.DUMMYFUNCTION("TO_TEXT(A2399)"),"46077")</f>
        <v>46077</v>
      </c>
      <c r="C2399" s="1">
        <v>5070.0</v>
      </c>
      <c r="D2399" s="1">
        <v>832.236499197346</v>
      </c>
      <c r="E2399" s="1" t="s">
        <v>3954</v>
      </c>
      <c r="F2399" s="1" t="s">
        <v>3955</v>
      </c>
      <c r="G2399" s="1">
        <v>6.09201832038103</v>
      </c>
      <c r="H2399" s="1">
        <v>10.547644731</v>
      </c>
      <c r="I2399" s="1">
        <v>2.7006606161</v>
      </c>
      <c r="J2399" s="1">
        <v>5.9866962306</v>
      </c>
      <c r="K2399" s="1">
        <v>12.8707831229999</v>
      </c>
      <c r="L2399" s="1">
        <v>30.3</v>
      </c>
      <c r="M2399" s="1">
        <v>7.7</v>
      </c>
      <c r="N2399" s="1">
        <v>24.4</v>
      </c>
      <c r="O2399" s="1">
        <v>66.666666667</v>
      </c>
      <c r="P2399" s="1">
        <v>9.8451037018</v>
      </c>
      <c r="Q2399" s="1">
        <v>40.38772</v>
      </c>
      <c r="R2399" s="1">
        <v>94.444444444</v>
      </c>
      <c r="S2399" s="1">
        <v>12.4</v>
      </c>
      <c r="T2399" s="1">
        <v>1094.0</v>
      </c>
      <c r="U2399" s="1">
        <v>18.464351005</v>
      </c>
      <c r="V2399" s="1">
        <v>204.509002055</v>
      </c>
      <c r="W2399" s="1">
        <v>9.8712446352</v>
      </c>
      <c r="X2399" s="1">
        <v>7.924203273</v>
      </c>
      <c r="Y2399" s="1">
        <v>79.621763818</v>
      </c>
      <c r="Z2399" s="1">
        <v>9.4</v>
      </c>
      <c r="AA2399" s="1">
        <v>14.29072409</v>
      </c>
      <c r="AB2399" s="1">
        <v>54609.0</v>
      </c>
      <c r="AC2399" s="1">
        <v>28.082191781</v>
      </c>
      <c r="AD2399" s="1">
        <v>79.442508711</v>
      </c>
      <c r="AE2399" s="1">
        <v>8.3446098331</v>
      </c>
      <c r="AF2399" s="1">
        <v>0.4472453751</v>
      </c>
      <c r="AG2399" s="1">
        <v>1.0977841025</v>
      </c>
      <c r="AH2399" s="1">
        <v>0.630209392199999</v>
      </c>
      <c r="AI2399" s="1">
        <v>0.0203293352</v>
      </c>
      <c r="AJ2399" s="1">
        <v>2.114250864</v>
      </c>
      <c r="AK2399" s="1">
        <v>94.490750152</v>
      </c>
      <c r="AL2399" s="1">
        <v>0.0644468314</v>
      </c>
      <c r="AM2399" s="1">
        <v>48.688757878</v>
      </c>
      <c r="AN2399" s="1">
        <v>100.0</v>
      </c>
      <c r="AO2399" s="1">
        <v>31524.0</v>
      </c>
      <c r="AP2399" s="1">
        <v>9.3</v>
      </c>
      <c r="AQ2399" s="1">
        <v>2.1</v>
      </c>
      <c r="AR2399" s="1">
        <v>9.4</v>
      </c>
      <c r="AS2399" s="1">
        <v>21.8</v>
      </c>
      <c r="AT2399" s="1">
        <v>21.8</v>
      </c>
      <c r="AU2399" s="1">
        <v>14.0</v>
      </c>
      <c r="AV2399" s="1">
        <v>4.9</v>
      </c>
      <c r="AW2399" s="1">
        <v>0.1</v>
      </c>
      <c r="AX2399" s="1">
        <v>0.0522</v>
      </c>
      <c r="AY2399" s="1">
        <v>8.5</v>
      </c>
      <c r="AZ2399" s="1">
        <v>8.8</v>
      </c>
      <c r="BA2399" s="1">
        <v>15.0</v>
      </c>
      <c r="BB2399" s="1">
        <v>3.24</v>
      </c>
      <c r="BC2399" s="1" t="s">
        <v>3897</v>
      </c>
      <c r="BD2399" s="1">
        <v>9.3</v>
      </c>
      <c r="BE2399" s="1">
        <v>39.1</v>
      </c>
      <c r="BF2399" s="1">
        <v>30.1</v>
      </c>
      <c r="BG2399" s="1">
        <v>21.5</v>
      </c>
      <c r="BH2399" s="1" t="s">
        <v>3955</v>
      </c>
    </row>
    <row r="2400">
      <c r="A2400" s="1">
        <v>46079.0</v>
      </c>
      <c r="B2400" s="2" t="str">
        <f>IFERROR(__xludf.DUMMYFUNCTION("TO_TEXT(A2400)"),"46079")</f>
        <v>46079</v>
      </c>
      <c r="C2400" s="1">
        <v>12331.0</v>
      </c>
      <c r="D2400" s="1">
        <v>563.276983059376</v>
      </c>
      <c r="E2400" s="1" t="s">
        <v>450</v>
      </c>
      <c r="F2400" s="1" t="s">
        <v>3956</v>
      </c>
      <c r="G2400" s="1">
        <v>21.8915389246433</v>
      </c>
      <c r="H2400" s="1">
        <v>11.376923403</v>
      </c>
      <c r="I2400" s="1">
        <v>2.8639815459</v>
      </c>
      <c r="J2400" s="1">
        <v>5.1310043668</v>
      </c>
      <c r="K2400" s="1">
        <v>14.219871664</v>
      </c>
      <c r="L2400" s="1">
        <v>31.5</v>
      </c>
      <c r="M2400" s="1">
        <v>8.4</v>
      </c>
      <c r="N2400" s="1">
        <v>23.4</v>
      </c>
      <c r="O2400" s="1">
        <v>9.71428571429999</v>
      </c>
      <c r="P2400" s="1">
        <v>7.80503013929999</v>
      </c>
      <c r="Q2400" s="1">
        <v>62.45609</v>
      </c>
      <c r="R2400" s="1">
        <v>95.726495726</v>
      </c>
      <c r="S2400" s="1">
        <v>11.9</v>
      </c>
      <c r="T2400" s="1">
        <v>2593.0</v>
      </c>
      <c r="U2400" s="1">
        <v>18.58850752</v>
      </c>
      <c r="V2400" s="1">
        <v>69.118053636</v>
      </c>
      <c r="W2400" s="1">
        <v>7.4547390841</v>
      </c>
      <c r="X2400" s="1">
        <v>6.10752688169999</v>
      </c>
      <c r="Y2400" s="1">
        <v>80.5061328</v>
      </c>
      <c r="Z2400" s="1">
        <v>8.9</v>
      </c>
      <c r="AA2400" s="1">
        <v>1.8312976563</v>
      </c>
      <c r="AB2400" s="1">
        <v>60733.0</v>
      </c>
      <c r="AC2400" s="1">
        <v>25.682031985</v>
      </c>
      <c r="AD2400" s="1">
        <v>73.647058824</v>
      </c>
      <c r="AE2400" s="1">
        <v>6.8096396197</v>
      </c>
      <c r="AF2400" s="1">
        <v>1.0492456154</v>
      </c>
      <c r="AG2400" s="1">
        <v>1.2407137934</v>
      </c>
      <c r="AH2400" s="1">
        <v>1.0186107069</v>
      </c>
      <c r="AI2400" s="1">
        <v>0.0536110898</v>
      </c>
      <c r="AJ2400" s="1">
        <v>2.6499195834</v>
      </c>
      <c r="AK2400" s="1">
        <v>92.877383779</v>
      </c>
      <c r="AL2400" s="1">
        <v>0.8810572687</v>
      </c>
      <c r="AM2400" s="1">
        <v>47.844068316</v>
      </c>
      <c r="AN2400" s="1">
        <v>44.875</v>
      </c>
      <c r="AO2400" s="1">
        <v>29526.0</v>
      </c>
      <c r="AP2400" s="1">
        <v>13.8</v>
      </c>
      <c r="AQ2400" s="1">
        <v>3.9</v>
      </c>
      <c r="AR2400" s="1">
        <v>6.0</v>
      </c>
      <c r="AS2400" s="1">
        <v>19.5</v>
      </c>
      <c r="AT2400" s="1">
        <v>21.9</v>
      </c>
      <c r="AU2400" s="1">
        <v>11.6</v>
      </c>
      <c r="AV2400" s="1">
        <v>6.2</v>
      </c>
      <c r="AW2400" s="1">
        <v>0.3</v>
      </c>
      <c r="AX2400" s="1">
        <v>0.1213</v>
      </c>
      <c r="AY2400" s="1">
        <v>9.5</v>
      </c>
      <c r="AZ2400" s="1">
        <v>9.9</v>
      </c>
      <c r="BA2400" s="1">
        <v>15.6</v>
      </c>
      <c r="BB2400" s="1">
        <v>3.11</v>
      </c>
      <c r="BC2400" s="1" t="s">
        <v>3897</v>
      </c>
      <c r="BD2400" s="1">
        <v>9.1</v>
      </c>
      <c r="BE2400" s="1">
        <v>31.8</v>
      </c>
      <c r="BF2400" s="1">
        <v>26.0</v>
      </c>
      <c r="BG2400" s="1">
        <v>33.1</v>
      </c>
      <c r="BH2400" s="1" t="s">
        <v>3956</v>
      </c>
    </row>
    <row r="2401">
      <c r="A2401" s="1">
        <v>46081.0</v>
      </c>
      <c r="B2401" s="2" t="str">
        <f>IFERROR(__xludf.DUMMYFUNCTION("TO_TEXT(A2401)"),"46081")</f>
        <v>46081</v>
      </c>
      <c r="C2401" s="1">
        <v>24859.0</v>
      </c>
      <c r="D2401" s="1">
        <v>800.0347727028</v>
      </c>
      <c r="E2401" s="1" t="s">
        <v>138</v>
      </c>
      <c r="F2401" s="1" t="s">
        <v>3957</v>
      </c>
      <c r="G2401" s="1">
        <v>31.0723994108625</v>
      </c>
      <c r="H2401" s="1">
        <v>10.410671292</v>
      </c>
      <c r="I2401" s="1">
        <v>2.9896194461</v>
      </c>
      <c r="J2401" s="1">
        <v>8.7144622991</v>
      </c>
      <c r="K2401" s="1">
        <v>15.170836795</v>
      </c>
      <c r="L2401" s="1">
        <v>26.4</v>
      </c>
      <c r="M2401" s="1">
        <v>8.0</v>
      </c>
      <c r="N2401" s="1">
        <v>18.4</v>
      </c>
      <c r="O2401" s="1">
        <v>85.3467236589999</v>
      </c>
      <c r="P2401" s="1">
        <v>9.9319306931</v>
      </c>
      <c r="Q2401" s="1">
        <v>82.58288</v>
      </c>
      <c r="R2401" s="1">
        <v>94.764397906</v>
      </c>
      <c r="S2401" s="1">
        <v>14.7</v>
      </c>
      <c r="T2401" s="1">
        <v>4386.0</v>
      </c>
      <c r="U2401" s="1">
        <v>25.94619243</v>
      </c>
      <c r="V2401" s="1">
        <v>175.91204398</v>
      </c>
      <c r="W2401" s="1">
        <v>11.581395349</v>
      </c>
      <c r="X2401" s="1">
        <v>9.8588916924</v>
      </c>
      <c r="Y2401" s="1">
        <v>79.337460948</v>
      </c>
      <c r="Z2401" s="1">
        <v>8.8</v>
      </c>
      <c r="AA2401" s="1">
        <v>5.7386178937</v>
      </c>
      <c r="AB2401" s="1">
        <v>51774.0</v>
      </c>
      <c r="AC2401" s="1">
        <v>33.262711864</v>
      </c>
      <c r="AD2401" s="1">
        <v>65.614226093</v>
      </c>
      <c r="AE2401" s="1">
        <v>11.348915798</v>
      </c>
      <c r="AF2401" s="1">
        <v>0.7614311798</v>
      </c>
      <c r="AG2401" s="1">
        <v>2.3581057457</v>
      </c>
      <c r="AH2401" s="1">
        <v>1.4840138301</v>
      </c>
      <c r="AI2401" s="1">
        <v>0.0776970592</v>
      </c>
      <c r="AJ2401" s="1">
        <v>3.3409735442</v>
      </c>
      <c r="AK2401" s="1">
        <v>90.6103104</v>
      </c>
      <c r="AL2401" s="1">
        <v>0.4680251822</v>
      </c>
      <c r="AM2401" s="1">
        <v>50.013596985</v>
      </c>
      <c r="AN2401" s="1">
        <v>36.884259451</v>
      </c>
      <c r="AO2401" s="1">
        <v>27002.0</v>
      </c>
      <c r="AP2401" s="1">
        <v>12.0</v>
      </c>
      <c r="AQ2401" s="1">
        <v>3.3</v>
      </c>
      <c r="AR2401" s="1">
        <v>6.0</v>
      </c>
      <c r="AS2401" s="1">
        <v>17.9</v>
      </c>
      <c r="AT2401" s="1">
        <v>18.7</v>
      </c>
      <c r="AU2401" s="1">
        <v>15.0</v>
      </c>
      <c r="AV2401" s="1">
        <v>8.8</v>
      </c>
      <c r="AW2401" s="1">
        <v>0.5</v>
      </c>
      <c r="AX2401" s="1">
        <v>0.2572</v>
      </c>
      <c r="AY2401" s="1">
        <v>12.4</v>
      </c>
      <c r="AZ2401" s="1">
        <v>10.7</v>
      </c>
      <c r="BA2401" s="1">
        <v>16.2</v>
      </c>
      <c r="BB2401" s="1">
        <v>3.47</v>
      </c>
      <c r="BC2401" s="1" t="s">
        <v>3897</v>
      </c>
      <c r="BD2401" s="1">
        <v>6.5</v>
      </c>
      <c r="BE2401" s="1">
        <v>29.6</v>
      </c>
      <c r="BF2401" s="1">
        <v>28.9</v>
      </c>
      <c r="BG2401" s="1">
        <v>35.0</v>
      </c>
      <c r="BH2401" s="1" t="s">
        <v>3957</v>
      </c>
    </row>
    <row r="2402">
      <c r="A2402" s="1">
        <v>46083.0</v>
      </c>
      <c r="B2402" s="2" t="str">
        <f>IFERROR(__xludf.DUMMYFUNCTION("TO_TEXT(A2402)"),"46083")</f>
        <v>46083</v>
      </c>
      <c r="C2402" s="1">
        <v>51396.0</v>
      </c>
      <c r="D2402" s="1">
        <v>577.292906510556</v>
      </c>
      <c r="E2402" s="1" t="s">
        <v>353</v>
      </c>
      <c r="F2402" s="1" t="s">
        <v>3958</v>
      </c>
      <c r="G2402" s="1">
        <v>89.0293288214173</v>
      </c>
      <c r="H2402" s="1">
        <v>9.2647027165</v>
      </c>
      <c r="I2402" s="1">
        <v>2.545256818</v>
      </c>
      <c r="J2402" s="1">
        <v>6.0616865751</v>
      </c>
      <c r="K2402" s="1">
        <v>13.207153754</v>
      </c>
      <c r="L2402" s="1">
        <v>30.3</v>
      </c>
      <c r="M2402" s="1">
        <v>9.3</v>
      </c>
      <c r="N2402" s="1">
        <v>20.0</v>
      </c>
      <c r="O2402" s="1">
        <v>80.188721335</v>
      </c>
      <c r="P2402" s="1">
        <v>6.018371872</v>
      </c>
      <c r="Q2402" s="1">
        <v>157.06621</v>
      </c>
      <c r="R2402" s="1">
        <v>90.825688073</v>
      </c>
      <c r="S2402" s="1">
        <v>3.8</v>
      </c>
      <c r="T2402" s="1">
        <v>15608.0</v>
      </c>
      <c r="U2402" s="1">
        <v>17.785750897</v>
      </c>
      <c r="V2402" s="1">
        <v>287.96605032</v>
      </c>
      <c r="W2402" s="1">
        <v>6.8568294021</v>
      </c>
      <c r="X2402" s="1">
        <v>5.8312586445</v>
      </c>
      <c r="Y2402" s="1">
        <v>84.010846624</v>
      </c>
      <c r="Z2402" s="1">
        <v>8.3</v>
      </c>
      <c r="AA2402" s="1">
        <v>1.3672752336</v>
      </c>
      <c r="AB2402" s="1">
        <v>84889.0</v>
      </c>
      <c r="AC2402" s="1">
        <v>15.1217739</v>
      </c>
      <c r="AD2402" s="1">
        <v>77.464496735</v>
      </c>
      <c r="AE2402" s="1">
        <v>6.3265090756</v>
      </c>
      <c r="AF2402" s="1">
        <v>1.4913190607</v>
      </c>
      <c r="AG2402" s="1">
        <v>0.7193021239</v>
      </c>
      <c r="AH2402" s="1">
        <v>1.35528083389999</v>
      </c>
      <c r="AI2402" s="1">
        <v>0.0527148129</v>
      </c>
      <c r="AJ2402" s="1">
        <v>2.2140221402</v>
      </c>
      <c r="AK2402" s="1">
        <v>92.8171816279999</v>
      </c>
      <c r="AL2402" s="1">
        <v>0.6118984643</v>
      </c>
      <c r="AM2402" s="1">
        <v>50.521196456</v>
      </c>
      <c r="AN2402" s="1">
        <v>29.265191398</v>
      </c>
      <c r="AO2402" s="1">
        <v>36896.0</v>
      </c>
      <c r="AP2402" s="1">
        <v>3.7</v>
      </c>
      <c r="AQ2402" s="1">
        <v>1.9</v>
      </c>
      <c r="AR2402" s="1">
        <v>4.9</v>
      </c>
      <c r="AS2402" s="1">
        <v>10.3</v>
      </c>
      <c r="AT2402" s="1">
        <v>29.1</v>
      </c>
      <c r="AU2402" s="1">
        <v>7.0</v>
      </c>
      <c r="AV2402" s="1">
        <v>6.1</v>
      </c>
      <c r="AW2402" s="1">
        <v>0.7</v>
      </c>
      <c r="AX2402" s="1">
        <v>0.0197</v>
      </c>
      <c r="AY2402" s="1">
        <v>3.8</v>
      </c>
      <c r="AZ2402" s="1">
        <v>5.8</v>
      </c>
      <c r="BA2402" s="1">
        <v>9.8</v>
      </c>
      <c r="BB2402" s="1">
        <v>3.03</v>
      </c>
      <c r="BC2402" s="1" t="s">
        <v>3897</v>
      </c>
      <c r="BD2402" s="1">
        <v>5.2</v>
      </c>
      <c r="BE2402" s="1">
        <v>23.0</v>
      </c>
      <c r="BF2402" s="1">
        <v>34.3</v>
      </c>
      <c r="BG2402" s="1">
        <v>37.6</v>
      </c>
      <c r="BH2402" s="1" t="s">
        <v>3958</v>
      </c>
    </row>
    <row r="2403">
      <c r="A2403" s="1">
        <v>46085.0</v>
      </c>
      <c r="B2403" s="2" t="str">
        <f>IFERROR(__xludf.DUMMYFUNCTION("TO_TEXT(A2403)"),"46085")</f>
        <v>46085</v>
      </c>
      <c r="C2403" s="1">
        <v>3855.0</v>
      </c>
      <c r="D2403" s="1">
        <v>1642.15112902789</v>
      </c>
      <c r="E2403" s="1" t="s">
        <v>3959</v>
      </c>
      <c r="F2403" s="1" t="s">
        <v>3960</v>
      </c>
      <c r="G2403" s="1">
        <v>2.34753058464361</v>
      </c>
      <c r="H2403" s="1">
        <v>17.06842124</v>
      </c>
      <c r="I2403" s="1">
        <v>3.5981538665</v>
      </c>
      <c r="J2403" s="1">
        <v>7.0993914807</v>
      </c>
      <c r="K2403" s="1">
        <v>21.09641194</v>
      </c>
      <c r="L2403" s="1">
        <v>37.6</v>
      </c>
      <c r="M2403" s="1">
        <v>4.8</v>
      </c>
      <c r="N2403" s="1">
        <v>32.3</v>
      </c>
      <c r="O2403" s="1">
        <v>30.4127829559999</v>
      </c>
      <c r="P2403" s="1">
        <v>18.675455116</v>
      </c>
      <c r="Q2403" s="1">
        <v>25.61475</v>
      </c>
      <c r="R2403" s="1">
        <v>76.19047619</v>
      </c>
      <c r="S2403" s="1">
        <v>30.4</v>
      </c>
      <c r="T2403" s="1">
        <v>1113.0</v>
      </c>
      <c r="U2403" s="1">
        <v>48.337825696</v>
      </c>
      <c r="V2403" s="1">
        <v>204.509002055</v>
      </c>
      <c r="W2403" s="1">
        <v>12.31884058</v>
      </c>
      <c r="X2403" s="1">
        <v>4.9562682216</v>
      </c>
      <c r="Y2403" s="1">
        <v>73.714311115</v>
      </c>
      <c r="Z2403" s="1">
        <v>12.4</v>
      </c>
      <c r="AA2403" s="1">
        <v>36.850933788</v>
      </c>
      <c r="AB2403" s="1">
        <v>47429.0</v>
      </c>
      <c r="AC2403" s="1">
        <v>48.541114058</v>
      </c>
      <c r="AD2403" s="1">
        <v>67.735042735</v>
      </c>
      <c r="AE2403" s="1">
        <v>7.6111529766</v>
      </c>
      <c r="AF2403" s="1">
        <v>0.6804501439</v>
      </c>
      <c r="AG2403" s="1">
        <v>39.125883277</v>
      </c>
      <c r="AH2403" s="1">
        <v>0.3140539126</v>
      </c>
      <c r="AI2403" s="1">
        <v>0.0523423188</v>
      </c>
      <c r="AJ2403" s="1">
        <v>2.6956294164</v>
      </c>
      <c r="AK2403" s="1">
        <v>55.718398325</v>
      </c>
      <c r="AL2403" s="1">
        <v>0.1414427157</v>
      </c>
      <c r="AM2403" s="1">
        <v>47.7100235539999</v>
      </c>
      <c r="AN2403" s="1">
        <v>100.0</v>
      </c>
      <c r="AO2403" s="1">
        <v>20695.0</v>
      </c>
      <c r="AP2403" s="1">
        <v>21.7</v>
      </c>
      <c r="AQ2403" s="1">
        <v>7.0</v>
      </c>
      <c r="AR2403" s="1">
        <v>12.0</v>
      </c>
      <c r="AS2403" s="1">
        <v>15.0</v>
      </c>
      <c r="AT2403" s="1">
        <v>28.8</v>
      </c>
      <c r="AU2403" s="1">
        <v>11.4</v>
      </c>
      <c r="AV2403" s="1">
        <v>43.4</v>
      </c>
      <c r="AW2403" s="1">
        <v>0.1</v>
      </c>
      <c r="AX2403" s="1">
        <v>0.696</v>
      </c>
      <c r="AY2403" s="1">
        <v>21.1</v>
      </c>
      <c r="AZ2403" s="1">
        <v>13.4</v>
      </c>
      <c r="BA2403" s="1">
        <v>23.0</v>
      </c>
      <c r="BB2403" s="1">
        <v>3.34</v>
      </c>
      <c r="BC2403" s="1" t="s">
        <v>3897</v>
      </c>
      <c r="BD2403" s="1">
        <v>10.3</v>
      </c>
      <c r="BE2403" s="1">
        <v>36.9</v>
      </c>
      <c r="BF2403" s="1">
        <v>32.4</v>
      </c>
      <c r="BG2403" s="1">
        <v>20.3</v>
      </c>
      <c r="BH2403" s="1" t="s">
        <v>3960</v>
      </c>
    </row>
    <row r="2404">
      <c r="A2404" s="1">
        <v>46087.0</v>
      </c>
      <c r="B2404" s="2" t="str">
        <f>IFERROR(__xludf.DUMMYFUNCTION("TO_TEXT(A2404)"),"46087")</f>
        <v>46087</v>
      </c>
      <c r="C2404" s="1">
        <v>5616.0</v>
      </c>
      <c r="D2404" s="1">
        <v>574.203976224364</v>
      </c>
      <c r="E2404" s="1" t="s">
        <v>3961</v>
      </c>
      <c r="F2404" s="1" t="s">
        <v>3962</v>
      </c>
      <c r="G2404" s="1">
        <v>9.78049653526886</v>
      </c>
      <c r="H2404" s="1">
        <v>10.502872388</v>
      </c>
      <c r="I2404" s="1">
        <v>2.8090470635</v>
      </c>
      <c r="J2404" s="1">
        <v>5.2441229656</v>
      </c>
      <c r="K2404" s="1">
        <v>13.564802095</v>
      </c>
      <c r="L2404" s="1">
        <v>36.3</v>
      </c>
      <c r="M2404" s="1">
        <v>8.0</v>
      </c>
      <c r="N2404" s="1">
        <v>26.8</v>
      </c>
      <c r="O2404" s="1">
        <v>27.910288359</v>
      </c>
      <c r="P2404" s="1">
        <v>10.36653924</v>
      </c>
      <c r="Q2404" s="1">
        <v>18.18512</v>
      </c>
      <c r="R2404" s="1">
        <v>96.96969697</v>
      </c>
      <c r="S2404" s="1">
        <v>13.3</v>
      </c>
      <c r="T2404" s="1">
        <v>1467.0</v>
      </c>
      <c r="U2404" s="1">
        <v>19.086571234</v>
      </c>
      <c r="V2404" s="1">
        <v>26.6500843919999</v>
      </c>
      <c r="W2404" s="1">
        <v>6.5610859729</v>
      </c>
      <c r="X2404" s="1">
        <v>5.3302961276</v>
      </c>
      <c r="Y2404" s="1">
        <v>78.277288579</v>
      </c>
      <c r="Z2404" s="1">
        <v>8.6</v>
      </c>
      <c r="AA2404" s="1">
        <v>10.417712432</v>
      </c>
      <c r="AB2404" s="1">
        <v>59913.0</v>
      </c>
      <c r="AC2404" s="1">
        <v>25.6756756759999</v>
      </c>
      <c r="AD2404" s="1">
        <v>73.698506111</v>
      </c>
      <c r="AE2404" s="1">
        <v>5.2331113225</v>
      </c>
      <c r="AF2404" s="1">
        <v>0.793364587099999</v>
      </c>
      <c r="AG2404" s="1">
        <v>1.3342949874</v>
      </c>
      <c r="AH2404" s="1">
        <v>0.2524341868</v>
      </c>
      <c r="AI2404" s="1">
        <v>0.0721240534</v>
      </c>
      <c r="AJ2404" s="1">
        <v>4.2553191489</v>
      </c>
      <c r="AK2404" s="1">
        <v>92.8957807429999</v>
      </c>
      <c r="AL2404" s="1">
        <v>1.0003923107</v>
      </c>
      <c r="AM2404" s="1">
        <v>49.89181392</v>
      </c>
      <c r="AN2404" s="1">
        <v>100.0</v>
      </c>
      <c r="AO2404" s="1">
        <v>28424.0</v>
      </c>
      <c r="AP2404" s="1">
        <v>10.4</v>
      </c>
      <c r="AQ2404" s="1">
        <v>2.4</v>
      </c>
      <c r="AR2404" s="1">
        <v>10.7</v>
      </c>
      <c r="AS2404" s="1">
        <v>19.7</v>
      </c>
      <c r="AT2404" s="1">
        <v>26.5</v>
      </c>
      <c r="AU2404" s="1">
        <v>13.4</v>
      </c>
      <c r="AV2404" s="1">
        <v>4.9</v>
      </c>
      <c r="AW2404" s="1">
        <v>1.0</v>
      </c>
      <c r="AX2404" s="1">
        <v>0.1827</v>
      </c>
      <c r="AY2404" s="1">
        <v>9.2</v>
      </c>
      <c r="AZ2404" s="1">
        <v>8.7</v>
      </c>
      <c r="BA2404" s="1">
        <v>13.9</v>
      </c>
      <c r="BB2404" s="1">
        <v>3.09</v>
      </c>
      <c r="BC2404" s="1" t="s">
        <v>3897</v>
      </c>
      <c r="BD2404" s="1">
        <v>11.3</v>
      </c>
      <c r="BE2404" s="1">
        <v>35.0</v>
      </c>
      <c r="BF2404" s="1">
        <v>29.5</v>
      </c>
      <c r="BG2404" s="1">
        <v>24.1</v>
      </c>
      <c r="BH2404" s="1" t="s">
        <v>3962</v>
      </c>
    </row>
    <row r="2405">
      <c r="A2405" s="1">
        <v>46089.0</v>
      </c>
      <c r="B2405" s="2" t="str">
        <f>IFERROR(__xludf.DUMMYFUNCTION("TO_TEXT(A2405)"),"46089")</f>
        <v>46089</v>
      </c>
      <c r="C2405" s="1">
        <v>2252.0</v>
      </c>
      <c r="D2405" s="1">
        <v>1136.64291948731</v>
      </c>
      <c r="E2405" s="1" t="s">
        <v>1675</v>
      </c>
      <c r="F2405" s="1" t="s">
        <v>3963</v>
      </c>
      <c r="G2405" s="1">
        <v>1.9812730642054</v>
      </c>
      <c r="H2405" s="1">
        <v>12.005115217</v>
      </c>
      <c r="I2405" s="1">
        <v>2.9992971649</v>
      </c>
      <c r="J2405" s="1">
        <v>9.604519774</v>
      </c>
      <c r="K2405" s="1">
        <v>14.277547377</v>
      </c>
      <c r="L2405" s="1">
        <v>30.8</v>
      </c>
      <c r="M2405" s="1">
        <v>6.1</v>
      </c>
      <c r="N2405" s="1">
        <v>25.6</v>
      </c>
      <c r="O2405" s="1">
        <v>46.400976007</v>
      </c>
      <c r="P2405" s="1">
        <v>13.916043703</v>
      </c>
      <c r="Q2405" s="1">
        <v>82.44023</v>
      </c>
      <c r="R2405" s="1">
        <v>88.0</v>
      </c>
      <c r="S2405" s="1">
        <v>24.9</v>
      </c>
      <c r="T2405" s="1">
        <v>474.0</v>
      </c>
      <c r="U2405" s="1">
        <v>10.970464135</v>
      </c>
      <c r="V2405" s="1">
        <v>41.135335253</v>
      </c>
      <c r="W2405" s="1">
        <v>7.960199005</v>
      </c>
      <c r="X2405" s="1">
        <v>8.4848484848</v>
      </c>
      <c r="Y2405" s="1">
        <v>81.20863842</v>
      </c>
      <c r="Z2405" s="1">
        <v>11.8</v>
      </c>
      <c r="AA2405" s="1">
        <v>26.777433257</v>
      </c>
      <c r="AB2405" s="1">
        <v>39850.0</v>
      </c>
      <c r="AC2405" s="1">
        <v>51.88172043</v>
      </c>
      <c r="AD2405" s="1">
        <v>80.138339921</v>
      </c>
      <c r="AE2405" s="1">
        <v>8.14814814809999</v>
      </c>
      <c r="AF2405" s="1">
        <v>0.6231823847</v>
      </c>
      <c r="AG2405" s="1">
        <v>0.2492729539</v>
      </c>
      <c r="AH2405" s="1">
        <v>0.3739094308</v>
      </c>
      <c r="AI2405" s="1">
        <v>0.0830909846</v>
      </c>
      <c r="AJ2405" s="1">
        <v>1.3710012464</v>
      </c>
      <c r="AK2405" s="1">
        <v>96.510178646</v>
      </c>
      <c r="AL2405" s="1">
        <v>0.0905797101</v>
      </c>
      <c r="AM2405" s="1">
        <v>50.477773162</v>
      </c>
      <c r="AN2405" s="1">
        <v>100.0</v>
      </c>
      <c r="AO2405" s="1">
        <v>25302.0</v>
      </c>
      <c r="AP2405" s="1">
        <v>18.8</v>
      </c>
      <c r="AQ2405" s="1">
        <v>5.9</v>
      </c>
      <c r="AR2405" s="1">
        <v>21.2</v>
      </c>
      <c r="AS2405" s="1">
        <v>29.5</v>
      </c>
      <c r="AT2405" s="1">
        <v>16.4</v>
      </c>
      <c r="AU2405" s="1">
        <v>17.8</v>
      </c>
      <c r="AV2405" s="1">
        <v>13.0</v>
      </c>
      <c r="AW2405" s="1">
        <v>0.3</v>
      </c>
      <c r="AX2405" s="1">
        <v>0.3104</v>
      </c>
      <c r="AY2405" s="1">
        <v>19.5</v>
      </c>
      <c r="AZ2405" s="1">
        <v>12.7</v>
      </c>
      <c r="BA2405" s="1">
        <v>17.5</v>
      </c>
      <c r="BB2405" s="1">
        <v>3.22</v>
      </c>
      <c r="BC2405" s="1" t="s">
        <v>3897</v>
      </c>
      <c r="BD2405" s="1">
        <v>17.6</v>
      </c>
      <c r="BE2405" s="1">
        <v>33.3</v>
      </c>
      <c r="BF2405" s="1">
        <v>31.4</v>
      </c>
      <c r="BG2405" s="1">
        <v>17.7</v>
      </c>
      <c r="BH2405" s="1" t="s">
        <v>3963</v>
      </c>
    </row>
    <row r="2406">
      <c r="A2406" s="1">
        <v>46091.0</v>
      </c>
      <c r="B2406" s="2" t="str">
        <f>IFERROR(__xludf.DUMMYFUNCTION("TO_TEXT(A2406)"),"46091")</f>
        <v>46091</v>
      </c>
      <c r="C2406" s="1">
        <v>4743.0</v>
      </c>
      <c r="D2406" s="1">
        <v>838.084613989854</v>
      </c>
      <c r="E2406" s="1" t="s">
        <v>154</v>
      </c>
      <c r="F2406" s="1" t="s">
        <v>3964</v>
      </c>
      <c r="G2406" s="1">
        <v>5.65933310411235</v>
      </c>
      <c r="H2406" s="1">
        <v>11.282404249</v>
      </c>
      <c r="I2406" s="1">
        <v>2.8018119024</v>
      </c>
      <c r="J2406" s="1">
        <v>5.9196617336</v>
      </c>
      <c r="K2406" s="1">
        <v>14.283857813</v>
      </c>
      <c r="L2406" s="1">
        <v>30.3</v>
      </c>
      <c r="M2406" s="1">
        <v>7.2</v>
      </c>
      <c r="N2406" s="1">
        <v>19.1</v>
      </c>
      <c r="O2406" s="1">
        <v>1.954467354</v>
      </c>
      <c r="P2406" s="1">
        <v>17.699815352</v>
      </c>
      <c r="Q2406" s="1">
        <v>20.81599</v>
      </c>
      <c r="R2406" s="1">
        <v>97.674418605</v>
      </c>
      <c r="S2406" s="1">
        <v>18.1</v>
      </c>
      <c r="T2406" s="1">
        <v>1309.0</v>
      </c>
      <c r="U2406" s="1">
        <v>26.66157372</v>
      </c>
      <c r="V2406" s="1">
        <v>208.70291141</v>
      </c>
      <c r="W2406" s="1">
        <v>9.7982708934</v>
      </c>
      <c r="X2406" s="1">
        <v>8.0878105142</v>
      </c>
      <c r="Y2406" s="1">
        <v>80.885612109</v>
      </c>
      <c r="Z2406" s="1">
        <v>10.8</v>
      </c>
      <c r="AA2406" s="1">
        <v>19.222309827</v>
      </c>
      <c r="AB2406" s="1">
        <v>56862.0</v>
      </c>
      <c r="AC2406" s="1">
        <v>37.4203821659999</v>
      </c>
      <c r="AD2406" s="1">
        <v>72.180451128</v>
      </c>
      <c r="AE2406" s="1">
        <v>6.527855937</v>
      </c>
      <c r="AF2406" s="1">
        <v>0.508607198699999</v>
      </c>
      <c r="AG2406" s="1">
        <v>9.5266040689</v>
      </c>
      <c r="AH2406" s="1">
        <v>0.1956181534</v>
      </c>
      <c r="AI2406" s="1">
        <v>0.0</v>
      </c>
      <c r="AJ2406" s="1">
        <v>12.147887324</v>
      </c>
      <c r="AK2406" s="1">
        <v>79.479655712</v>
      </c>
      <c r="AL2406" s="1">
        <v>1.3522650439</v>
      </c>
      <c r="AM2406" s="1">
        <v>46.205007825</v>
      </c>
      <c r="AN2406" s="1">
        <v>100.0</v>
      </c>
      <c r="AO2406" s="1">
        <v>27441.0</v>
      </c>
      <c r="AP2406" s="1">
        <v>10.5</v>
      </c>
      <c r="AQ2406" s="1">
        <v>1.8</v>
      </c>
      <c r="AR2406" s="1">
        <v>10.9</v>
      </c>
      <c r="AS2406" s="1">
        <v>19.5</v>
      </c>
      <c r="AT2406" s="1">
        <v>22.6</v>
      </c>
      <c r="AU2406" s="1">
        <v>9.1</v>
      </c>
      <c r="AV2406" s="1">
        <v>16.5</v>
      </c>
      <c r="AW2406" s="1">
        <v>2.4</v>
      </c>
      <c r="AX2406" s="1">
        <v>0.2104</v>
      </c>
      <c r="AY2406" s="1">
        <v>11.8</v>
      </c>
      <c r="AZ2406" s="1">
        <v>8.9</v>
      </c>
      <c r="BA2406" s="1">
        <v>13.7</v>
      </c>
      <c r="BB2406" s="1">
        <v>3.28</v>
      </c>
      <c r="BC2406" s="1" t="s">
        <v>3897</v>
      </c>
      <c r="BD2406" s="1">
        <v>7.9</v>
      </c>
      <c r="BE2406" s="1">
        <v>31.0</v>
      </c>
      <c r="BF2406" s="1">
        <v>37.0</v>
      </c>
      <c r="BG2406" s="1">
        <v>24.1</v>
      </c>
      <c r="BH2406" s="1" t="s">
        <v>3964</v>
      </c>
    </row>
    <row r="2407">
      <c r="A2407" s="1">
        <v>46093.0</v>
      </c>
      <c r="B2407" s="2" t="str">
        <f>IFERROR(__xludf.DUMMYFUNCTION("TO_TEXT(A2407)"),"46093")</f>
        <v>46093</v>
      </c>
      <c r="C2407" s="1">
        <v>26840.0</v>
      </c>
      <c r="D2407" s="1">
        <v>3470.94325520031</v>
      </c>
      <c r="E2407" s="1" t="s">
        <v>1679</v>
      </c>
      <c r="F2407" s="1" t="s">
        <v>3965</v>
      </c>
      <c r="G2407" s="1">
        <v>7.73276830722807</v>
      </c>
      <c r="H2407" s="1">
        <v>12.180780442</v>
      </c>
      <c r="I2407" s="1">
        <v>2.9746496211</v>
      </c>
      <c r="J2407" s="1">
        <v>7.4829931973</v>
      </c>
      <c r="K2407" s="1">
        <v>15.958532475</v>
      </c>
      <c r="L2407" s="1">
        <v>29.2</v>
      </c>
      <c r="M2407" s="1">
        <v>8.0</v>
      </c>
      <c r="N2407" s="1">
        <v>21.0</v>
      </c>
      <c r="O2407" s="1">
        <v>66.96547928</v>
      </c>
      <c r="P2407" s="1">
        <v>10.123520774</v>
      </c>
      <c r="Q2407" s="1">
        <v>60.67528</v>
      </c>
      <c r="R2407" s="1">
        <v>82.208588957</v>
      </c>
      <c r="S2407" s="1">
        <v>11.5</v>
      </c>
      <c r="T2407" s="1">
        <v>6449.0</v>
      </c>
      <c r="U2407" s="1">
        <v>16.5762133659999</v>
      </c>
      <c r="V2407" s="1">
        <v>123.80518889</v>
      </c>
      <c r="W2407" s="1">
        <v>10.605349601</v>
      </c>
      <c r="X2407" s="1">
        <v>7.6923076923</v>
      </c>
      <c r="Y2407" s="1">
        <v>79.615848123</v>
      </c>
      <c r="Z2407" s="1">
        <v>8.6</v>
      </c>
      <c r="AA2407" s="1">
        <v>9.28774267309999</v>
      </c>
      <c r="AB2407" s="1">
        <v>59524.0</v>
      </c>
      <c r="AC2407" s="1">
        <v>32.036199095</v>
      </c>
      <c r="AD2407" s="1">
        <v>73.826979472</v>
      </c>
      <c r="AE2407" s="1">
        <v>7.3785130181</v>
      </c>
      <c r="AF2407" s="1">
        <v>1.8943945713</v>
      </c>
      <c r="AG2407" s="1">
        <v>3.0006361773</v>
      </c>
      <c r="AH2407" s="1">
        <v>1.1380504701</v>
      </c>
      <c r="AI2407" s="1">
        <v>0.1166325016</v>
      </c>
      <c r="AJ2407" s="1">
        <v>4.5062557433</v>
      </c>
      <c r="AK2407" s="1">
        <v>87.046723687</v>
      </c>
      <c r="AL2407" s="1">
        <v>0.1280062064</v>
      </c>
      <c r="AM2407" s="1">
        <v>47.957164063</v>
      </c>
      <c r="AN2407" s="1">
        <v>37.996382795</v>
      </c>
      <c r="AO2407" s="1">
        <v>25884.0</v>
      </c>
      <c r="AP2407" s="1">
        <v>9.0</v>
      </c>
      <c r="AQ2407" s="1">
        <v>1.5</v>
      </c>
      <c r="AR2407" s="1">
        <v>6.6</v>
      </c>
      <c r="AS2407" s="1">
        <v>13.6</v>
      </c>
      <c r="AT2407" s="1">
        <v>24.0</v>
      </c>
      <c r="AU2407" s="1">
        <v>14.1</v>
      </c>
      <c r="AV2407" s="1">
        <v>11.8</v>
      </c>
      <c r="AW2407" s="1">
        <v>0.3</v>
      </c>
      <c r="AX2407" s="1">
        <v>0.2162</v>
      </c>
      <c r="AY2407" s="1">
        <v>8.7</v>
      </c>
      <c r="AZ2407" s="1">
        <v>8.8</v>
      </c>
      <c r="BA2407" s="1">
        <v>14.0</v>
      </c>
      <c r="BB2407" s="1">
        <v>3.05</v>
      </c>
      <c r="BC2407" s="1" t="s">
        <v>3897</v>
      </c>
      <c r="BD2407" s="1">
        <v>5.6</v>
      </c>
      <c r="BE2407" s="1">
        <v>28.7</v>
      </c>
      <c r="BF2407" s="1">
        <v>38.5</v>
      </c>
      <c r="BG2407" s="1">
        <v>27.2</v>
      </c>
      <c r="BH2407" s="1" t="s">
        <v>3965</v>
      </c>
    </row>
    <row r="2408">
      <c r="A2408" s="1">
        <v>46095.0</v>
      </c>
      <c r="B2408" s="2" t="str">
        <f>IFERROR(__xludf.DUMMYFUNCTION("TO_TEXT(A2408)"),"46095")</f>
        <v>46095</v>
      </c>
      <c r="C2408" s="1">
        <v>2083.0</v>
      </c>
      <c r="D2408" s="1">
        <v>1307.29074746407</v>
      </c>
      <c r="E2408" s="1" t="s">
        <v>3966</v>
      </c>
      <c r="F2408" s="1" t="s">
        <v>3967</v>
      </c>
      <c r="G2408" s="1">
        <v>1.59337163828374</v>
      </c>
      <c r="H2408" s="1">
        <v>26.309075338</v>
      </c>
      <c r="I2408" s="1">
        <v>4.3458680439</v>
      </c>
      <c r="J2408" s="1">
        <v>6.1302681992</v>
      </c>
      <c r="K2408" s="1">
        <v>28.661405222</v>
      </c>
      <c r="L2408" s="1">
        <v>35.8</v>
      </c>
      <c r="M2408" s="1">
        <v>2.0</v>
      </c>
      <c r="N2408" s="1">
        <v>27.7</v>
      </c>
      <c r="O2408" s="1">
        <v>0.0</v>
      </c>
      <c r="P2408" s="1">
        <v>23.122765197</v>
      </c>
      <c r="Q2408" s="1">
        <v>48.31939</v>
      </c>
      <c r="R2408" s="1">
        <v>82.142857143</v>
      </c>
      <c r="S2408" s="1">
        <v>38.8</v>
      </c>
      <c r="T2408" s="1">
        <v>654.0</v>
      </c>
      <c r="U2408" s="1">
        <v>53.058103976</v>
      </c>
      <c r="V2408" s="1">
        <v>191.02196753</v>
      </c>
      <c r="W2408" s="1">
        <v>23.9436619719999</v>
      </c>
      <c r="X2408" s="1">
        <v>15.517241379</v>
      </c>
      <c r="Y2408" s="1">
        <v>66.743031987</v>
      </c>
      <c r="Z2408" s="1">
        <v>13.9</v>
      </c>
      <c r="AA2408" s="1">
        <v>56.273491305</v>
      </c>
      <c r="AB2408" s="1">
        <v>32780.0</v>
      </c>
      <c r="AC2408" s="1">
        <v>99.303944316</v>
      </c>
      <c r="AD2408" s="1">
        <v>64.97005988</v>
      </c>
      <c r="AE2408" s="1">
        <v>11.56462585</v>
      </c>
      <c r="AF2408" s="1">
        <v>0.2938295788</v>
      </c>
      <c r="AG2408" s="1">
        <v>54.554358472</v>
      </c>
      <c r="AH2408" s="1">
        <v>0.2448579824</v>
      </c>
      <c r="AI2408" s="1">
        <v>0.0</v>
      </c>
      <c r="AJ2408" s="1">
        <v>3.6728697356</v>
      </c>
      <c r="AK2408" s="1">
        <v>37.806072478</v>
      </c>
      <c r="AL2408" s="1">
        <v>0.2624671916</v>
      </c>
      <c r="AM2408" s="1">
        <v>48.1390793339999</v>
      </c>
      <c r="AN2408" s="1">
        <v>100.0</v>
      </c>
      <c r="AO2408" s="1">
        <v>13934.0</v>
      </c>
      <c r="AP2408" s="1">
        <v>46.2</v>
      </c>
      <c r="AQ2408" s="1">
        <v>9.1</v>
      </c>
      <c r="AR2408" s="1">
        <v>16.5</v>
      </c>
      <c r="AS2408" s="1">
        <v>14.9</v>
      </c>
      <c r="AT2408" s="1">
        <v>31.2</v>
      </c>
      <c r="AU2408" s="1">
        <v>15.3</v>
      </c>
      <c r="AV2408" s="1">
        <v>60.6</v>
      </c>
      <c r="AW2408" s="1">
        <v>0.2</v>
      </c>
      <c r="AX2408" s="1">
        <v>0.9131</v>
      </c>
      <c r="AY2408" s="1">
        <v>33.3</v>
      </c>
      <c r="AZ2408" s="1">
        <v>22.3</v>
      </c>
      <c r="BA2408" s="1">
        <v>32.7</v>
      </c>
      <c r="BB2408" s="1">
        <v>3.5</v>
      </c>
      <c r="BC2408" s="1" t="s">
        <v>3897</v>
      </c>
      <c r="BD2408" s="1">
        <v>18.4</v>
      </c>
      <c r="BE2408" s="1">
        <v>40.0</v>
      </c>
      <c r="BF2408" s="1">
        <v>29.6</v>
      </c>
      <c r="BG2408" s="1">
        <v>12.0</v>
      </c>
      <c r="BH2408" s="1" t="s">
        <v>3967</v>
      </c>
    </row>
    <row r="2409">
      <c r="A2409" s="1">
        <v>46097.0</v>
      </c>
      <c r="B2409" s="2" t="str">
        <f>IFERROR(__xludf.DUMMYFUNCTION("TO_TEXT(A2409)"),"46097")</f>
        <v>46097</v>
      </c>
      <c r="C2409" s="1">
        <v>2299.0</v>
      </c>
      <c r="D2409" s="1">
        <v>570.229946871678</v>
      </c>
      <c r="E2409" s="1" t="s">
        <v>3968</v>
      </c>
      <c r="F2409" s="1" t="s">
        <v>3969</v>
      </c>
      <c r="G2409" s="1">
        <v>4.03170688002704</v>
      </c>
      <c r="H2409" s="1">
        <v>10.778079318</v>
      </c>
      <c r="I2409" s="1">
        <v>2.7678508755</v>
      </c>
      <c r="J2409" s="1">
        <v>5.5865921788</v>
      </c>
      <c r="K2409" s="1">
        <v>13.566095815</v>
      </c>
      <c r="L2409" s="1">
        <v>23.9</v>
      </c>
      <c r="M2409" s="1">
        <v>7.9</v>
      </c>
      <c r="N2409" s="1">
        <v>23.8</v>
      </c>
      <c r="O2409" s="1">
        <v>51.904562578</v>
      </c>
      <c r="P2409" s="1">
        <v>10.034013605</v>
      </c>
      <c r="Q2409" s="1">
        <v>44.8833</v>
      </c>
      <c r="R2409" s="1">
        <v>96.666666667</v>
      </c>
      <c r="S2409" s="1">
        <v>13.7</v>
      </c>
      <c r="T2409" s="1">
        <v>568.0</v>
      </c>
      <c r="U2409" s="1">
        <v>11.795774648</v>
      </c>
      <c r="V2409" s="1">
        <v>22.089684118</v>
      </c>
      <c r="W2409" s="1">
        <v>12.307692308</v>
      </c>
      <c r="X2409" s="1">
        <v>9.3264248705</v>
      </c>
      <c r="Y2409" s="1">
        <v>77.3060847089999</v>
      </c>
      <c r="Z2409" s="1">
        <v>13.3</v>
      </c>
      <c r="AA2409" s="1">
        <v>9.9309807018</v>
      </c>
      <c r="AB2409" s="1">
        <v>50123.0</v>
      </c>
      <c r="AC2409" s="1">
        <v>23.966942149</v>
      </c>
      <c r="AD2409" s="1">
        <v>79.342240493</v>
      </c>
      <c r="AE2409" s="1">
        <v>9.7098214286</v>
      </c>
      <c r="AF2409" s="1">
        <v>1.0393131496</v>
      </c>
      <c r="AG2409" s="1">
        <v>0.7230004519</v>
      </c>
      <c r="AH2409" s="1">
        <v>0.4518752824</v>
      </c>
      <c r="AI2409" s="1">
        <v>0.0</v>
      </c>
      <c r="AJ2409" s="1">
        <v>3.2535020334</v>
      </c>
      <c r="AK2409" s="1">
        <v>93.58337099</v>
      </c>
      <c r="AL2409" s="1">
        <v>0.2387774594</v>
      </c>
      <c r="AM2409" s="1">
        <v>48.07953005</v>
      </c>
      <c r="AN2409" s="1">
        <v>100.0</v>
      </c>
      <c r="AO2409" s="1">
        <v>28242.0</v>
      </c>
      <c r="AP2409" s="1">
        <v>9.9</v>
      </c>
      <c r="AQ2409" s="1">
        <v>4.2</v>
      </c>
      <c r="AR2409" s="1">
        <v>9.8</v>
      </c>
      <c r="AS2409" s="1">
        <v>21.1</v>
      </c>
      <c r="AT2409" s="1">
        <v>27.1</v>
      </c>
      <c r="AU2409" s="1">
        <v>13.7</v>
      </c>
      <c r="AV2409" s="1">
        <v>5.2</v>
      </c>
      <c r="AW2409" s="1">
        <v>0.3</v>
      </c>
      <c r="AX2409" s="1">
        <v>0.0872</v>
      </c>
      <c r="AY2409" s="1">
        <v>10.5</v>
      </c>
      <c r="AZ2409" s="1">
        <v>8.8</v>
      </c>
      <c r="BA2409" s="1">
        <v>15.1</v>
      </c>
      <c r="BB2409" s="1">
        <v>3.26</v>
      </c>
      <c r="BC2409" s="1" t="s">
        <v>3897</v>
      </c>
      <c r="BD2409" s="1">
        <v>10.2</v>
      </c>
      <c r="BE2409" s="1">
        <v>38.8</v>
      </c>
      <c r="BF2409" s="1">
        <v>32.6</v>
      </c>
      <c r="BG2409" s="1">
        <v>18.5</v>
      </c>
      <c r="BH2409" s="1" t="s">
        <v>3969</v>
      </c>
    </row>
    <row r="2410">
      <c r="A2410" s="1">
        <v>46099.0</v>
      </c>
      <c r="B2410" s="2" t="str">
        <f>IFERROR(__xludf.DUMMYFUNCTION("TO_TEXT(A2410)"),"46099")</f>
        <v>46099</v>
      </c>
      <c r="C2410" s="1">
        <v>182014.0</v>
      </c>
      <c r="D2410" s="1">
        <v>807.161807899088</v>
      </c>
      <c r="E2410" s="1" t="s">
        <v>3970</v>
      </c>
      <c r="F2410" s="1" t="s">
        <v>3971</v>
      </c>
      <c r="G2410" s="1">
        <v>225.498776352852</v>
      </c>
      <c r="H2410" s="1">
        <v>11.618176913</v>
      </c>
      <c r="I2410" s="1">
        <v>3.0682253418</v>
      </c>
      <c r="J2410" s="1">
        <v>6.6718956812</v>
      </c>
      <c r="K2410" s="1">
        <v>15.445669227</v>
      </c>
      <c r="L2410" s="1">
        <v>32.3</v>
      </c>
      <c r="M2410" s="1">
        <v>8.2</v>
      </c>
      <c r="N2410" s="1">
        <v>19.4</v>
      </c>
      <c r="O2410" s="1">
        <v>92.112375198</v>
      </c>
      <c r="P2410" s="1">
        <v>8.7215838121</v>
      </c>
      <c r="Q2410" s="1">
        <v>91.19057</v>
      </c>
      <c r="R2410" s="1">
        <v>87.637867647</v>
      </c>
      <c r="S2410" s="1">
        <v>9.8</v>
      </c>
      <c r="T2410" s="1">
        <v>46249.0</v>
      </c>
      <c r="U2410" s="1">
        <v>30.68174447</v>
      </c>
      <c r="V2410" s="1">
        <v>403.19749386</v>
      </c>
      <c r="W2410" s="1">
        <v>12.037166411</v>
      </c>
      <c r="X2410" s="1">
        <v>9.6648831315</v>
      </c>
      <c r="Y2410" s="1">
        <v>79.244236597</v>
      </c>
      <c r="Z2410" s="1">
        <v>8.7</v>
      </c>
      <c r="AA2410" s="1">
        <v>4.5231012795</v>
      </c>
      <c r="AB2410" s="1">
        <v>60033.0</v>
      </c>
      <c r="AC2410" s="1">
        <v>36.332512463</v>
      </c>
      <c r="AD2410" s="1">
        <v>63.651747525</v>
      </c>
      <c r="AE2410" s="1">
        <v>10.307852892</v>
      </c>
      <c r="AF2410" s="1">
        <v>6.4777369916</v>
      </c>
      <c r="AG2410" s="1">
        <v>2.7810614073</v>
      </c>
      <c r="AH2410" s="1">
        <v>2.4632406313</v>
      </c>
      <c r="AI2410" s="1">
        <v>0.1073228395</v>
      </c>
      <c r="AJ2410" s="1">
        <v>5.0389887804</v>
      </c>
      <c r="AK2410" s="1">
        <v>81.425890209</v>
      </c>
      <c r="AL2410" s="1">
        <v>1.9325438291</v>
      </c>
      <c r="AM2410" s="1">
        <v>49.524046538</v>
      </c>
      <c r="AN2410" s="1">
        <v>13.636202705</v>
      </c>
      <c r="AO2410" s="1">
        <v>28337.0</v>
      </c>
      <c r="AP2410" s="1">
        <v>11.6</v>
      </c>
      <c r="AQ2410" s="1">
        <v>3.7</v>
      </c>
      <c r="AR2410" s="1">
        <v>8.6</v>
      </c>
      <c r="AS2410" s="1">
        <v>12.2</v>
      </c>
      <c r="AT2410" s="1">
        <v>25.1</v>
      </c>
      <c r="AU2410" s="1">
        <v>10.5</v>
      </c>
      <c r="AV2410" s="1">
        <v>16.1</v>
      </c>
      <c r="AW2410" s="1">
        <v>2.1</v>
      </c>
      <c r="AX2410" s="1">
        <v>0.3524</v>
      </c>
      <c r="AY2410" s="1">
        <v>8.7</v>
      </c>
      <c r="AZ2410" s="1">
        <v>9.5</v>
      </c>
      <c r="BA2410" s="1">
        <v>14.4</v>
      </c>
      <c r="BB2410" s="1">
        <v>3.07</v>
      </c>
      <c r="BC2410" s="1" t="s">
        <v>3897</v>
      </c>
      <c r="BD2410" s="1">
        <v>7.5</v>
      </c>
      <c r="BE2410" s="1">
        <v>26.4</v>
      </c>
      <c r="BF2410" s="1">
        <v>33.0</v>
      </c>
      <c r="BG2410" s="1">
        <v>33.1</v>
      </c>
      <c r="BH2410" s="1" t="s">
        <v>3971</v>
      </c>
    </row>
    <row r="2411">
      <c r="A2411" s="1">
        <v>46101.0</v>
      </c>
      <c r="B2411" s="2" t="str">
        <f>IFERROR(__xludf.DUMMYFUNCTION("TO_TEXT(A2411)"),"46101")</f>
        <v>46101</v>
      </c>
      <c r="C2411" s="1">
        <v>6445.0</v>
      </c>
      <c r="D2411" s="1">
        <v>519.384532794334</v>
      </c>
      <c r="E2411" s="1" t="s">
        <v>3972</v>
      </c>
      <c r="F2411" s="1" t="s">
        <v>3973</v>
      </c>
      <c r="G2411" s="1">
        <v>12.4089178499894</v>
      </c>
      <c r="H2411" s="1">
        <v>12.8699742759999</v>
      </c>
      <c r="I2411" s="1">
        <v>3.0605427454</v>
      </c>
      <c r="J2411" s="1">
        <v>5.2380952381</v>
      </c>
      <c r="K2411" s="1">
        <v>16.640406447</v>
      </c>
      <c r="L2411" s="1">
        <v>36.5</v>
      </c>
      <c r="M2411" s="1">
        <v>5.9</v>
      </c>
      <c r="N2411" s="1">
        <v>30.4</v>
      </c>
      <c r="O2411" s="1">
        <v>55.9512796789999</v>
      </c>
      <c r="P2411" s="1">
        <v>15.6103944659999</v>
      </c>
      <c r="Q2411" s="1">
        <v>30.39976</v>
      </c>
      <c r="R2411" s="1">
        <v>89.230769231</v>
      </c>
      <c r="S2411" s="1">
        <v>11.4</v>
      </c>
      <c r="T2411" s="1">
        <v>1546.0</v>
      </c>
      <c r="U2411" s="1">
        <v>34.799482536</v>
      </c>
      <c r="V2411" s="1">
        <v>242.30107863</v>
      </c>
      <c r="W2411" s="1">
        <v>9.3984962406</v>
      </c>
      <c r="X2411" s="1">
        <v>6.66666666669999</v>
      </c>
      <c r="Y2411" s="1">
        <v>81.079162927</v>
      </c>
      <c r="Z2411" s="1">
        <v>13.4</v>
      </c>
      <c r="AA2411" s="1">
        <v>30.718506164</v>
      </c>
      <c r="AB2411" s="1">
        <v>57392.0</v>
      </c>
      <c r="AC2411" s="1">
        <v>27.30227519</v>
      </c>
      <c r="AD2411" s="1">
        <v>74.317147193</v>
      </c>
      <c r="AE2411" s="1">
        <v>8.5987261146</v>
      </c>
      <c r="AF2411" s="1">
        <v>1.3527891777</v>
      </c>
      <c r="AG2411" s="1">
        <v>13.527891777</v>
      </c>
      <c r="AH2411" s="1">
        <v>3.0399756802</v>
      </c>
      <c r="AI2411" s="1">
        <v>0.0</v>
      </c>
      <c r="AJ2411" s="1">
        <v>4.6663626691</v>
      </c>
      <c r="AK2411" s="1">
        <v>75.8169934639999</v>
      </c>
      <c r="AL2411" s="1">
        <v>0.9721535673</v>
      </c>
      <c r="AM2411" s="1">
        <v>50.265997872</v>
      </c>
      <c r="AN2411" s="1">
        <v>100.0</v>
      </c>
      <c r="AO2411" s="1">
        <v>27324.0</v>
      </c>
      <c r="AP2411" s="1">
        <v>14.7</v>
      </c>
      <c r="AQ2411" s="1">
        <v>6.8</v>
      </c>
      <c r="AR2411" s="1">
        <v>9.0</v>
      </c>
      <c r="AS2411" s="1">
        <v>16.7</v>
      </c>
      <c r="AT2411" s="1">
        <v>25.3</v>
      </c>
      <c r="AU2411" s="1">
        <v>10.7</v>
      </c>
      <c r="AV2411" s="1">
        <v>21.6</v>
      </c>
      <c r="AW2411" s="1">
        <v>0.8</v>
      </c>
      <c r="AX2411" s="1">
        <v>0.4788</v>
      </c>
      <c r="AY2411" s="1">
        <v>8.7</v>
      </c>
      <c r="AZ2411" s="1">
        <v>10.7</v>
      </c>
      <c r="BA2411" s="1">
        <v>17.0</v>
      </c>
      <c r="BB2411" s="1">
        <v>3.11</v>
      </c>
      <c r="BC2411" s="1" t="s">
        <v>3897</v>
      </c>
      <c r="BD2411" s="1">
        <v>9.6</v>
      </c>
      <c r="BE2411" s="1">
        <v>33.7</v>
      </c>
      <c r="BF2411" s="1">
        <v>35.3</v>
      </c>
      <c r="BG2411" s="1">
        <v>21.3</v>
      </c>
      <c r="BH2411" s="1" t="s">
        <v>3973</v>
      </c>
    </row>
    <row r="2412">
      <c r="A2412" s="1">
        <v>46102.0</v>
      </c>
      <c r="B2412" s="2" t="str">
        <f>IFERROR(__xludf.DUMMYFUNCTION("TO_TEXT(A2412)"),"46102")</f>
        <v>46102</v>
      </c>
      <c r="C2412" s="1">
        <v>14263.0</v>
      </c>
      <c r="D2412" s="1">
        <v>2093.77238629493</v>
      </c>
      <c r="E2412" s="1" t="s">
        <v>3974</v>
      </c>
      <c r="F2412" s="1" t="s">
        <v>3975</v>
      </c>
      <c r="G2412" s="1">
        <v>6.81210626969788</v>
      </c>
      <c r="H2412" s="1">
        <v>31.518314108</v>
      </c>
      <c r="I2412" s="1">
        <v>4.5083961923</v>
      </c>
      <c r="J2412" s="1">
        <v>7.7892841063</v>
      </c>
      <c r="K2412" s="1">
        <v>37.822241285</v>
      </c>
      <c r="L2412" s="1">
        <v>39.5</v>
      </c>
      <c r="M2412" s="1">
        <v>0.1</v>
      </c>
      <c r="N2412" s="1">
        <v>26.6</v>
      </c>
      <c r="O2412" s="1">
        <v>28.941557486</v>
      </c>
      <c r="P2412" s="1">
        <v>16.8118672</v>
      </c>
      <c r="Q2412" s="1">
        <v>34.8335</v>
      </c>
      <c r="R2412" s="1">
        <v>89.912280702</v>
      </c>
      <c r="S2412" s="1">
        <v>56.6</v>
      </c>
      <c r="T2412" s="1">
        <v>5271.0</v>
      </c>
      <c r="U2412" s="1">
        <v>62.625687725</v>
      </c>
      <c r="V2412" s="1">
        <v>0.0</v>
      </c>
      <c r="W2412" s="1">
        <v>44.880546075</v>
      </c>
      <c r="X2412" s="1">
        <v>11.921708185</v>
      </c>
      <c r="Y2412" s="1">
        <v>62.694000421</v>
      </c>
      <c r="Z2412" s="1">
        <v>19.0</v>
      </c>
      <c r="AA2412" s="1">
        <v>62.110823113</v>
      </c>
      <c r="AB2412" s="1">
        <v>31662.0</v>
      </c>
      <c r="AC2412" s="1">
        <v>100.0</v>
      </c>
      <c r="AD2412" s="1">
        <v>52.659574468</v>
      </c>
      <c r="AE2412" s="1">
        <v>12.355212355</v>
      </c>
      <c r="AF2412" s="1">
        <v>0.2935215599</v>
      </c>
      <c r="AG2412" s="1">
        <v>92.515200224</v>
      </c>
      <c r="AH2412" s="1">
        <v>0.1607379971</v>
      </c>
      <c r="AI2412" s="1">
        <v>0.0559088684999999</v>
      </c>
      <c r="AJ2412" s="1">
        <v>3.9275980152</v>
      </c>
      <c r="AK2412" s="1">
        <v>4.6404360892</v>
      </c>
      <c r="AL2412" s="1">
        <v>1.3610203764</v>
      </c>
      <c r="AM2412" s="1">
        <v>51.009853938</v>
      </c>
      <c r="AN2412" s="1">
        <v>59.472952477</v>
      </c>
      <c r="AO2412" s="1">
        <v>9286.0</v>
      </c>
      <c r="AP2412" s="1">
        <v>53.9</v>
      </c>
      <c r="AQ2412" s="1">
        <v>28.1</v>
      </c>
      <c r="AR2412" s="1">
        <v>22.1</v>
      </c>
      <c r="AS2412" s="1">
        <v>6.3</v>
      </c>
      <c r="AT2412" s="1">
        <v>37.8</v>
      </c>
      <c r="AU2412" s="1">
        <v>14.3</v>
      </c>
      <c r="AV2412" s="1">
        <v>96.1</v>
      </c>
      <c r="AW2412" s="1">
        <v>1.0</v>
      </c>
      <c r="AX2412" s="1">
        <v>0.9908</v>
      </c>
      <c r="AY2412" s="1">
        <v>40.1</v>
      </c>
      <c r="AZ2412" s="1">
        <v>26.9</v>
      </c>
      <c r="BA2412" s="1">
        <v>38.1</v>
      </c>
      <c r="BB2412" s="1">
        <v>3.14</v>
      </c>
      <c r="BC2412" s="1" t="s">
        <v>3897</v>
      </c>
      <c r="BD2412" s="1">
        <v>26.1</v>
      </c>
      <c r="BE2412" s="1">
        <v>27.8</v>
      </c>
      <c r="BF2412" s="1">
        <v>35.7</v>
      </c>
      <c r="BG2412" s="1">
        <v>10.4</v>
      </c>
      <c r="BH2412" s="1" t="s">
        <v>3975</v>
      </c>
    </row>
    <row r="2413">
      <c r="A2413" s="1">
        <v>46103.0</v>
      </c>
      <c r="B2413" s="2" t="str">
        <f>IFERROR(__xludf.DUMMYFUNCTION("TO_TEXT(A2413)"),"46103")</f>
        <v>46103</v>
      </c>
      <c r="C2413" s="1">
        <v>107298.0</v>
      </c>
      <c r="D2413" s="1">
        <v>2776.58557171623</v>
      </c>
      <c r="E2413" s="1" t="s">
        <v>2382</v>
      </c>
      <c r="F2413" s="1" t="s">
        <v>3976</v>
      </c>
      <c r="G2413" s="1">
        <v>38.6438657223439</v>
      </c>
      <c r="H2413" s="1">
        <v>13.8296909809999</v>
      </c>
      <c r="I2413" s="1">
        <v>3.2029340112</v>
      </c>
      <c r="J2413" s="1">
        <v>6.9201236071</v>
      </c>
      <c r="K2413" s="1">
        <v>16.242880489</v>
      </c>
      <c r="L2413" s="1">
        <v>28.5</v>
      </c>
      <c r="M2413" s="1">
        <v>7.8</v>
      </c>
      <c r="N2413" s="1">
        <v>19.2</v>
      </c>
      <c r="O2413" s="1">
        <v>94.491223204</v>
      </c>
      <c r="P2413" s="1">
        <v>11.70835252</v>
      </c>
      <c r="Q2413" s="1">
        <v>89.88478</v>
      </c>
      <c r="R2413" s="1">
        <v>79.713603819</v>
      </c>
      <c r="S2413" s="1">
        <v>19.2</v>
      </c>
      <c r="T2413" s="1">
        <v>25201.0</v>
      </c>
      <c r="U2413" s="1">
        <v>37.808023491</v>
      </c>
      <c r="V2413" s="1">
        <v>561.73044312</v>
      </c>
      <c r="W2413" s="1">
        <v>12.9780935459999</v>
      </c>
      <c r="X2413" s="1">
        <v>10.533221997</v>
      </c>
      <c r="Y2413" s="1">
        <v>79.784870502</v>
      </c>
      <c r="Z2413" s="1">
        <v>9.6</v>
      </c>
      <c r="AA2413" s="1">
        <v>8.2869731318</v>
      </c>
      <c r="AB2413" s="1">
        <v>58738.0</v>
      </c>
      <c r="AC2413" s="1">
        <v>41.423030163</v>
      </c>
      <c r="AD2413" s="1">
        <v>68.826551677</v>
      </c>
      <c r="AE2413" s="1">
        <v>10.4283403279999</v>
      </c>
      <c r="AF2413" s="1">
        <v>1.3389540764</v>
      </c>
      <c r="AG2413" s="1">
        <v>10.118232509</v>
      </c>
      <c r="AH2413" s="1">
        <v>1.3013631197</v>
      </c>
      <c r="AI2413" s="1">
        <v>0.1020325967</v>
      </c>
      <c r="AJ2413" s="1">
        <v>5.1544361804</v>
      </c>
      <c r="AK2413" s="1">
        <v>80.0204065189999</v>
      </c>
      <c r="AL2413" s="1">
        <v>0.3991056895</v>
      </c>
      <c r="AM2413" s="1">
        <v>49.615587717</v>
      </c>
      <c r="AN2413" s="1">
        <v>20.8017989459999</v>
      </c>
      <c r="AO2413" s="1">
        <v>27964.0</v>
      </c>
      <c r="AP2413" s="1">
        <v>13.8</v>
      </c>
      <c r="AQ2413" s="1">
        <v>4.8</v>
      </c>
      <c r="AR2413" s="1">
        <v>7.2</v>
      </c>
      <c r="AS2413" s="1">
        <v>15.4</v>
      </c>
      <c r="AT2413" s="1">
        <v>23.8</v>
      </c>
      <c r="AU2413" s="1">
        <v>14.2</v>
      </c>
      <c r="AV2413" s="1">
        <v>19.4</v>
      </c>
      <c r="AW2413" s="1">
        <v>0.3</v>
      </c>
      <c r="AX2413" s="1">
        <v>0.4011</v>
      </c>
      <c r="AY2413" s="1">
        <v>12.0</v>
      </c>
      <c r="AZ2413" s="1">
        <v>10.8</v>
      </c>
      <c r="BA2413" s="1">
        <v>18.1</v>
      </c>
      <c r="BB2413" s="1">
        <v>3.22</v>
      </c>
      <c r="BC2413" s="1" t="s">
        <v>3897</v>
      </c>
      <c r="BD2413" s="1">
        <v>6.5</v>
      </c>
      <c r="BE2413" s="1">
        <v>27.5</v>
      </c>
      <c r="BF2413" s="1">
        <v>34.5</v>
      </c>
      <c r="BG2413" s="1">
        <v>31.5</v>
      </c>
      <c r="BH2413" s="1" t="s">
        <v>3976</v>
      </c>
    </row>
    <row r="2414">
      <c r="A2414" s="1">
        <v>46105.0</v>
      </c>
      <c r="B2414" s="2" t="str">
        <f>IFERROR(__xludf.DUMMYFUNCTION("TO_TEXT(A2414)"),"46105")</f>
        <v>46105</v>
      </c>
      <c r="C2414" s="1">
        <v>3019.0</v>
      </c>
      <c r="D2414" s="1">
        <v>2870.47667653463</v>
      </c>
      <c r="E2414" s="1" t="s">
        <v>2901</v>
      </c>
      <c r="F2414" s="1" t="s">
        <v>3977</v>
      </c>
      <c r="G2414" s="1">
        <v>1.05174169317574</v>
      </c>
      <c r="H2414" s="1">
        <v>11.790308438</v>
      </c>
      <c r="I2414" s="1">
        <v>3.0624493432</v>
      </c>
      <c r="J2414" s="1">
        <v>6.4777327935</v>
      </c>
      <c r="K2414" s="1">
        <v>14.317142504</v>
      </c>
      <c r="L2414" s="1">
        <v>29.8</v>
      </c>
      <c r="M2414" s="1">
        <v>7.2</v>
      </c>
      <c r="N2414" s="1">
        <v>21.4</v>
      </c>
      <c r="O2414" s="1">
        <v>70.523138833</v>
      </c>
      <c r="P2414" s="1">
        <v>16.129032258</v>
      </c>
      <c r="Q2414" s="1">
        <v>48.31939</v>
      </c>
      <c r="R2414" s="1">
        <v>96.875</v>
      </c>
      <c r="S2414" s="1">
        <v>16.6</v>
      </c>
      <c r="T2414" s="1">
        <v>622.0</v>
      </c>
      <c r="U2414" s="1">
        <v>15.434083601</v>
      </c>
      <c r="V2414" s="1">
        <v>16.46090535</v>
      </c>
      <c r="W2414" s="1">
        <v>9.2664092664</v>
      </c>
      <c r="X2414" s="1">
        <v>8.0155642023</v>
      </c>
      <c r="Y2414" s="1">
        <v>79.265018473</v>
      </c>
      <c r="Z2414" s="1">
        <v>9.9</v>
      </c>
      <c r="AA2414" s="1">
        <v>17.555119149</v>
      </c>
      <c r="AB2414" s="1">
        <v>55626.0</v>
      </c>
      <c r="AC2414" s="1">
        <v>35.67839196</v>
      </c>
      <c r="AD2414" s="1">
        <v>73.307392996</v>
      </c>
      <c r="AE2414" s="1">
        <v>7.8787878788</v>
      </c>
      <c r="AF2414" s="1">
        <v>0.5133470226</v>
      </c>
      <c r="AG2414" s="1">
        <v>1.9849418207</v>
      </c>
      <c r="AH2414" s="1">
        <v>0.3764544832</v>
      </c>
      <c r="AI2414" s="1">
        <v>0.0684462696999999</v>
      </c>
      <c r="AJ2414" s="1">
        <v>1.5058179329</v>
      </c>
      <c r="AK2414" s="1">
        <v>94.421629021</v>
      </c>
      <c r="AL2414" s="1">
        <v>0.0</v>
      </c>
      <c r="AM2414" s="1">
        <v>49.863107461</v>
      </c>
      <c r="AN2414" s="1">
        <v>100.0</v>
      </c>
      <c r="AO2414" s="1">
        <v>28576.0</v>
      </c>
      <c r="AP2414" s="1">
        <v>13.5</v>
      </c>
      <c r="AQ2414" s="1">
        <v>4.0</v>
      </c>
      <c r="AR2414" s="1">
        <v>10.8</v>
      </c>
      <c r="AS2414" s="1">
        <v>22.5</v>
      </c>
      <c r="AT2414" s="1">
        <v>21.3</v>
      </c>
      <c r="AU2414" s="1">
        <v>17.4</v>
      </c>
      <c r="AV2414" s="1">
        <v>5.3</v>
      </c>
      <c r="AW2414" s="1">
        <v>0.1</v>
      </c>
      <c r="AX2414" s="1">
        <v>0.2499</v>
      </c>
      <c r="AY2414" s="1">
        <v>14.5</v>
      </c>
      <c r="AZ2414" s="1">
        <v>10.3</v>
      </c>
      <c r="BA2414" s="1">
        <v>15.8</v>
      </c>
      <c r="BB2414" s="1">
        <v>3.41</v>
      </c>
      <c r="BC2414" s="1" t="s">
        <v>3897</v>
      </c>
      <c r="BD2414" s="1">
        <v>7.6</v>
      </c>
      <c r="BE2414" s="1">
        <v>36.0</v>
      </c>
      <c r="BF2414" s="1">
        <v>36.1</v>
      </c>
      <c r="BG2414" s="1">
        <v>20.3</v>
      </c>
      <c r="BH2414" s="1" t="s">
        <v>3977</v>
      </c>
    </row>
    <row r="2415">
      <c r="A2415" s="1">
        <v>46107.0</v>
      </c>
      <c r="B2415" s="2" t="str">
        <f>IFERROR(__xludf.DUMMYFUNCTION("TO_TEXT(A2415)"),"46107")</f>
        <v>46107</v>
      </c>
      <c r="C2415" s="1">
        <v>2306.0</v>
      </c>
      <c r="D2415" s="1">
        <v>861.149102677006</v>
      </c>
      <c r="E2415" s="1" t="s">
        <v>3792</v>
      </c>
      <c r="F2415" s="1" t="s">
        <v>3978</v>
      </c>
      <c r="G2415" s="1">
        <v>2.6778173406109</v>
      </c>
      <c r="H2415" s="1">
        <v>9.8364169153</v>
      </c>
      <c r="I2415" s="1">
        <v>2.7097416602</v>
      </c>
      <c r="J2415" s="1">
        <v>6.8322981366</v>
      </c>
      <c r="K2415" s="1">
        <v>11.929191309</v>
      </c>
      <c r="L2415" s="1">
        <v>27.7</v>
      </c>
      <c r="M2415" s="1">
        <v>6.2</v>
      </c>
      <c r="N2415" s="1">
        <v>30.2</v>
      </c>
      <c r="O2415" s="1">
        <v>57.535422928</v>
      </c>
      <c r="P2415" s="1">
        <v>11.1949685529999</v>
      </c>
      <c r="Q2415" s="1">
        <v>48.31939</v>
      </c>
      <c r="R2415" s="1">
        <v>92.857142857</v>
      </c>
      <c r="S2415" s="1">
        <v>15.0</v>
      </c>
      <c r="T2415" s="1">
        <v>502.0</v>
      </c>
      <c r="U2415" s="1">
        <v>26.892430279</v>
      </c>
      <c r="V2415" s="1">
        <v>0.0</v>
      </c>
      <c r="W2415" s="1">
        <v>6.2801932367</v>
      </c>
      <c r="X2415" s="1">
        <v>5.4901960784</v>
      </c>
      <c r="Y2415" s="1">
        <v>80.176090934</v>
      </c>
      <c r="Z2415" s="1">
        <v>10.2</v>
      </c>
      <c r="AA2415" s="1">
        <v>32.548136414</v>
      </c>
      <c r="AB2415" s="1">
        <v>54722.0</v>
      </c>
      <c r="AC2415" s="1">
        <v>29.178470255</v>
      </c>
      <c r="AD2415" s="1">
        <v>81.663326653</v>
      </c>
      <c r="AE2415" s="1">
        <v>7.399577167</v>
      </c>
      <c r="AF2415" s="1">
        <v>0.4531037608</v>
      </c>
      <c r="AG2415" s="1">
        <v>2.401449932</v>
      </c>
      <c r="AH2415" s="1">
        <v>0.7702763933</v>
      </c>
      <c r="AI2415" s="1">
        <v>0.0453103761</v>
      </c>
      <c r="AJ2415" s="1">
        <v>2.0389669234</v>
      </c>
      <c r="AK2415" s="1">
        <v>93.06751246</v>
      </c>
      <c r="AL2415" s="1">
        <v>0.0</v>
      </c>
      <c r="AM2415" s="1">
        <v>50.430448573</v>
      </c>
      <c r="AN2415" s="1">
        <v>100.0</v>
      </c>
      <c r="AO2415" s="1">
        <v>30294.0</v>
      </c>
      <c r="AP2415" s="1">
        <v>10.6</v>
      </c>
      <c r="AQ2415" s="1">
        <v>0.9</v>
      </c>
      <c r="AR2415" s="1">
        <v>8.9</v>
      </c>
      <c r="AS2415" s="1">
        <v>28.2</v>
      </c>
      <c r="AT2415" s="1">
        <v>19.8</v>
      </c>
      <c r="AU2415" s="1">
        <v>16.5</v>
      </c>
      <c r="AV2415" s="1">
        <v>2.6</v>
      </c>
      <c r="AW2415" s="1">
        <v>0.0</v>
      </c>
      <c r="AX2415" s="1">
        <v>0.0729</v>
      </c>
      <c r="AY2415" s="1">
        <v>10.4</v>
      </c>
      <c r="AZ2415" s="1">
        <v>8.5</v>
      </c>
      <c r="BA2415" s="1">
        <v>16.1</v>
      </c>
      <c r="BB2415" s="1">
        <v>3.17</v>
      </c>
      <c r="BC2415" s="1" t="s">
        <v>3897</v>
      </c>
      <c r="BD2415" s="1">
        <v>7.2</v>
      </c>
      <c r="BE2415" s="1">
        <v>36.3</v>
      </c>
      <c r="BF2415" s="1">
        <v>34.2</v>
      </c>
      <c r="BG2415" s="1">
        <v>22.3</v>
      </c>
      <c r="BH2415" s="1" t="s">
        <v>3978</v>
      </c>
    </row>
    <row r="2416">
      <c r="A2416" s="1">
        <v>46109.0</v>
      </c>
      <c r="B2416" s="2" t="str">
        <f>IFERROR(__xludf.DUMMYFUNCTION("TO_TEXT(A2416)"),"46109")</f>
        <v>46109</v>
      </c>
      <c r="C2416" s="1">
        <v>10294.0</v>
      </c>
      <c r="D2416" s="1">
        <v>1101.04816529646</v>
      </c>
      <c r="E2416" s="1" t="s">
        <v>3979</v>
      </c>
      <c r="F2416" s="1" t="s">
        <v>3980</v>
      </c>
      <c r="G2416" s="1">
        <v>9.34927310580306</v>
      </c>
      <c r="H2416" s="1">
        <v>16.88196749</v>
      </c>
      <c r="I2416" s="1">
        <v>3.557311827</v>
      </c>
      <c r="J2416" s="1">
        <v>4.1362530414</v>
      </c>
      <c r="K2416" s="1">
        <v>20.93388754</v>
      </c>
      <c r="L2416" s="1">
        <v>36.6</v>
      </c>
      <c r="M2416" s="1">
        <v>7.3</v>
      </c>
      <c r="N2416" s="1">
        <v>32.9</v>
      </c>
      <c r="O2416" s="1">
        <v>33.530397083</v>
      </c>
      <c r="P2416" s="1">
        <v>19.457794208</v>
      </c>
      <c r="Q2416" s="1">
        <v>68.10664</v>
      </c>
      <c r="R2416" s="1">
        <v>84.042553191</v>
      </c>
      <c r="S2416" s="1">
        <v>31.0</v>
      </c>
      <c r="T2416" s="1">
        <v>2788.0</v>
      </c>
      <c r="U2416" s="1">
        <v>59.540889527</v>
      </c>
      <c r="V2416" s="1">
        <v>126.25036418</v>
      </c>
      <c r="W2416" s="1">
        <v>11.470985155</v>
      </c>
      <c r="X2416" s="1">
        <v>8.1820644812</v>
      </c>
      <c r="Y2416" s="1">
        <v>75.907960136</v>
      </c>
      <c r="Z2416" s="1">
        <v>16.9</v>
      </c>
      <c r="AA2416" s="1">
        <v>10.199620576</v>
      </c>
      <c r="AB2416" s="1">
        <v>44709.0</v>
      </c>
      <c r="AC2416" s="1">
        <v>56.606217617</v>
      </c>
      <c r="AD2416" s="1">
        <v>68.09623431</v>
      </c>
      <c r="AE2416" s="1">
        <v>9.530237581</v>
      </c>
      <c r="AF2416" s="1">
        <v>0.6700488178</v>
      </c>
      <c r="AG2416" s="1">
        <v>38.365080884</v>
      </c>
      <c r="AH2416" s="1">
        <v>0.2393031492</v>
      </c>
      <c r="AI2416" s="1">
        <v>0.009572126</v>
      </c>
      <c r="AJ2416" s="1">
        <v>4.1255862927</v>
      </c>
      <c r="AK2416" s="1">
        <v>55.7480616439999</v>
      </c>
      <c r="AL2416" s="1">
        <v>0.6010122311</v>
      </c>
      <c r="AM2416" s="1">
        <v>49.708050158</v>
      </c>
      <c r="AN2416" s="1">
        <v>100.0</v>
      </c>
      <c r="AO2416" s="1">
        <v>24426.0</v>
      </c>
      <c r="AP2416" s="1">
        <v>20.6</v>
      </c>
      <c r="AQ2416" s="1">
        <v>7.2</v>
      </c>
      <c r="AR2416" s="1">
        <v>12.9</v>
      </c>
      <c r="AS2416" s="1">
        <v>18.3</v>
      </c>
      <c r="AT2416" s="1">
        <v>28.3</v>
      </c>
      <c r="AU2416" s="1">
        <v>11.9</v>
      </c>
      <c r="AV2416" s="1">
        <v>41.7</v>
      </c>
      <c r="AW2416" s="1">
        <v>0.2</v>
      </c>
      <c r="AX2416" s="1">
        <v>0.6877</v>
      </c>
      <c r="AY2416" s="1">
        <v>19.6</v>
      </c>
      <c r="AZ2416" s="1">
        <v>12.8</v>
      </c>
      <c r="BA2416" s="1">
        <v>22.8</v>
      </c>
      <c r="BB2416" s="1">
        <v>3.32</v>
      </c>
      <c r="BC2416" s="1" t="s">
        <v>3897</v>
      </c>
      <c r="BD2416" s="1">
        <v>10.4</v>
      </c>
      <c r="BE2416" s="1">
        <v>35.5</v>
      </c>
      <c r="BF2416" s="1">
        <v>36.8</v>
      </c>
      <c r="BG2416" s="1">
        <v>17.3</v>
      </c>
      <c r="BH2416" s="1" t="s">
        <v>3980</v>
      </c>
    </row>
    <row r="2417">
      <c r="A2417" s="1">
        <v>46111.0</v>
      </c>
      <c r="B2417" s="2" t="str">
        <f>IFERROR(__xludf.DUMMYFUNCTION("TO_TEXT(A2417)"),"46111")</f>
        <v>46111</v>
      </c>
      <c r="C2417" s="1">
        <v>2349.0</v>
      </c>
      <c r="D2417" s="1">
        <v>569.34077558739</v>
      </c>
      <c r="E2417" s="1" t="s">
        <v>3981</v>
      </c>
      <c r="F2417" s="1" t="s">
        <v>3982</v>
      </c>
      <c r="G2417" s="1">
        <v>4.12582428788195</v>
      </c>
      <c r="H2417" s="1">
        <v>10.478453218</v>
      </c>
      <c r="I2417" s="1">
        <v>2.7226613936</v>
      </c>
      <c r="J2417" s="1">
        <v>4.8582995951</v>
      </c>
      <c r="K2417" s="1">
        <v>14.179939245</v>
      </c>
      <c r="L2417" s="1">
        <v>39.4</v>
      </c>
      <c r="M2417" s="1">
        <v>6.2</v>
      </c>
      <c r="N2417" s="1">
        <v>29.4</v>
      </c>
      <c r="O2417" s="1">
        <v>28.8747346069999</v>
      </c>
      <c r="P2417" s="1">
        <v>12.645422357</v>
      </c>
      <c r="Q2417" s="1">
        <v>48.31939</v>
      </c>
      <c r="R2417" s="1">
        <v>100.0</v>
      </c>
      <c r="S2417" s="1">
        <v>18.2</v>
      </c>
      <c r="T2417" s="1">
        <v>528.0</v>
      </c>
      <c r="U2417" s="1">
        <v>21.590909091</v>
      </c>
      <c r="V2417" s="1">
        <v>340.42553191</v>
      </c>
      <c r="W2417" s="1">
        <v>4.6728971963</v>
      </c>
      <c r="X2417" s="1">
        <v>3.7664783427</v>
      </c>
      <c r="Y2417" s="1">
        <v>79.9738921639999</v>
      </c>
      <c r="Z2417" s="1">
        <v>13.3</v>
      </c>
      <c r="AA2417" s="1">
        <v>29.5761310169999</v>
      </c>
      <c r="AB2417" s="1">
        <v>54874.0</v>
      </c>
      <c r="AC2417" s="1">
        <v>35.254988914</v>
      </c>
      <c r="AD2417" s="1">
        <v>70.789724072</v>
      </c>
      <c r="AE2417" s="1">
        <v>5.90631364559999</v>
      </c>
      <c r="AF2417" s="1">
        <v>0.1646768217</v>
      </c>
      <c r="AG2417" s="1">
        <v>0.4528612598</v>
      </c>
      <c r="AH2417" s="1">
        <v>0.288184438</v>
      </c>
      <c r="AI2417" s="1">
        <v>0.0</v>
      </c>
      <c r="AJ2417" s="1">
        <v>3.7052284891</v>
      </c>
      <c r="AK2417" s="1">
        <v>94.071634417</v>
      </c>
      <c r="AL2417" s="1">
        <v>0.7246376812</v>
      </c>
      <c r="AM2417" s="1">
        <v>47.87978592</v>
      </c>
      <c r="AN2417" s="1">
        <v>100.0</v>
      </c>
      <c r="AO2417" s="1">
        <v>31991.0</v>
      </c>
      <c r="AP2417" s="1">
        <v>8.6</v>
      </c>
      <c r="AQ2417" s="1">
        <v>2.9</v>
      </c>
      <c r="AR2417" s="1">
        <v>10.2</v>
      </c>
      <c r="AS2417" s="1">
        <v>20.2</v>
      </c>
      <c r="AT2417" s="1">
        <v>18.5</v>
      </c>
      <c r="AU2417" s="1">
        <v>14.0</v>
      </c>
      <c r="AV2417" s="1">
        <v>4.1</v>
      </c>
      <c r="AW2417" s="1">
        <v>1.3</v>
      </c>
      <c r="AX2417" s="1">
        <v>0.0283</v>
      </c>
      <c r="AY2417" s="1">
        <v>12.6</v>
      </c>
      <c r="AZ2417" s="1">
        <v>9.6</v>
      </c>
      <c r="BA2417" s="1">
        <v>16.2</v>
      </c>
      <c r="BB2417" s="1">
        <v>3.16</v>
      </c>
      <c r="BC2417" s="1" t="s">
        <v>3897</v>
      </c>
      <c r="BD2417" s="1">
        <v>6.6</v>
      </c>
      <c r="BE2417" s="1">
        <v>40.1</v>
      </c>
      <c r="BF2417" s="1">
        <v>31.6</v>
      </c>
      <c r="BG2417" s="1">
        <v>21.6</v>
      </c>
      <c r="BH2417" s="1" t="s">
        <v>3982</v>
      </c>
    </row>
    <row r="2418">
      <c r="A2418" s="1">
        <v>46115.0</v>
      </c>
      <c r="B2418" s="2" t="str">
        <f>IFERROR(__xludf.DUMMYFUNCTION("TO_TEXT(A2418)"),"46115")</f>
        <v>46115</v>
      </c>
      <c r="C2418" s="1">
        <v>6539.0</v>
      </c>
      <c r="D2418" s="1">
        <v>1503.5327712272</v>
      </c>
      <c r="E2418" s="1" t="s">
        <v>3983</v>
      </c>
      <c r="F2418" s="1" t="s">
        <v>3984</v>
      </c>
      <c r="G2418" s="1">
        <v>4.34909043895518</v>
      </c>
      <c r="H2418" s="1">
        <v>10.76643843</v>
      </c>
      <c r="I2418" s="1">
        <v>2.8126118417</v>
      </c>
      <c r="J2418" s="1">
        <v>5.0089445438</v>
      </c>
      <c r="K2418" s="1">
        <v>14.262682293</v>
      </c>
      <c r="L2418" s="1">
        <v>40.4</v>
      </c>
      <c r="M2418" s="1">
        <v>7.7</v>
      </c>
      <c r="N2418" s="1">
        <v>30.0</v>
      </c>
      <c r="O2418" s="1">
        <v>47.872174591</v>
      </c>
      <c r="P2418" s="1">
        <v>10.937816488</v>
      </c>
      <c r="Q2418" s="1">
        <v>31.20125</v>
      </c>
      <c r="R2418" s="1">
        <v>92.647058824</v>
      </c>
      <c r="S2418" s="1">
        <v>16.7</v>
      </c>
      <c r="T2418" s="1">
        <v>1538.0</v>
      </c>
      <c r="U2418" s="1">
        <v>29.908972692</v>
      </c>
      <c r="V2418" s="1">
        <v>22.725551095</v>
      </c>
      <c r="W2418" s="1">
        <v>8.1593927894</v>
      </c>
      <c r="X2418" s="1">
        <v>5.0957854406</v>
      </c>
      <c r="Y2418" s="1">
        <v>78.037276922</v>
      </c>
      <c r="Z2418" s="1">
        <v>14.3</v>
      </c>
      <c r="AA2418" s="1">
        <v>12.476285662</v>
      </c>
      <c r="AB2418" s="1">
        <v>50590.0</v>
      </c>
      <c r="AC2418" s="1">
        <v>28.700657895</v>
      </c>
      <c r="AD2418" s="1">
        <v>74.041745731</v>
      </c>
      <c r="AE2418" s="1">
        <v>6.0331230284</v>
      </c>
      <c r="AF2418" s="1">
        <v>0.6158583526</v>
      </c>
      <c r="AG2418" s="1">
        <v>2.6943802925</v>
      </c>
      <c r="AH2418" s="1">
        <v>0.0923787529</v>
      </c>
      <c r="AI2418" s="1">
        <v>0.0153964588</v>
      </c>
      <c r="AJ2418" s="1">
        <v>3.233256351</v>
      </c>
      <c r="AK2418" s="1">
        <v>93.64126251</v>
      </c>
      <c r="AL2418" s="1">
        <v>0.5210029306</v>
      </c>
      <c r="AM2418" s="1">
        <v>49.946112394</v>
      </c>
      <c r="AN2418" s="1">
        <v>100.0</v>
      </c>
      <c r="AO2418" s="1">
        <v>29158.0</v>
      </c>
      <c r="AP2418" s="1">
        <v>11.1</v>
      </c>
      <c r="AQ2418" s="1">
        <v>1.5</v>
      </c>
      <c r="AR2418" s="1">
        <v>7.7</v>
      </c>
      <c r="AS2418" s="1">
        <v>20.1</v>
      </c>
      <c r="AT2418" s="1">
        <v>23.9</v>
      </c>
      <c r="AU2418" s="1">
        <v>14.4</v>
      </c>
      <c r="AV2418" s="1">
        <v>4.9</v>
      </c>
      <c r="AW2418" s="1">
        <v>0.4</v>
      </c>
      <c r="AX2418" s="1">
        <v>0.2082</v>
      </c>
      <c r="AY2418" s="1">
        <v>11.5</v>
      </c>
      <c r="AZ2418" s="1">
        <v>9.6</v>
      </c>
      <c r="BA2418" s="1">
        <v>16.2</v>
      </c>
      <c r="BB2418" s="1">
        <v>3.18</v>
      </c>
      <c r="BC2418" s="1" t="s">
        <v>3897</v>
      </c>
      <c r="BD2418" s="1">
        <v>8.9</v>
      </c>
      <c r="BE2418" s="1">
        <v>37.2</v>
      </c>
      <c r="BF2418" s="1">
        <v>32.1</v>
      </c>
      <c r="BG2418" s="1">
        <v>21.8</v>
      </c>
      <c r="BH2418" s="1" t="s">
        <v>3984</v>
      </c>
    </row>
    <row r="2419">
      <c r="A2419" s="1">
        <v>46117.0</v>
      </c>
      <c r="B2419" s="2" t="str">
        <f>IFERROR(__xludf.DUMMYFUNCTION("TO_TEXT(A2419)"),"46117")</f>
        <v>46117</v>
      </c>
      <c r="C2419" s="1">
        <v>2964.0</v>
      </c>
      <c r="D2419" s="1">
        <v>1444.43102379683</v>
      </c>
      <c r="E2419" s="1" t="s">
        <v>3985</v>
      </c>
      <c r="F2419" s="1" t="s">
        <v>3986</v>
      </c>
      <c r="G2419" s="1">
        <v>2.05201906575562</v>
      </c>
      <c r="H2419" s="1">
        <v>9.6253052692</v>
      </c>
      <c r="I2419" s="1">
        <v>2.6517962437</v>
      </c>
      <c r="J2419" s="1">
        <v>5.5555555556</v>
      </c>
      <c r="K2419" s="1">
        <v>13.100524157</v>
      </c>
      <c r="L2419" s="1">
        <v>28.0</v>
      </c>
      <c r="M2419" s="1">
        <v>8.6</v>
      </c>
      <c r="N2419" s="1">
        <v>23.2</v>
      </c>
      <c r="O2419" s="1">
        <v>85.5697909639999</v>
      </c>
      <c r="P2419" s="1">
        <v>10.397680199</v>
      </c>
      <c r="Q2419" s="1">
        <v>66.42312</v>
      </c>
      <c r="R2419" s="1">
        <v>94.871794872</v>
      </c>
      <c r="S2419" s="1">
        <v>11.0</v>
      </c>
      <c r="T2419" s="1">
        <v>758.0</v>
      </c>
      <c r="U2419" s="1">
        <v>31.266490765</v>
      </c>
      <c r="V2419" s="1">
        <v>135.02109705</v>
      </c>
      <c r="W2419" s="1">
        <v>6.92307692309999</v>
      </c>
      <c r="X2419" s="1">
        <v>5.0196078431</v>
      </c>
      <c r="Y2419" s="1">
        <v>88.036166956</v>
      </c>
      <c r="Z2419" s="1">
        <v>11.1</v>
      </c>
      <c r="AA2419" s="1">
        <v>5.5365884883</v>
      </c>
      <c r="AB2419" s="1">
        <v>69991.0</v>
      </c>
      <c r="AC2419" s="1">
        <v>30.357142857</v>
      </c>
      <c r="AD2419" s="1">
        <v>80.933544304</v>
      </c>
      <c r="AE2419" s="1">
        <v>2.7530364372</v>
      </c>
      <c r="AF2419" s="1">
        <v>0.6287227002</v>
      </c>
      <c r="AG2419" s="1">
        <v>6.8828590338</v>
      </c>
      <c r="AH2419" s="1">
        <v>0.2647253475</v>
      </c>
      <c r="AI2419" s="1">
        <v>0.0</v>
      </c>
      <c r="AJ2419" s="1">
        <v>2.6141628061</v>
      </c>
      <c r="AK2419" s="1">
        <v>87.2600926539999</v>
      </c>
      <c r="AL2419" s="1">
        <v>0.0</v>
      </c>
      <c r="AM2419" s="1">
        <v>48.709463931</v>
      </c>
      <c r="AN2419" s="1">
        <v>42.515171949</v>
      </c>
      <c r="AO2419" s="1">
        <v>33470.0</v>
      </c>
      <c r="AP2419" s="1">
        <v>7.2</v>
      </c>
      <c r="AQ2419" s="1">
        <v>1.3</v>
      </c>
      <c r="AR2419" s="1">
        <v>9.2</v>
      </c>
      <c r="AS2419" s="1">
        <v>18.1</v>
      </c>
      <c r="AT2419" s="1">
        <v>23.8</v>
      </c>
      <c r="AU2419" s="1">
        <v>8.5</v>
      </c>
      <c r="AV2419" s="1">
        <v>11.2</v>
      </c>
      <c r="AW2419" s="1">
        <v>0.0</v>
      </c>
      <c r="AX2419" s="1">
        <v>0.1519</v>
      </c>
      <c r="AY2419" s="1">
        <v>7.7</v>
      </c>
      <c r="AZ2419" s="1">
        <v>6.4</v>
      </c>
      <c r="BA2419" s="1">
        <v>11.4</v>
      </c>
      <c r="BB2419" s="1">
        <v>3.22</v>
      </c>
      <c r="BC2419" s="1" t="s">
        <v>3897</v>
      </c>
      <c r="BD2419" s="1">
        <v>5.1</v>
      </c>
      <c r="BE2419" s="1">
        <v>30.6</v>
      </c>
      <c r="BF2419" s="1">
        <v>32.2</v>
      </c>
      <c r="BG2419" s="1">
        <v>32.1</v>
      </c>
      <c r="BH2419" s="1" t="s">
        <v>3986</v>
      </c>
    </row>
    <row r="2420">
      <c r="A2420" s="1">
        <v>46119.0</v>
      </c>
      <c r="B2420" s="2" t="str">
        <f>IFERROR(__xludf.DUMMYFUNCTION("TO_TEXT(A2420)"),"46119")</f>
        <v>46119</v>
      </c>
      <c r="C2420" s="1">
        <v>1456.0</v>
      </c>
      <c r="D2420" s="1">
        <v>1006.82062470884</v>
      </c>
      <c r="E2420" s="1" t="s">
        <v>3987</v>
      </c>
      <c r="F2420" s="1" t="s">
        <v>3988</v>
      </c>
      <c r="G2420" s="1">
        <v>1.4461364460239</v>
      </c>
      <c r="H2420" s="1">
        <v>9.73406349279999</v>
      </c>
      <c r="I2420" s="1">
        <v>2.6748847795</v>
      </c>
      <c r="J2420" s="1">
        <v>7.80443539465</v>
      </c>
      <c r="K2420" s="1">
        <v>12.712374163</v>
      </c>
      <c r="L2420" s="1">
        <v>27.8</v>
      </c>
      <c r="M2420" s="1">
        <v>7.6</v>
      </c>
      <c r="N2420" s="1">
        <v>22.7</v>
      </c>
      <c r="O2420" s="1">
        <v>5.53532410779999</v>
      </c>
      <c r="P2420" s="1">
        <v>12.534562212</v>
      </c>
      <c r="Q2420" s="1">
        <v>71.07321</v>
      </c>
      <c r="R2420" s="1">
        <v>93.333333333</v>
      </c>
      <c r="S2420" s="1">
        <v>10.3</v>
      </c>
      <c r="T2420" s="1">
        <v>317.0</v>
      </c>
      <c r="U2420" s="1">
        <v>21.451104101</v>
      </c>
      <c r="V2420" s="1">
        <v>34.626038781</v>
      </c>
      <c r="W2420" s="1">
        <v>3.2203389831</v>
      </c>
      <c r="X2420" s="1">
        <v>3.9655172414</v>
      </c>
      <c r="Y2420" s="1">
        <v>77.482572377</v>
      </c>
      <c r="Z2420" s="1">
        <v>5.5</v>
      </c>
      <c r="AA2420" s="1">
        <v>17.637874161</v>
      </c>
      <c r="AB2420" s="1">
        <v>59457.0</v>
      </c>
      <c r="AC2420" s="1">
        <v>24.6511627909999</v>
      </c>
      <c r="AD2420" s="1">
        <v>82.363315697</v>
      </c>
      <c r="AE2420" s="1">
        <v>3.3333333333</v>
      </c>
      <c r="AF2420" s="1">
        <v>0.4310344828</v>
      </c>
      <c r="AG2420" s="1">
        <v>2.4425287356</v>
      </c>
      <c r="AH2420" s="1">
        <v>0.1436781609</v>
      </c>
      <c r="AI2420" s="1">
        <v>0.0</v>
      </c>
      <c r="AJ2420" s="1">
        <v>2.4425287356</v>
      </c>
      <c r="AK2420" s="1">
        <v>93.3908045979999</v>
      </c>
      <c r="AL2420" s="1">
        <v>0.0</v>
      </c>
      <c r="AM2420" s="1">
        <v>47.413793103</v>
      </c>
      <c r="AN2420" s="1">
        <v>100.0</v>
      </c>
      <c r="AO2420" s="1">
        <v>40042.0</v>
      </c>
      <c r="AP2420" s="1">
        <v>4.4</v>
      </c>
      <c r="AQ2420" s="1">
        <v>0.7</v>
      </c>
      <c r="AR2420" s="1">
        <v>8.3</v>
      </c>
      <c r="AS2420" s="1">
        <v>19.1</v>
      </c>
      <c r="AT2420" s="1">
        <v>24.0</v>
      </c>
      <c r="AU2420" s="1">
        <v>11.0</v>
      </c>
      <c r="AV2420" s="1">
        <v>0.8</v>
      </c>
      <c r="AW2420" s="1">
        <v>0.0</v>
      </c>
      <c r="AX2420" s="1">
        <v>0.0092</v>
      </c>
      <c r="AY2420" s="1">
        <v>8.2</v>
      </c>
      <c r="AZ2420" s="1">
        <v>6.6</v>
      </c>
      <c r="BA2420" s="1">
        <v>10.2</v>
      </c>
      <c r="BB2420" s="1">
        <v>3.16</v>
      </c>
      <c r="BC2420" s="1" t="s">
        <v>3897</v>
      </c>
      <c r="BD2420" s="1">
        <v>4.4</v>
      </c>
      <c r="BE2420" s="1">
        <v>33.7</v>
      </c>
      <c r="BF2420" s="1">
        <v>36.9</v>
      </c>
      <c r="BG2420" s="1">
        <v>25.0</v>
      </c>
      <c r="BH2420" s="1" t="s">
        <v>3988</v>
      </c>
    </row>
    <row r="2421">
      <c r="A2421" s="1">
        <v>46121.0</v>
      </c>
      <c r="B2421" s="2" t="str">
        <f>IFERROR(__xludf.DUMMYFUNCTION("TO_TEXT(A2421)"),"46121")</f>
        <v>46121</v>
      </c>
      <c r="C2421" s="1">
        <v>10019.0</v>
      </c>
      <c r="D2421" s="1">
        <v>1388.52699204945</v>
      </c>
      <c r="E2421" s="1" t="s">
        <v>1921</v>
      </c>
      <c r="F2421" s="1" t="s">
        <v>3989</v>
      </c>
      <c r="G2421" s="1">
        <v>7.21556012765158</v>
      </c>
      <c r="H2421" s="1">
        <v>28.916489394</v>
      </c>
      <c r="I2421" s="1">
        <v>5.0268536449</v>
      </c>
      <c r="J2421" s="1">
        <v>8.1051478642</v>
      </c>
      <c r="K2421" s="1">
        <v>41.491308954</v>
      </c>
      <c r="L2421" s="1">
        <v>38.7</v>
      </c>
      <c r="M2421" s="1">
        <v>4.7</v>
      </c>
      <c r="N2421" s="1">
        <v>28.4</v>
      </c>
      <c r="O2421" s="1">
        <v>52.122347066</v>
      </c>
      <c r="P2421" s="1">
        <v>17.382482246</v>
      </c>
      <c r="Q2421" s="1">
        <v>19.87084</v>
      </c>
      <c r="R2421" s="1">
        <v>65.384615385</v>
      </c>
      <c r="S2421" s="1">
        <v>53.0</v>
      </c>
      <c r="T2421" s="1">
        <v>4003.0</v>
      </c>
      <c r="U2421" s="1">
        <v>72.770422183</v>
      </c>
      <c r="V2421" s="1">
        <v>204.509002055</v>
      </c>
      <c r="W2421" s="1">
        <v>29.690346084</v>
      </c>
      <c r="X2421" s="1">
        <v>13.527131783</v>
      </c>
      <c r="Y2421" s="1">
        <v>66.741734576</v>
      </c>
      <c r="Z2421" s="1">
        <v>14.2</v>
      </c>
      <c r="AA2421" s="1">
        <v>14.264735447</v>
      </c>
      <c r="AB2421" s="1">
        <v>31876.0</v>
      </c>
      <c r="AC2421" s="1">
        <v>100.0</v>
      </c>
      <c r="AD2421" s="1">
        <v>43.692193859</v>
      </c>
      <c r="AE2421" s="1">
        <v>14.603174603</v>
      </c>
      <c r="AF2421" s="1">
        <v>0.5348633667</v>
      </c>
      <c r="AG2421" s="1">
        <v>85.714285714</v>
      </c>
      <c r="AH2421" s="1">
        <v>2.6159681027</v>
      </c>
      <c r="AI2421" s="1">
        <v>0.0</v>
      </c>
      <c r="AJ2421" s="1">
        <v>4.1816590489</v>
      </c>
      <c r="AK2421" s="1">
        <v>7.9548769814</v>
      </c>
      <c r="AL2421" s="1">
        <v>0.5396290051</v>
      </c>
      <c r="AM2421" s="1">
        <v>51.337158417</v>
      </c>
      <c r="AN2421" s="1">
        <v>100.0</v>
      </c>
      <c r="AO2421" s="1">
        <v>11821.0</v>
      </c>
      <c r="AP2421" s="1">
        <v>47.1</v>
      </c>
      <c r="AQ2421" s="1">
        <v>21.2</v>
      </c>
      <c r="AR2421" s="1">
        <v>20.7</v>
      </c>
      <c r="AS2421" s="1">
        <v>7.2</v>
      </c>
      <c r="AT2421" s="1">
        <v>40.3</v>
      </c>
      <c r="AU2421" s="1">
        <v>14.3</v>
      </c>
      <c r="AV2421" s="1">
        <v>91.2</v>
      </c>
      <c r="AW2421" s="1">
        <v>0.5</v>
      </c>
      <c r="AX2421" s="1">
        <v>0.9713</v>
      </c>
      <c r="AY2421" s="1">
        <v>43.4</v>
      </c>
      <c r="AZ2421" s="1">
        <v>25.9</v>
      </c>
      <c r="BA2421" s="1">
        <v>34.5</v>
      </c>
      <c r="BB2421" s="1">
        <v>3.55</v>
      </c>
      <c r="BC2421" s="1" t="s">
        <v>3897</v>
      </c>
      <c r="BD2421" s="1">
        <v>20.1</v>
      </c>
      <c r="BE2421" s="1">
        <v>31.7</v>
      </c>
      <c r="BF2421" s="1">
        <v>32.5</v>
      </c>
      <c r="BG2421" s="1">
        <v>15.6</v>
      </c>
      <c r="BH2421" s="1" t="s">
        <v>3989</v>
      </c>
    </row>
    <row r="2422">
      <c r="A2422" s="1">
        <v>46123.0</v>
      </c>
      <c r="B2422" s="2" t="str">
        <f>IFERROR(__xludf.DUMMYFUNCTION("TO_TEXT(A2422)"),"46123")</f>
        <v>46123</v>
      </c>
      <c r="C2422" s="1">
        <v>5475.0</v>
      </c>
      <c r="D2422" s="1">
        <v>1612.4521836513</v>
      </c>
      <c r="E2422" s="1" t="s">
        <v>3990</v>
      </c>
      <c r="F2422" s="1" t="s">
        <v>3991</v>
      </c>
      <c r="G2422" s="1">
        <v>3.39544952434012</v>
      </c>
      <c r="H2422" s="1">
        <v>14.078279616</v>
      </c>
      <c r="I2422" s="1">
        <v>3.3188755457</v>
      </c>
      <c r="J2422" s="1">
        <v>7.1698113208</v>
      </c>
      <c r="K2422" s="1">
        <v>17.335888914</v>
      </c>
      <c r="L2422" s="1">
        <v>35.6</v>
      </c>
      <c r="M2422" s="1">
        <v>7.5</v>
      </c>
      <c r="N2422" s="1">
        <v>28.0</v>
      </c>
      <c r="O2422" s="1">
        <v>58.77037562</v>
      </c>
      <c r="P2422" s="1">
        <v>17.836398838</v>
      </c>
      <c r="Q2422" s="1">
        <v>91.57509</v>
      </c>
      <c r="R2422" s="1">
        <v>91.935483871</v>
      </c>
      <c r="S2422" s="1">
        <v>28.9</v>
      </c>
      <c r="T2422" s="1">
        <v>1230.0</v>
      </c>
      <c r="U2422" s="1">
        <v>33.25203252</v>
      </c>
      <c r="V2422" s="1">
        <v>147.46543779</v>
      </c>
      <c r="W2422" s="1">
        <v>11.9140625</v>
      </c>
      <c r="X2422" s="1">
        <v>11.9842829079999</v>
      </c>
      <c r="Y2422" s="1">
        <v>77.319158441</v>
      </c>
      <c r="Z2422" s="1">
        <v>10.8</v>
      </c>
      <c r="AA2422" s="1">
        <v>8.8414197071</v>
      </c>
      <c r="AB2422" s="1">
        <v>45710.0</v>
      </c>
      <c r="AC2422" s="1">
        <v>46.186440678</v>
      </c>
      <c r="AD2422" s="1">
        <v>73.27514547</v>
      </c>
      <c r="AE2422" s="1">
        <v>12.6329787229999</v>
      </c>
      <c r="AF2422" s="1">
        <v>0.4381161008</v>
      </c>
      <c r="AG2422" s="1">
        <v>14.658634538</v>
      </c>
      <c r="AH2422" s="1">
        <v>0.3833515882</v>
      </c>
      <c r="AI2422" s="1">
        <v>0.0</v>
      </c>
      <c r="AJ2422" s="1">
        <v>2.2453450164</v>
      </c>
      <c r="AK2422" s="1">
        <v>80.8506754289999</v>
      </c>
      <c r="AL2422" s="1">
        <v>0.1368523949</v>
      </c>
      <c r="AM2422" s="1">
        <v>49.598393574</v>
      </c>
      <c r="AN2422" s="1">
        <v>48.4939759039999</v>
      </c>
      <c r="AO2422" s="1">
        <v>26270.0</v>
      </c>
      <c r="AP2422" s="1">
        <v>21.6</v>
      </c>
      <c r="AQ2422" s="1">
        <v>0.6</v>
      </c>
      <c r="AR2422" s="1">
        <v>12.5</v>
      </c>
      <c r="AS2422" s="1">
        <v>20.8</v>
      </c>
      <c r="AT2422" s="1">
        <v>22.5</v>
      </c>
      <c r="AU2422" s="1">
        <v>11.6</v>
      </c>
      <c r="AV2422" s="1">
        <v>18.1</v>
      </c>
      <c r="AW2422" s="1">
        <v>0.0</v>
      </c>
      <c r="AX2422" s="1">
        <v>0.4104</v>
      </c>
      <c r="AY2422" s="1">
        <v>18.8</v>
      </c>
      <c r="AZ2422" s="1">
        <v>11.8</v>
      </c>
      <c r="BA2422" s="1">
        <v>21.2</v>
      </c>
      <c r="BB2422" s="1">
        <v>3.52</v>
      </c>
      <c r="BC2422" s="1" t="s">
        <v>3897</v>
      </c>
      <c r="BD2422" s="1">
        <v>9.1</v>
      </c>
      <c r="BE2422" s="1">
        <v>41.1</v>
      </c>
      <c r="BF2422" s="1">
        <v>27.5</v>
      </c>
      <c r="BG2422" s="1">
        <v>22.3</v>
      </c>
      <c r="BH2422" s="1" t="s">
        <v>3991</v>
      </c>
    </row>
    <row r="2423">
      <c r="A2423" s="1">
        <v>46125.0</v>
      </c>
      <c r="B2423" s="2" t="str">
        <f>IFERROR(__xludf.DUMMYFUNCTION("TO_TEXT(A2423)"),"46125")</f>
        <v>46125</v>
      </c>
      <c r="C2423" s="1">
        <v>8289.0</v>
      </c>
      <c r="D2423" s="1">
        <v>617.058274273499</v>
      </c>
      <c r="E2423" s="1" t="s">
        <v>1034</v>
      </c>
      <c r="F2423" s="1" t="s">
        <v>3992</v>
      </c>
      <c r="G2423" s="1">
        <v>13.4330910800266</v>
      </c>
      <c r="H2423" s="1">
        <v>10.882332361</v>
      </c>
      <c r="I2423" s="1">
        <v>2.9085840366</v>
      </c>
      <c r="J2423" s="1">
        <v>4.5383411581</v>
      </c>
      <c r="K2423" s="1">
        <v>13.7939336209999</v>
      </c>
      <c r="L2423" s="1">
        <v>37.8</v>
      </c>
      <c r="M2423" s="1">
        <v>8.8</v>
      </c>
      <c r="N2423" s="1">
        <v>22.3</v>
      </c>
      <c r="O2423" s="1">
        <v>57.577572781</v>
      </c>
      <c r="P2423" s="1">
        <v>9.7467968273</v>
      </c>
      <c r="Q2423" s="1">
        <v>48.31939</v>
      </c>
      <c r="R2423" s="1">
        <v>87.155963303</v>
      </c>
      <c r="S2423" s="1">
        <v>11.0</v>
      </c>
      <c r="T2423" s="1">
        <v>1932.0</v>
      </c>
      <c r="U2423" s="1">
        <v>21.739130435</v>
      </c>
      <c r="V2423" s="1">
        <v>139.09046928</v>
      </c>
      <c r="W2423" s="1">
        <v>9.3659942363</v>
      </c>
      <c r="X2423" s="1">
        <v>7.9708029197</v>
      </c>
      <c r="Y2423" s="1">
        <v>77.465967459</v>
      </c>
      <c r="Z2423" s="1">
        <v>10.4</v>
      </c>
      <c r="AA2423" s="1">
        <v>0.530292126</v>
      </c>
      <c r="AB2423" s="1">
        <v>62792.0</v>
      </c>
      <c r="AC2423" s="1">
        <v>31.827805222</v>
      </c>
      <c r="AD2423" s="1">
        <v>77.982708934</v>
      </c>
      <c r="AE2423" s="1">
        <v>7.9365079365</v>
      </c>
      <c r="AF2423" s="1">
        <v>0.5341880342</v>
      </c>
      <c r="AG2423" s="1">
        <v>1.1158594492</v>
      </c>
      <c r="AH2423" s="1">
        <v>0.2136752137</v>
      </c>
      <c r="AI2423" s="1">
        <v>0.0474833808</v>
      </c>
      <c r="AJ2423" s="1">
        <v>2.7777777778</v>
      </c>
      <c r="AK2423" s="1">
        <v>94.7293447289999</v>
      </c>
      <c r="AL2423" s="1">
        <v>0.6442468754</v>
      </c>
      <c r="AM2423" s="1">
        <v>49.655745489</v>
      </c>
      <c r="AN2423" s="1">
        <v>100.0</v>
      </c>
      <c r="AO2423" s="1">
        <v>27405.0</v>
      </c>
      <c r="AP2423" s="1">
        <v>10.3</v>
      </c>
      <c r="AQ2423" s="1">
        <v>2.3</v>
      </c>
      <c r="AR2423" s="1">
        <v>7.8</v>
      </c>
      <c r="AS2423" s="1">
        <v>20.3</v>
      </c>
      <c r="AT2423" s="1">
        <v>23.6</v>
      </c>
      <c r="AU2423" s="1">
        <v>13.3</v>
      </c>
      <c r="AV2423" s="1">
        <v>4.2</v>
      </c>
      <c r="AW2423" s="1">
        <v>0.7</v>
      </c>
      <c r="AX2423" s="1">
        <v>0.0981</v>
      </c>
      <c r="AY2423" s="1">
        <v>10.1</v>
      </c>
      <c r="AZ2423" s="1">
        <v>9.6</v>
      </c>
      <c r="BA2423" s="1">
        <v>15.8</v>
      </c>
      <c r="BB2423" s="1">
        <v>3.1</v>
      </c>
      <c r="BC2423" s="1" t="s">
        <v>3897</v>
      </c>
      <c r="BD2423" s="1">
        <v>8.0</v>
      </c>
      <c r="BE2423" s="1">
        <v>33.7</v>
      </c>
      <c r="BF2423" s="1">
        <v>34.6</v>
      </c>
      <c r="BG2423" s="1">
        <v>23.7</v>
      </c>
      <c r="BH2423" s="1" t="s">
        <v>3992</v>
      </c>
    </row>
    <row r="2424">
      <c r="A2424" s="1">
        <v>46127.0</v>
      </c>
      <c r="B2424" s="2" t="str">
        <f>IFERROR(__xludf.DUMMYFUNCTION("TO_TEXT(A2424)"),"46127")</f>
        <v>46127</v>
      </c>
      <c r="C2424" s="1">
        <v>14842.0</v>
      </c>
      <c r="D2424" s="1">
        <v>460.733475664828</v>
      </c>
      <c r="E2424" s="1" t="s">
        <v>406</v>
      </c>
      <c r="F2424" s="1" t="s">
        <v>3993</v>
      </c>
      <c r="G2424" s="1">
        <v>32.2138520075697</v>
      </c>
      <c r="H2424" s="1">
        <v>9.741206707</v>
      </c>
      <c r="I2424" s="1">
        <v>2.6285744623</v>
      </c>
      <c r="J2424" s="1">
        <v>6.1802575107</v>
      </c>
      <c r="K2424" s="1">
        <v>13.072529471</v>
      </c>
      <c r="L2424" s="1">
        <v>30.3</v>
      </c>
      <c r="M2424" s="1">
        <v>8.7</v>
      </c>
      <c r="N2424" s="1">
        <v>24.4</v>
      </c>
      <c r="O2424" s="1">
        <v>71.817487326</v>
      </c>
      <c r="P2424" s="1">
        <v>7.8475336323</v>
      </c>
      <c r="Q2424" s="1">
        <v>66.53803</v>
      </c>
      <c r="R2424" s="1">
        <v>92.946058091</v>
      </c>
      <c r="S2424" s="1">
        <v>6.2</v>
      </c>
      <c r="T2424" s="1">
        <v>3641.0</v>
      </c>
      <c r="U2424" s="1">
        <v>21.202966218</v>
      </c>
      <c r="V2424" s="1">
        <v>145.69993482</v>
      </c>
      <c r="W2424" s="1">
        <v>7.2908036454</v>
      </c>
      <c r="X2424" s="1">
        <v>6.1231281198</v>
      </c>
      <c r="Y2424" s="1">
        <v>81.201908818</v>
      </c>
      <c r="Z2424" s="1">
        <v>12.7</v>
      </c>
      <c r="AA2424" s="1">
        <v>2.2725610316</v>
      </c>
      <c r="AB2424" s="1">
        <v>80698.0</v>
      </c>
      <c r="AC2424" s="1">
        <v>18.266048974</v>
      </c>
      <c r="AD2424" s="1">
        <v>70.710196503</v>
      </c>
      <c r="AE2424" s="1">
        <v>6.1777284968</v>
      </c>
      <c r="AF2424" s="1">
        <v>1.1140277867</v>
      </c>
      <c r="AG2424" s="1">
        <v>0.8387220693</v>
      </c>
      <c r="AH2424" s="1">
        <v>1.5750048018</v>
      </c>
      <c r="AI2424" s="1">
        <v>0.0384147513</v>
      </c>
      <c r="AJ2424" s="1">
        <v>3.1820218964</v>
      </c>
      <c r="AK2424" s="1">
        <v>91.95210961</v>
      </c>
      <c r="AL2424" s="1">
        <v>0.2725938352</v>
      </c>
      <c r="AM2424" s="1">
        <v>49.587041424</v>
      </c>
      <c r="AN2424" s="1">
        <v>61.393152302</v>
      </c>
      <c r="AO2424" s="1">
        <v>35565.0</v>
      </c>
      <c r="AP2424" s="1">
        <v>6.4</v>
      </c>
      <c r="AQ2424" s="1">
        <v>2.7</v>
      </c>
      <c r="AR2424" s="1">
        <v>8.7</v>
      </c>
      <c r="AS2424" s="1">
        <v>15.7</v>
      </c>
      <c r="AT2424" s="1">
        <v>24.7</v>
      </c>
      <c r="AU2424" s="1">
        <v>11.0</v>
      </c>
      <c r="AV2424" s="1">
        <v>7.1</v>
      </c>
      <c r="AW2424" s="1">
        <v>0.4</v>
      </c>
      <c r="AX2424" s="1">
        <v>0.0306</v>
      </c>
      <c r="AY2424" s="1">
        <v>6.3</v>
      </c>
      <c r="AZ2424" s="1">
        <v>8.3</v>
      </c>
      <c r="BA2424" s="1">
        <v>13.2</v>
      </c>
      <c r="BB2424" s="1">
        <v>3.09</v>
      </c>
      <c r="BC2424" s="1" t="s">
        <v>3897</v>
      </c>
      <c r="BD2424" s="1">
        <v>7.4</v>
      </c>
      <c r="BE2424" s="1">
        <v>29.5</v>
      </c>
      <c r="BF2424" s="1">
        <v>32.5</v>
      </c>
      <c r="BG2424" s="1">
        <v>30.6</v>
      </c>
      <c r="BH2424" s="1" t="s">
        <v>3993</v>
      </c>
    </row>
    <row r="2425">
      <c r="A2425" s="1">
        <v>46129.0</v>
      </c>
      <c r="B2425" s="2" t="str">
        <f>IFERROR(__xludf.DUMMYFUNCTION("TO_TEXT(A2425)"),"46129")</f>
        <v>46129</v>
      </c>
      <c r="C2425" s="1">
        <v>5538.0</v>
      </c>
      <c r="D2425" s="1">
        <v>708.631517279716</v>
      </c>
      <c r="E2425" s="1" t="s">
        <v>3994</v>
      </c>
      <c r="F2425" s="1" t="s">
        <v>3995</v>
      </c>
      <c r="G2425" s="1">
        <v>7.81506306868652</v>
      </c>
      <c r="H2425" s="1">
        <v>11.413656256</v>
      </c>
      <c r="I2425" s="1">
        <v>2.95793426</v>
      </c>
      <c r="J2425" s="1">
        <v>5.6710775047</v>
      </c>
      <c r="K2425" s="1">
        <v>15.0027619159999</v>
      </c>
      <c r="L2425" s="1">
        <v>31.6</v>
      </c>
      <c r="M2425" s="1">
        <v>7.7</v>
      </c>
      <c r="N2425" s="1">
        <v>24.6</v>
      </c>
      <c r="O2425" s="1">
        <v>64.5273997789999</v>
      </c>
      <c r="P2425" s="1">
        <v>13.277511962</v>
      </c>
      <c r="Q2425" s="1">
        <v>90.20386</v>
      </c>
      <c r="R2425" s="1">
        <v>96.103896104</v>
      </c>
      <c r="S2425" s="1">
        <v>19.1</v>
      </c>
      <c r="T2425" s="1">
        <v>1274.0</v>
      </c>
      <c r="U2425" s="1">
        <v>20.015698587</v>
      </c>
      <c r="V2425" s="1">
        <v>260.94520151</v>
      </c>
      <c r="W2425" s="1">
        <v>7.93991416309999</v>
      </c>
      <c r="X2425" s="1">
        <v>6.0147122458</v>
      </c>
      <c r="Y2425" s="1">
        <v>77.333283783</v>
      </c>
      <c r="Z2425" s="1">
        <v>14.2</v>
      </c>
      <c r="AA2425" s="1">
        <v>8.8899743282</v>
      </c>
      <c r="AB2425" s="1">
        <v>48394.0</v>
      </c>
      <c r="AC2425" s="1">
        <v>35.731707317</v>
      </c>
      <c r="AD2425" s="1">
        <v>75.087108014</v>
      </c>
      <c r="AE2425" s="1">
        <v>8.7129588678</v>
      </c>
      <c r="AF2425" s="1">
        <v>0.4295686415</v>
      </c>
      <c r="AG2425" s="1">
        <v>14.3189547159999</v>
      </c>
      <c r="AH2425" s="1">
        <v>3.3470556649</v>
      </c>
      <c r="AI2425" s="1">
        <v>0.0178986934</v>
      </c>
      <c r="AJ2425" s="1">
        <v>2.2373366744</v>
      </c>
      <c r="AK2425" s="1">
        <v>77.197064614</v>
      </c>
      <c r="AL2425" s="1">
        <v>0.5812826972</v>
      </c>
      <c r="AM2425" s="1">
        <v>50.331125828</v>
      </c>
      <c r="AN2425" s="1">
        <v>36.42883413</v>
      </c>
      <c r="AO2425" s="1">
        <v>29199.0</v>
      </c>
      <c r="AP2425" s="1">
        <v>10.8</v>
      </c>
      <c r="AQ2425" s="1">
        <v>3.4</v>
      </c>
      <c r="AR2425" s="1">
        <v>12.2</v>
      </c>
      <c r="AS2425" s="1">
        <v>23.7</v>
      </c>
      <c r="AT2425" s="1">
        <v>22.7</v>
      </c>
      <c r="AU2425" s="1">
        <v>15.5</v>
      </c>
      <c r="AV2425" s="1">
        <v>19.8</v>
      </c>
      <c r="AW2425" s="1">
        <v>0.4</v>
      </c>
      <c r="AX2425" s="1">
        <v>0.3534</v>
      </c>
      <c r="AY2425" s="1">
        <v>15.1</v>
      </c>
      <c r="AZ2425" s="1">
        <v>10.9</v>
      </c>
      <c r="BA2425" s="1">
        <v>16.6</v>
      </c>
      <c r="BB2425" s="1">
        <v>3.02</v>
      </c>
      <c r="BC2425" s="1" t="s">
        <v>3897</v>
      </c>
      <c r="BD2425" s="1">
        <v>10.0</v>
      </c>
      <c r="BE2425" s="1">
        <v>38.0</v>
      </c>
      <c r="BF2425" s="1">
        <v>27.1</v>
      </c>
      <c r="BG2425" s="1">
        <v>24.9</v>
      </c>
      <c r="BH2425" s="1" t="s">
        <v>3995</v>
      </c>
    </row>
    <row r="2426">
      <c r="A2426" s="1">
        <v>46135.0</v>
      </c>
      <c r="B2426" s="2" t="str">
        <f>IFERROR(__xludf.DUMMYFUNCTION("TO_TEXT(A2426)"),"46135")</f>
        <v>46135</v>
      </c>
      <c r="C2426" s="1">
        <v>22649.0</v>
      </c>
      <c r="D2426" s="1">
        <v>521.164933672672</v>
      </c>
      <c r="E2426" s="1" t="s">
        <v>3996</v>
      </c>
      <c r="F2426" s="1" t="s">
        <v>3997</v>
      </c>
      <c r="G2426" s="1">
        <v>43.4584112180985</v>
      </c>
      <c r="H2426" s="1">
        <v>11.58755556</v>
      </c>
      <c r="I2426" s="1">
        <v>2.8666594049</v>
      </c>
      <c r="J2426" s="1">
        <v>7.254697286</v>
      </c>
      <c r="K2426" s="1">
        <v>14.766601843</v>
      </c>
      <c r="L2426" s="1">
        <v>37.6</v>
      </c>
      <c r="M2426" s="1">
        <v>7.7</v>
      </c>
      <c r="N2426" s="1">
        <v>18.6</v>
      </c>
      <c r="O2426" s="1">
        <v>83.483376415</v>
      </c>
      <c r="P2426" s="1">
        <v>9.3237032173</v>
      </c>
      <c r="Q2426" s="1">
        <v>97.07881</v>
      </c>
      <c r="R2426" s="1">
        <v>95.652173913</v>
      </c>
      <c r="S2426" s="1">
        <v>12.0</v>
      </c>
      <c r="T2426" s="1">
        <v>4752.0</v>
      </c>
      <c r="U2426" s="1">
        <v>34.238215488</v>
      </c>
      <c r="V2426" s="1">
        <v>290.23746702</v>
      </c>
      <c r="W2426" s="1">
        <v>12.1195351409999</v>
      </c>
      <c r="X2426" s="1">
        <v>11.5617977529999</v>
      </c>
      <c r="Y2426" s="1">
        <v>78.863702784</v>
      </c>
      <c r="Z2426" s="1">
        <v>9.0</v>
      </c>
      <c r="AA2426" s="1">
        <v>9.583009062</v>
      </c>
      <c r="AB2426" s="1">
        <v>56535.0</v>
      </c>
      <c r="AC2426" s="1">
        <v>33.156083829</v>
      </c>
      <c r="AD2426" s="1">
        <v>65.231328133</v>
      </c>
      <c r="AE2426" s="1">
        <v>9.3122737743</v>
      </c>
      <c r="AF2426" s="1">
        <v>1.9371201189</v>
      </c>
      <c r="AG2426" s="1">
        <v>3.2052122961</v>
      </c>
      <c r="AH2426" s="1">
        <v>0.9051554506</v>
      </c>
      <c r="AI2426" s="1">
        <v>0.0481000481</v>
      </c>
      <c r="AJ2426" s="1">
        <v>4.9630504176</v>
      </c>
      <c r="AK2426" s="1">
        <v>87.813196904</v>
      </c>
      <c r="AL2426" s="1">
        <v>0.5150536124</v>
      </c>
      <c r="AM2426" s="1">
        <v>47.9644934189999</v>
      </c>
      <c r="AN2426" s="1">
        <v>34.766913272</v>
      </c>
      <c r="AO2426" s="1">
        <v>28067.0</v>
      </c>
      <c r="AP2426" s="1">
        <v>14.5</v>
      </c>
      <c r="AQ2426" s="1">
        <v>2.9</v>
      </c>
      <c r="AR2426" s="1">
        <v>8.1</v>
      </c>
      <c r="AS2426" s="1">
        <v>17.1</v>
      </c>
      <c r="AT2426" s="1">
        <v>21.3</v>
      </c>
      <c r="AU2426" s="1">
        <v>13.0</v>
      </c>
      <c r="AV2426" s="1">
        <v>10.2</v>
      </c>
      <c r="AW2426" s="1">
        <v>0.4</v>
      </c>
      <c r="AX2426" s="1">
        <v>0.2168</v>
      </c>
      <c r="AY2426" s="1">
        <v>10.1</v>
      </c>
      <c r="AZ2426" s="1">
        <v>10.9</v>
      </c>
      <c r="BA2426" s="1">
        <v>16.4</v>
      </c>
      <c r="BB2426" s="1">
        <v>3.19</v>
      </c>
      <c r="BC2426" s="1" t="s">
        <v>3897</v>
      </c>
      <c r="BD2426" s="1">
        <v>9.1</v>
      </c>
      <c r="BE2426" s="1">
        <v>35.4</v>
      </c>
      <c r="BF2426" s="1">
        <v>29.8</v>
      </c>
      <c r="BG2426" s="1">
        <v>25.7</v>
      </c>
      <c r="BH2426" s="1" t="s">
        <v>3997</v>
      </c>
    </row>
    <row r="2427">
      <c r="A2427" s="1">
        <v>46137.0</v>
      </c>
      <c r="B2427" s="2" t="str">
        <f>IFERROR(__xludf.DUMMYFUNCTION("TO_TEXT(A2427)"),"46137")</f>
        <v>46137</v>
      </c>
      <c r="C2427" s="1">
        <v>2818.0</v>
      </c>
      <c r="D2427" s="1">
        <v>1961.23424232641</v>
      </c>
      <c r="E2427" s="1" t="s">
        <v>3998</v>
      </c>
      <c r="F2427" s="1" t="s">
        <v>3999</v>
      </c>
      <c r="G2427" s="1">
        <v>1.43685029517805</v>
      </c>
      <c r="H2427" s="1">
        <v>29.16651189</v>
      </c>
      <c r="I2427" s="1">
        <v>4.5461428046</v>
      </c>
      <c r="J2427" s="1">
        <v>8.7557603687</v>
      </c>
      <c r="K2427" s="1">
        <v>32.021174804</v>
      </c>
      <c r="L2427" s="1">
        <v>51.6</v>
      </c>
      <c r="M2427" s="1">
        <v>4.3</v>
      </c>
      <c r="N2427" s="1">
        <v>27.4</v>
      </c>
      <c r="O2427" s="1">
        <v>57.836486969</v>
      </c>
      <c r="P2427" s="1">
        <v>23.0609705519999</v>
      </c>
      <c r="Q2427" s="1">
        <v>48.31939</v>
      </c>
      <c r="R2427" s="1">
        <v>73.076923077</v>
      </c>
      <c r="S2427" s="1">
        <v>42.8</v>
      </c>
      <c r="T2427" s="1">
        <v>893.0</v>
      </c>
      <c r="U2427" s="1">
        <v>53.639417693</v>
      </c>
      <c r="V2427" s="1">
        <v>0.0</v>
      </c>
      <c r="W2427" s="1">
        <v>23.417721519</v>
      </c>
      <c r="X2427" s="1">
        <v>13.788659794</v>
      </c>
      <c r="Y2427" s="1">
        <v>77.244088979</v>
      </c>
      <c r="Z2427" s="1">
        <v>17.5</v>
      </c>
      <c r="AA2427" s="1">
        <v>26.570311209</v>
      </c>
      <c r="AB2427" s="1">
        <v>32341.0</v>
      </c>
      <c r="AC2427" s="1">
        <v>100.0</v>
      </c>
      <c r="AD2427" s="1">
        <v>57.392473118</v>
      </c>
      <c r="AE2427" s="1">
        <v>11.824817518</v>
      </c>
      <c r="AF2427" s="1">
        <v>0.4741064916</v>
      </c>
      <c r="AG2427" s="1">
        <v>70.3865791389999</v>
      </c>
      <c r="AH2427" s="1">
        <v>0.4376367615</v>
      </c>
      <c r="AI2427" s="1">
        <v>0.0364697301</v>
      </c>
      <c r="AJ2427" s="1">
        <v>4.5222465354</v>
      </c>
      <c r="AK2427" s="1">
        <v>24.2159008019999</v>
      </c>
      <c r="AL2427" s="1">
        <v>0.4587155963</v>
      </c>
      <c r="AM2427" s="1">
        <v>50.07293946</v>
      </c>
      <c r="AN2427" s="1">
        <v>73.5451624419999</v>
      </c>
      <c r="AO2427" s="1">
        <v>14047.0</v>
      </c>
      <c r="AP2427" s="1">
        <v>39.4</v>
      </c>
      <c r="AQ2427" s="1">
        <v>27.0</v>
      </c>
      <c r="AR2427" s="1">
        <v>14.6</v>
      </c>
      <c r="AS2427" s="1">
        <v>7.1</v>
      </c>
      <c r="AT2427" s="1">
        <v>35.1</v>
      </c>
      <c r="AU2427" s="1">
        <v>10.4</v>
      </c>
      <c r="AV2427" s="1">
        <v>76.7</v>
      </c>
      <c r="AW2427" s="1">
        <v>0.7</v>
      </c>
      <c r="AX2427" s="1">
        <v>0.9456</v>
      </c>
      <c r="AY2427" s="1">
        <v>47.7</v>
      </c>
      <c r="AZ2427" s="1">
        <v>20.6</v>
      </c>
      <c r="BA2427" s="1">
        <v>30.9</v>
      </c>
      <c r="BB2427" s="1">
        <v>3.21</v>
      </c>
      <c r="BC2427" s="1" t="s">
        <v>3897</v>
      </c>
      <c r="BD2427" s="1">
        <v>15.9</v>
      </c>
      <c r="BE2427" s="1">
        <v>41.3</v>
      </c>
      <c r="BF2427" s="1">
        <v>26.4</v>
      </c>
      <c r="BG2427" s="1">
        <v>16.4</v>
      </c>
      <c r="BH2427" s="1" t="s">
        <v>3999</v>
      </c>
    </row>
    <row r="2428">
      <c r="A2428" s="1">
        <v>47001.0</v>
      </c>
      <c r="B2428" s="2" t="str">
        <f>IFERROR(__xludf.DUMMYFUNCTION("TO_TEXT(A2428)"),"47001")</f>
        <v>47001</v>
      </c>
      <c r="C2428" s="1">
        <v>75545.0</v>
      </c>
      <c r="D2428" s="1">
        <v>337.180113654087</v>
      </c>
      <c r="E2428" s="1" t="s">
        <v>1589</v>
      </c>
      <c r="F2428" s="1" t="s">
        <v>4000</v>
      </c>
      <c r="G2428" s="1">
        <v>224.049393605405</v>
      </c>
      <c r="H2428" s="1">
        <v>19.095370564</v>
      </c>
      <c r="I2428" s="1">
        <v>4.7239859036</v>
      </c>
      <c r="J2428" s="1">
        <v>8.7621446564</v>
      </c>
      <c r="K2428" s="1">
        <v>20.9250177359999</v>
      </c>
      <c r="L2428" s="1">
        <v>32.9</v>
      </c>
      <c r="M2428" s="1">
        <v>7.5</v>
      </c>
      <c r="N2428" s="1">
        <v>25.8</v>
      </c>
      <c r="O2428" s="1">
        <v>66.260698266</v>
      </c>
      <c r="P2428" s="1">
        <v>10.280744684</v>
      </c>
      <c r="Q2428" s="1">
        <v>53.76556</v>
      </c>
      <c r="R2428" s="1">
        <v>92.0838183929999</v>
      </c>
      <c r="S2428" s="1">
        <v>21.9</v>
      </c>
      <c r="T2428" s="1">
        <v>15668.0</v>
      </c>
      <c r="U2428" s="1">
        <v>35.830993107</v>
      </c>
      <c r="V2428" s="1">
        <v>400.72801584</v>
      </c>
      <c r="W2428" s="1">
        <v>13.144161774</v>
      </c>
      <c r="X2428" s="1">
        <v>11.702479339</v>
      </c>
      <c r="Y2428" s="1">
        <v>75.534837529</v>
      </c>
      <c r="Z2428" s="1">
        <v>10.8</v>
      </c>
      <c r="AA2428" s="1">
        <v>9.3591868034</v>
      </c>
      <c r="AB2428" s="1">
        <v>50672.0</v>
      </c>
      <c r="AC2428" s="1">
        <v>52.4746192889999</v>
      </c>
      <c r="AD2428" s="1">
        <v>68.00183709</v>
      </c>
      <c r="AE2428" s="1">
        <v>10.71123415</v>
      </c>
      <c r="AF2428" s="1">
        <v>3.904186606</v>
      </c>
      <c r="AG2428" s="1">
        <v>0.4537015245</v>
      </c>
      <c r="AH2428" s="1">
        <v>1.54415418009999</v>
      </c>
      <c r="AI2428" s="1">
        <v>0.0666823566</v>
      </c>
      <c r="AJ2428" s="1">
        <v>3.0726183939</v>
      </c>
      <c r="AK2428" s="1">
        <v>89.0614785179999</v>
      </c>
      <c r="AL2428" s="1">
        <v>0.863319386299999</v>
      </c>
      <c r="AM2428" s="1">
        <v>51.340184619</v>
      </c>
      <c r="AN2428" s="1">
        <v>34.661715183</v>
      </c>
      <c r="AO2428" s="1">
        <v>26072.0</v>
      </c>
      <c r="AP2428" s="1">
        <v>17.2</v>
      </c>
      <c r="AQ2428" s="1">
        <v>7.4</v>
      </c>
      <c r="AR2428" s="1">
        <v>14.5</v>
      </c>
      <c r="AS2428" s="1">
        <v>19.0</v>
      </c>
      <c r="AT2428" s="1">
        <v>21.1</v>
      </c>
      <c r="AU2428" s="1">
        <v>18.9</v>
      </c>
      <c r="AV2428" s="1">
        <v>10.2</v>
      </c>
      <c r="AW2428" s="1">
        <v>0.9</v>
      </c>
      <c r="AX2428" s="1">
        <v>0.5906</v>
      </c>
      <c r="AY2428" s="1">
        <v>15.3</v>
      </c>
      <c r="AZ2428" s="1">
        <v>13.9</v>
      </c>
      <c r="BA2428" s="1">
        <v>17.6</v>
      </c>
      <c r="BB2428" s="1">
        <v>3.18</v>
      </c>
      <c r="BC2428" s="1" t="s">
        <v>4001</v>
      </c>
      <c r="BD2428" s="1">
        <v>13.0</v>
      </c>
      <c r="BE2428" s="1">
        <v>32.9</v>
      </c>
      <c r="BF2428" s="1">
        <v>30.8</v>
      </c>
      <c r="BG2428" s="1">
        <v>23.3</v>
      </c>
      <c r="BH2428" s="1" t="s">
        <v>4000</v>
      </c>
    </row>
    <row r="2429">
      <c r="A2429" s="1">
        <v>47003.0</v>
      </c>
      <c r="B2429" s="2" t="str">
        <f>IFERROR(__xludf.DUMMYFUNCTION("TO_TEXT(A2429)"),"47003")</f>
        <v>47003</v>
      </c>
      <c r="C2429" s="1">
        <v>46331.0</v>
      </c>
      <c r="D2429" s="1">
        <v>473.638940420255</v>
      </c>
      <c r="E2429" s="1" t="s">
        <v>3720</v>
      </c>
      <c r="F2429" s="1" t="s">
        <v>4002</v>
      </c>
      <c r="G2429" s="1">
        <v>97.8192374953184</v>
      </c>
      <c r="H2429" s="1">
        <v>21.939146072</v>
      </c>
      <c r="I2429" s="1">
        <v>4.7618872114</v>
      </c>
      <c r="J2429" s="1">
        <v>8.7675577707</v>
      </c>
      <c r="K2429" s="1">
        <v>22.692534088</v>
      </c>
      <c r="L2429" s="1">
        <v>33.6</v>
      </c>
      <c r="M2429" s="1">
        <v>7.9</v>
      </c>
      <c r="N2429" s="1">
        <v>31.8</v>
      </c>
      <c r="O2429" s="1">
        <v>49.496204891</v>
      </c>
      <c r="P2429" s="1">
        <v>14.395969823</v>
      </c>
      <c r="Q2429" s="1">
        <v>35.33055</v>
      </c>
      <c r="R2429" s="1">
        <v>90.893169877</v>
      </c>
      <c r="S2429" s="1">
        <v>22.8</v>
      </c>
      <c r="T2429" s="1">
        <v>12145.0</v>
      </c>
      <c r="U2429" s="1">
        <v>36.278303829</v>
      </c>
      <c r="V2429" s="1">
        <v>425.26432469</v>
      </c>
      <c r="W2429" s="1">
        <v>14.629141014</v>
      </c>
      <c r="X2429" s="1">
        <v>12.174940898</v>
      </c>
      <c r="Y2429" s="1">
        <v>74.291837298</v>
      </c>
      <c r="Z2429" s="1">
        <v>10.9</v>
      </c>
      <c r="AA2429" s="1">
        <v>6.622556059</v>
      </c>
      <c r="AB2429" s="1">
        <v>49860.0</v>
      </c>
      <c r="AC2429" s="1">
        <v>52.4746192889999</v>
      </c>
      <c r="AD2429" s="1">
        <v>68.1909726339999</v>
      </c>
      <c r="AE2429" s="1">
        <v>12.0014635929999</v>
      </c>
      <c r="AF2429" s="1">
        <v>7.587992985</v>
      </c>
      <c r="AG2429" s="1">
        <v>1.1399322974</v>
      </c>
      <c r="AH2429" s="1">
        <v>1.0644806069</v>
      </c>
      <c r="AI2429" s="1">
        <v>0.1774134345</v>
      </c>
      <c r="AJ2429" s="1">
        <v>12.56780456</v>
      </c>
      <c r="AK2429" s="1">
        <v>76.585505118</v>
      </c>
      <c r="AL2429" s="1">
        <v>3.3207921238</v>
      </c>
      <c r="AM2429" s="1">
        <v>50.874831763</v>
      </c>
      <c r="AN2429" s="1">
        <v>55.60166896</v>
      </c>
      <c r="AO2429" s="1">
        <v>21949.0</v>
      </c>
      <c r="AP2429" s="1">
        <v>16.3</v>
      </c>
      <c r="AQ2429" s="1">
        <v>6.1</v>
      </c>
      <c r="AR2429" s="1">
        <v>19.5</v>
      </c>
      <c r="AS2429" s="1">
        <v>14.8</v>
      </c>
      <c r="AT2429" s="1">
        <v>26.1</v>
      </c>
      <c r="AU2429" s="1">
        <v>16.1</v>
      </c>
      <c r="AV2429" s="1">
        <v>21.8</v>
      </c>
      <c r="AW2429" s="1">
        <v>3.2</v>
      </c>
      <c r="AX2429" s="1">
        <v>0.7854</v>
      </c>
      <c r="AY2429" s="1">
        <v>13.9</v>
      </c>
      <c r="AZ2429" s="1">
        <v>12.9</v>
      </c>
      <c r="BA2429" s="1">
        <v>15.8</v>
      </c>
      <c r="BB2429" s="1">
        <v>3.09</v>
      </c>
      <c r="BC2429" s="1" t="s">
        <v>4001</v>
      </c>
      <c r="BD2429" s="1">
        <v>17.9</v>
      </c>
      <c r="BE2429" s="1">
        <v>41.4</v>
      </c>
      <c r="BF2429" s="1">
        <v>24.0</v>
      </c>
      <c r="BG2429" s="1">
        <v>16.6</v>
      </c>
      <c r="BH2429" s="1" t="s">
        <v>4002</v>
      </c>
    </row>
    <row r="2430">
      <c r="A2430" s="1">
        <v>47005.0</v>
      </c>
      <c r="B2430" s="2" t="str">
        <f>IFERROR(__xludf.DUMMYFUNCTION("TO_TEXT(A2430)"),"47005")</f>
        <v>47005</v>
      </c>
      <c r="C2430" s="1">
        <v>16173.0</v>
      </c>
      <c r="D2430" s="1">
        <v>394.306039698147</v>
      </c>
      <c r="E2430" s="1" t="s">
        <v>291</v>
      </c>
      <c r="F2430" s="1" t="s">
        <v>4003</v>
      </c>
      <c r="G2430" s="1">
        <v>41.0163638689909</v>
      </c>
      <c r="H2430" s="1">
        <v>23.229258111</v>
      </c>
      <c r="I2430" s="1">
        <v>5.0713736896</v>
      </c>
      <c r="J2430" s="1">
        <v>8.6642599278</v>
      </c>
      <c r="K2430" s="1">
        <v>23.6587398569999</v>
      </c>
      <c r="L2430" s="1">
        <v>34.6</v>
      </c>
      <c r="M2430" s="1">
        <v>7.4</v>
      </c>
      <c r="N2430" s="1">
        <v>29.4</v>
      </c>
      <c r="O2430" s="1">
        <v>48.30493056</v>
      </c>
      <c r="P2430" s="1">
        <v>12.399034058</v>
      </c>
      <c r="Q2430" s="1">
        <v>18.76642</v>
      </c>
      <c r="R2430" s="1">
        <v>95.78313253</v>
      </c>
      <c r="S2430" s="1">
        <v>30.0</v>
      </c>
      <c r="T2430" s="1">
        <v>3078.0</v>
      </c>
      <c r="U2430" s="1">
        <v>34.795321637</v>
      </c>
      <c r="V2430" s="1">
        <v>151.52920803</v>
      </c>
      <c r="W2430" s="1">
        <v>16.064848931</v>
      </c>
      <c r="X2430" s="1">
        <v>12.880844646</v>
      </c>
      <c r="Y2430" s="1">
        <v>71.714541351</v>
      </c>
      <c r="Z2430" s="1">
        <v>14.1</v>
      </c>
      <c r="AA2430" s="1">
        <v>6.5641570657</v>
      </c>
      <c r="AB2430" s="1">
        <v>38940.0</v>
      </c>
      <c r="AC2430" s="1">
        <v>52.4746192889999</v>
      </c>
      <c r="AD2430" s="1">
        <v>75.935750074</v>
      </c>
      <c r="AE2430" s="1">
        <v>12.232030265</v>
      </c>
      <c r="AF2430" s="1">
        <v>2.4097874444</v>
      </c>
      <c r="AG2430" s="1">
        <v>0.5684626792</v>
      </c>
      <c r="AH2430" s="1">
        <v>0.5808205635</v>
      </c>
      <c r="AI2430" s="1">
        <v>0.0185368265</v>
      </c>
      <c r="AJ2430" s="1">
        <v>2.5271873455</v>
      </c>
      <c r="AK2430" s="1">
        <v>92.498764212</v>
      </c>
      <c r="AL2430" s="1">
        <v>0.1626439399</v>
      </c>
      <c r="AM2430" s="1">
        <v>51.025704399</v>
      </c>
      <c r="AN2430" s="1">
        <v>78.458366184</v>
      </c>
      <c r="AO2430" s="1">
        <v>20504.0</v>
      </c>
      <c r="AP2430" s="1">
        <v>22.6</v>
      </c>
      <c r="AQ2430" s="1">
        <v>11.1</v>
      </c>
      <c r="AR2430" s="1">
        <v>18.3</v>
      </c>
      <c r="AS2430" s="1">
        <v>22.9</v>
      </c>
      <c r="AT2430" s="1">
        <v>19.4</v>
      </c>
      <c r="AU2430" s="1">
        <v>24.6</v>
      </c>
      <c r="AV2430" s="1">
        <v>6.8</v>
      </c>
      <c r="AW2430" s="1">
        <v>1.4</v>
      </c>
      <c r="AX2430" s="1">
        <v>0.7841</v>
      </c>
      <c r="AY2430" s="1">
        <v>17.6</v>
      </c>
      <c r="AZ2430" s="1">
        <v>17.5</v>
      </c>
      <c r="BA2430" s="1">
        <v>22.9</v>
      </c>
      <c r="BB2430" s="1">
        <v>3.14</v>
      </c>
      <c r="BC2430" s="1" t="s">
        <v>4001</v>
      </c>
      <c r="BD2430" s="1">
        <v>17.6</v>
      </c>
      <c r="BE2430" s="1">
        <v>46.4</v>
      </c>
      <c r="BF2430" s="1">
        <v>23.7</v>
      </c>
      <c r="BG2430" s="1">
        <v>12.3</v>
      </c>
      <c r="BH2430" s="1" t="s">
        <v>4003</v>
      </c>
    </row>
    <row r="2431">
      <c r="A2431" s="1">
        <v>47007.0</v>
      </c>
      <c r="B2431" s="2" t="str">
        <f>IFERROR(__xludf.DUMMYFUNCTION("TO_TEXT(A2431)"),"47007")</f>
        <v>47007</v>
      </c>
      <c r="C2431" s="1">
        <v>14073.0</v>
      </c>
      <c r="D2431" s="1">
        <v>406.424786879396</v>
      </c>
      <c r="E2431" s="1" t="s">
        <v>4004</v>
      </c>
      <c r="F2431" s="1" t="s">
        <v>4005</v>
      </c>
      <c r="G2431" s="1">
        <v>34.6263329755428</v>
      </c>
      <c r="H2431" s="1">
        <v>22.527819233</v>
      </c>
      <c r="I2431" s="1">
        <v>4.7564065306</v>
      </c>
      <c r="J2431" s="1">
        <v>6.8396226415</v>
      </c>
      <c r="K2431" s="1">
        <v>24.661396943</v>
      </c>
      <c r="L2431" s="1">
        <v>32.7</v>
      </c>
      <c r="M2431" s="1">
        <v>7.9</v>
      </c>
      <c r="N2431" s="1">
        <v>26.1</v>
      </c>
      <c r="O2431" s="1">
        <v>23.80397639</v>
      </c>
      <c r="P2431" s="1">
        <v>15.081132676</v>
      </c>
      <c r="Q2431" s="1">
        <v>6.79486</v>
      </c>
      <c r="R2431" s="1">
        <v>85.483870968</v>
      </c>
      <c r="S2431" s="1">
        <v>35.0</v>
      </c>
      <c r="T2431" s="1">
        <v>2304.0</v>
      </c>
      <c r="U2431" s="1">
        <v>26.5625</v>
      </c>
      <c r="V2431" s="1">
        <v>173.10397057</v>
      </c>
      <c r="W2431" s="1">
        <v>16.612729234</v>
      </c>
      <c r="X2431" s="1">
        <v>11.344262295</v>
      </c>
      <c r="Y2431" s="1">
        <v>77.996672967</v>
      </c>
      <c r="Z2431" s="1">
        <v>9.9</v>
      </c>
      <c r="AA2431" s="1">
        <v>1.6379937327</v>
      </c>
      <c r="AB2431" s="1">
        <v>40195.0</v>
      </c>
      <c r="AC2431" s="1">
        <v>52.4746192889999</v>
      </c>
      <c r="AD2431" s="1">
        <v>74.180919019</v>
      </c>
      <c r="AE2431" s="1">
        <v>9.5085714286</v>
      </c>
      <c r="AF2431" s="1">
        <v>7.1026770586</v>
      </c>
      <c r="AG2431" s="1">
        <v>0.5896306337</v>
      </c>
      <c r="AH2431" s="1">
        <v>0.2710945442</v>
      </c>
      <c r="AI2431" s="1">
        <v>0.033886818</v>
      </c>
      <c r="AJ2431" s="1">
        <v>2.4534056252</v>
      </c>
      <c r="AK2431" s="1">
        <v>88.363266689</v>
      </c>
      <c r="AL2431" s="1">
        <v>1.75012500889999</v>
      </c>
      <c r="AM2431" s="1">
        <v>41.0572687219999</v>
      </c>
      <c r="AN2431" s="1">
        <v>100.0</v>
      </c>
      <c r="AO2431" s="1">
        <v>18962.0</v>
      </c>
      <c r="AP2431" s="1">
        <v>23.7</v>
      </c>
      <c r="AQ2431" s="1">
        <v>9.3</v>
      </c>
      <c r="AR2431" s="1">
        <v>25.4</v>
      </c>
      <c r="AS2431" s="1">
        <v>17.3</v>
      </c>
      <c r="AT2431" s="1">
        <v>20.3</v>
      </c>
      <c r="AU2431" s="1">
        <v>26.5</v>
      </c>
      <c r="AV2431" s="1">
        <v>10.1</v>
      </c>
      <c r="AW2431" s="1">
        <v>0.4</v>
      </c>
      <c r="AX2431" s="1">
        <v>0.8758</v>
      </c>
      <c r="AY2431" s="1">
        <v>27.3</v>
      </c>
      <c r="AZ2431" s="1">
        <v>17.7</v>
      </c>
      <c r="BA2431" s="1">
        <v>23.5</v>
      </c>
      <c r="BB2431" s="1">
        <v>3.33</v>
      </c>
      <c r="BC2431" s="1" t="s">
        <v>4001</v>
      </c>
      <c r="BD2431" s="1">
        <v>24.4</v>
      </c>
      <c r="BE2431" s="1">
        <v>39.8</v>
      </c>
      <c r="BF2431" s="1">
        <v>23.8</v>
      </c>
      <c r="BG2431" s="1">
        <v>12.0</v>
      </c>
      <c r="BH2431" s="1" t="s">
        <v>4005</v>
      </c>
    </row>
    <row r="2432">
      <c r="A2432" s="1">
        <v>47009.0</v>
      </c>
      <c r="B2432" s="2" t="str">
        <f>IFERROR(__xludf.DUMMYFUNCTION("TO_TEXT(A2432)"),"47009")</f>
        <v>47009</v>
      </c>
      <c r="C2432" s="1">
        <v>126192.0</v>
      </c>
      <c r="D2432" s="1">
        <v>558.80813503604</v>
      </c>
      <c r="E2432" s="1" t="s">
        <v>68</v>
      </c>
      <c r="F2432" s="1" t="s">
        <v>4006</v>
      </c>
      <c r="G2432" s="1">
        <v>225.8234841049</v>
      </c>
      <c r="H2432" s="1">
        <v>19.823622982</v>
      </c>
      <c r="I2432" s="1">
        <v>4.5453710536</v>
      </c>
      <c r="J2432" s="1">
        <v>7.9445571332</v>
      </c>
      <c r="K2432" s="1">
        <v>21.322302217</v>
      </c>
      <c r="L2432" s="1">
        <v>32.9</v>
      </c>
      <c r="M2432" s="1">
        <v>7.7</v>
      </c>
      <c r="N2432" s="1">
        <v>24.5</v>
      </c>
      <c r="O2432" s="1">
        <v>67.7749776439999</v>
      </c>
      <c r="P2432" s="1">
        <v>10.248522548</v>
      </c>
      <c r="Q2432" s="1">
        <v>69.2686</v>
      </c>
      <c r="R2432" s="1">
        <v>94.436090226</v>
      </c>
      <c r="S2432" s="1">
        <v>13.5</v>
      </c>
      <c r="T2432" s="1">
        <v>26310.0</v>
      </c>
      <c r="U2432" s="1">
        <v>27.073356138</v>
      </c>
      <c r="V2432" s="1">
        <v>353.53913143</v>
      </c>
      <c r="W2432" s="1">
        <v>12.920210612</v>
      </c>
      <c r="X2432" s="1">
        <v>11.49825784</v>
      </c>
      <c r="Y2432" s="1">
        <v>77.0206976589999</v>
      </c>
      <c r="Z2432" s="1">
        <v>13.4</v>
      </c>
      <c r="AA2432" s="1">
        <v>11.6273529659999</v>
      </c>
      <c r="AB2432" s="1">
        <v>57939.0</v>
      </c>
      <c r="AC2432" s="1">
        <v>52.4746192889999</v>
      </c>
      <c r="AD2432" s="1">
        <v>75.131083156</v>
      </c>
      <c r="AE2432" s="1">
        <v>10.035812615</v>
      </c>
      <c r="AF2432" s="1">
        <v>2.91665715</v>
      </c>
      <c r="AG2432" s="1">
        <v>0.4210157672</v>
      </c>
      <c r="AH2432" s="1">
        <v>0.9364365165</v>
      </c>
      <c r="AI2432" s="1">
        <v>0.0746103891</v>
      </c>
      <c r="AJ2432" s="1">
        <v>3.4579631364</v>
      </c>
      <c r="AK2432" s="1">
        <v>90.842716732</v>
      </c>
      <c r="AL2432" s="1">
        <v>0.623022314</v>
      </c>
      <c r="AM2432" s="1">
        <v>51.497917761</v>
      </c>
      <c r="AN2432" s="1">
        <v>32.631493375</v>
      </c>
      <c r="AO2432" s="1">
        <v>26772.0</v>
      </c>
      <c r="AP2432" s="1">
        <v>13.6</v>
      </c>
      <c r="AQ2432" s="1">
        <v>6.5</v>
      </c>
      <c r="AR2432" s="1">
        <v>11.8</v>
      </c>
      <c r="AS2432" s="1">
        <v>18.4</v>
      </c>
      <c r="AT2432" s="1">
        <v>21.1</v>
      </c>
      <c r="AU2432" s="1">
        <v>15.2</v>
      </c>
      <c r="AV2432" s="1">
        <v>8.4</v>
      </c>
      <c r="AW2432" s="1">
        <v>0.8</v>
      </c>
      <c r="AX2432" s="1">
        <v>0.2611</v>
      </c>
      <c r="AY2432" s="1">
        <v>10.5</v>
      </c>
      <c r="AZ2432" s="1">
        <v>10.9</v>
      </c>
      <c r="BA2432" s="1">
        <v>13.5</v>
      </c>
      <c r="BB2432" s="1">
        <v>3.28</v>
      </c>
      <c r="BC2432" s="1" t="s">
        <v>4001</v>
      </c>
      <c r="BD2432" s="1">
        <v>10.9</v>
      </c>
      <c r="BE2432" s="1">
        <v>34.6</v>
      </c>
      <c r="BF2432" s="1">
        <v>30.3</v>
      </c>
      <c r="BG2432" s="1">
        <v>24.2</v>
      </c>
      <c r="BH2432" s="1" t="s">
        <v>4006</v>
      </c>
    </row>
    <row r="2433">
      <c r="A2433" s="1">
        <v>47011.0</v>
      </c>
      <c r="B2433" s="2" t="str">
        <f>IFERROR(__xludf.DUMMYFUNCTION("TO_TEXT(A2433)"),"47011")</f>
        <v>47011</v>
      </c>
      <c r="C2433" s="1">
        <v>102860.0</v>
      </c>
      <c r="D2433" s="1">
        <v>328.7616637933</v>
      </c>
      <c r="E2433" s="1" t="s">
        <v>295</v>
      </c>
      <c r="F2433" s="1" t="s">
        <v>4007</v>
      </c>
      <c r="G2433" s="1">
        <v>312.871028857764</v>
      </c>
      <c r="H2433" s="1">
        <v>21.5406952369999</v>
      </c>
      <c r="I2433" s="1">
        <v>4.7005410949</v>
      </c>
      <c r="J2433" s="1">
        <v>8.5528647372</v>
      </c>
      <c r="K2433" s="1">
        <v>21.778213881</v>
      </c>
      <c r="L2433" s="1">
        <v>37.8</v>
      </c>
      <c r="M2433" s="1">
        <v>7.3</v>
      </c>
      <c r="N2433" s="1">
        <v>32.5</v>
      </c>
      <c r="O2433" s="1">
        <v>76.749896426</v>
      </c>
      <c r="P2433" s="1">
        <v>13.351092543</v>
      </c>
      <c r="Q2433" s="1">
        <v>53.99773</v>
      </c>
      <c r="R2433" s="1">
        <v>90.89376054</v>
      </c>
      <c r="S2433" s="1">
        <v>20.9</v>
      </c>
      <c r="T2433" s="1">
        <v>23023.0</v>
      </c>
      <c r="U2433" s="1">
        <v>32.133084307</v>
      </c>
      <c r="V2433" s="1">
        <v>554.09123266</v>
      </c>
      <c r="W2433" s="1">
        <v>14.994895355</v>
      </c>
      <c r="X2433" s="1">
        <v>11.9984417609999</v>
      </c>
      <c r="Y2433" s="1">
        <v>76.797681353</v>
      </c>
      <c r="Z2433" s="1">
        <v>16.8</v>
      </c>
      <c r="AA2433" s="1">
        <v>12.0309088429999</v>
      </c>
      <c r="AB2433" s="1">
        <v>50427.0</v>
      </c>
      <c r="AC2433" s="1">
        <v>52.4746192889999</v>
      </c>
      <c r="AD2433" s="1">
        <v>65.768072289</v>
      </c>
      <c r="AE2433" s="1">
        <v>11.633578978</v>
      </c>
      <c r="AF2433" s="1">
        <v>4.8525677664</v>
      </c>
      <c r="AG2433" s="1">
        <v>0.6240220375</v>
      </c>
      <c r="AH2433" s="1">
        <v>1.1515361624</v>
      </c>
      <c r="AI2433" s="1">
        <v>0.126490953599999</v>
      </c>
      <c r="AJ2433" s="1">
        <v>6.33860222809999</v>
      </c>
      <c r="AK2433" s="1">
        <v>85.602518575</v>
      </c>
      <c r="AL2433" s="1">
        <v>1.7408064925</v>
      </c>
      <c r="AM2433" s="1">
        <v>51.378751394</v>
      </c>
      <c r="AN2433" s="1">
        <v>32.971918798</v>
      </c>
      <c r="AO2433" s="1">
        <v>24099.0</v>
      </c>
      <c r="AP2433" s="1">
        <v>18.4</v>
      </c>
      <c r="AQ2433" s="1">
        <v>9.3</v>
      </c>
      <c r="AR2433" s="1">
        <v>16.5</v>
      </c>
      <c r="AS2433" s="1">
        <v>15.8</v>
      </c>
      <c r="AT2433" s="1">
        <v>22.4</v>
      </c>
      <c r="AU2433" s="1">
        <v>17.7</v>
      </c>
      <c r="AV2433" s="1">
        <v>13.1</v>
      </c>
      <c r="AW2433" s="1">
        <v>1.6</v>
      </c>
      <c r="AX2433" s="1">
        <v>0.7119</v>
      </c>
      <c r="AY2433" s="1">
        <v>14.5</v>
      </c>
      <c r="AZ2433" s="1">
        <v>13.6</v>
      </c>
      <c r="BA2433" s="1">
        <v>17.2</v>
      </c>
      <c r="BB2433" s="1">
        <v>3.29</v>
      </c>
      <c r="BC2433" s="1" t="s">
        <v>4001</v>
      </c>
      <c r="BD2433" s="1">
        <v>14.7</v>
      </c>
      <c r="BE2433" s="1">
        <v>32.1</v>
      </c>
      <c r="BF2433" s="1">
        <v>30.9</v>
      </c>
      <c r="BG2433" s="1">
        <v>22.3</v>
      </c>
      <c r="BH2433" s="1" t="s">
        <v>4007</v>
      </c>
    </row>
    <row r="2434">
      <c r="A2434" s="1">
        <v>47013.0</v>
      </c>
      <c r="B2434" s="2" t="str">
        <f>IFERROR(__xludf.DUMMYFUNCTION("TO_TEXT(A2434)"),"47013")</f>
        <v>47013</v>
      </c>
      <c r="C2434" s="1">
        <v>40008.0</v>
      </c>
      <c r="D2434" s="1">
        <v>480.162536800744</v>
      </c>
      <c r="E2434" s="1" t="s">
        <v>1791</v>
      </c>
      <c r="F2434" s="1" t="s">
        <v>4008</v>
      </c>
      <c r="G2434" s="1">
        <v>83.3217857156614</v>
      </c>
      <c r="H2434" s="1">
        <v>21.537729164</v>
      </c>
      <c r="I2434" s="1">
        <v>4.9978271017</v>
      </c>
      <c r="J2434" s="1">
        <v>10.34139874</v>
      </c>
      <c r="K2434" s="1">
        <v>23.8998620169999</v>
      </c>
      <c r="L2434" s="1">
        <v>32.7</v>
      </c>
      <c r="M2434" s="1">
        <v>7.1</v>
      </c>
      <c r="N2434" s="1">
        <v>29.7</v>
      </c>
      <c r="O2434" s="1">
        <v>65.212692799</v>
      </c>
      <c r="P2434" s="1">
        <v>12.427316191</v>
      </c>
      <c r="Q2434" s="1">
        <v>47.92171</v>
      </c>
      <c r="R2434" s="1">
        <v>93.695652174</v>
      </c>
      <c r="S2434" s="1">
        <v>27.8</v>
      </c>
      <c r="T2434" s="1">
        <v>7941.0</v>
      </c>
      <c r="U2434" s="1">
        <v>36.771187508</v>
      </c>
      <c r="V2434" s="1">
        <v>418.61456127</v>
      </c>
      <c r="W2434" s="1">
        <v>12.672955975</v>
      </c>
      <c r="X2434" s="1">
        <v>11.68873103</v>
      </c>
      <c r="Y2434" s="1">
        <v>71.685415609</v>
      </c>
      <c r="Z2434" s="1">
        <v>15.7</v>
      </c>
      <c r="AA2434" s="1">
        <v>10.101992766</v>
      </c>
      <c r="AB2434" s="1">
        <v>39443.0</v>
      </c>
      <c r="AC2434" s="1">
        <v>52.4746192889999</v>
      </c>
      <c r="AD2434" s="1">
        <v>70.244867673</v>
      </c>
      <c r="AE2434" s="1">
        <v>9.8025016458</v>
      </c>
      <c r="AF2434" s="1">
        <v>0.4774777051</v>
      </c>
      <c r="AG2434" s="1">
        <v>0.3435818407</v>
      </c>
      <c r="AH2434" s="1">
        <v>0.3360028295</v>
      </c>
      <c r="AI2434" s="1">
        <v>0.080842786</v>
      </c>
      <c r="AJ2434" s="1">
        <v>1.3162216103</v>
      </c>
      <c r="AK2434" s="1">
        <v>96.336811257</v>
      </c>
      <c r="AL2434" s="1">
        <v>0.0746666667</v>
      </c>
      <c r="AM2434" s="1">
        <v>50.8526387589999</v>
      </c>
      <c r="AN2434" s="1">
        <v>55.02259554</v>
      </c>
      <c r="AO2434" s="1">
        <v>19948.0</v>
      </c>
      <c r="AP2434" s="1">
        <v>22.4</v>
      </c>
      <c r="AQ2434" s="1">
        <v>8.7</v>
      </c>
      <c r="AR2434" s="1">
        <v>25.6</v>
      </c>
      <c r="AS2434" s="1">
        <v>19.5</v>
      </c>
      <c r="AT2434" s="1">
        <v>20.6</v>
      </c>
      <c r="AU2434" s="1">
        <v>23.4</v>
      </c>
      <c r="AV2434" s="1">
        <v>3.3</v>
      </c>
      <c r="AW2434" s="1">
        <v>0.1</v>
      </c>
      <c r="AX2434" s="1">
        <v>0.6609</v>
      </c>
      <c r="AY2434" s="1">
        <v>21.9</v>
      </c>
      <c r="AZ2434" s="1">
        <v>16.9</v>
      </c>
      <c r="BA2434" s="1">
        <v>22.7</v>
      </c>
      <c r="BB2434" s="1">
        <v>3.13</v>
      </c>
      <c r="BC2434" s="1" t="s">
        <v>4001</v>
      </c>
      <c r="BD2434" s="1">
        <v>22.7</v>
      </c>
      <c r="BE2434" s="1">
        <v>40.6</v>
      </c>
      <c r="BF2434" s="1">
        <v>24.2</v>
      </c>
      <c r="BG2434" s="1">
        <v>12.4</v>
      </c>
      <c r="BH2434" s="1" t="s">
        <v>4008</v>
      </c>
    </row>
    <row r="2435">
      <c r="A2435" s="1">
        <v>47015.0</v>
      </c>
      <c r="B2435" s="2" t="str">
        <f>IFERROR(__xludf.DUMMYFUNCTION("TO_TEXT(A2435)"),"47015")</f>
        <v>47015</v>
      </c>
      <c r="C2435" s="1">
        <v>13855.0</v>
      </c>
      <c r="D2435" s="1">
        <v>265.635256296676</v>
      </c>
      <c r="E2435" s="1" t="s">
        <v>4009</v>
      </c>
      <c r="F2435" s="1" t="s">
        <v>4010</v>
      </c>
      <c r="G2435" s="1">
        <v>52.1579860789487</v>
      </c>
      <c r="H2435" s="1">
        <v>19.657211698</v>
      </c>
      <c r="I2435" s="1">
        <v>4.7818976756</v>
      </c>
      <c r="J2435" s="1">
        <v>9.3297101449</v>
      </c>
      <c r="K2435" s="1">
        <v>22.207587674</v>
      </c>
      <c r="L2435" s="1">
        <v>36.9</v>
      </c>
      <c r="M2435" s="1">
        <v>8.4</v>
      </c>
      <c r="N2435" s="1">
        <v>28.3</v>
      </c>
      <c r="O2435" s="1">
        <v>21.194116368</v>
      </c>
      <c r="P2435" s="1">
        <v>11.988887924</v>
      </c>
      <c r="Q2435" s="1">
        <v>21.10298</v>
      </c>
      <c r="R2435" s="1">
        <v>92.700729927</v>
      </c>
      <c r="S2435" s="1">
        <v>22.0</v>
      </c>
      <c r="T2435" s="1">
        <v>2967.0</v>
      </c>
      <c r="U2435" s="1">
        <v>29.625884732</v>
      </c>
      <c r="V2435" s="1">
        <v>177.18314952</v>
      </c>
      <c r="W2435" s="1">
        <v>11.4100185529999</v>
      </c>
      <c r="X2435" s="1">
        <v>8.2075471698</v>
      </c>
      <c r="Y2435" s="1">
        <v>74.389786086</v>
      </c>
      <c r="Z2435" s="1">
        <v>10.8</v>
      </c>
      <c r="AA2435" s="1">
        <v>1.0600307182</v>
      </c>
      <c r="AB2435" s="1">
        <v>51859.0</v>
      </c>
      <c r="AC2435" s="1">
        <v>52.4746192889999</v>
      </c>
      <c r="AD2435" s="1">
        <v>73.335751859</v>
      </c>
      <c r="AE2435" s="1">
        <v>7.4704857751</v>
      </c>
      <c r="AF2435" s="1">
        <v>1.5834601023</v>
      </c>
      <c r="AG2435" s="1">
        <v>0.3457336468</v>
      </c>
      <c r="AH2435" s="1">
        <v>0.3941363574</v>
      </c>
      <c r="AI2435" s="1">
        <v>0.0898907482</v>
      </c>
      <c r="AJ2435" s="1">
        <v>2.4892822569</v>
      </c>
      <c r="AK2435" s="1">
        <v>93.749135666</v>
      </c>
      <c r="AL2435" s="1">
        <v>0.2114803625</v>
      </c>
      <c r="AM2435" s="1">
        <v>50.3111602819999</v>
      </c>
      <c r="AN2435" s="1">
        <v>81.131802043</v>
      </c>
      <c r="AO2435" s="1">
        <v>22571.0</v>
      </c>
      <c r="AP2435" s="1">
        <v>16.2</v>
      </c>
      <c r="AQ2435" s="1">
        <v>9.9</v>
      </c>
      <c r="AR2435" s="1">
        <v>16.8</v>
      </c>
      <c r="AS2435" s="1">
        <v>18.2</v>
      </c>
      <c r="AT2435" s="1">
        <v>20.8</v>
      </c>
      <c r="AU2435" s="1">
        <v>19.8</v>
      </c>
      <c r="AV2435" s="1">
        <v>5.4</v>
      </c>
      <c r="AW2435" s="1">
        <v>0.4</v>
      </c>
      <c r="AX2435" s="1">
        <v>0.54</v>
      </c>
      <c r="AY2435" s="1">
        <v>13.0</v>
      </c>
      <c r="AZ2435" s="1">
        <v>13.2</v>
      </c>
      <c r="BA2435" s="1">
        <v>18.0</v>
      </c>
      <c r="BB2435" s="1">
        <v>3.12</v>
      </c>
      <c r="BC2435" s="1" t="s">
        <v>4001</v>
      </c>
      <c r="BD2435" s="1">
        <v>15.5</v>
      </c>
      <c r="BE2435" s="1">
        <v>45.6</v>
      </c>
      <c r="BF2435" s="1">
        <v>23.2</v>
      </c>
      <c r="BG2435" s="1">
        <v>15.8</v>
      </c>
      <c r="BH2435" s="1" t="s">
        <v>4010</v>
      </c>
    </row>
    <row r="2436">
      <c r="A2436" s="1">
        <v>47017.0</v>
      </c>
      <c r="B2436" s="2" t="str">
        <f>IFERROR(__xludf.DUMMYFUNCTION("TO_TEXT(A2436)"),"47017")</f>
        <v>47017</v>
      </c>
      <c r="C2436" s="1">
        <v>28417.0</v>
      </c>
      <c r="D2436" s="1">
        <v>597.657317502164</v>
      </c>
      <c r="E2436" s="1" t="s">
        <v>298</v>
      </c>
      <c r="F2436" s="1" t="s">
        <v>4011</v>
      </c>
      <c r="G2436" s="1">
        <v>47.547313766299</v>
      </c>
      <c r="H2436" s="1">
        <v>21.006156532</v>
      </c>
      <c r="I2436" s="1">
        <v>4.7521161671</v>
      </c>
      <c r="J2436" s="1">
        <v>7.4056823475</v>
      </c>
      <c r="K2436" s="1">
        <v>22.89530901</v>
      </c>
      <c r="L2436" s="1">
        <v>30.1</v>
      </c>
      <c r="M2436" s="1">
        <v>7.6</v>
      </c>
      <c r="N2436" s="1">
        <v>32.1</v>
      </c>
      <c r="O2436" s="1">
        <v>24.100694201</v>
      </c>
      <c r="P2436" s="1">
        <v>10.856710346</v>
      </c>
      <c r="Q2436" s="1">
        <v>50.25126</v>
      </c>
      <c r="R2436" s="1">
        <v>96.496815287</v>
      </c>
      <c r="S2436" s="1">
        <v>27.5</v>
      </c>
      <c r="T2436" s="1">
        <v>5934.0</v>
      </c>
      <c r="U2436" s="1">
        <v>36.501516684</v>
      </c>
      <c r="V2436" s="1">
        <v>253.5595865</v>
      </c>
      <c r="W2436" s="1">
        <v>14.034315882</v>
      </c>
      <c r="X2436" s="1">
        <v>12.470799641</v>
      </c>
      <c r="Y2436" s="1">
        <v>73.969196288</v>
      </c>
      <c r="Z2436" s="1">
        <v>12.0</v>
      </c>
      <c r="AA2436" s="1">
        <v>3.3794908112</v>
      </c>
      <c r="AB2436" s="1">
        <v>42025.0</v>
      </c>
      <c r="AC2436" s="1">
        <v>52.4746192889999</v>
      </c>
      <c r="AD2436" s="1">
        <v>72.834930392</v>
      </c>
      <c r="AE2436" s="1">
        <v>10.598060862</v>
      </c>
      <c r="AF2436" s="1">
        <v>9.9321912919</v>
      </c>
      <c r="AG2436" s="1">
        <v>0.6388294076</v>
      </c>
      <c r="AH2436" s="1">
        <v>0.4246966453</v>
      </c>
      <c r="AI2436" s="1">
        <v>0.0463954318</v>
      </c>
      <c r="AJ2436" s="1">
        <v>2.7516059957</v>
      </c>
      <c r="AK2436" s="1">
        <v>84.511063526</v>
      </c>
      <c r="AL2436" s="1">
        <v>0.1065286867</v>
      </c>
      <c r="AM2436" s="1">
        <v>51.059957173</v>
      </c>
      <c r="AN2436" s="1">
        <v>83.058691536</v>
      </c>
      <c r="AO2436" s="1">
        <v>19851.0</v>
      </c>
      <c r="AP2436" s="1">
        <v>19.8</v>
      </c>
      <c r="AQ2436" s="1">
        <v>8.5</v>
      </c>
      <c r="AR2436" s="1">
        <v>21.0</v>
      </c>
      <c r="AS2436" s="1">
        <v>19.7</v>
      </c>
      <c r="AT2436" s="1">
        <v>21.3</v>
      </c>
      <c r="AU2436" s="1">
        <v>20.6</v>
      </c>
      <c r="AV2436" s="1">
        <v>15.0</v>
      </c>
      <c r="AW2436" s="1">
        <v>0.2</v>
      </c>
      <c r="AX2436" s="1">
        <v>0.7329</v>
      </c>
      <c r="AY2436" s="1">
        <v>16.8</v>
      </c>
      <c r="AZ2436" s="1">
        <v>16.2</v>
      </c>
      <c r="BA2436" s="1">
        <v>20.6</v>
      </c>
      <c r="BB2436" s="1">
        <v>3.01</v>
      </c>
      <c r="BC2436" s="1" t="s">
        <v>4001</v>
      </c>
      <c r="BD2436" s="1">
        <v>15.9</v>
      </c>
      <c r="BE2436" s="1">
        <v>42.2</v>
      </c>
      <c r="BF2436" s="1">
        <v>23.9</v>
      </c>
      <c r="BG2436" s="1">
        <v>18.0</v>
      </c>
      <c r="BH2436" s="1" t="s">
        <v>4011</v>
      </c>
    </row>
    <row r="2437">
      <c r="A2437" s="1">
        <v>47019.0</v>
      </c>
      <c r="B2437" s="2" t="str">
        <f>IFERROR(__xludf.DUMMYFUNCTION("TO_TEXT(A2437)"),"47019")</f>
        <v>47019</v>
      </c>
      <c r="C2437" s="1">
        <v>56707.0</v>
      </c>
      <c r="D2437" s="1">
        <v>341.193784871318</v>
      </c>
      <c r="E2437" s="1" t="s">
        <v>1796</v>
      </c>
      <c r="F2437" s="1" t="s">
        <v>4012</v>
      </c>
      <c r="G2437" s="1">
        <v>166.20173788156</v>
      </c>
      <c r="H2437" s="1">
        <v>23.7987831359999</v>
      </c>
      <c r="I2437" s="1">
        <v>5.1818041812</v>
      </c>
      <c r="J2437" s="1">
        <v>8.9539511086</v>
      </c>
      <c r="K2437" s="1">
        <v>24.7669118569999</v>
      </c>
      <c r="L2437" s="1">
        <v>37.7</v>
      </c>
      <c r="M2437" s="1">
        <v>6.1</v>
      </c>
      <c r="N2437" s="1">
        <v>28.5</v>
      </c>
      <c r="O2437" s="1">
        <v>81.128099749</v>
      </c>
      <c r="P2437" s="1">
        <v>12.009567177</v>
      </c>
      <c r="Q2437" s="1">
        <v>37.17604</v>
      </c>
      <c r="R2437" s="1">
        <v>93.5635792779999</v>
      </c>
      <c r="S2437" s="1">
        <v>29.4</v>
      </c>
      <c r="T2437" s="1">
        <v>10564.0</v>
      </c>
      <c r="U2437" s="1">
        <v>36.472926922</v>
      </c>
      <c r="V2437" s="1">
        <v>270.6788062</v>
      </c>
      <c r="W2437" s="1">
        <v>14.871687</v>
      </c>
      <c r="X2437" s="1">
        <v>12.519769181</v>
      </c>
      <c r="Y2437" s="1">
        <v>75.79178445</v>
      </c>
      <c r="Z2437" s="1">
        <v>21.1</v>
      </c>
      <c r="AA2437" s="1">
        <v>20.461279165</v>
      </c>
      <c r="AB2437" s="1">
        <v>39202.0</v>
      </c>
      <c r="AC2437" s="1">
        <v>52.4746192889999</v>
      </c>
      <c r="AD2437" s="1">
        <v>69.85674324</v>
      </c>
      <c r="AE2437" s="1">
        <v>12.005770705</v>
      </c>
      <c r="AF2437" s="1">
        <v>1.4942059591</v>
      </c>
      <c r="AG2437" s="1">
        <v>0.2999059467</v>
      </c>
      <c r="AH2437" s="1">
        <v>0.4117052049</v>
      </c>
      <c r="AI2437" s="1">
        <v>0.026618871</v>
      </c>
      <c r="AJ2437" s="1">
        <v>1.9467267662</v>
      </c>
      <c r="AK2437" s="1">
        <v>94.665578251</v>
      </c>
      <c r="AL2437" s="1">
        <v>0.1503340757</v>
      </c>
      <c r="AM2437" s="1">
        <v>51.05854377</v>
      </c>
      <c r="AN2437" s="1">
        <v>40.9654499859999</v>
      </c>
      <c r="AO2437" s="1">
        <v>20118.0</v>
      </c>
      <c r="AP2437" s="1">
        <v>23.9</v>
      </c>
      <c r="AQ2437" s="1">
        <v>7.1</v>
      </c>
      <c r="AR2437" s="1">
        <v>18.7</v>
      </c>
      <c r="AS2437" s="1">
        <v>19.7</v>
      </c>
      <c r="AT2437" s="1">
        <v>19.4</v>
      </c>
      <c r="AU2437" s="1">
        <v>21.2</v>
      </c>
      <c r="AV2437" s="1">
        <v>4.7</v>
      </c>
      <c r="AW2437" s="1">
        <v>0.2</v>
      </c>
      <c r="AX2437" s="1">
        <v>0.6154</v>
      </c>
      <c r="AY2437" s="1">
        <v>19.3</v>
      </c>
      <c r="AZ2437" s="1">
        <v>16.9</v>
      </c>
      <c r="BA2437" s="1">
        <v>23.0</v>
      </c>
      <c r="BB2437" s="1">
        <v>3.3</v>
      </c>
      <c r="BC2437" s="1" t="s">
        <v>4001</v>
      </c>
      <c r="BD2437" s="1">
        <v>16.5</v>
      </c>
      <c r="BE2437" s="1">
        <v>38.6</v>
      </c>
      <c r="BF2437" s="1">
        <v>27.4</v>
      </c>
      <c r="BG2437" s="1">
        <v>17.5</v>
      </c>
      <c r="BH2437" s="1" t="s">
        <v>4012</v>
      </c>
    </row>
    <row r="2438">
      <c r="A2438" s="1">
        <v>47021.0</v>
      </c>
      <c r="B2438" s="2" t="str">
        <f>IFERROR(__xludf.DUMMYFUNCTION("TO_TEXT(A2438)"),"47021")</f>
        <v>47021</v>
      </c>
      <c r="C2438" s="1">
        <v>39575.0</v>
      </c>
      <c r="D2438" s="1">
        <v>302.436883485908</v>
      </c>
      <c r="E2438" s="1" t="s">
        <v>4013</v>
      </c>
      <c r="F2438" s="1" t="s">
        <v>4014</v>
      </c>
      <c r="G2438" s="1">
        <v>130.853748867717</v>
      </c>
      <c r="H2438" s="1">
        <v>17.521443124</v>
      </c>
      <c r="I2438" s="1">
        <v>4.4146124662</v>
      </c>
      <c r="J2438" s="1">
        <v>8.7299086038</v>
      </c>
      <c r="K2438" s="1">
        <v>20.285957168</v>
      </c>
      <c r="L2438" s="1">
        <v>32.0</v>
      </c>
      <c r="M2438" s="1">
        <v>8.8</v>
      </c>
      <c r="N2438" s="1">
        <v>18.8</v>
      </c>
      <c r="O2438" s="1">
        <v>48.881217236</v>
      </c>
      <c r="P2438" s="1">
        <v>10.193045703</v>
      </c>
      <c r="Q2438" s="1">
        <v>54.54996</v>
      </c>
      <c r="R2438" s="1">
        <v>89.920948617</v>
      </c>
      <c r="S2438" s="1">
        <v>13.4</v>
      </c>
      <c r="T2438" s="1">
        <v>8983.0</v>
      </c>
      <c r="U2438" s="1">
        <v>30.958477123</v>
      </c>
      <c r="V2438" s="1">
        <v>282.82320407</v>
      </c>
      <c r="W2438" s="1">
        <v>12.409762805</v>
      </c>
      <c r="X2438" s="1">
        <v>10.74929972</v>
      </c>
      <c r="Y2438" s="1">
        <v>74.458190942</v>
      </c>
      <c r="Z2438" s="1">
        <v>10.7</v>
      </c>
      <c r="AA2438" s="1">
        <v>0.567588000799999</v>
      </c>
      <c r="AB2438" s="1">
        <v>63241.0</v>
      </c>
      <c r="AC2438" s="1">
        <v>52.4746192889999</v>
      </c>
      <c r="AD2438" s="1">
        <v>77.180310326</v>
      </c>
      <c r="AE2438" s="1">
        <v>10.060741465</v>
      </c>
      <c r="AF2438" s="1">
        <v>1.8496995475</v>
      </c>
      <c r="AG2438" s="1">
        <v>0.5440292787</v>
      </c>
      <c r="AH2438" s="1">
        <v>0.4723163283</v>
      </c>
      <c r="AI2438" s="1">
        <v>0.0741858107</v>
      </c>
      <c r="AJ2438" s="1">
        <v>3.229555627</v>
      </c>
      <c r="AK2438" s="1">
        <v>92.494868815</v>
      </c>
      <c r="AL2438" s="1">
        <v>0.4468535167</v>
      </c>
      <c r="AM2438" s="1">
        <v>50.312816835</v>
      </c>
      <c r="AN2438" s="1">
        <v>82.961258151</v>
      </c>
      <c r="AO2438" s="1">
        <v>24279.0</v>
      </c>
      <c r="AP2438" s="1">
        <v>12.9</v>
      </c>
      <c r="AQ2438" s="1">
        <v>6.6</v>
      </c>
      <c r="AR2438" s="1">
        <v>14.4</v>
      </c>
      <c r="AS2438" s="1">
        <v>13.4</v>
      </c>
      <c r="AT2438" s="1">
        <v>23.5</v>
      </c>
      <c r="AU2438" s="1">
        <v>14.7</v>
      </c>
      <c r="AV2438" s="1">
        <v>6.4</v>
      </c>
      <c r="AW2438" s="1">
        <v>0.2</v>
      </c>
      <c r="AX2438" s="1">
        <v>0.2098</v>
      </c>
      <c r="AY2438" s="1">
        <v>9.6</v>
      </c>
      <c r="AZ2438" s="1">
        <v>10.3</v>
      </c>
      <c r="BA2438" s="1">
        <v>12.1</v>
      </c>
      <c r="BB2438" s="1">
        <v>3.13</v>
      </c>
      <c r="BC2438" s="1" t="s">
        <v>4001</v>
      </c>
      <c r="BD2438" s="1">
        <v>13.0</v>
      </c>
      <c r="BE2438" s="1">
        <v>37.1</v>
      </c>
      <c r="BF2438" s="1">
        <v>28.8</v>
      </c>
      <c r="BG2438" s="1">
        <v>21.0</v>
      </c>
      <c r="BH2438" s="1" t="s">
        <v>4014</v>
      </c>
    </row>
    <row r="2439">
      <c r="A2439" s="1">
        <v>47023.0</v>
      </c>
      <c r="B2439" s="2" t="str">
        <f>IFERROR(__xludf.DUMMYFUNCTION("TO_TEXT(A2439)"),"47023")</f>
        <v>47023</v>
      </c>
      <c r="C2439" s="1">
        <v>17355.0</v>
      </c>
      <c r="D2439" s="1">
        <v>285.735570045366</v>
      </c>
      <c r="E2439" s="1" t="s">
        <v>3736</v>
      </c>
      <c r="F2439" s="1" t="s">
        <v>4015</v>
      </c>
      <c r="G2439" s="1">
        <v>60.7379753148849</v>
      </c>
      <c r="H2439" s="1">
        <v>19.515190387</v>
      </c>
      <c r="I2439" s="1">
        <v>4.5821405843</v>
      </c>
      <c r="J2439" s="1">
        <v>6.1396776669</v>
      </c>
      <c r="K2439" s="1">
        <v>21.650243139</v>
      </c>
      <c r="L2439" s="1">
        <v>31.1</v>
      </c>
      <c r="M2439" s="1">
        <v>7.7</v>
      </c>
      <c r="N2439" s="1">
        <v>30.3</v>
      </c>
      <c r="O2439" s="1">
        <v>33.640768198</v>
      </c>
      <c r="P2439" s="1">
        <v>11.841605229</v>
      </c>
      <c r="Q2439" s="1">
        <v>29.20731</v>
      </c>
      <c r="R2439" s="1">
        <v>93.80952381</v>
      </c>
      <c r="S2439" s="1">
        <v>22.0</v>
      </c>
      <c r="T2439" s="1">
        <v>3841.0</v>
      </c>
      <c r="U2439" s="1">
        <v>31.0075501169999</v>
      </c>
      <c r="V2439" s="1">
        <v>263.3462144</v>
      </c>
      <c r="W2439" s="1">
        <v>12.8333333329999</v>
      </c>
      <c r="X2439" s="1">
        <v>12.098138748</v>
      </c>
      <c r="Y2439" s="1">
        <v>76.959702284</v>
      </c>
      <c r="Z2439" s="1">
        <v>17.1</v>
      </c>
      <c r="AA2439" s="1">
        <v>5.7217171796</v>
      </c>
      <c r="AB2439" s="1">
        <v>47508.0</v>
      </c>
      <c r="AC2439" s="1">
        <v>52.4746192889999</v>
      </c>
      <c r="AD2439" s="1">
        <v>75.998657268</v>
      </c>
      <c r="AE2439" s="1">
        <v>9.3722830812</v>
      </c>
      <c r="AF2439" s="1">
        <v>9.2903449873</v>
      </c>
      <c r="AG2439" s="1">
        <v>0.4862236629</v>
      </c>
      <c r="AH2439" s="1">
        <v>0.758277379</v>
      </c>
      <c r="AI2439" s="1">
        <v>0.0289418847</v>
      </c>
      <c r="AJ2439" s="1">
        <v>2.7957860616</v>
      </c>
      <c r="AK2439" s="1">
        <v>84.927066451</v>
      </c>
      <c r="AL2439" s="1">
        <v>0.315009265</v>
      </c>
      <c r="AM2439" s="1">
        <v>51.904376013</v>
      </c>
      <c r="AN2439" s="1">
        <v>65.24429397</v>
      </c>
      <c r="AO2439" s="1">
        <v>19987.0</v>
      </c>
      <c r="AP2439" s="1">
        <v>17.9</v>
      </c>
      <c r="AQ2439" s="1">
        <v>10.7</v>
      </c>
      <c r="AR2439" s="1">
        <v>16.0</v>
      </c>
      <c r="AS2439" s="1">
        <v>16.6</v>
      </c>
      <c r="AT2439" s="1">
        <v>22.6</v>
      </c>
      <c r="AU2439" s="1">
        <v>14.0</v>
      </c>
      <c r="AV2439" s="1">
        <v>13.7</v>
      </c>
      <c r="AW2439" s="1">
        <v>0.4</v>
      </c>
      <c r="AX2439" s="1">
        <v>0.6616</v>
      </c>
      <c r="AY2439" s="1">
        <v>14.8</v>
      </c>
      <c r="AZ2439" s="1">
        <v>13.5</v>
      </c>
      <c r="BA2439" s="1">
        <v>17.5</v>
      </c>
      <c r="BB2439" s="1">
        <v>2.91</v>
      </c>
      <c r="BC2439" s="1" t="s">
        <v>4001</v>
      </c>
      <c r="BD2439" s="1">
        <v>14.8</v>
      </c>
      <c r="BE2439" s="1">
        <v>39.1</v>
      </c>
      <c r="BF2439" s="1">
        <v>30.1</v>
      </c>
      <c r="BG2439" s="1">
        <v>16.0</v>
      </c>
      <c r="BH2439" s="1" t="s">
        <v>4015</v>
      </c>
    </row>
    <row r="2440">
      <c r="A2440" s="1">
        <v>47025.0</v>
      </c>
      <c r="B2440" s="2" t="str">
        <f>IFERROR(__xludf.DUMMYFUNCTION("TO_TEXT(A2440)"),"47025")</f>
        <v>47025</v>
      </c>
      <c r="C2440" s="1">
        <v>31701.0</v>
      </c>
      <c r="D2440" s="1">
        <v>434.589160590542</v>
      </c>
      <c r="E2440" s="1" t="s">
        <v>1961</v>
      </c>
      <c r="F2440" s="1" t="s">
        <v>4016</v>
      </c>
      <c r="G2440" s="1">
        <v>72.9447553568134</v>
      </c>
      <c r="H2440" s="1">
        <v>22.0098130859999</v>
      </c>
      <c r="I2440" s="1">
        <v>4.7775357997</v>
      </c>
      <c r="J2440" s="1">
        <v>10.022075055</v>
      </c>
      <c r="K2440" s="1">
        <v>22.660987481</v>
      </c>
      <c r="L2440" s="1">
        <v>26.0</v>
      </c>
      <c r="M2440" s="1">
        <v>7.1</v>
      </c>
      <c r="N2440" s="1">
        <v>30.3</v>
      </c>
      <c r="O2440" s="1">
        <v>53.56222643</v>
      </c>
      <c r="P2440" s="1">
        <v>11.727705359</v>
      </c>
      <c r="Q2440" s="1">
        <v>60.10946</v>
      </c>
      <c r="R2440" s="1">
        <v>91.666666667</v>
      </c>
      <c r="S2440" s="1">
        <v>35.2</v>
      </c>
      <c r="T2440" s="1">
        <v>5910.0</v>
      </c>
      <c r="U2440" s="1">
        <v>34.196277496</v>
      </c>
      <c r="V2440" s="1">
        <v>317.0577045</v>
      </c>
      <c r="W2440" s="1">
        <v>13.922565506</v>
      </c>
      <c r="X2440" s="1">
        <v>12.6155082359999</v>
      </c>
      <c r="Y2440" s="1">
        <v>73.320926318</v>
      </c>
      <c r="Z2440" s="1">
        <v>13.9</v>
      </c>
      <c r="AA2440" s="1">
        <v>10.215851439</v>
      </c>
      <c r="AB2440" s="1">
        <v>37987.0</v>
      </c>
      <c r="AC2440" s="1">
        <v>52.4746192889999</v>
      </c>
      <c r="AD2440" s="1">
        <v>70.342952108</v>
      </c>
      <c r="AE2440" s="1">
        <v>14.779096604</v>
      </c>
      <c r="AF2440" s="1">
        <v>1.1556871142</v>
      </c>
      <c r="AG2440" s="1">
        <v>0.3558382668</v>
      </c>
      <c r="AH2440" s="1">
        <v>0.6959314775</v>
      </c>
      <c r="AI2440" s="1">
        <v>0.0283411009</v>
      </c>
      <c r="AJ2440" s="1">
        <v>1.2784985515</v>
      </c>
      <c r="AK2440" s="1">
        <v>95.289079229</v>
      </c>
      <c r="AL2440" s="1">
        <v>0.4558461436</v>
      </c>
      <c r="AM2440" s="1">
        <v>51.095855901</v>
      </c>
      <c r="AN2440" s="1">
        <v>71.5549622819999</v>
      </c>
      <c r="AO2440" s="1">
        <v>19215.0</v>
      </c>
      <c r="AP2440" s="1">
        <v>22.3</v>
      </c>
      <c r="AQ2440" s="1">
        <v>8.4</v>
      </c>
      <c r="AR2440" s="1">
        <v>22.8</v>
      </c>
      <c r="AS2440" s="1">
        <v>18.4</v>
      </c>
      <c r="AT2440" s="1">
        <v>19.3</v>
      </c>
      <c r="AU2440" s="1">
        <v>21.0</v>
      </c>
      <c r="AV2440" s="1">
        <v>4.5</v>
      </c>
      <c r="AW2440" s="1">
        <v>0.2</v>
      </c>
      <c r="AX2440" s="1">
        <v>0.6539</v>
      </c>
      <c r="AY2440" s="1">
        <v>19.7</v>
      </c>
      <c r="AZ2440" s="1">
        <v>16.9</v>
      </c>
      <c r="BA2440" s="1">
        <v>23.7</v>
      </c>
      <c r="BB2440" s="1">
        <v>3.1</v>
      </c>
      <c r="BC2440" s="1" t="s">
        <v>4001</v>
      </c>
      <c r="BD2440" s="1">
        <v>19.9</v>
      </c>
      <c r="BE2440" s="1">
        <v>38.0</v>
      </c>
      <c r="BF2440" s="1">
        <v>26.0</v>
      </c>
      <c r="BG2440" s="1">
        <v>16.1</v>
      </c>
      <c r="BH2440" s="1" t="s">
        <v>4016</v>
      </c>
    </row>
    <row r="2441">
      <c r="A2441" s="1">
        <v>47027.0</v>
      </c>
      <c r="B2441" s="2" t="str">
        <f>IFERROR(__xludf.DUMMYFUNCTION("TO_TEXT(A2441)"),"47027")</f>
        <v>47027</v>
      </c>
      <c r="C2441" s="1">
        <v>7769.0</v>
      </c>
      <c r="D2441" s="1">
        <v>236.536242385313</v>
      </c>
      <c r="E2441" s="1" t="s">
        <v>86</v>
      </c>
      <c r="F2441" s="1" t="s">
        <v>4017</v>
      </c>
      <c r="G2441" s="1">
        <v>32.8448609889743</v>
      </c>
      <c r="H2441" s="1">
        <v>24.773694959</v>
      </c>
      <c r="I2441" s="1">
        <v>5.3593767549</v>
      </c>
      <c r="J2441" s="1">
        <v>9.9426386233</v>
      </c>
      <c r="K2441" s="1">
        <v>25.42118208</v>
      </c>
      <c r="L2441" s="1">
        <v>30.7</v>
      </c>
      <c r="M2441" s="1">
        <v>7.8</v>
      </c>
      <c r="N2441" s="1">
        <v>31.7</v>
      </c>
      <c r="O2441" s="1">
        <v>25.938175805</v>
      </c>
      <c r="P2441" s="1">
        <v>14.634571777</v>
      </c>
      <c r="Q2441" s="1">
        <v>38.94587</v>
      </c>
      <c r="R2441" s="1">
        <v>100.0</v>
      </c>
      <c r="S2441" s="1">
        <v>30.7</v>
      </c>
      <c r="T2441" s="1">
        <v>1529.0</v>
      </c>
      <c r="U2441" s="1">
        <v>27.7959450619999</v>
      </c>
      <c r="V2441" s="1">
        <v>283.26788129</v>
      </c>
      <c r="W2441" s="1">
        <v>12.53968254</v>
      </c>
      <c r="X2441" s="1">
        <v>10.09771987</v>
      </c>
      <c r="Y2441" s="1">
        <v>73.051397193</v>
      </c>
      <c r="Z2441" s="1">
        <v>8.9</v>
      </c>
      <c r="AA2441" s="1">
        <v>0.0651543073</v>
      </c>
      <c r="AB2441" s="1">
        <v>34238.0</v>
      </c>
      <c r="AC2441" s="1">
        <v>52.4746192889999</v>
      </c>
      <c r="AD2441" s="1">
        <v>74.850299401</v>
      </c>
      <c r="AE2441" s="1">
        <v>9.9241902136</v>
      </c>
      <c r="AF2441" s="1">
        <v>1.5679668265</v>
      </c>
      <c r="AG2441" s="1">
        <v>0.3757937022</v>
      </c>
      <c r="AH2441" s="1">
        <v>0.0907088247</v>
      </c>
      <c r="AI2441" s="1">
        <v>0.0907088247</v>
      </c>
      <c r="AJ2441" s="1">
        <v>2.643514319</v>
      </c>
      <c r="AK2441" s="1">
        <v>94.065051186</v>
      </c>
      <c r="AL2441" s="1">
        <v>0.0</v>
      </c>
      <c r="AM2441" s="1">
        <v>50.758066606</v>
      </c>
      <c r="AN2441" s="1">
        <v>100.0</v>
      </c>
      <c r="AO2441" s="1">
        <v>16470.0</v>
      </c>
      <c r="AP2441" s="1">
        <v>24.8</v>
      </c>
      <c r="AQ2441" s="1">
        <v>8.5</v>
      </c>
      <c r="AR2441" s="1">
        <v>23.7</v>
      </c>
      <c r="AS2441" s="1">
        <v>24.2</v>
      </c>
      <c r="AT2441" s="1">
        <v>19.4</v>
      </c>
      <c r="AU2441" s="1">
        <v>23.5</v>
      </c>
      <c r="AV2441" s="1">
        <v>5.1</v>
      </c>
      <c r="AW2441" s="1">
        <v>0.9</v>
      </c>
      <c r="AX2441" s="1">
        <v>0.7966</v>
      </c>
      <c r="AY2441" s="1">
        <v>20.1</v>
      </c>
      <c r="AZ2441" s="1">
        <v>17.6</v>
      </c>
      <c r="BA2441" s="1">
        <v>22.0</v>
      </c>
      <c r="BB2441" s="1">
        <v>3.08</v>
      </c>
      <c r="BC2441" s="1" t="s">
        <v>4001</v>
      </c>
      <c r="BD2441" s="1">
        <v>19.7</v>
      </c>
      <c r="BE2441" s="1">
        <v>46.2</v>
      </c>
      <c r="BF2441" s="1">
        <v>20.2</v>
      </c>
      <c r="BG2441" s="1">
        <v>13.9</v>
      </c>
      <c r="BH2441" s="1" t="s">
        <v>4017</v>
      </c>
    </row>
    <row r="2442">
      <c r="A2442" s="1">
        <v>47029.0</v>
      </c>
      <c r="B2442" s="2" t="str">
        <f>IFERROR(__xludf.DUMMYFUNCTION("TO_TEXT(A2442)"),"47029")</f>
        <v>47029</v>
      </c>
      <c r="C2442" s="1">
        <v>35256.0</v>
      </c>
      <c r="D2442" s="1">
        <v>434.518925161824</v>
      </c>
      <c r="E2442" s="1" t="s">
        <v>4018</v>
      </c>
      <c r="F2442" s="1" t="s">
        <v>4019</v>
      </c>
      <c r="G2442" s="1">
        <v>81.1380079403214</v>
      </c>
      <c r="H2442" s="1">
        <v>24.9023748019999</v>
      </c>
      <c r="I2442" s="1">
        <v>5.3367104422</v>
      </c>
      <c r="J2442" s="1">
        <v>9.0361445783</v>
      </c>
      <c r="K2442" s="1">
        <v>24.068578089</v>
      </c>
      <c r="L2442" s="1">
        <v>36.5</v>
      </c>
      <c r="M2442" s="1">
        <v>6.7</v>
      </c>
      <c r="N2442" s="1">
        <v>33.6</v>
      </c>
      <c r="O2442" s="1">
        <v>38.062924121</v>
      </c>
      <c r="P2442" s="1">
        <v>12.268719283</v>
      </c>
      <c r="Q2442" s="1">
        <v>50.62437</v>
      </c>
      <c r="R2442" s="1">
        <v>93.43832021</v>
      </c>
      <c r="S2442" s="1">
        <v>35.7</v>
      </c>
      <c r="T2442" s="1">
        <v>7334.0</v>
      </c>
      <c r="U2442" s="1">
        <v>46.15489501</v>
      </c>
      <c r="V2442" s="1">
        <v>607.66593955</v>
      </c>
      <c r="W2442" s="1">
        <v>14.0748369379999</v>
      </c>
      <c r="X2442" s="1">
        <v>12.847588877</v>
      </c>
      <c r="Y2442" s="1">
        <v>71.7285563339999</v>
      </c>
      <c r="Z2442" s="1">
        <v>21.2</v>
      </c>
      <c r="AA2442" s="1">
        <v>11.6939943709999</v>
      </c>
      <c r="AB2442" s="1">
        <v>36192.0</v>
      </c>
      <c r="AC2442" s="1">
        <v>52.4746192889999</v>
      </c>
      <c r="AD2442" s="1">
        <v>68.2391932869999</v>
      </c>
      <c r="AE2442" s="1">
        <v>11.731154617</v>
      </c>
      <c r="AF2442" s="1">
        <v>2.0098395483</v>
      </c>
      <c r="AG2442" s="1">
        <v>0.6037904623</v>
      </c>
      <c r="AH2442" s="1">
        <v>0.4332755633</v>
      </c>
      <c r="AI2442" s="1">
        <v>0.0559065243</v>
      </c>
      <c r="AJ2442" s="1">
        <v>2.5185889193</v>
      </c>
      <c r="AK2442" s="1">
        <v>92.972549897</v>
      </c>
      <c r="AL2442" s="1">
        <v>0.1521162048</v>
      </c>
      <c r="AM2442" s="1">
        <v>51.671605076</v>
      </c>
      <c r="AN2442" s="1">
        <v>67.531265773</v>
      </c>
      <c r="AO2442" s="1">
        <v>18959.0</v>
      </c>
      <c r="AP2442" s="1">
        <v>26.1</v>
      </c>
      <c r="AQ2442" s="1">
        <v>10.0</v>
      </c>
      <c r="AR2442" s="1">
        <v>21.2</v>
      </c>
      <c r="AS2442" s="1">
        <v>19.3</v>
      </c>
      <c r="AT2442" s="1">
        <v>20.7</v>
      </c>
      <c r="AU2442" s="1">
        <v>23.1</v>
      </c>
      <c r="AV2442" s="1">
        <v>6.4</v>
      </c>
      <c r="AW2442" s="1">
        <v>0.2</v>
      </c>
      <c r="AX2442" s="1">
        <v>0.7313</v>
      </c>
      <c r="AY2442" s="1">
        <v>22.8</v>
      </c>
      <c r="AZ2442" s="1">
        <v>18.0</v>
      </c>
      <c r="BA2442" s="1">
        <v>25.5</v>
      </c>
      <c r="BB2442" s="1">
        <v>3.1</v>
      </c>
      <c r="BC2442" s="1" t="s">
        <v>4001</v>
      </c>
      <c r="BD2442" s="1">
        <v>19.9</v>
      </c>
      <c r="BE2442" s="1">
        <v>46.8</v>
      </c>
      <c r="BF2442" s="1">
        <v>21.7</v>
      </c>
      <c r="BG2442" s="1">
        <v>11.6</v>
      </c>
      <c r="BH2442" s="1" t="s">
        <v>4019</v>
      </c>
    </row>
    <row r="2443">
      <c r="A2443" s="1">
        <v>47031.0</v>
      </c>
      <c r="B2443" s="2" t="str">
        <f>IFERROR(__xludf.DUMMYFUNCTION("TO_TEXT(A2443)"),"47031")</f>
        <v>47031</v>
      </c>
      <c r="C2443" s="1">
        <v>53808.0</v>
      </c>
      <c r="D2443" s="1">
        <v>428.962122783908</v>
      </c>
      <c r="E2443" s="1" t="s">
        <v>90</v>
      </c>
      <c r="F2443" s="1" t="s">
        <v>4020</v>
      </c>
      <c r="G2443" s="1">
        <v>125.437648552262</v>
      </c>
      <c r="H2443" s="1">
        <v>20.341416817</v>
      </c>
      <c r="I2443" s="1">
        <v>4.6344827272</v>
      </c>
      <c r="J2443" s="1">
        <v>9.2709650232</v>
      </c>
      <c r="K2443" s="1">
        <v>22.3555470859999</v>
      </c>
      <c r="L2443" s="1">
        <v>32.0</v>
      </c>
      <c r="M2443" s="1">
        <v>7.8</v>
      </c>
      <c r="N2443" s="1">
        <v>32.1</v>
      </c>
      <c r="O2443" s="1">
        <v>73.185468596</v>
      </c>
      <c r="P2443" s="1">
        <v>10.956807241</v>
      </c>
      <c r="Q2443" s="1">
        <v>67.2311699999999</v>
      </c>
      <c r="R2443" s="1">
        <v>90.152565881</v>
      </c>
      <c r="S2443" s="1">
        <v>25.1</v>
      </c>
      <c r="T2443" s="1">
        <v>13103.0</v>
      </c>
      <c r="U2443" s="1">
        <v>29.619171182</v>
      </c>
      <c r="V2443" s="1">
        <v>458.32986814</v>
      </c>
      <c r="W2443" s="1">
        <v>12.610929472</v>
      </c>
      <c r="X2443" s="1">
        <v>9.9054373522</v>
      </c>
      <c r="Y2443" s="1">
        <v>74.3353238689999</v>
      </c>
      <c r="Z2443" s="1">
        <v>14.6</v>
      </c>
      <c r="AA2443" s="1">
        <v>7.3842198981</v>
      </c>
      <c r="AB2443" s="1">
        <v>49494.0</v>
      </c>
      <c r="AC2443" s="1">
        <v>52.4746192889999</v>
      </c>
      <c r="AD2443" s="1">
        <v>67.395727365</v>
      </c>
      <c r="AE2443" s="1">
        <v>9.9228594701</v>
      </c>
      <c r="AF2443" s="1">
        <v>3.684021544</v>
      </c>
      <c r="AG2443" s="1">
        <v>0.4775583483</v>
      </c>
      <c r="AH2443" s="1">
        <v>1.0556552962</v>
      </c>
      <c r="AI2443" s="1">
        <v>0.0682226212</v>
      </c>
      <c r="AJ2443" s="1">
        <v>4.4434470377</v>
      </c>
      <c r="AK2443" s="1">
        <v>88.522441652</v>
      </c>
      <c r="AL2443" s="1">
        <v>0.5480846399</v>
      </c>
      <c r="AM2443" s="1">
        <v>51.152603232</v>
      </c>
      <c r="AN2443" s="1">
        <v>47.289567391</v>
      </c>
      <c r="AO2443" s="1">
        <v>23404.0</v>
      </c>
      <c r="AP2443" s="1">
        <v>15.9</v>
      </c>
      <c r="AQ2443" s="1">
        <v>7.0</v>
      </c>
      <c r="AR2443" s="1">
        <v>14.6</v>
      </c>
      <c r="AS2443" s="1">
        <v>16.8</v>
      </c>
      <c r="AT2443" s="1">
        <v>24.1</v>
      </c>
      <c r="AU2443" s="1">
        <v>18.4</v>
      </c>
      <c r="AV2443" s="1">
        <v>10.7</v>
      </c>
      <c r="AW2443" s="1">
        <v>0.8</v>
      </c>
      <c r="AX2443" s="1">
        <v>0.5692</v>
      </c>
      <c r="AY2443" s="1">
        <v>14.4</v>
      </c>
      <c r="AZ2443" s="1">
        <v>13.0</v>
      </c>
      <c r="BA2443" s="1">
        <v>16.6</v>
      </c>
      <c r="BB2443" s="1">
        <v>3.03</v>
      </c>
      <c r="BC2443" s="1" t="s">
        <v>4001</v>
      </c>
      <c r="BD2443" s="1">
        <v>14.6</v>
      </c>
      <c r="BE2443" s="1">
        <v>38.5</v>
      </c>
      <c r="BF2443" s="1">
        <v>26.5</v>
      </c>
      <c r="BG2443" s="1">
        <v>20.5</v>
      </c>
      <c r="BH2443" s="1" t="s">
        <v>4020</v>
      </c>
    </row>
    <row r="2444">
      <c r="A2444" s="1">
        <v>47033.0</v>
      </c>
      <c r="B2444" s="2" t="str">
        <f>IFERROR(__xludf.DUMMYFUNCTION("TO_TEXT(A2444)"),"47033")</f>
        <v>47033</v>
      </c>
      <c r="C2444" s="1">
        <v>14558.0</v>
      </c>
      <c r="D2444" s="1">
        <v>265.534475180432</v>
      </c>
      <c r="E2444" s="1" t="s">
        <v>4021</v>
      </c>
      <c r="F2444" s="1" t="s">
        <v>4022</v>
      </c>
      <c r="G2444" s="1">
        <v>54.8252726509722</v>
      </c>
      <c r="H2444" s="1">
        <v>24.509711154</v>
      </c>
      <c r="I2444" s="1">
        <v>4.8614073558</v>
      </c>
      <c r="J2444" s="1">
        <v>8.1615120275</v>
      </c>
      <c r="K2444" s="1">
        <v>22.884323994</v>
      </c>
      <c r="L2444" s="1">
        <v>40.1</v>
      </c>
      <c r="M2444" s="1">
        <v>8.2</v>
      </c>
      <c r="N2444" s="1">
        <v>41.6</v>
      </c>
      <c r="O2444" s="1">
        <v>3.0028794735</v>
      </c>
      <c r="P2444" s="1">
        <v>14.324950648</v>
      </c>
      <c r="Q2444" s="1">
        <v>48.31939</v>
      </c>
      <c r="R2444" s="1">
        <v>97.619047619</v>
      </c>
      <c r="S2444" s="1">
        <v>25.4</v>
      </c>
      <c r="T2444" s="1">
        <v>3398.0</v>
      </c>
      <c r="U2444" s="1">
        <v>39.317245438</v>
      </c>
      <c r="V2444" s="1">
        <v>403.5843765</v>
      </c>
      <c r="W2444" s="1">
        <v>14.325068871</v>
      </c>
      <c r="X2444" s="1">
        <v>11.164510166</v>
      </c>
      <c r="Y2444" s="1">
        <v>73.772094021</v>
      </c>
      <c r="Z2444" s="1">
        <v>11.7</v>
      </c>
      <c r="AA2444" s="1">
        <v>0.260799902</v>
      </c>
      <c r="AB2444" s="1">
        <v>44431.0</v>
      </c>
      <c r="AC2444" s="1">
        <v>52.4746192889999</v>
      </c>
      <c r="AD2444" s="1">
        <v>69.4845360819999</v>
      </c>
      <c r="AE2444" s="1">
        <v>10.08136535</v>
      </c>
      <c r="AF2444" s="1">
        <v>13.784198772</v>
      </c>
      <c r="AG2444" s="1">
        <v>0.7467895031</v>
      </c>
      <c r="AH2444" s="1">
        <v>0.3489670575</v>
      </c>
      <c r="AI2444" s="1">
        <v>0.0279173646</v>
      </c>
      <c r="AJ2444" s="1">
        <v>10.943606924</v>
      </c>
      <c r="AK2444" s="1">
        <v>73.276102736</v>
      </c>
      <c r="AL2444" s="1">
        <v>1.6525890562</v>
      </c>
      <c r="AM2444" s="1">
        <v>52.170575098</v>
      </c>
      <c r="AN2444" s="1">
        <v>67.379679144</v>
      </c>
      <c r="AO2444" s="1">
        <v>20542.0</v>
      </c>
      <c r="AP2444" s="1">
        <v>18.3</v>
      </c>
      <c r="AQ2444" s="1">
        <v>6.8</v>
      </c>
      <c r="AR2444" s="1">
        <v>23.5</v>
      </c>
      <c r="AS2444" s="1">
        <v>17.4</v>
      </c>
      <c r="AT2444" s="1">
        <v>24.5</v>
      </c>
      <c r="AU2444" s="1">
        <v>20.3</v>
      </c>
      <c r="AV2444" s="1">
        <v>24.9</v>
      </c>
      <c r="AW2444" s="1">
        <v>1.6</v>
      </c>
      <c r="AX2444" s="1">
        <v>0.7287</v>
      </c>
      <c r="AY2444" s="1">
        <v>15.8</v>
      </c>
      <c r="AZ2444" s="1">
        <v>14.8</v>
      </c>
      <c r="BA2444" s="1">
        <v>18.6</v>
      </c>
      <c r="BB2444" s="1">
        <v>2.97</v>
      </c>
      <c r="BC2444" s="1" t="s">
        <v>4001</v>
      </c>
      <c r="BD2444" s="1">
        <v>18.8</v>
      </c>
      <c r="BE2444" s="1">
        <v>40.5</v>
      </c>
      <c r="BF2444" s="1">
        <v>26.8</v>
      </c>
      <c r="BG2444" s="1">
        <v>13.8</v>
      </c>
      <c r="BH2444" s="1" t="s">
        <v>4022</v>
      </c>
    </row>
    <row r="2445">
      <c r="A2445" s="1">
        <v>47035.0</v>
      </c>
      <c r="B2445" s="2" t="str">
        <f>IFERROR(__xludf.DUMMYFUNCTION("TO_TEXT(A2445)"),"47035")</f>
        <v>47035</v>
      </c>
      <c r="C2445" s="1">
        <v>57895.0</v>
      </c>
      <c r="D2445" s="1">
        <v>681.025959417924</v>
      </c>
      <c r="E2445" s="1" t="s">
        <v>1178</v>
      </c>
      <c r="F2445" s="1" t="s">
        <v>4023</v>
      </c>
      <c r="G2445" s="1">
        <v>85.0114436892877</v>
      </c>
      <c r="H2445" s="1">
        <v>21.153032901</v>
      </c>
      <c r="I2445" s="1">
        <v>4.6167280306</v>
      </c>
      <c r="J2445" s="1">
        <v>8.0653663679</v>
      </c>
      <c r="K2445" s="1">
        <v>19.946257742</v>
      </c>
      <c r="L2445" s="1">
        <v>34.3</v>
      </c>
      <c r="M2445" s="1">
        <v>7.8</v>
      </c>
      <c r="N2445" s="1">
        <v>28.3</v>
      </c>
      <c r="O2445" s="1">
        <v>62.877990473</v>
      </c>
      <c r="P2445" s="1">
        <v>12.630131605</v>
      </c>
      <c r="Q2445" s="1">
        <v>67.7071</v>
      </c>
      <c r="R2445" s="1">
        <v>90.185185185</v>
      </c>
      <c r="S2445" s="1">
        <v>24.4</v>
      </c>
      <c r="T2445" s="1">
        <v>10418.0</v>
      </c>
      <c r="U2445" s="1">
        <v>41.524284892</v>
      </c>
      <c r="V2445" s="1">
        <v>296.79699429</v>
      </c>
      <c r="W2445" s="1">
        <v>12.081632653</v>
      </c>
      <c r="X2445" s="1">
        <v>10.051599587</v>
      </c>
      <c r="Y2445" s="1">
        <v>76.792760295</v>
      </c>
      <c r="Z2445" s="1">
        <v>15.0</v>
      </c>
      <c r="AA2445" s="1">
        <v>8.0249171939</v>
      </c>
      <c r="AB2445" s="1">
        <v>46527.0</v>
      </c>
      <c r="AC2445" s="1">
        <v>52.4746192889999</v>
      </c>
      <c r="AD2445" s="1">
        <v>78.048684262</v>
      </c>
      <c r="AE2445" s="1">
        <v>10.948072063</v>
      </c>
      <c r="AF2445" s="1">
        <v>0.5932331205</v>
      </c>
      <c r="AG2445" s="1">
        <v>0.4424111407</v>
      </c>
      <c r="AH2445" s="1">
        <v>0.5764751228</v>
      </c>
      <c r="AI2445" s="1">
        <v>0.1089269854</v>
      </c>
      <c r="AJ2445" s="1">
        <v>3.1354213799</v>
      </c>
      <c r="AK2445" s="1">
        <v>94.245303571</v>
      </c>
      <c r="AL2445" s="1">
        <v>0.6879008276</v>
      </c>
      <c r="AM2445" s="1">
        <v>51.2895279269999</v>
      </c>
      <c r="AN2445" s="1">
        <v>60.892369722</v>
      </c>
      <c r="AO2445" s="1">
        <v>22606.0</v>
      </c>
      <c r="AP2445" s="1">
        <v>16.0</v>
      </c>
      <c r="AQ2445" s="1">
        <v>8.8</v>
      </c>
      <c r="AR2445" s="1">
        <v>16.4</v>
      </c>
      <c r="AS2445" s="1">
        <v>29.0</v>
      </c>
      <c r="AT2445" s="1">
        <v>18.1</v>
      </c>
      <c r="AU2445" s="1">
        <v>23.4</v>
      </c>
      <c r="AV2445" s="1">
        <v>5.2</v>
      </c>
      <c r="AW2445" s="1">
        <v>0.7</v>
      </c>
      <c r="AX2445" s="1">
        <v>0.5027</v>
      </c>
      <c r="AY2445" s="1">
        <v>13.3</v>
      </c>
      <c r="AZ2445" s="1">
        <v>14.3</v>
      </c>
      <c r="BA2445" s="1">
        <v>20.2</v>
      </c>
      <c r="BB2445" s="1">
        <v>3.3</v>
      </c>
      <c r="BC2445" s="1" t="s">
        <v>4001</v>
      </c>
      <c r="BD2445" s="1">
        <v>14.2</v>
      </c>
      <c r="BE2445" s="1">
        <v>37.7</v>
      </c>
      <c r="BF2445" s="1">
        <v>29.7</v>
      </c>
      <c r="BG2445" s="1">
        <v>18.5</v>
      </c>
      <c r="BH2445" s="1" t="s">
        <v>4023</v>
      </c>
    </row>
    <row r="2446">
      <c r="A2446" s="1">
        <v>47037.0</v>
      </c>
      <c r="B2446" s="2" t="str">
        <f>IFERROR(__xludf.DUMMYFUNCTION("TO_TEXT(A2446)"),"47037")</f>
        <v>47037</v>
      </c>
      <c r="C2446" s="1">
        <v>667885.0</v>
      </c>
      <c r="D2446" s="1">
        <v>503.84510413323</v>
      </c>
      <c r="E2446" s="1" t="s">
        <v>3215</v>
      </c>
      <c r="F2446" s="1" t="s">
        <v>4024</v>
      </c>
      <c r="G2446" s="1">
        <v>1325.57604414748</v>
      </c>
      <c r="H2446" s="1">
        <v>16.755521355</v>
      </c>
      <c r="I2446" s="1">
        <v>4.2256826493</v>
      </c>
      <c r="J2446" s="1">
        <v>8.9299494127</v>
      </c>
      <c r="K2446" s="1">
        <v>18.106899483</v>
      </c>
      <c r="L2446" s="1">
        <v>29.7</v>
      </c>
      <c r="M2446" s="1">
        <v>7.3</v>
      </c>
      <c r="N2446" s="1">
        <v>23.0</v>
      </c>
      <c r="O2446" s="1">
        <v>90.912920609</v>
      </c>
      <c r="P2446" s="1">
        <v>14.189949107</v>
      </c>
      <c r="Q2446" s="1">
        <v>94.4675</v>
      </c>
      <c r="R2446" s="1">
        <v>80.137981118</v>
      </c>
      <c r="S2446" s="1">
        <v>25.4</v>
      </c>
      <c r="T2446" s="1">
        <v>143990.0</v>
      </c>
      <c r="U2446" s="1">
        <v>40.205569831</v>
      </c>
      <c r="V2446" s="1">
        <v>1104.5843064</v>
      </c>
      <c r="W2446" s="1">
        <v>16.987513007</v>
      </c>
      <c r="X2446" s="1">
        <v>14.404959301</v>
      </c>
      <c r="Y2446" s="1">
        <v>76.981374495</v>
      </c>
      <c r="Z2446" s="1">
        <v>9.7</v>
      </c>
      <c r="AA2446" s="1">
        <v>7.341723781</v>
      </c>
      <c r="AB2446" s="1">
        <v>60799.0</v>
      </c>
      <c r="AC2446" s="1">
        <v>52.4746192889999</v>
      </c>
      <c r="AD2446" s="1">
        <v>54.119243045</v>
      </c>
      <c r="AE2446" s="1">
        <v>14.70816316</v>
      </c>
      <c r="AF2446" s="1">
        <v>27.090892552</v>
      </c>
      <c r="AG2446" s="1">
        <v>0.487159014</v>
      </c>
      <c r="AH2446" s="1">
        <v>3.9336574322</v>
      </c>
      <c r="AI2446" s="1">
        <v>0.1121880717</v>
      </c>
      <c r="AJ2446" s="1">
        <v>10.415442392</v>
      </c>
      <c r="AK2446" s="1">
        <v>56.153522951</v>
      </c>
      <c r="AL2446" s="1">
        <v>4.9509469474</v>
      </c>
      <c r="AM2446" s="1">
        <v>51.734727911</v>
      </c>
      <c r="AN2446" s="1">
        <v>3.4119432375</v>
      </c>
      <c r="AO2446" s="1">
        <v>30595.0</v>
      </c>
      <c r="AP2446" s="1">
        <v>17.7</v>
      </c>
      <c r="AQ2446" s="1">
        <v>6.2</v>
      </c>
      <c r="AR2446" s="1">
        <v>12.5</v>
      </c>
      <c r="AS2446" s="1">
        <v>11.0</v>
      </c>
      <c r="AT2446" s="1">
        <v>21.6</v>
      </c>
      <c r="AU2446" s="1">
        <v>11.9</v>
      </c>
      <c r="AV2446" s="1">
        <v>43.4</v>
      </c>
      <c r="AW2446" s="1">
        <v>4.6</v>
      </c>
      <c r="AX2446" s="1">
        <v>0.5657</v>
      </c>
      <c r="AY2446" s="1">
        <v>12.6</v>
      </c>
      <c r="AZ2446" s="1">
        <v>12.4</v>
      </c>
      <c r="BA2446" s="1">
        <v>14.4</v>
      </c>
      <c r="BB2446" s="1">
        <v>3.34</v>
      </c>
      <c r="BC2446" s="1" t="s">
        <v>4001</v>
      </c>
      <c r="BD2446" s="1">
        <v>10.9</v>
      </c>
      <c r="BE2446" s="1">
        <v>22.1</v>
      </c>
      <c r="BF2446" s="1">
        <v>25.3</v>
      </c>
      <c r="BG2446" s="1">
        <v>41.7</v>
      </c>
      <c r="BH2446" s="1" t="s">
        <v>4024</v>
      </c>
    </row>
    <row r="2447">
      <c r="A2447" s="1">
        <v>47039.0</v>
      </c>
      <c r="B2447" s="2" t="str">
        <f>IFERROR(__xludf.DUMMYFUNCTION("TO_TEXT(A2447)"),"47039")</f>
        <v>47039</v>
      </c>
      <c r="C2447" s="1">
        <v>11703.0</v>
      </c>
      <c r="D2447" s="1">
        <v>333.849172703786</v>
      </c>
      <c r="E2447" s="1" t="s">
        <v>870</v>
      </c>
      <c r="F2447" s="1" t="s">
        <v>4025</v>
      </c>
      <c r="G2447" s="1">
        <v>35.0547521361801</v>
      </c>
      <c r="H2447" s="1">
        <v>22.829012002</v>
      </c>
      <c r="I2447" s="1">
        <v>4.9638556322</v>
      </c>
      <c r="J2447" s="1">
        <v>8.4745762712</v>
      </c>
      <c r="K2447" s="1">
        <v>22.698011097</v>
      </c>
      <c r="L2447" s="1">
        <v>31.9</v>
      </c>
      <c r="M2447" s="1">
        <v>7.7</v>
      </c>
      <c r="N2447" s="1">
        <v>34.7</v>
      </c>
      <c r="O2447" s="1">
        <v>48.48175555</v>
      </c>
      <c r="P2447" s="1">
        <v>12.130044843</v>
      </c>
      <c r="Q2447" s="1">
        <v>34.03966</v>
      </c>
      <c r="R2447" s="1">
        <v>94.9579831929999</v>
      </c>
      <c r="S2447" s="1">
        <v>24.3</v>
      </c>
      <c r="T2447" s="1">
        <v>2479.0</v>
      </c>
      <c r="U2447" s="1">
        <v>28.156514724</v>
      </c>
      <c r="V2447" s="1">
        <v>257.2678158</v>
      </c>
      <c r="W2447" s="1">
        <v>12.3173277659999</v>
      </c>
      <c r="X2447" s="1">
        <v>11.349036403</v>
      </c>
      <c r="Y2447" s="1">
        <v>75.869221306</v>
      </c>
      <c r="Z2447" s="1">
        <v>15.7</v>
      </c>
      <c r="AA2447" s="1">
        <v>2.947156924</v>
      </c>
      <c r="AB2447" s="1">
        <v>42905.0</v>
      </c>
      <c r="AC2447" s="1">
        <v>52.4746192889999</v>
      </c>
      <c r="AD2447" s="1">
        <v>76.48712957</v>
      </c>
      <c r="AE2447" s="1">
        <v>9.6989197886</v>
      </c>
      <c r="AF2447" s="1">
        <v>2.878865539</v>
      </c>
      <c r="AG2447" s="1">
        <v>0.3587903639</v>
      </c>
      <c r="AH2447" s="1">
        <v>0.5467281736</v>
      </c>
      <c r="AI2447" s="1">
        <v>0.0939689048</v>
      </c>
      <c r="AJ2447" s="1">
        <v>3.3059969247</v>
      </c>
      <c r="AK2447" s="1">
        <v>91.85887579</v>
      </c>
      <c r="AL2447" s="1">
        <v>0.0</v>
      </c>
      <c r="AM2447" s="1">
        <v>50.89697591</v>
      </c>
      <c r="AN2447" s="1">
        <v>100.0</v>
      </c>
      <c r="AO2447" s="1">
        <v>21977.0</v>
      </c>
      <c r="AP2447" s="1">
        <v>20.9</v>
      </c>
      <c r="AQ2447" s="1">
        <v>8.3</v>
      </c>
      <c r="AR2447" s="1">
        <v>17.7</v>
      </c>
      <c r="AS2447" s="1">
        <v>23.0</v>
      </c>
      <c r="AT2447" s="1">
        <v>21.0</v>
      </c>
      <c r="AU2447" s="1">
        <v>21.8</v>
      </c>
      <c r="AV2447" s="1">
        <v>8.1</v>
      </c>
      <c r="AW2447" s="1">
        <v>0.2</v>
      </c>
      <c r="AX2447" s="1">
        <v>0.6224</v>
      </c>
      <c r="AY2447" s="1">
        <v>16.0</v>
      </c>
      <c r="AZ2447" s="1">
        <v>15.2</v>
      </c>
      <c r="BA2447" s="1">
        <v>20.0</v>
      </c>
      <c r="BB2447" s="1">
        <v>3.09</v>
      </c>
      <c r="BC2447" s="1" t="s">
        <v>4001</v>
      </c>
      <c r="BD2447" s="1">
        <v>14.1</v>
      </c>
      <c r="BE2447" s="1">
        <v>42.3</v>
      </c>
      <c r="BF2447" s="1">
        <v>29.1</v>
      </c>
      <c r="BG2447" s="1">
        <v>14.5</v>
      </c>
      <c r="BH2447" s="1" t="s">
        <v>4025</v>
      </c>
    </row>
    <row r="2448">
      <c r="A2448" s="1">
        <v>47041.0</v>
      </c>
      <c r="B2448" s="2" t="str">
        <f>IFERROR(__xludf.DUMMYFUNCTION("TO_TEXT(A2448)"),"47041")</f>
        <v>47041</v>
      </c>
      <c r="C2448" s="1">
        <v>19159.0</v>
      </c>
      <c r="D2448" s="1">
        <v>304.357935917418</v>
      </c>
      <c r="E2448" s="1" t="s">
        <v>108</v>
      </c>
      <c r="F2448" s="1" t="s">
        <v>4026</v>
      </c>
      <c r="G2448" s="1">
        <v>62.9489089622373</v>
      </c>
      <c r="H2448" s="1">
        <v>21.642022979</v>
      </c>
      <c r="I2448" s="1">
        <v>4.80682545579999</v>
      </c>
      <c r="J2448" s="1">
        <v>9.4932649134</v>
      </c>
      <c r="K2448" s="1">
        <v>22.692190626</v>
      </c>
      <c r="L2448" s="1">
        <v>30.1</v>
      </c>
      <c r="M2448" s="1">
        <v>8.2</v>
      </c>
      <c r="N2448" s="1">
        <v>26.3</v>
      </c>
      <c r="O2448" s="1">
        <v>33.86209475</v>
      </c>
      <c r="P2448" s="1">
        <v>14.324188901</v>
      </c>
      <c r="Q2448" s="1">
        <v>40.29821</v>
      </c>
      <c r="R2448" s="1">
        <v>95.408163265</v>
      </c>
      <c r="S2448" s="1">
        <v>24.4</v>
      </c>
      <c r="T2448" s="1">
        <v>4151.0</v>
      </c>
      <c r="U2448" s="1">
        <v>34.184533847</v>
      </c>
      <c r="V2448" s="1">
        <v>303.10880829</v>
      </c>
      <c r="W2448" s="1">
        <v>11.793440335</v>
      </c>
      <c r="X2448" s="1">
        <v>8.8728323699</v>
      </c>
      <c r="Y2448" s="1">
        <v>73.832575682</v>
      </c>
      <c r="Z2448" s="1">
        <v>17.1</v>
      </c>
      <c r="AA2448" s="1">
        <v>0.760085902199999</v>
      </c>
      <c r="AB2448" s="1">
        <v>47420.0</v>
      </c>
      <c r="AC2448" s="1">
        <v>52.4746192889999</v>
      </c>
      <c r="AD2448" s="1">
        <v>68.959529852</v>
      </c>
      <c r="AE2448" s="1">
        <v>9.0416428979</v>
      </c>
      <c r="AF2448" s="1">
        <v>1.4251663522</v>
      </c>
      <c r="AG2448" s="1">
        <v>0.4568477505</v>
      </c>
      <c r="AH2448" s="1">
        <v>1.1669480584</v>
      </c>
      <c r="AI2448" s="1">
        <v>0.0198629457</v>
      </c>
      <c r="AJ2448" s="1">
        <v>8.6056212136</v>
      </c>
      <c r="AK2448" s="1">
        <v>87.4317211239999</v>
      </c>
      <c r="AL2448" s="1">
        <v>0.1295686444</v>
      </c>
      <c r="AM2448" s="1">
        <v>50.039725891</v>
      </c>
      <c r="AN2448" s="1">
        <v>78.368851146</v>
      </c>
      <c r="AO2448" s="1">
        <v>25273.0</v>
      </c>
      <c r="AP2448" s="1">
        <v>22.2</v>
      </c>
      <c r="AQ2448" s="1">
        <v>7.0</v>
      </c>
      <c r="AR2448" s="1">
        <v>22.0</v>
      </c>
      <c r="AS2448" s="1">
        <v>17.5</v>
      </c>
      <c r="AT2448" s="1">
        <v>22.3</v>
      </c>
      <c r="AU2448" s="1">
        <v>18.8</v>
      </c>
      <c r="AV2448" s="1">
        <v>10.5</v>
      </c>
      <c r="AW2448" s="1">
        <v>1.6</v>
      </c>
      <c r="AX2448" s="1">
        <v>0.6734</v>
      </c>
      <c r="AY2448" s="1">
        <v>18.0</v>
      </c>
      <c r="AZ2448" s="1">
        <v>13.9</v>
      </c>
      <c r="BA2448" s="1">
        <v>18.0</v>
      </c>
      <c r="BB2448" s="1">
        <v>3.15</v>
      </c>
      <c r="BC2448" s="1" t="s">
        <v>4001</v>
      </c>
      <c r="BD2448" s="1">
        <v>19.9</v>
      </c>
      <c r="BE2448" s="1">
        <v>40.9</v>
      </c>
      <c r="BF2448" s="1">
        <v>22.5</v>
      </c>
      <c r="BG2448" s="1">
        <v>16.7</v>
      </c>
      <c r="BH2448" s="1" t="s">
        <v>4026</v>
      </c>
    </row>
    <row r="2449">
      <c r="A2449" s="1">
        <v>47043.0</v>
      </c>
      <c r="B2449" s="2" t="str">
        <f>IFERROR(__xludf.DUMMYFUNCTION("TO_TEXT(A2449)"),"47043")</f>
        <v>47043</v>
      </c>
      <c r="C2449" s="1">
        <v>50926.0</v>
      </c>
      <c r="D2449" s="1">
        <v>489.895579801296</v>
      </c>
      <c r="E2449" s="1" t="s">
        <v>4027</v>
      </c>
      <c r="F2449" s="1" t="s">
        <v>4028</v>
      </c>
      <c r="G2449" s="1">
        <v>103.952764833387</v>
      </c>
      <c r="H2449" s="1">
        <v>19.145919265</v>
      </c>
      <c r="I2449" s="1">
        <v>4.6436818089</v>
      </c>
      <c r="J2449" s="1">
        <v>7.7211043519</v>
      </c>
      <c r="K2449" s="1">
        <v>21.30032911</v>
      </c>
      <c r="L2449" s="1">
        <v>26.7</v>
      </c>
      <c r="M2449" s="1">
        <v>8.1</v>
      </c>
      <c r="N2449" s="1">
        <v>26.0</v>
      </c>
      <c r="O2449" s="1">
        <v>68.211653848</v>
      </c>
      <c r="P2449" s="1">
        <v>10.8802896579999</v>
      </c>
      <c r="Q2449" s="1">
        <v>35.94876</v>
      </c>
      <c r="R2449" s="1">
        <v>95.826377295</v>
      </c>
      <c r="S2449" s="1">
        <v>20.2</v>
      </c>
      <c r="T2449" s="1">
        <v>12194.0</v>
      </c>
      <c r="U2449" s="1">
        <v>25.906183369</v>
      </c>
      <c r="V2449" s="1">
        <v>497.12371446</v>
      </c>
      <c r="W2449" s="1">
        <v>13.086092715</v>
      </c>
      <c r="X2449" s="1">
        <v>10.236863599</v>
      </c>
      <c r="Y2449" s="1">
        <v>74.578853932</v>
      </c>
      <c r="Z2449" s="1">
        <v>14.5</v>
      </c>
      <c r="AA2449" s="1">
        <v>5.1880370186</v>
      </c>
      <c r="AB2449" s="1">
        <v>56166.0</v>
      </c>
      <c r="AC2449" s="1">
        <v>52.4746192889999</v>
      </c>
      <c r="AD2449" s="1">
        <v>72.97396986</v>
      </c>
      <c r="AE2449" s="1">
        <v>9.5511306109</v>
      </c>
      <c r="AF2449" s="1">
        <v>3.9872020357</v>
      </c>
      <c r="AG2449" s="1">
        <v>0.4883433746</v>
      </c>
      <c r="AH2449" s="1">
        <v>0.6436403098</v>
      </c>
      <c r="AI2449" s="1">
        <v>0.0580024698</v>
      </c>
      <c r="AJ2449" s="1">
        <v>3.7121580661</v>
      </c>
      <c r="AK2449" s="1">
        <v>89.559555439</v>
      </c>
      <c r="AL2449" s="1">
        <v>0.674346150699999</v>
      </c>
      <c r="AM2449" s="1">
        <v>50.888747521</v>
      </c>
      <c r="AN2449" s="1">
        <v>67.752587283</v>
      </c>
      <c r="AO2449" s="1">
        <v>23426.0</v>
      </c>
      <c r="AP2449" s="1">
        <v>15.9</v>
      </c>
      <c r="AQ2449" s="1">
        <v>5.6</v>
      </c>
      <c r="AR2449" s="1">
        <v>16.4</v>
      </c>
      <c r="AS2449" s="1">
        <v>15.4</v>
      </c>
      <c r="AT2449" s="1">
        <v>23.7</v>
      </c>
      <c r="AU2449" s="1">
        <v>16.3</v>
      </c>
      <c r="AV2449" s="1">
        <v>9.9</v>
      </c>
      <c r="AW2449" s="1">
        <v>0.4</v>
      </c>
      <c r="AX2449" s="1">
        <v>0.4884</v>
      </c>
      <c r="AY2449" s="1">
        <v>10.1</v>
      </c>
      <c r="AZ2449" s="1">
        <v>12.1</v>
      </c>
      <c r="BA2449" s="1">
        <v>14.7</v>
      </c>
      <c r="BB2449" s="1">
        <v>2.88</v>
      </c>
      <c r="BC2449" s="1" t="s">
        <v>4001</v>
      </c>
      <c r="BD2449" s="1">
        <v>16.3</v>
      </c>
      <c r="BE2449" s="1">
        <v>41.8</v>
      </c>
      <c r="BF2449" s="1">
        <v>25.7</v>
      </c>
      <c r="BG2449" s="1">
        <v>16.2</v>
      </c>
      <c r="BH2449" s="1" t="s">
        <v>4028</v>
      </c>
    </row>
    <row r="2450">
      <c r="A2450" s="1">
        <v>47045.0</v>
      </c>
      <c r="B2450" s="2" t="str">
        <f>IFERROR(__xludf.DUMMYFUNCTION("TO_TEXT(A2450)"),"47045")</f>
        <v>47045</v>
      </c>
      <c r="C2450" s="1">
        <v>37970.0</v>
      </c>
      <c r="D2450" s="1">
        <v>512.334018767324</v>
      </c>
      <c r="E2450" s="1" t="s">
        <v>4029</v>
      </c>
      <c r="F2450" s="1" t="s">
        <v>4030</v>
      </c>
      <c r="G2450" s="1">
        <v>74.1118071592354</v>
      </c>
      <c r="H2450" s="1">
        <v>20.921690203</v>
      </c>
      <c r="I2450" s="1">
        <v>4.8113202495</v>
      </c>
      <c r="J2450" s="1">
        <v>11.0431324559999</v>
      </c>
      <c r="K2450" s="1">
        <v>22.953545083</v>
      </c>
      <c r="L2450" s="1">
        <v>40.3</v>
      </c>
      <c r="M2450" s="1">
        <v>6.7</v>
      </c>
      <c r="N2450" s="1">
        <v>34.0</v>
      </c>
      <c r="O2450" s="1">
        <v>61.6121038219999</v>
      </c>
      <c r="P2450" s="1">
        <v>9.8306308672</v>
      </c>
      <c r="Q2450" s="1">
        <v>42.70881</v>
      </c>
      <c r="R2450" s="1">
        <v>96.303901437</v>
      </c>
      <c r="S2450" s="1">
        <v>26.0</v>
      </c>
      <c r="T2450" s="1">
        <v>8750.0</v>
      </c>
      <c r="U2450" s="1">
        <v>40.125714286</v>
      </c>
      <c r="V2450" s="1">
        <v>771.41430336</v>
      </c>
      <c r="W2450" s="1">
        <v>12.204855338</v>
      </c>
      <c r="X2450" s="1">
        <v>9.403437816</v>
      </c>
      <c r="Y2450" s="1">
        <v>73.174612982</v>
      </c>
      <c r="Z2450" s="1">
        <v>16.8</v>
      </c>
      <c r="AA2450" s="1">
        <v>13.656513419</v>
      </c>
      <c r="AB2450" s="1">
        <v>44302.0</v>
      </c>
      <c r="AC2450" s="1">
        <v>52.4746192889999</v>
      </c>
      <c r="AD2450" s="1">
        <v>62.134387352</v>
      </c>
      <c r="AE2450" s="1">
        <v>10.987195374</v>
      </c>
      <c r="AF2450" s="1">
        <v>14.078242229</v>
      </c>
      <c r="AG2450" s="1">
        <v>0.3751339764</v>
      </c>
      <c r="AH2450" s="1">
        <v>0.7931404073</v>
      </c>
      <c r="AI2450" s="1">
        <v>0.0321543408</v>
      </c>
      <c r="AJ2450" s="1">
        <v>3.5557341908</v>
      </c>
      <c r="AK2450" s="1">
        <v>79.772240086</v>
      </c>
      <c r="AL2450" s="1">
        <v>0.4585468029</v>
      </c>
      <c r="AM2450" s="1">
        <v>51.784565916</v>
      </c>
      <c r="AN2450" s="1">
        <v>42.864223295</v>
      </c>
      <c r="AO2450" s="1">
        <v>23936.0</v>
      </c>
      <c r="AP2450" s="1">
        <v>18.6</v>
      </c>
      <c r="AQ2450" s="1">
        <v>8.1</v>
      </c>
      <c r="AR2450" s="1">
        <v>16.8</v>
      </c>
      <c r="AS2450" s="1">
        <v>16.0</v>
      </c>
      <c r="AT2450" s="1">
        <v>24.2</v>
      </c>
      <c r="AU2450" s="1">
        <v>18.6</v>
      </c>
      <c r="AV2450" s="1">
        <v>19.6</v>
      </c>
      <c r="AW2450" s="1">
        <v>0.5</v>
      </c>
      <c r="AX2450" s="1">
        <v>0.7434</v>
      </c>
      <c r="AY2450" s="1">
        <v>17.3</v>
      </c>
      <c r="AZ2450" s="1">
        <v>15.7</v>
      </c>
      <c r="BA2450" s="1">
        <v>19.2</v>
      </c>
      <c r="BB2450" s="1">
        <v>3.1</v>
      </c>
      <c r="BC2450" s="1" t="s">
        <v>4001</v>
      </c>
      <c r="BD2450" s="1">
        <v>16.1</v>
      </c>
      <c r="BE2450" s="1">
        <v>38.8</v>
      </c>
      <c r="BF2450" s="1">
        <v>28.9</v>
      </c>
      <c r="BG2450" s="1">
        <v>16.1</v>
      </c>
      <c r="BH2450" s="1" t="s">
        <v>4030</v>
      </c>
    </row>
    <row r="2451">
      <c r="A2451" s="1">
        <v>47047.0</v>
      </c>
      <c r="B2451" s="2" t="str">
        <f>IFERROR(__xludf.DUMMYFUNCTION("TO_TEXT(A2451)"),"47047")</f>
        <v>47047</v>
      </c>
      <c r="C2451" s="1">
        <v>39071.0</v>
      </c>
      <c r="D2451" s="1">
        <v>704.781147517283</v>
      </c>
      <c r="E2451" s="1" t="s">
        <v>116</v>
      </c>
      <c r="F2451" s="1" t="s">
        <v>4031</v>
      </c>
      <c r="G2451" s="1">
        <v>55.4370674324001</v>
      </c>
      <c r="H2451" s="1">
        <v>20.870135376</v>
      </c>
      <c r="I2451" s="1">
        <v>4.3640467153</v>
      </c>
      <c r="J2451" s="1">
        <v>9.4190443451</v>
      </c>
      <c r="K2451" s="1">
        <v>20.300532677</v>
      </c>
      <c r="L2451" s="1">
        <v>35.1</v>
      </c>
      <c r="M2451" s="1">
        <v>8.0</v>
      </c>
      <c r="N2451" s="1">
        <v>25.3</v>
      </c>
      <c r="O2451" s="1">
        <v>48.262307031</v>
      </c>
      <c r="P2451" s="1">
        <v>11.021573604</v>
      </c>
      <c r="Q2451" s="1">
        <v>34.96853</v>
      </c>
      <c r="R2451" s="1">
        <v>90.43062201</v>
      </c>
      <c r="S2451" s="1">
        <v>20.9</v>
      </c>
      <c r="T2451" s="1">
        <v>7827.0</v>
      </c>
      <c r="U2451" s="1">
        <v>32.515650952</v>
      </c>
      <c r="V2451" s="1">
        <v>258.37810182</v>
      </c>
      <c r="W2451" s="1">
        <v>12.701072386</v>
      </c>
      <c r="X2451" s="1">
        <v>10.880652839</v>
      </c>
      <c r="Y2451" s="1">
        <v>77.98945898</v>
      </c>
      <c r="Z2451" s="1">
        <v>8.8</v>
      </c>
      <c r="AA2451" s="1">
        <v>2.426842658</v>
      </c>
      <c r="AB2451" s="1">
        <v>59529.0</v>
      </c>
      <c r="AC2451" s="1">
        <v>52.4746192889999</v>
      </c>
      <c r="AD2451" s="1">
        <v>79.669046074</v>
      </c>
      <c r="AE2451" s="1">
        <v>8.664111689</v>
      </c>
      <c r="AF2451" s="1">
        <v>27.385390179</v>
      </c>
      <c r="AG2451" s="1">
        <v>0.3801812032</v>
      </c>
      <c r="AH2451" s="1">
        <v>0.7085195151</v>
      </c>
      <c r="AI2451" s="1">
        <v>0.0419680549</v>
      </c>
      <c r="AJ2451" s="1">
        <v>2.8834522428</v>
      </c>
      <c r="AK2451" s="1">
        <v>67.793220925</v>
      </c>
      <c r="AL2451" s="1">
        <v>0.3373173971</v>
      </c>
      <c r="AM2451" s="1">
        <v>50.781346434</v>
      </c>
      <c r="AN2451" s="1">
        <v>79.043552964</v>
      </c>
      <c r="AO2451" s="1">
        <v>29018.0</v>
      </c>
      <c r="AP2451" s="1">
        <v>15.0</v>
      </c>
      <c r="AQ2451" s="1">
        <v>8.4</v>
      </c>
      <c r="AR2451" s="1">
        <v>13.8</v>
      </c>
      <c r="AS2451" s="1">
        <v>18.6</v>
      </c>
      <c r="AT2451" s="1">
        <v>20.9</v>
      </c>
      <c r="AU2451" s="1">
        <v>15.4</v>
      </c>
      <c r="AV2451" s="1">
        <v>31.9</v>
      </c>
      <c r="AW2451" s="1">
        <v>0.4</v>
      </c>
      <c r="AX2451" s="1">
        <v>0.3145</v>
      </c>
      <c r="AY2451" s="1">
        <v>11.2</v>
      </c>
      <c r="AZ2451" s="1">
        <v>12.2</v>
      </c>
      <c r="BA2451" s="1">
        <v>16.1</v>
      </c>
      <c r="BB2451" s="1">
        <v>3.16</v>
      </c>
      <c r="BC2451" s="1" t="s">
        <v>4001</v>
      </c>
      <c r="BD2451" s="1">
        <v>13.8</v>
      </c>
      <c r="BE2451" s="1">
        <v>32.1</v>
      </c>
      <c r="BF2451" s="1">
        <v>31.9</v>
      </c>
      <c r="BG2451" s="1">
        <v>22.2</v>
      </c>
      <c r="BH2451" s="1" t="s">
        <v>4031</v>
      </c>
    </row>
    <row r="2452">
      <c r="A2452" s="1">
        <v>47049.0</v>
      </c>
      <c r="B2452" s="2" t="str">
        <f>IFERROR(__xludf.DUMMYFUNCTION("TO_TEXT(A2452)"),"47049")</f>
        <v>47049</v>
      </c>
      <c r="C2452" s="1">
        <v>17936.0</v>
      </c>
      <c r="D2452" s="1">
        <v>498.611084957824</v>
      </c>
      <c r="E2452" s="1" t="s">
        <v>4032</v>
      </c>
      <c r="F2452" s="1" t="s">
        <v>4033</v>
      </c>
      <c r="G2452" s="1">
        <v>35.9719238923802</v>
      </c>
      <c r="H2452" s="1">
        <v>24.505345008</v>
      </c>
      <c r="I2452" s="1">
        <v>5.2536241975</v>
      </c>
      <c r="J2452" s="1">
        <v>8.6661642803</v>
      </c>
      <c r="K2452" s="1">
        <v>25.2196340709999</v>
      </c>
      <c r="L2452" s="1">
        <v>26.9</v>
      </c>
      <c r="M2452" s="1">
        <v>8.1</v>
      </c>
      <c r="N2452" s="1">
        <v>29.9</v>
      </c>
      <c r="O2452" s="1">
        <v>55.1923826489999</v>
      </c>
      <c r="P2452" s="1">
        <v>12.311539836</v>
      </c>
      <c r="Q2452" s="1">
        <v>44.11116</v>
      </c>
      <c r="R2452" s="1">
        <v>95.217391304</v>
      </c>
      <c r="S2452" s="1">
        <v>30.0</v>
      </c>
      <c r="T2452" s="1">
        <v>3848.0</v>
      </c>
      <c r="U2452" s="1">
        <v>22.271309771</v>
      </c>
      <c r="V2452" s="1">
        <v>167.28002676</v>
      </c>
      <c r="W2452" s="1">
        <v>12.313937754</v>
      </c>
      <c r="X2452" s="1">
        <v>10.165975104</v>
      </c>
      <c r="Y2452" s="1">
        <v>73.661825781</v>
      </c>
      <c r="Z2452" s="1">
        <v>16.5</v>
      </c>
      <c r="AA2452" s="1">
        <v>0.1044908132</v>
      </c>
      <c r="AB2452" s="1">
        <v>36687.0</v>
      </c>
      <c r="AC2452" s="1">
        <v>52.4746192889999</v>
      </c>
      <c r="AD2452" s="1">
        <v>76.658111576</v>
      </c>
      <c r="AE2452" s="1">
        <v>10.697741749</v>
      </c>
      <c r="AF2452" s="1">
        <v>0.411703354</v>
      </c>
      <c r="AG2452" s="1">
        <v>0.3842564637</v>
      </c>
      <c r="AH2452" s="1">
        <v>0.3183839271</v>
      </c>
      <c r="AI2452" s="1">
        <v>0.0219575122</v>
      </c>
      <c r="AJ2452" s="1">
        <v>1.6303452819</v>
      </c>
      <c r="AK2452" s="1">
        <v>96.3385848379999</v>
      </c>
      <c r="AL2452" s="1">
        <v>0.0531569311</v>
      </c>
      <c r="AM2452" s="1">
        <v>51.199429105</v>
      </c>
      <c r="AN2452" s="1">
        <v>100.0</v>
      </c>
      <c r="AO2452" s="1">
        <v>17487.0</v>
      </c>
      <c r="AP2452" s="1">
        <v>23.3</v>
      </c>
      <c r="AQ2452" s="1">
        <v>8.4</v>
      </c>
      <c r="AR2452" s="1">
        <v>22.7</v>
      </c>
      <c r="AS2452" s="1">
        <v>20.0</v>
      </c>
      <c r="AT2452" s="1">
        <v>22.0</v>
      </c>
      <c r="AU2452" s="1">
        <v>23.3</v>
      </c>
      <c r="AV2452" s="1">
        <v>3.1</v>
      </c>
      <c r="AW2452" s="1">
        <v>0.0</v>
      </c>
      <c r="AX2452" s="1">
        <v>0.6571</v>
      </c>
      <c r="AY2452" s="1">
        <v>20.9</v>
      </c>
      <c r="AZ2452" s="1">
        <v>16.7</v>
      </c>
      <c r="BA2452" s="1">
        <v>21.3</v>
      </c>
      <c r="BB2452" s="1">
        <v>3.13</v>
      </c>
      <c r="BC2452" s="1" t="s">
        <v>4001</v>
      </c>
      <c r="BD2452" s="1">
        <v>17.0</v>
      </c>
      <c r="BE2452" s="1">
        <v>43.6</v>
      </c>
      <c r="BF2452" s="1">
        <v>23.4</v>
      </c>
      <c r="BG2452" s="1">
        <v>16.0</v>
      </c>
      <c r="BH2452" s="1" t="s">
        <v>4033</v>
      </c>
    </row>
    <row r="2453">
      <c r="A2453" s="1">
        <v>47051.0</v>
      </c>
      <c r="B2453" s="2" t="str">
        <f>IFERROR(__xludf.DUMMYFUNCTION("TO_TEXT(A2453)"),"47051")</f>
        <v>47051</v>
      </c>
      <c r="C2453" s="1">
        <v>41348.0</v>
      </c>
      <c r="D2453" s="1">
        <v>554.4844026772</v>
      </c>
      <c r="E2453" s="1" t="s">
        <v>118</v>
      </c>
      <c r="F2453" s="1" t="s">
        <v>4034</v>
      </c>
      <c r="G2453" s="1">
        <v>74.5701769073408</v>
      </c>
      <c r="H2453" s="1">
        <v>19.887377314</v>
      </c>
      <c r="I2453" s="1">
        <v>4.5464705299</v>
      </c>
      <c r="J2453" s="1">
        <v>8.4461867427</v>
      </c>
      <c r="K2453" s="1">
        <v>21.985658903</v>
      </c>
      <c r="L2453" s="1">
        <v>35.9</v>
      </c>
      <c r="M2453" s="1">
        <v>7.9</v>
      </c>
      <c r="N2453" s="1">
        <v>28.3</v>
      </c>
      <c r="O2453" s="1">
        <v>55.220208516</v>
      </c>
      <c r="P2453" s="1">
        <v>10.623071785</v>
      </c>
      <c r="Q2453" s="1">
        <v>67.22366</v>
      </c>
      <c r="R2453" s="1">
        <v>93.1603773579999</v>
      </c>
      <c r="S2453" s="1">
        <v>21.4</v>
      </c>
      <c r="T2453" s="1">
        <v>8392.0</v>
      </c>
      <c r="U2453" s="1">
        <v>27.430886559</v>
      </c>
      <c r="V2453" s="1">
        <v>381.55956435</v>
      </c>
      <c r="W2453" s="1">
        <v>11.0431324559999</v>
      </c>
      <c r="X2453" s="1">
        <v>9.2719352831</v>
      </c>
      <c r="Y2453" s="1">
        <v>75.940154321</v>
      </c>
      <c r="Z2453" s="1">
        <v>15.7</v>
      </c>
      <c r="AA2453" s="1">
        <v>7.0778835127</v>
      </c>
      <c r="AB2453" s="1">
        <v>50201.0</v>
      </c>
      <c r="AC2453" s="1">
        <v>52.4746192889999</v>
      </c>
      <c r="AD2453" s="1">
        <v>74.383786745</v>
      </c>
      <c r="AE2453" s="1">
        <v>11.157948521</v>
      </c>
      <c r="AF2453" s="1">
        <v>5.0608737169</v>
      </c>
      <c r="AG2453" s="1">
        <v>0.4392456434</v>
      </c>
      <c r="AH2453" s="1">
        <v>0.9883026975</v>
      </c>
      <c r="AI2453" s="1">
        <v>0.0811649558</v>
      </c>
      <c r="AJ2453" s="1">
        <v>3.6357125806</v>
      </c>
      <c r="AK2453" s="1">
        <v>88.171401289</v>
      </c>
      <c r="AL2453" s="1">
        <v>0.8896210873</v>
      </c>
      <c r="AM2453" s="1">
        <v>51.160181428</v>
      </c>
      <c r="AN2453" s="1">
        <v>69.616583845</v>
      </c>
      <c r="AO2453" s="1">
        <v>23797.0</v>
      </c>
      <c r="AP2453" s="1">
        <v>16.2</v>
      </c>
      <c r="AQ2453" s="1">
        <v>8.5</v>
      </c>
      <c r="AR2453" s="1">
        <v>14.7</v>
      </c>
      <c r="AS2453" s="1">
        <v>18.9</v>
      </c>
      <c r="AT2453" s="1">
        <v>20.8</v>
      </c>
      <c r="AU2453" s="1">
        <v>19.6</v>
      </c>
      <c r="AV2453" s="1">
        <v>10.9</v>
      </c>
      <c r="AW2453" s="1">
        <v>1.1</v>
      </c>
      <c r="AX2453" s="1">
        <v>0.539</v>
      </c>
      <c r="AY2453" s="1">
        <v>13.9</v>
      </c>
      <c r="AZ2453" s="1">
        <v>13.2</v>
      </c>
      <c r="BA2453" s="1">
        <v>16.2</v>
      </c>
      <c r="BB2453" s="1">
        <v>3.11</v>
      </c>
      <c r="BC2453" s="1" t="s">
        <v>4001</v>
      </c>
      <c r="BD2453" s="1">
        <v>12.5</v>
      </c>
      <c r="BE2453" s="1">
        <v>40.0</v>
      </c>
      <c r="BF2453" s="1">
        <v>26.6</v>
      </c>
      <c r="BG2453" s="1">
        <v>20.8</v>
      </c>
      <c r="BH2453" s="1" t="s">
        <v>4034</v>
      </c>
    </row>
    <row r="2454">
      <c r="A2454" s="1">
        <v>47053.0</v>
      </c>
      <c r="B2454" s="2" t="str">
        <f>IFERROR(__xludf.DUMMYFUNCTION("TO_TEXT(A2454)"),"47053")</f>
        <v>47053</v>
      </c>
      <c r="C2454" s="1">
        <v>49511.0</v>
      </c>
      <c r="D2454" s="1">
        <v>602.74631483586</v>
      </c>
      <c r="E2454" s="1" t="s">
        <v>1343</v>
      </c>
      <c r="F2454" s="1" t="s">
        <v>4035</v>
      </c>
      <c r="G2454" s="1">
        <v>82.1423520664458</v>
      </c>
      <c r="H2454" s="1">
        <v>20.289110704</v>
      </c>
      <c r="I2454" s="1">
        <v>4.7770911995</v>
      </c>
      <c r="J2454" s="1">
        <v>8.9268755935</v>
      </c>
      <c r="K2454" s="1">
        <v>22.405184653</v>
      </c>
      <c r="L2454" s="1">
        <v>40.3</v>
      </c>
      <c r="M2454" s="1">
        <v>7.4</v>
      </c>
      <c r="N2454" s="1">
        <v>35.4</v>
      </c>
      <c r="O2454" s="1">
        <v>53.0926071289999</v>
      </c>
      <c r="P2454" s="1">
        <v>10.883617979</v>
      </c>
      <c r="Q2454" s="1">
        <v>42.76028</v>
      </c>
      <c r="R2454" s="1">
        <v>94.189602446</v>
      </c>
      <c r="S2454" s="1">
        <v>22.8</v>
      </c>
      <c r="T2454" s="1">
        <v>11769.0</v>
      </c>
      <c r="U2454" s="1">
        <v>35.975868808</v>
      </c>
      <c r="V2454" s="1">
        <v>553.35248655</v>
      </c>
      <c r="W2454" s="1">
        <v>14.326204586</v>
      </c>
      <c r="X2454" s="1">
        <v>11.85840708</v>
      </c>
      <c r="Y2454" s="1">
        <v>73.68965179</v>
      </c>
      <c r="Z2454" s="1">
        <v>16.0</v>
      </c>
      <c r="AA2454" s="1">
        <v>6.4321729835</v>
      </c>
      <c r="AB2454" s="1">
        <v>42720.0</v>
      </c>
      <c r="AC2454" s="1">
        <v>52.4746192889999</v>
      </c>
      <c r="AD2454" s="1">
        <v>69.422046507</v>
      </c>
      <c r="AE2454" s="1">
        <v>11.948570162</v>
      </c>
      <c r="AF2454" s="1">
        <v>17.89580997</v>
      </c>
      <c r="AG2454" s="1">
        <v>0.3119584055</v>
      </c>
      <c r="AH2454" s="1">
        <v>0.3099194617</v>
      </c>
      <c r="AI2454" s="1">
        <v>0.0244673259</v>
      </c>
      <c r="AJ2454" s="1">
        <v>2.8218982567</v>
      </c>
      <c r="AK2454" s="1">
        <v>77.204608013</v>
      </c>
      <c r="AL2454" s="1">
        <v>0.3172947364</v>
      </c>
      <c r="AM2454" s="1">
        <v>52.050158018</v>
      </c>
      <c r="AN2454" s="1">
        <v>47.714509993</v>
      </c>
      <c r="AO2454" s="1">
        <v>20948.0</v>
      </c>
      <c r="AP2454" s="1">
        <v>18.7</v>
      </c>
      <c r="AQ2454" s="1">
        <v>8.0</v>
      </c>
      <c r="AR2454" s="1">
        <v>15.2</v>
      </c>
      <c r="AS2454" s="1">
        <v>17.7</v>
      </c>
      <c r="AT2454" s="1">
        <v>24.4</v>
      </c>
      <c r="AU2454" s="1">
        <v>17.3</v>
      </c>
      <c r="AV2454" s="1">
        <v>22.9</v>
      </c>
      <c r="AW2454" s="1">
        <v>0.2</v>
      </c>
      <c r="AX2454" s="1">
        <v>0.7224</v>
      </c>
      <c r="AY2454" s="1">
        <v>14.3</v>
      </c>
      <c r="AZ2454" s="1">
        <v>14.7</v>
      </c>
      <c r="BA2454" s="1">
        <v>19.3</v>
      </c>
      <c r="BB2454" s="1">
        <v>3.01</v>
      </c>
      <c r="BC2454" s="1" t="s">
        <v>4001</v>
      </c>
      <c r="BD2454" s="1">
        <v>14.7</v>
      </c>
      <c r="BE2454" s="1">
        <v>39.1</v>
      </c>
      <c r="BF2454" s="1">
        <v>27.8</v>
      </c>
      <c r="BG2454" s="1">
        <v>18.4</v>
      </c>
      <c r="BH2454" s="1" t="s">
        <v>4035</v>
      </c>
    </row>
    <row r="2455">
      <c r="A2455" s="1">
        <v>47055.0</v>
      </c>
      <c r="B2455" s="2" t="str">
        <f>IFERROR(__xludf.DUMMYFUNCTION("TO_TEXT(A2455)"),"47055")</f>
        <v>47055</v>
      </c>
      <c r="C2455" s="1">
        <v>29034.0</v>
      </c>
      <c r="D2455" s="1">
        <v>610.927259456775</v>
      </c>
      <c r="E2455" s="1" t="s">
        <v>4036</v>
      </c>
      <c r="F2455" s="1" t="s">
        <v>4037</v>
      </c>
      <c r="G2455" s="1">
        <v>47.5244794704634</v>
      </c>
      <c r="H2455" s="1">
        <v>20.488331798</v>
      </c>
      <c r="I2455" s="1">
        <v>4.6566986271</v>
      </c>
      <c r="J2455" s="1">
        <v>9.2482915718</v>
      </c>
      <c r="K2455" s="1">
        <v>21.503876096</v>
      </c>
      <c r="L2455" s="1">
        <v>34.8</v>
      </c>
      <c r="M2455" s="1">
        <v>7.8</v>
      </c>
      <c r="N2455" s="1">
        <v>35.6</v>
      </c>
      <c r="O2455" s="1">
        <v>43.65609632</v>
      </c>
      <c r="P2455" s="1">
        <v>12.179431453</v>
      </c>
      <c r="Q2455" s="1">
        <v>37.41369</v>
      </c>
      <c r="R2455" s="1">
        <v>90.751445087</v>
      </c>
      <c r="S2455" s="1">
        <v>22.7</v>
      </c>
      <c r="T2455" s="1">
        <v>6017.0</v>
      </c>
      <c r="U2455" s="1">
        <v>31.660295828</v>
      </c>
      <c r="V2455" s="1">
        <v>311.2177481</v>
      </c>
      <c r="W2455" s="1">
        <v>11.933797909</v>
      </c>
      <c r="X2455" s="1">
        <v>9.645704163</v>
      </c>
      <c r="Y2455" s="1">
        <v>74.967351223</v>
      </c>
      <c r="Z2455" s="1">
        <v>12.1</v>
      </c>
      <c r="AA2455" s="1">
        <v>5.0594234913</v>
      </c>
      <c r="AB2455" s="1">
        <v>48024.0</v>
      </c>
      <c r="AC2455" s="1">
        <v>52.4746192889999</v>
      </c>
      <c r="AD2455" s="1">
        <v>70.311412665</v>
      </c>
      <c r="AE2455" s="1">
        <v>8.0319050269</v>
      </c>
      <c r="AF2455" s="1">
        <v>10.222689218</v>
      </c>
      <c r="AG2455" s="1">
        <v>0.4474121276</v>
      </c>
      <c r="AH2455" s="1">
        <v>0.5016439006</v>
      </c>
      <c r="AI2455" s="1">
        <v>0.0440633155999999</v>
      </c>
      <c r="AJ2455" s="1">
        <v>2.765820425</v>
      </c>
      <c r="AK2455" s="1">
        <v>84.167711758</v>
      </c>
      <c r="AL2455" s="1">
        <v>0.4142291341</v>
      </c>
      <c r="AM2455" s="1">
        <v>51.459173643</v>
      </c>
      <c r="AN2455" s="1">
        <v>73.745972528</v>
      </c>
      <c r="AO2455" s="1">
        <v>21487.0</v>
      </c>
      <c r="AP2455" s="1">
        <v>16.7</v>
      </c>
      <c r="AQ2455" s="1">
        <v>7.1</v>
      </c>
      <c r="AR2455" s="1">
        <v>16.7</v>
      </c>
      <c r="AS2455" s="1">
        <v>18.7</v>
      </c>
      <c r="AT2455" s="1">
        <v>21.0</v>
      </c>
      <c r="AU2455" s="1">
        <v>18.0</v>
      </c>
      <c r="AV2455" s="1">
        <v>15.2</v>
      </c>
      <c r="AW2455" s="1">
        <v>0.9</v>
      </c>
      <c r="AX2455" s="1">
        <v>0.7068</v>
      </c>
      <c r="AY2455" s="1">
        <v>13.4</v>
      </c>
      <c r="AZ2455" s="1">
        <v>13.2</v>
      </c>
      <c r="BA2455" s="1">
        <v>16.3</v>
      </c>
      <c r="BB2455" s="1">
        <v>3.24</v>
      </c>
      <c r="BC2455" s="1" t="s">
        <v>4001</v>
      </c>
      <c r="BD2455" s="1">
        <v>14.2</v>
      </c>
      <c r="BE2455" s="1">
        <v>43.1</v>
      </c>
      <c r="BF2455" s="1">
        <v>26.1</v>
      </c>
      <c r="BG2455" s="1">
        <v>16.5</v>
      </c>
      <c r="BH2455" s="1" t="s">
        <v>4037</v>
      </c>
    </row>
    <row r="2456">
      <c r="A2456" s="1">
        <v>47057.0</v>
      </c>
      <c r="B2456" s="2" t="str">
        <f>IFERROR(__xludf.DUMMYFUNCTION("TO_TEXT(A2456)"),"47057")</f>
        <v>47057</v>
      </c>
      <c r="C2456" s="1">
        <v>22813.0</v>
      </c>
      <c r="D2456" s="1">
        <v>280.59166128523</v>
      </c>
      <c r="E2456" s="1" t="s">
        <v>4038</v>
      </c>
      <c r="F2456" s="1" t="s">
        <v>4039</v>
      </c>
      <c r="G2456" s="1">
        <v>81.3032001575054</v>
      </c>
      <c r="H2456" s="1">
        <v>21.870691853</v>
      </c>
      <c r="I2456" s="1">
        <v>4.942537367</v>
      </c>
      <c r="J2456" s="1">
        <v>8.73664362039999</v>
      </c>
      <c r="K2456" s="1">
        <v>22.878929292</v>
      </c>
      <c r="L2456" s="1">
        <v>32.6</v>
      </c>
      <c r="M2456" s="1">
        <v>8.4</v>
      </c>
      <c r="N2456" s="1">
        <v>33.8</v>
      </c>
      <c r="O2456" s="1">
        <v>22.514013329</v>
      </c>
      <c r="P2456" s="1">
        <v>12.416089068</v>
      </c>
      <c r="Q2456" s="1">
        <v>21.60387</v>
      </c>
      <c r="R2456" s="1">
        <v>94.488188976</v>
      </c>
      <c r="S2456" s="1">
        <v>25.2</v>
      </c>
      <c r="T2456" s="1">
        <v>4768.0</v>
      </c>
      <c r="U2456" s="1">
        <v>24.66442953</v>
      </c>
      <c r="V2456" s="1">
        <v>210.36946137</v>
      </c>
      <c r="W2456" s="1">
        <v>11.562323745</v>
      </c>
      <c r="X2456" s="1">
        <v>8.925525867</v>
      </c>
      <c r="Y2456" s="1">
        <v>74.4451519639999</v>
      </c>
      <c r="Z2456" s="1">
        <v>13.2</v>
      </c>
      <c r="AA2456" s="1">
        <v>0.0</v>
      </c>
      <c r="AB2456" s="1">
        <v>41829.0</v>
      </c>
      <c r="AC2456" s="1">
        <v>52.4746192889999</v>
      </c>
      <c r="AD2456" s="1">
        <v>78.363880197</v>
      </c>
      <c r="AE2456" s="1">
        <v>9.2484167762</v>
      </c>
      <c r="AF2456" s="1">
        <v>0.820911644</v>
      </c>
      <c r="AG2456" s="1">
        <v>0.4234175848</v>
      </c>
      <c r="AH2456" s="1">
        <v>0.2549146684</v>
      </c>
      <c r="AI2456" s="1">
        <v>0.0604882264</v>
      </c>
      <c r="AJ2456" s="1">
        <v>3.4694318427</v>
      </c>
      <c r="AK2456" s="1">
        <v>94.054871463</v>
      </c>
      <c r="AL2456" s="1">
        <v>1.0126813247</v>
      </c>
      <c r="AM2456" s="1">
        <v>49.621948585</v>
      </c>
      <c r="AN2456" s="1">
        <v>100.0</v>
      </c>
      <c r="AO2456" s="1">
        <v>19850.0</v>
      </c>
      <c r="AP2456" s="1">
        <v>20.2</v>
      </c>
      <c r="AQ2456" s="1">
        <v>8.2</v>
      </c>
      <c r="AR2456" s="1">
        <v>19.6</v>
      </c>
      <c r="AS2456" s="1">
        <v>18.5</v>
      </c>
      <c r="AT2456" s="1">
        <v>21.2</v>
      </c>
      <c r="AU2456" s="1">
        <v>22.1</v>
      </c>
      <c r="AV2456" s="1">
        <v>4.9</v>
      </c>
      <c r="AW2456" s="1">
        <v>1.0</v>
      </c>
      <c r="AX2456" s="1">
        <v>0.5342</v>
      </c>
      <c r="AY2456" s="1">
        <v>17.1</v>
      </c>
      <c r="AZ2456" s="1">
        <v>15.0</v>
      </c>
      <c r="BA2456" s="1">
        <v>20.0</v>
      </c>
      <c r="BB2456" s="1">
        <v>2.98</v>
      </c>
      <c r="BC2456" s="1" t="s">
        <v>4001</v>
      </c>
      <c r="BD2456" s="1">
        <v>21.4</v>
      </c>
      <c r="BE2456" s="1">
        <v>42.8</v>
      </c>
      <c r="BF2456" s="1">
        <v>25.1</v>
      </c>
      <c r="BG2456" s="1">
        <v>10.7</v>
      </c>
      <c r="BH2456" s="1" t="s">
        <v>4039</v>
      </c>
    </row>
    <row r="2457">
      <c r="A2457" s="1">
        <v>47059.0</v>
      </c>
      <c r="B2457" s="2" t="str">
        <f>IFERROR(__xludf.DUMMYFUNCTION("TO_TEXT(A2457)"),"47059")</f>
        <v>47059</v>
      </c>
      <c r="C2457" s="1">
        <v>68502.0</v>
      </c>
      <c r="D2457" s="1">
        <v>622.168526522296</v>
      </c>
      <c r="E2457" s="1" t="s">
        <v>122</v>
      </c>
      <c r="F2457" s="1" t="s">
        <v>4040</v>
      </c>
      <c r="G2457" s="1">
        <v>110.102001435049</v>
      </c>
      <c r="H2457" s="1">
        <v>22.007827008</v>
      </c>
      <c r="I2457" s="1">
        <v>4.8969310458</v>
      </c>
      <c r="J2457" s="1">
        <v>8.6966046002</v>
      </c>
      <c r="K2457" s="1">
        <v>21.8113802309999</v>
      </c>
      <c r="L2457" s="1">
        <v>38.2</v>
      </c>
      <c r="M2457" s="1">
        <v>8.0</v>
      </c>
      <c r="N2457" s="1">
        <v>34.8</v>
      </c>
      <c r="O2457" s="1">
        <v>44.6034490269999</v>
      </c>
      <c r="P2457" s="1">
        <v>11.165786374</v>
      </c>
      <c r="Q2457" s="1">
        <v>56.67946</v>
      </c>
      <c r="R2457" s="1">
        <v>94.387755102</v>
      </c>
      <c r="S2457" s="1">
        <v>23.9</v>
      </c>
      <c r="T2457" s="1">
        <v>13255.0</v>
      </c>
      <c r="U2457" s="1">
        <v>35.948698604</v>
      </c>
      <c r="V2457" s="1">
        <v>317.16799673</v>
      </c>
      <c r="W2457" s="1">
        <v>11.671522214</v>
      </c>
      <c r="X2457" s="1">
        <v>9.6470153391</v>
      </c>
      <c r="Y2457" s="1">
        <v>74.289194665</v>
      </c>
      <c r="Z2457" s="1">
        <v>19.3</v>
      </c>
      <c r="AA2457" s="1">
        <v>3.6361878507</v>
      </c>
      <c r="AB2457" s="1">
        <v>44366.0</v>
      </c>
      <c r="AC2457" s="1">
        <v>52.4746192889999</v>
      </c>
      <c r="AD2457" s="1">
        <v>72.922478344</v>
      </c>
      <c r="AE2457" s="1">
        <v>10.695290966</v>
      </c>
      <c r="AF2457" s="1">
        <v>2.1161723624</v>
      </c>
      <c r="AG2457" s="1">
        <v>0.3560727778</v>
      </c>
      <c r="AH2457" s="1">
        <v>0.513844862299999</v>
      </c>
      <c r="AI2457" s="1">
        <v>0.086847019</v>
      </c>
      <c r="AJ2457" s="1">
        <v>2.9889849031</v>
      </c>
      <c r="AK2457" s="1">
        <v>92.891571497</v>
      </c>
      <c r="AL2457" s="1">
        <v>0.2493498547</v>
      </c>
      <c r="AM2457" s="1">
        <v>50.805506101</v>
      </c>
      <c r="AN2457" s="1">
        <v>65.194461798</v>
      </c>
      <c r="AO2457" s="1">
        <v>21525.0</v>
      </c>
      <c r="AP2457" s="1">
        <v>18.6</v>
      </c>
      <c r="AQ2457" s="1">
        <v>8.0</v>
      </c>
      <c r="AR2457" s="1">
        <v>18.1</v>
      </c>
      <c r="AS2457" s="1">
        <v>19.7</v>
      </c>
      <c r="AT2457" s="1">
        <v>20.0</v>
      </c>
      <c r="AU2457" s="1">
        <v>22.6</v>
      </c>
      <c r="AV2457" s="1">
        <v>6.5</v>
      </c>
      <c r="AW2457" s="1">
        <v>0.4</v>
      </c>
      <c r="AX2457" s="1">
        <v>0.6033</v>
      </c>
      <c r="AY2457" s="1">
        <v>15.9</v>
      </c>
      <c r="AZ2457" s="1">
        <v>15.3</v>
      </c>
      <c r="BA2457" s="1">
        <v>20.5</v>
      </c>
      <c r="BB2457" s="1">
        <v>2.94</v>
      </c>
      <c r="BC2457" s="1" t="s">
        <v>4001</v>
      </c>
      <c r="BD2457" s="1">
        <v>15.3</v>
      </c>
      <c r="BE2457" s="1">
        <v>41.5</v>
      </c>
      <c r="BF2457" s="1">
        <v>26.5</v>
      </c>
      <c r="BG2457" s="1">
        <v>16.7</v>
      </c>
      <c r="BH2457" s="1" t="s">
        <v>4040</v>
      </c>
    </row>
    <row r="2458">
      <c r="A2458" s="1">
        <v>47061.0</v>
      </c>
      <c r="B2458" s="2" t="str">
        <f>IFERROR(__xludf.DUMMYFUNCTION("TO_TEXT(A2458)"),"47061")</f>
        <v>47061</v>
      </c>
      <c r="C2458" s="1">
        <v>13494.0</v>
      </c>
      <c r="D2458" s="1">
        <v>360.445159550222</v>
      </c>
      <c r="E2458" s="1" t="s">
        <v>1199</v>
      </c>
      <c r="F2458" s="1" t="s">
        <v>4041</v>
      </c>
      <c r="G2458" s="1">
        <v>37.4370403998166</v>
      </c>
      <c r="H2458" s="1">
        <v>24.9627191509999</v>
      </c>
      <c r="I2458" s="1">
        <v>5.1872037801</v>
      </c>
      <c r="J2458" s="1">
        <v>10.326086957</v>
      </c>
      <c r="K2458" s="1">
        <v>24.727538713</v>
      </c>
      <c r="L2458" s="1">
        <v>33.8</v>
      </c>
      <c r="M2458" s="1">
        <v>7.7</v>
      </c>
      <c r="N2458" s="1">
        <v>29.2</v>
      </c>
      <c r="O2458" s="1">
        <v>35.700211632</v>
      </c>
      <c r="P2458" s="1">
        <v>13.706563707</v>
      </c>
      <c r="Q2458" s="1">
        <v>48.31939</v>
      </c>
      <c r="R2458" s="1">
        <v>93.717277487</v>
      </c>
      <c r="S2458" s="1">
        <v>27.8</v>
      </c>
      <c r="T2458" s="1">
        <v>2957.0</v>
      </c>
      <c r="U2458" s="1">
        <v>40.311126141</v>
      </c>
      <c r="V2458" s="1">
        <v>402.02501489</v>
      </c>
      <c r="W2458" s="1">
        <v>14.071856287</v>
      </c>
      <c r="X2458" s="1">
        <v>10.4897959179999</v>
      </c>
      <c r="Y2458" s="1">
        <v>71.572885644</v>
      </c>
      <c r="Z2458" s="1">
        <v>23.6</v>
      </c>
      <c r="AA2458" s="1">
        <v>0.718763749</v>
      </c>
      <c r="AB2458" s="1">
        <v>36317.0</v>
      </c>
      <c r="AC2458" s="1">
        <v>52.4746192889999</v>
      </c>
      <c r="AD2458" s="1">
        <v>77.32534105</v>
      </c>
      <c r="AE2458" s="1">
        <v>9.703196347</v>
      </c>
      <c r="AF2458" s="1">
        <v>0.5619661322</v>
      </c>
      <c r="AG2458" s="1">
        <v>0.659373595099999</v>
      </c>
      <c r="AH2458" s="1">
        <v>0.3821369699</v>
      </c>
      <c r="AI2458" s="1">
        <v>0.0074928818</v>
      </c>
      <c r="AJ2458" s="1">
        <v>1.3936760078</v>
      </c>
      <c r="AK2458" s="1">
        <v>95.886407912</v>
      </c>
      <c r="AL2458" s="1">
        <v>0.1590710252</v>
      </c>
      <c r="AM2458" s="1">
        <v>50.531994605</v>
      </c>
      <c r="AN2458" s="1">
        <v>100.0</v>
      </c>
      <c r="AO2458" s="1">
        <v>16132.0</v>
      </c>
      <c r="AP2458" s="1">
        <v>28.0</v>
      </c>
      <c r="AQ2458" s="1">
        <v>11.3</v>
      </c>
      <c r="AR2458" s="1">
        <v>26.0</v>
      </c>
      <c r="AS2458" s="1">
        <v>20.5</v>
      </c>
      <c r="AT2458" s="1">
        <v>22.0</v>
      </c>
      <c r="AU2458" s="1">
        <v>26.4</v>
      </c>
      <c r="AV2458" s="1">
        <v>19.7</v>
      </c>
      <c r="AW2458" s="1">
        <v>0.1</v>
      </c>
      <c r="AX2458" s="1">
        <v>0.8828</v>
      </c>
      <c r="AY2458" s="1">
        <v>21.4</v>
      </c>
      <c r="AZ2458" s="1">
        <v>17.6</v>
      </c>
      <c r="BA2458" s="1">
        <v>23.2</v>
      </c>
      <c r="BB2458" s="1">
        <v>3.29</v>
      </c>
      <c r="BC2458" s="1" t="s">
        <v>4001</v>
      </c>
      <c r="BD2458" s="1">
        <v>25.6</v>
      </c>
      <c r="BE2458" s="1">
        <v>40.7</v>
      </c>
      <c r="BF2458" s="1">
        <v>20.5</v>
      </c>
      <c r="BG2458" s="1">
        <v>13.2</v>
      </c>
      <c r="BH2458" s="1" t="s">
        <v>4041</v>
      </c>
    </row>
    <row r="2459">
      <c r="A2459" s="1">
        <v>47063.0</v>
      </c>
      <c r="B2459" s="2" t="str">
        <f>IFERROR(__xludf.DUMMYFUNCTION("TO_TEXT(A2459)"),"47063")</f>
        <v>47063</v>
      </c>
      <c r="C2459" s="1">
        <v>63203.0</v>
      </c>
      <c r="D2459" s="1">
        <v>161.173603432576</v>
      </c>
      <c r="E2459" s="1" t="s">
        <v>4042</v>
      </c>
      <c r="F2459" s="1" t="s">
        <v>4043</v>
      </c>
      <c r="G2459" s="1">
        <v>392.142377250006</v>
      </c>
      <c r="H2459" s="1">
        <v>22.7960430369999</v>
      </c>
      <c r="I2459" s="1">
        <v>4.8085121982</v>
      </c>
      <c r="J2459" s="1">
        <v>8.2300721287</v>
      </c>
      <c r="K2459" s="1">
        <v>22.2518042</v>
      </c>
      <c r="L2459" s="1">
        <v>34.4</v>
      </c>
      <c r="M2459" s="1">
        <v>6.7</v>
      </c>
      <c r="N2459" s="1">
        <v>36.6</v>
      </c>
      <c r="O2459" s="1">
        <v>64.5817344589999</v>
      </c>
      <c r="P2459" s="1">
        <v>13.8512991029999</v>
      </c>
      <c r="Q2459" s="1">
        <v>62.23066</v>
      </c>
      <c r="R2459" s="1">
        <v>94.108527132</v>
      </c>
      <c r="S2459" s="1">
        <v>24.2</v>
      </c>
      <c r="T2459" s="1">
        <v>14480.0</v>
      </c>
      <c r="U2459" s="1">
        <v>31.291436464</v>
      </c>
      <c r="V2459" s="1">
        <v>475.8715777</v>
      </c>
      <c r="W2459" s="1">
        <v>16.816693944</v>
      </c>
      <c r="X2459" s="1">
        <v>14.6565847509999</v>
      </c>
      <c r="Y2459" s="1">
        <v>75.212320505</v>
      </c>
      <c r="Z2459" s="1">
        <v>19.1</v>
      </c>
      <c r="AA2459" s="1">
        <v>18.909693231</v>
      </c>
      <c r="AB2459" s="1">
        <v>44040.0</v>
      </c>
      <c r="AC2459" s="1">
        <v>52.4746192889999</v>
      </c>
      <c r="AD2459" s="1">
        <v>66.38400721</v>
      </c>
      <c r="AE2459" s="1">
        <v>12.556784092</v>
      </c>
      <c r="AF2459" s="1">
        <v>3.7696108039</v>
      </c>
      <c r="AG2459" s="1">
        <v>0.8734841797</v>
      </c>
      <c r="AH2459" s="1">
        <v>1.0670755316</v>
      </c>
      <c r="AI2459" s="1">
        <v>0.2741253543</v>
      </c>
      <c r="AJ2459" s="1">
        <v>11.985627778</v>
      </c>
      <c r="AK2459" s="1">
        <v>81.130263749</v>
      </c>
      <c r="AL2459" s="1">
        <v>2.7579179473</v>
      </c>
      <c r="AM2459" s="1">
        <v>51.184004708</v>
      </c>
      <c r="AN2459" s="1">
        <v>21.872601688</v>
      </c>
      <c r="AO2459" s="1">
        <v>20642.0</v>
      </c>
      <c r="AP2459" s="1">
        <v>21.2</v>
      </c>
      <c r="AQ2459" s="1">
        <v>8.7</v>
      </c>
      <c r="AR2459" s="1">
        <v>18.5</v>
      </c>
      <c r="AS2459" s="1">
        <v>17.5</v>
      </c>
      <c r="AT2459" s="1">
        <v>23.3</v>
      </c>
      <c r="AU2459" s="1">
        <v>18.8</v>
      </c>
      <c r="AV2459" s="1">
        <v>17.8</v>
      </c>
      <c r="AW2459" s="1">
        <v>3.0</v>
      </c>
      <c r="AX2459" s="1">
        <v>0.8354</v>
      </c>
      <c r="AY2459" s="1">
        <v>14.4</v>
      </c>
      <c r="AZ2459" s="1">
        <v>14.5</v>
      </c>
      <c r="BA2459" s="1">
        <v>18.4</v>
      </c>
      <c r="BB2459" s="1">
        <v>2.92</v>
      </c>
      <c r="BC2459" s="1" t="s">
        <v>4001</v>
      </c>
      <c r="BD2459" s="1">
        <v>18.7</v>
      </c>
      <c r="BE2459" s="1">
        <v>38.6</v>
      </c>
      <c r="BF2459" s="1">
        <v>25.9</v>
      </c>
      <c r="BG2459" s="1">
        <v>16.8</v>
      </c>
      <c r="BH2459" s="1" t="s">
        <v>4043</v>
      </c>
    </row>
    <row r="2460">
      <c r="A2460" s="1">
        <v>47065.0</v>
      </c>
      <c r="B2460" s="2" t="str">
        <f>IFERROR(__xludf.DUMMYFUNCTION("TO_TEXT(A2460)"),"47065")</f>
        <v>47065</v>
      </c>
      <c r="C2460" s="1">
        <v>351305.0</v>
      </c>
      <c r="D2460" s="1">
        <v>542.448542328904</v>
      </c>
      <c r="E2460" s="1" t="s">
        <v>719</v>
      </c>
      <c r="F2460" s="1" t="s">
        <v>4044</v>
      </c>
      <c r="G2460" s="1">
        <v>647.628249661684</v>
      </c>
      <c r="H2460" s="1">
        <v>19.132892452</v>
      </c>
      <c r="I2460" s="1">
        <v>4.5534439989</v>
      </c>
      <c r="J2460" s="1">
        <v>9.8149338566</v>
      </c>
      <c r="K2460" s="1">
        <v>19.163372998</v>
      </c>
      <c r="L2460" s="1">
        <v>29.4</v>
      </c>
      <c r="M2460" s="1">
        <v>6.9</v>
      </c>
      <c r="N2460" s="1">
        <v>25.8</v>
      </c>
      <c r="O2460" s="1">
        <v>89.438065998</v>
      </c>
      <c r="P2460" s="1">
        <v>11.039993979</v>
      </c>
      <c r="Q2460" s="1">
        <v>110.89203</v>
      </c>
      <c r="R2460" s="1">
        <v>84.584849487</v>
      </c>
      <c r="S2460" s="1">
        <v>18.1</v>
      </c>
      <c r="T2460" s="1">
        <v>74170.0</v>
      </c>
      <c r="U2460" s="1">
        <v>32.579209923</v>
      </c>
      <c r="V2460" s="1">
        <v>662.618193899999</v>
      </c>
      <c r="W2460" s="1">
        <v>14.168669434</v>
      </c>
      <c r="X2460" s="1">
        <v>12.532214123</v>
      </c>
      <c r="Y2460" s="1">
        <v>77.38185048</v>
      </c>
      <c r="Z2460" s="1">
        <v>13.4</v>
      </c>
      <c r="AA2460" s="1">
        <v>13.816605205</v>
      </c>
      <c r="AB2460" s="1">
        <v>57196.0</v>
      </c>
      <c r="AC2460" s="1">
        <v>52.4746192889999</v>
      </c>
      <c r="AD2460" s="1">
        <v>63.837035986</v>
      </c>
      <c r="AE2460" s="1">
        <v>12.5172262129999</v>
      </c>
      <c r="AF2460" s="1">
        <v>19.116024223</v>
      </c>
      <c r="AG2460" s="1">
        <v>0.5427054567</v>
      </c>
      <c r="AH2460" s="1">
        <v>2.1107042269</v>
      </c>
      <c r="AI2460" s="1">
        <v>0.1465881203</v>
      </c>
      <c r="AJ2460" s="1">
        <v>5.862152265</v>
      </c>
      <c r="AK2460" s="1">
        <v>71.040885458</v>
      </c>
      <c r="AL2460" s="1">
        <v>1.3443062928</v>
      </c>
      <c r="AM2460" s="1">
        <v>51.717057477</v>
      </c>
      <c r="AN2460" s="1">
        <v>10.02220155</v>
      </c>
      <c r="AO2460" s="1">
        <v>28456.0</v>
      </c>
      <c r="AP2460" s="1">
        <v>14.8</v>
      </c>
      <c r="AQ2460" s="1">
        <v>6.9</v>
      </c>
      <c r="AR2460" s="1">
        <v>12.2</v>
      </c>
      <c r="AS2460" s="1">
        <v>16.0</v>
      </c>
      <c r="AT2460" s="1">
        <v>21.2</v>
      </c>
      <c r="AU2460" s="1">
        <v>14.0</v>
      </c>
      <c r="AV2460" s="1">
        <v>28.5</v>
      </c>
      <c r="AW2460" s="1">
        <v>1.4</v>
      </c>
      <c r="AX2460" s="1">
        <v>0.4737</v>
      </c>
      <c r="AY2460" s="1">
        <v>12.7</v>
      </c>
      <c r="AZ2460" s="1">
        <v>12.2</v>
      </c>
      <c r="BA2460" s="1">
        <v>14.1</v>
      </c>
      <c r="BB2460" s="1">
        <v>3.41</v>
      </c>
      <c r="BC2460" s="1" t="s">
        <v>4001</v>
      </c>
      <c r="BD2460" s="1">
        <v>10.5</v>
      </c>
      <c r="BE2460" s="1">
        <v>26.9</v>
      </c>
      <c r="BF2460" s="1">
        <v>30.4</v>
      </c>
      <c r="BG2460" s="1">
        <v>32.2</v>
      </c>
      <c r="BH2460" s="1" t="s">
        <v>4044</v>
      </c>
    </row>
    <row r="2461">
      <c r="A2461" s="1">
        <v>47067.0</v>
      </c>
      <c r="B2461" s="2" t="str">
        <f>IFERROR(__xludf.DUMMYFUNCTION("TO_TEXT(A2461)"),"47067")</f>
        <v>47067</v>
      </c>
      <c r="C2461" s="1">
        <v>6609.0</v>
      </c>
      <c r="D2461" s="1">
        <v>222.325449779816</v>
      </c>
      <c r="E2461" s="1" t="s">
        <v>917</v>
      </c>
      <c r="F2461" s="1" t="s">
        <v>4045</v>
      </c>
      <c r="G2461" s="1">
        <v>29.7266912382066</v>
      </c>
      <c r="H2461" s="1">
        <v>23.5682505419999</v>
      </c>
      <c r="I2461" s="1">
        <v>5.1182410857</v>
      </c>
      <c r="J2461" s="1">
        <v>7.76892430279999</v>
      </c>
      <c r="K2461" s="1">
        <v>25.246234782</v>
      </c>
      <c r="L2461" s="1">
        <v>32.8</v>
      </c>
      <c r="M2461" s="1">
        <v>7.8</v>
      </c>
      <c r="N2461" s="1">
        <v>26.1</v>
      </c>
      <c r="O2461" s="1">
        <v>7.200469277</v>
      </c>
      <c r="P2461" s="1">
        <v>11.6408422729999</v>
      </c>
      <c r="Q2461" s="1">
        <v>15.15152</v>
      </c>
      <c r="R2461" s="1">
        <v>88.311688312</v>
      </c>
      <c r="S2461" s="1">
        <v>41.1</v>
      </c>
      <c r="T2461" s="1">
        <v>1297.0</v>
      </c>
      <c r="U2461" s="1">
        <v>31.2259059369999</v>
      </c>
      <c r="V2461" s="1">
        <v>121.34081602</v>
      </c>
      <c r="W2461" s="1">
        <v>11.0909090909999</v>
      </c>
      <c r="X2461" s="1">
        <v>6.5413533835</v>
      </c>
      <c r="Y2461" s="1">
        <v>70.308828056</v>
      </c>
      <c r="Z2461" s="1">
        <v>16.0</v>
      </c>
      <c r="AA2461" s="1">
        <v>0.3830905249</v>
      </c>
      <c r="AB2461" s="1">
        <v>30691.0</v>
      </c>
      <c r="AC2461" s="1">
        <v>52.4746192889999</v>
      </c>
      <c r="AD2461" s="1">
        <v>79.423282307</v>
      </c>
      <c r="AE2461" s="1">
        <v>7.91284403669999</v>
      </c>
      <c r="AF2461" s="1">
        <v>0.5038937242</v>
      </c>
      <c r="AG2461" s="1">
        <v>0.3970071767</v>
      </c>
      <c r="AH2461" s="1">
        <v>0.1985035883</v>
      </c>
      <c r="AI2461" s="1">
        <v>0.0458085204</v>
      </c>
      <c r="AJ2461" s="1">
        <v>0.6565887922</v>
      </c>
      <c r="AK2461" s="1">
        <v>96.747595053</v>
      </c>
      <c r="AL2461" s="1">
        <v>0.352</v>
      </c>
      <c r="AM2461" s="1">
        <v>50.664223546</v>
      </c>
      <c r="AN2461" s="1">
        <v>100.0</v>
      </c>
      <c r="AO2461" s="1">
        <v>16351.0</v>
      </c>
      <c r="AP2461" s="1">
        <v>27.3</v>
      </c>
      <c r="AQ2461" s="1">
        <v>12.9</v>
      </c>
      <c r="AR2461" s="1">
        <v>24.3</v>
      </c>
      <c r="AS2461" s="1">
        <v>18.2</v>
      </c>
      <c r="AT2461" s="1">
        <v>20.7</v>
      </c>
      <c r="AU2461" s="1">
        <v>27.0</v>
      </c>
      <c r="AV2461" s="1">
        <v>2.8</v>
      </c>
      <c r="AW2461" s="1">
        <v>0.4</v>
      </c>
      <c r="AX2461" s="1">
        <v>0.7819</v>
      </c>
      <c r="AY2461" s="1">
        <v>26.4</v>
      </c>
      <c r="AZ2461" s="1">
        <v>18.7</v>
      </c>
      <c r="BA2461" s="1">
        <v>26.8</v>
      </c>
      <c r="BB2461" s="1">
        <v>2.99</v>
      </c>
      <c r="BC2461" s="1" t="s">
        <v>4001</v>
      </c>
      <c r="BD2461" s="1">
        <v>22.9</v>
      </c>
      <c r="BE2461" s="1">
        <v>42.2</v>
      </c>
      <c r="BF2461" s="1">
        <v>23.7</v>
      </c>
      <c r="BG2461" s="1">
        <v>11.2</v>
      </c>
      <c r="BH2461" s="1" t="s">
        <v>4045</v>
      </c>
    </row>
    <row r="2462">
      <c r="A2462" s="1">
        <v>47069.0</v>
      </c>
      <c r="B2462" s="2" t="str">
        <f>IFERROR(__xludf.DUMMYFUNCTION("TO_TEXT(A2462)"),"47069")</f>
        <v>47069</v>
      </c>
      <c r="C2462" s="1">
        <v>25975.0</v>
      </c>
      <c r="D2462" s="1">
        <v>667.745978039108</v>
      </c>
      <c r="E2462" s="1" t="s">
        <v>4046</v>
      </c>
      <c r="F2462" s="1" t="s">
        <v>4047</v>
      </c>
      <c r="G2462" s="1">
        <v>38.8995229537402</v>
      </c>
      <c r="H2462" s="1">
        <v>26.402179103</v>
      </c>
      <c r="I2462" s="1">
        <v>5.0132586193</v>
      </c>
      <c r="J2462" s="1">
        <v>11.452513966</v>
      </c>
      <c r="K2462" s="1">
        <v>25.889190392</v>
      </c>
      <c r="L2462" s="1">
        <v>37.1</v>
      </c>
      <c r="M2462" s="1">
        <v>5.5</v>
      </c>
      <c r="N2462" s="1">
        <v>35.7</v>
      </c>
      <c r="O2462" s="1">
        <v>30.939713059</v>
      </c>
      <c r="P2462" s="1">
        <v>12.261835184</v>
      </c>
      <c r="Q2462" s="1">
        <v>23.57842</v>
      </c>
      <c r="R2462" s="1">
        <v>88.416988417</v>
      </c>
      <c r="S2462" s="1">
        <v>28.8</v>
      </c>
      <c r="T2462" s="1">
        <v>4881.0</v>
      </c>
      <c r="U2462" s="1">
        <v>49.047326368</v>
      </c>
      <c r="V2462" s="1">
        <v>626.11460029</v>
      </c>
      <c r="W2462" s="1">
        <v>16.123399302</v>
      </c>
      <c r="X2462" s="1">
        <v>14.462081129</v>
      </c>
      <c r="Y2462" s="1">
        <v>74.302942861</v>
      </c>
      <c r="Z2462" s="1">
        <v>18.8</v>
      </c>
      <c r="AA2462" s="1">
        <v>19.146940157</v>
      </c>
      <c r="AB2462" s="1">
        <v>37834.0</v>
      </c>
      <c r="AC2462" s="1">
        <v>52.4746192889999</v>
      </c>
      <c r="AD2462" s="1">
        <v>72.572134276</v>
      </c>
      <c r="AE2462" s="1">
        <v>12.606032045</v>
      </c>
      <c r="AF2462" s="1">
        <v>41.88739096</v>
      </c>
      <c r="AG2462" s="1">
        <v>0.3053132435</v>
      </c>
      <c r="AH2462" s="1">
        <v>0.753370340999999</v>
      </c>
      <c r="AI2462" s="1">
        <v>0.0198255353</v>
      </c>
      <c r="AJ2462" s="1">
        <v>1.7644726408</v>
      </c>
      <c r="AK2462" s="1">
        <v>54.076130056</v>
      </c>
      <c r="AL2462" s="1">
        <v>0.3986008297</v>
      </c>
      <c r="AM2462" s="1">
        <v>45.368754956</v>
      </c>
      <c r="AN2462" s="1">
        <v>80.207683558</v>
      </c>
      <c r="AO2462" s="1">
        <v>16178.0</v>
      </c>
      <c r="AP2462" s="1">
        <v>23.7</v>
      </c>
      <c r="AQ2462" s="1">
        <v>18.2</v>
      </c>
      <c r="AR2462" s="1">
        <v>23.0</v>
      </c>
      <c r="AS2462" s="1">
        <v>16.5</v>
      </c>
      <c r="AT2462" s="1">
        <v>19.9</v>
      </c>
      <c r="AU2462" s="1">
        <v>18.4</v>
      </c>
      <c r="AV2462" s="1">
        <v>45.2</v>
      </c>
      <c r="AW2462" s="1">
        <v>0.1</v>
      </c>
      <c r="AX2462" s="1">
        <v>0.8768</v>
      </c>
      <c r="AY2462" s="1">
        <v>19.2</v>
      </c>
      <c r="AZ2462" s="1">
        <v>16.4</v>
      </c>
      <c r="BA2462" s="1">
        <v>20.7</v>
      </c>
      <c r="BB2462" s="1">
        <v>2.9</v>
      </c>
      <c r="BC2462" s="1" t="s">
        <v>4001</v>
      </c>
      <c r="BD2462" s="1">
        <v>20.4</v>
      </c>
      <c r="BE2462" s="1">
        <v>46.8</v>
      </c>
      <c r="BF2462" s="1">
        <v>21.7</v>
      </c>
      <c r="BG2462" s="1">
        <v>11.2</v>
      </c>
      <c r="BH2462" s="1" t="s">
        <v>4047</v>
      </c>
    </row>
    <row r="2463">
      <c r="A2463" s="1">
        <v>47071.0</v>
      </c>
      <c r="B2463" s="2" t="str">
        <f>IFERROR(__xludf.DUMMYFUNCTION("TO_TEXT(A2463)"),"47071")</f>
        <v>47071</v>
      </c>
      <c r="C2463" s="1">
        <v>25839.0</v>
      </c>
      <c r="D2463" s="1">
        <v>577.330361493371</v>
      </c>
      <c r="E2463" s="1" t="s">
        <v>1203</v>
      </c>
      <c r="F2463" s="1" t="s">
        <v>4048</v>
      </c>
      <c r="G2463" s="1">
        <v>44.7560040548753</v>
      </c>
      <c r="H2463" s="1">
        <v>24.369544444</v>
      </c>
      <c r="I2463" s="1">
        <v>4.9977943457</v>
      </c>
      <c r="J2463" s="1">
        <v>9.46589106289999</v>
      </c>
      <c r="K2463" s="1">
        <v>23.052685688</v>
      </c>
      <c r="L2463" s="1">
        <v>32.4</v>
      </c>
      <c r="M2463" s="1">
        <v>7.5</v>
      </c>
      <c r="N2463" s="1">
        <v>33.1</v>
      </c>
      <c r="O2463" s="1">
        <v>48.413125336</v>
      </c>
      <c r="P2463" s="1">
        <v>11.757275667</v>
      </c>
      <c r="Q2463" s="1">
        <v>50.29792</v>
      </c>
      <c r="R2463" s="1">
        <v>90.763052209</v>
      </c>
      <c r="S2463" s="1">
        <v>29.3</v>
      </c>
      <c r="T2463" s="1">
        <v>5305.0</v>
      </c>
      <c r="U2463" s="1">
        <v>33.628652215</v>
      </c>
      <c r="V2463" s="1">
        <v>521.30596799</v>
      </c>
      <c r="W2463" s="1">
        <v>13.38028169</v>
      </c>
      <c r="X2463" s="1">
        <v>10.476689366</v>
      </c>
      <c r="Y2463" s="1">
        <v>72.954008746</v>
      </c>
      <c r="Z2463" s="1">
        <v>13.8</v>
      </c>
      <c r="AA2463" s="1">
        <v>7.1250219975</v>
      </c>
      <c r="AB2463" s="1">
        <v>37690.0</v>
      </c>
      <c r="AC2463" s="1">
        <v>52.4746192889999</v>
      </c>
      <c r="AD2463" s="1">
        <v>73.390474335</v>
      </c>
      <c r="AE2463" s="1">
        <v>11.14486226</v>
      </c>
      <c r="AF2463" s="1">
        <v>3.2510862818</v>
      </c>
      <c r="AG2463" s="1">
        <v>0.628491620099999</v>
      </c>
      <c r="AH2463" s="1">
        <v>0.5431409063</v>
      </c>
      <c r="AI2463" s="1">
        <v>0.0310366232</v>
      </c>
      <c r="AJ2463" s="1">
        <v>2.7855369336</v>
      </c>
      <c r="AK2463" s="1">
        <v>91.5541589079999</v>
      </c>
      <c r="AL2463" s="1">
        <v>0.5152741995</v>
      </c>
      <c r="AM2463" s="1">
        <v>51.225946617</v>
      </c>
      <c r="AN2463" s="1">
        <v>67.928225621</v>
      </c>
      <c r="AO2463" s="1">
        <v>22928.0</v>
      </c>
      <c r="AP2463" s="1">
        <v>22.2</v>
      </c>
      <c r="AQ2463" s="1">
        <v>12.2</v>
      </c>
      <c r="AR2463" s="1">
        <v>20.4</v>
      </c>
      <c r="AS2463" s="1">
        <v>21.3</v>
      </c>
      <c r="AT2463" s="1">
        <v>20.7</v>
      </c>
      <c r="AU2463" s="1">
        <v>19.0</v>
      </c>
      <c r="AV2463" s="1">
        <v>7.8</v>
      </c>
      <c r="AW2463" s="1">
        <v>0.3</v>
      </c>
      <c r="AX2463" s="1">
        <v>0.6689</v>
      </c>
      <c r="AY2463" s="1">
        <v>17.5</v>
      </c>
      <c r="AZ2463" s="1">
        <v>15.1</v>
      </c>
      <c r="BA2463" s="1">
        <v>19.8</v>
      </c>
      <c r="BB2463" s="1">
        <v>3.04</v>
      </c>
      <c r="BC2463" s="1" t="s">
        <v>4001</v>
      </c>
      <c r="BD2463" s="1">
        <v>18.5</v>
      </c>
      <c r="BE2463" s="1">
        <v>42.1</v>
      </c>
      <c r="BF2463" s="1">
        <v>24.4</v>
      </c>
      <c r="BG2463" s="1">
        <v>15.0</v>
      </c>
      <c r="BH2463" s="1" t="s">
        <v>4048</v>
      </c>
    </row>
    <row r="2464">
      <c r="A2464" s="1">
        <v>47073.0</v>
      </c>
      <c r="B2464" s="2" t="str">
        <f>IFERROR(__xludf.DUMMYFUNCTION("TO_TEXT(A2464)"),"47073")</f>
        <v>47073</v>
      </c>
      <c r="C2464" s="1">
        <v>56567.0</v>
      </c>
      <c r="D2464" s="1">
        <v>487.046284107506</v>
      </c>
      <c r="E2464" s="1" t="s">
        <v>4049</v>
      </c>
      <c r="F2464" s="1" t="s">
        <v>4050</v>
      </c>
      <c r="G2464" s="1">
        <v>116.142965968125</v>
      </c>
      <c r="H2464" s="1">
        <v>20.749638427</v>
      </c>
      <c r="I2464" s="1">
        <v>4.9166698039</v>
      </c>
      <c r="J2464" s="1">
        <v>8.5304278501</v>
      </c>
      <c r="K2464" s="1">
        <v>23.401969269</v>
      </c>
      <c r="L2464" s="1">
        <v>32.2</v>
      </c>
      <c r="M2464" s="1">
        <v>7.6</v>
      </c>
      <c r="N2464" s="1">
        <v>33.0</v>
      </c>
      <c r="O2464" s="1">
        <v>54.021431211</v>
      </c>
      <c r="P2464" s="1">
        <v>11.082532377</v>
      </c>
      <c r="Q2464" s="1">
        <v>28.33915</v>
      </c>
      <c r="R2464" s="1">
        <v>97.05400982</v>
      </c>
      <c r="S2464" s="1">
        <v>27.6</v>
      </c>
      <c r="T2464" s="1">
        <v>11521.0</v>
      </c>
      <c r="U2464" s="1">
        <v>39.762173422</v>
      </c>
      <c r="V2464" s="1">
        <v>275.32893866</v>
      </c>
      <c r="W2464" s="1">
        <v>11.956521739</v>
      </c>
      <c r="X2464" s="1">
        <v>10.039735099</v>
      </c>
      <c r="Y2464" s="1">
        <v>75.165329659</v>
      </c>
      <c r="Z2464" s="1">
        <v>16.2</v>
      </c>
      <c r="AA2464" s="1">
        <v>7.0239016659</v>
      </c>
      <c r="AB2464" s="1">
        <v>42188.0</v>
      </c>
      <c r="AC2464" s="1">
        <v>52.4746192889999</v>
      </c>
      <c r="AD2464" s="1">
        <v>73.669095585</v>
      </c>
      <c r="AE2464" s="1">
        <v>11.498460028</v>
      </c>
      <c r="AF2464" s="1">
        <v>1.4647090041</v>
      </c>
      <c r="AG2464" s="1">
        <v>0.3449495843</v>
      </c>
      <c r="AH2464" s="1">
        <v>0.4793914736</v>
      </c>
      <c r="AI2464" s="1">
        <v>0.022996639</v>
      </c>
      <c r="AJ2464" s="1">
        <v>1.65045108789999</v>
      </c>
      <c r="AK2464" s="1">
        <v>94.997346542</v>
      </c>
      <c r="AL2464" s="1">
        <v>0.3677225468</v>
      </c>
      <c r="AM2464" s="1">
        <v>50.923403503</v>
      </c>
      <c r="AN2464" s="1">
        <v>57.860749916</v>
      </c>
      <c r="AO2464" s="1">
        <v>21394.0</v>
      </c>
      <c r="AP2464" s="1">
        <v>19.2</v>
      </c>
      <c r="AQ2464" s="1">
        <v>8.9</v>
      </c>
      <c r="AR2464" s="1">
        <v>18.0</v>
      </c>
      <c r="AS2464" s="1">
        <v>18.9</v>
      </c>
      <c r="AT2464" s="1">
        <v>21.1</v>
      </c>
      <c r="AU2464" s="1">
        <v>22.3</v>
      </c>
      <c r="AV2464" s="1">
        <v>4.5</v>
      </c>
      <c r="AW2464" s="1">
        <v>0.2</v>
      </c>
      <c r="AX2464" s="1">
        <v>0.5813</v>
      </c>
      <c r="AY2464" s="1">
        <v>18.1</v>
      </c>
      <c r="AZ2464" s="1">
        <v>15.5</v>
      </c>
      <c r="BA2464" s="1">
        <v>21.9</v>
      </c>
      <c r="BB2464" s="1">
        <v>3.22</v>
      </c>
      <c r="BC2464" s="1" t="s">
        <v>4001</v>
      </c>
      <c r="BD2464" s="1">
        <v>15.6</v>
      </c>
      <c r="BE2464" s="1">
        <v>42.7</v>
      </c>
      <c r="BF2464" s="1">
        <v>27.9</v>
      </c>
      <c r="BG2464" s="1">
        <v>13.7</v>
      </c>
      <c r="BH2464" s="1" t="s">
        <v>4050</v>
      </c>
    </row>
    <row r="2465">
      <c r="A2465" s="1">
        <v>47075.0</v>
      </c>
      <c r="B2465" s="2" t="str">
        <f>IFERROR(__xludf.DUMMYFUNCTION("TO_TEXT(A2465)"),"47075")</f>
        <v>47075</v>
      </c>
      <c r="C2465" s="1">
        <v>18129.0</v>
      </c>
      <c r="D2465" s="1">
        <v>533.10707200759</v>
      </c>
      <c r="E2465" s="1" t="s">
        <v>3241</v>
      </c>
      <c r="F2465" s="1" t="s">
        <v>4051</v>
      </c>
      <c r="G2465" s="1">
        <v>34.0063018330057</v>
      </c>
      <c r="H2465" s="1">
        <v>27.209450285</v>
      </c>
      <c r="I2465" s="1">
        <v>4.7672619565</v>
      </c>
      <c r="J2465" s="1">
        <v>12.085635359</v>
      </c>
      <c r="K2465" s="1">
        <v>24.169420316</v>
      </c>
      <c r="L2465" s="1">
        <v>46.6</v>
      </c>
      <c r="M2465" s="1">
        <v>6.3</v>
      </c>
      <c r="N2465" s="1">
        <v>31.6</v>
      </c>
      <c r="O2465" s="1">
        <v>47.804332783</v>
      </c>
      <c r="P2465" s="1">
        <v>11.353618655</v>
      </c>
      <c r="Q2465" s="1">
        <v>34.14329</v>
      </c>
      <c r="R2465" s="1">
        <v>88.744588745</v>
      </c>
      <c r="S2465" s="1">
        <v>30.8</v>
      </c>
      <c r="T2465" s="1">
        <v>4089.0</v>
      </c>
      <c r="U2465" s="1">
        <v>50.330154072</v>
      </c>
      <c r="V2465" s="1">
        <v>1088.4051533</v>
      </c>
      <c r="W2465" s="1">
        <v>15.166548547</v>
      </c>
      <c r="X2465" s="1">
        <v>13.674963397</v>
      </c>
      <c r="Y2465" s="1">
        <v>73.959834383</v>
      </c>
      <c r="Z2465" s="1">
        <v>15.1</v>
      </c>
      <c r="AA2465" s="1">
        <v>8.3101594203</v>
      </c>
      <c r="AB2465" s="1">
        <v>39574.0</v>
      </c>
      <c r="AC2465" s="1">
        <v>52.4746192889999</v>
      </c>
      <c r="AD2465" s="1">
        <v>60.38028169</v>
      </c>
      <c r="AE2465" s="1">
        <v>14.730447988</v>
      </c>
      <c r="AF2465" s="1">
        <v>50.216325353</v>
      </c>
      <c r="AG2465" s="1">
        <v>0.4441880588</v>
      </c>
      <c r="AH2465" s="1">
        <v>0.2884338044</v>
      </c>
      <c r="AI2465" s="1">
        <v>0.0576867609</v>
      </c>
      <c r="AJ2465" s="1">
        <v>4.418805884</v>
      </c>
      <c r="AK2465" s="1">
        <v>43.784251514</v>
      </c>
      <c r="AL2465" s="1">
        <v>0.7171457599</v>
      </c>
      <c r="AM2465" s="1">
        <v>53.360253822</v>
      </c>
      <c r="AN2465" s="1">
        <v>47.415766221</v>
      </c>
      <c r="AO2465" s="1">
        <v>19956.0</v>
      </c>
      <c r="AP2465" s="1">
        <v>21.0</v>
      </c>
      <c r="AQ2465" s="1">
        <v>7.2</v>
      </c>
      <c r="AR2465" s="1">
        <v>19.2</v>
      </c>
      <c r="AS2465" s="1">
        <v>16.3</v>
      </c>
      <c r="AT2465" s="1">
        <v>23.6</v>
      </c>
      <c r="AU2465" s="1">
        <v>17.5</v>
      </c>
      <c r="AV2465" s="1">
        <v>55.3</v>
      </c>
      <c r="AW2465" s="1">
        <v>0.7</v>
      </c>
      <c r="AX2465" s="1">
        <v>0.7845</v>
      </c>
      <c r="AY2465" s="1">
        <v>20.7</v>
      </c>
      <c r="AZ2465" s="1">
        <v>16.5</v>
      </c>
      <c r="BA2465" s="1">
        <v>20.7</v>
      </c>
      <c r="BB2465" s="1">
        <v>3.0</v>
      </c>
      <c r="BC2465" s="1" t="s">
        <v>4001</v>
      </c>
      <c r="BD2465" s="1">
        <v>18.0</v>
      </c>
      <c r="BE2465" s="1">
        <v>47.0</v>
      </c>
      <c r="BF2465" s="1">
        <v>23.9</v>
      </c>
      <c r="BG2465" s="1">
        <v>11.0</v>
      </c>
      <c r="BH2465" s="1" t="s">
        <v>4051</v>
      </c>
    </row>
    <row r="2466">
      <c r="A2466" s="1">
        <v>47077.0</v>
      </c>
      <c r="B2466" s="2" t="str">
        <f>IFERROR(__xludf.DUMMYFUNCTION("TO_TEXT(A2466)"),"47077")</f>
        <v>47077</v>
      </c>
      <c r="C2466" s="1">
        <v>27952.0</v>
      </c>
      <c r="D2466" s="1">
        <v>520.008622275604</v>
      </c>
      <c r="E2466" s="1" t="s">
        <v>1205</v>
      </c>
      <c r="F2466" s="1" t="s">
        <v>4052</v>
      </c>
      <c r="G2466" s="1">
        <v>53.7529548600167</v>
      </c>
      <c r="H2466" s="1">
        <v>22.519075985</v>
      </c>
      <c r="I2466" s="1">
        <v>4.9328596469</v>
      </c>
      <c r="J2466" s="1">
        <v>9.8704778919</v>
      </c>
      <c r="K2466" s="1">
        <v>24.373219857</v>
      </c>
      <c r="L2466" s="1">
        <v>32.9</v>
      </c>
      <c r="M2466" s="1">
        <v>7.6</v>
      </c>
      <c r="N2466" s="1">
        <v>33.0</v>
      </c>
      <c r="O2466" s="1">
        <v>45.291512118</v>
      </c>
      <c r="P2466" s="1">
        <v>11.0897979209999</v>
      </c>
      <c r="Q2466" s="1">
        <v>32.4312599999999</v>
      </c>
      <c r="R2466" s="1">
        <v>98.265895954</v>
      </c>
      <c r="S2466" s="1">
        <v>23.2</v>
      </c>
      <c r="T2466" s="1">
        <v>6357.0</v>
      </c>
      <c r="U2466" s="1">
        <v>35.15809344</v>
      </c>
      <c r="V2466" s="1">
        <v>446.26982434</v>
      </c>
      <c r="W2466" s="1">
        <v>11.781206171</v>
      </c>
      <c r="X2466" s="1">
        <v>8.48920863309999</v>
      </c>
      <c r="Y2466" s="1">
        <v>74.787361404</v>
      </c>
      <c r="Z2466" s="1">
        <v>17.3</v>
      </c>
      <c r="AA2466" s="1">
        <v>4.4410080809</v>
      </c>
      <c r="AB2466" s="1">
        <v>43491.0</v>
      </c>
      <c r="AC2466" s="1">
        <v>52.4746192889999</v>
      </c>
      <c r="AD2466" s="1">
        <v>73.845000469</v>
      </c>
      <c r="AE2466" s="1">
        <v>9.770577581</v>
      </c>
      <c r="AF2466" s="1">
        <v>7.68125830429999</v>
      </c>
      <c r="AG2466" s="1">
        <v>0.3339677524</v>
      </c>
      <c r="AH2466" s="1">
        <v>0.3231945991</v>
      </c>
      <c r="AI2466" s="1">
        <v>0.0179552555</v>
      </c>
      <c r="AJ2466" s="1">
        <v>2.2910906022</v>
      </c>
      <c r="AK2466" s="1">
        <v>87.539052681</v>
      </c>
      <c r="AL2466" s="1">
        <v>0.7245827011</v>
      </c>
      <c r="AM2466" s="1">
        <v>51.45258017</v>
      </c>
      <c r="AN2466" s="1">
        <v>76.376534985</v>
      </c>
      <c r="AO2466" s="1">
        <v>20479.0</v>
      </c>
      <c r="AP2466" s="1">
        <v>20.7</v>
      </c>
      <c r="AQ2466" s="1">
        <v>9.4</v>
      </c>
      <c r="AR2466" s="1">
        <v>19.8</v>
      </c>
      <c r="AS2466" s="1">
        <v>16.7</v>
      </c>
      <c r="AT2466" s="1">
        <v>23.5</v>
      </c>
      <c r="AU2466" s="1">
        <v>17.4</v>
      </c>
      <c r="AV2466" s="1">
        <v>12.2</v>
      </c>
      <c r="AW2466" s="1">
        <v>0.2</v>
      </c>
      <c r="AX2466" s="1">
        <v>0.7131</v>
      </c>
      <c r="AY2466" s="1">
        <v>15.8</v>
      </c>
      <c r="AZ2466" s="1">
        <v>15.3</v>
      </c>
      <c r="BA2466" s="1">
        <v>19.8</v>
      </c>
      <c r="BB2466" s="1">
        <v>3.05</v>
      </c>
      <c r="BC2466" s="1" t="s">
        <v>4001</v>
      </c>
      <c r="BD2466" s="1">
        <v>17.3</v>
      </c>
      <c r="BE2466" s="1">
        <v>42.3</v>
      </c>
      <c r="BF2466" s="1">
        <v>26.1</v>
      </c>
      <c r="BG2466" s="1">
        <v>14.4</v>
      </c>
      <c r="BH2466" s="1" t="s">
        <v>4052</v>
      </c>
    </row>
    <row r="2467">
      <c r="A2467" s="1">
        <v>47079.0</v>
      </c>
      <c r="B2467" s="2" t="str">
        <f>IFERROR(__xludf.DUMMYFUNCTION("TO_TEXT(A2467)"),"47079")</f>
        <v>47079</v>
      </c>
      <c r="C2467" s="1">
        <v>32291.0</v>
      </c>
      <c r="D2467" s="1">
        <v>561.840083616868</v>
      </c>
      <c r="E2467" s="1" t="s">
        <v>126</v>
      </c>
      <c r="F2467" s="1" t="s">
        <v>4053</v>
      </c>
      <c r="G2467" s="1">
        <v>57.4736494272986</v>
      </c>
      <c r="H2467" s="1">
        <v>21.6707239619999</v>
      </c>
      <c r="I2467" s="1">
        <v>4.9792091369</v>
      </c>
      <c r="J2467" s="1">
        <v>8.3189655172</v>
      </c>
      <c r="K2467" s="1">
        <v>22.873936931</v>
      </c>
      <c r="L2467" s="1">
        <v>33.6</v>
      </c>
      <c r="M2467" s="1">
        <v>7.4</v>
      </c>
      <c r="N2467" s="1">
        <v>33.1</v>
      </c>
      <c r="O2467" s="1">
        <v>63.937519332</v>
      </c>
      <c r="P2467" s="1">
        <v>11.1991547809999</v>
      </c>
      <c r="Q2467" s="1">
        <v>67.79661</v>
      </c>
      <c r="R2467" s="1">
        <v>90.705128205</v>
      </c>
      <c r="S2467" s="1">
        <v>29.4</v>
      </c>
      <c r="T2467" s="1">
        <v>6664.0</v>
      </c>
      <c r="U2467" s="1">
        <v>35.084033613</v>
      </c>
      <c r="V2467" s="1">
        <v>334.07918454</v>
      </c>
      <c r="W2467" s="1">
        <v>11.847463902</v>
      </c>
      <c r="X2467" s="1">
        <v>9.7268986158</v>
      </c>
      <c r="Y2467" s="1">
        <v>74.651924082</v>
      </c>
      <c r="Z2467" s="1">
        <v>18.1</v>
      </c>
      <c r="AA2467" s="1">
        <v>8.0414296325</v>
      </c>
      <c r="AB2467" s="1">
        <v>43159.0</v>
      </c>
      <c r="AC2467" s="1">
        <v>52.4746192889999</v>
      </c>
      <c r="AD2467" s="1">
        <v>76.458302253</v>
      </c>
      <c r="AE2467" s="1">
        <v>10.0679528239999</v>
      </c>
      <c r="AF2467" s="1">
        <v>7.4664688794</v>
      </c>
      <c r="AG2467" s="1">
        <v>0.4326596205</v>
      </c>
      <c r="AH2467" s="1">
        <v>0.4913777118</v>
      </c>
      <c r="AI2467" s="1">
        <v>0.0463563879</v>
      </c>
      <c r="AJ2467" s="1">
        <v>2.8091971074</v>
      </c>
      <c r="AK2467" s="1">
        <v>87.205636937</v>
      </c>
      <c r="AL2467" s="1">
        <v>0.3270111184</v>
      </c>
      <c r="AM2467" s="1">
        <v>51.5235799489999</v>
      </c>
      <c r="AN2467" s="1">
        <v>66.848128673</v>
      </c>
      <c r="AO2467" s="1">
        <v>23090.0</v>
      </c>
      <c r="AP2467" s="1">
        <v>19.4</v>
      </c>
      <c r="AQ2467" s="1">
        <v>7.9</v>
      </c>
      <c r="AR2467" s="1">
        <v>15.7</v>
      </c>
      <c r="AS2467" s="1">
        <v>21.5</v>
      </c>
      <c r="AT2467" s="1">
        <v>21.1</v>
      </c>
      <c r="AU2467" s="1">
        <v>21.8</v>
      </c>
      <c r="AV2467" s="1">
        <v>12.3</v>
      </c>
      <c r="AW2467" s="1">
        <v>0.4</v>
      </c>
      <c r="AX2467" s="1">
        <v>0.5622</v>
      </c>
      <c r="AY2467" s="1">
        <v>18.3</v>
      </c>
      <c r="AZ2467" s="1">
        <v>15.4</v>
      </c>
      <c r="BA2467" s="1">
        <v>21.8</v>
      </c>
      <c r="BB2467" s="1">
        <v>3.18</v>
      </c>
      <c r="BC2467" s="1" t="s">
        <v>4001</v>
      </c>
      <c r="BD2467" s="1">
        <v>14.1</v>
      </c>
      <c r="BE2467" s="1">
        <v>45.6</v>
      </c>
      <c r="BF2467" s="1">
        <v>23.9</v>
      </c>
      <c r="BG2467" s="1">
        <v>16.5</v>
      </c>
      <c r="BH2467" s="1" t="s">
        <v>4053</v>
      </c>
    </row>
    <row r="2468">
      <c r="A2468" s="1">
        <v>47081.0</v>
      </c>
      <c r="B2468" s="2" t="str">
        <f>IFERROR(__xludf.DUMMYFUNCTION("TO_TEXT(A2468)"),"47081")</f>
        <v>47081</v>
      </c>
      <c r="C2468" s="1">
        <v>24251.0</v>
      </c>
      <c r="D2468" s="1">
        <v>612.483140863808</v>
      </c>
      <c r="E2468" s="1" t="s">
        <v>1839</v>
      </c>
      <c r="F2468" s="1" t="s">
        <v>4054</v>
      </c>
      <c r="G2468" s="1">
        <v>39.5945592327617</v>
      </c>
      <c r="H2468" s="1">
        <v>20.594749733</v>
      </c>
      <c r="I2468" s="1">
        <v>4.7176417382</v>
      </c>
      <c r="J2468" s="1">
        <v>9.0052356021</v>
      </c>
      <c r="K2468" s="1">
        <v>23.1807949709999</v>
      </c>
      <c r="L2468" s="1">
        <v>32.1</v>
      </c>
      <c r="M2468" s="1">
        <v>7.9</v>
      </c>
      <c r="N2468" s="1">
        <v>27.5</v>
      </c>
      <c r="O2468" s="1">
        <v>35.042527339</v>
      </c>
      <c r="P2468" s="1">
        <v>12.947904097</v>
      </c>
      <c r="Q2468" s="1">
        <v>20.1094</v>
      </c>
      <c r="R2468" s="1">
        <v>94.696969697</v>
      </c>
      <c r="S2468" s="1">
        <v>24.2</v>
      </c>
      <c r="T2468" s="1">
        <v>5306.0</v>
      </c>
      <c r="U2468" s="1">
        <v>32.943837165</v>
      </c>
      <c r="V2468" s="1">
        <v>383.236494</v>
      </c>
      <c r="W2468" s="1">
        <v>15.584415584</v>
      </c>
      <c r="X2468" s="1">
        <v>12.617142857</v>
      </c>
      <c r="Y2468" s="1">
        <v>74.135684509</v>
      </c>
      <c r="Z2468" s="1">
        <v>16.9</v>
      </c>
      <c r="AA2468" s="1">
        <v>5.1449427376</v>
      </c>
      <c r="AB2468" s="1">
        <v>44684.0</v>
      </c>
      <c r="AC2468" s="1">
        <v>52.4746192889999</v>
      </c>
      <c r="AD2468" s="1">
        <v>81.019960771</v>
      </c>
      <c r="AE2468" s="1">
        <v>10.37324285</v>
      </c>
      <c r="AF2468" s="1">
        <v>4.8876830387</v>
      </c>
      <c r="AG2468" s="1">
        <v>0.6503610901</v>
      </c>
      <c r="AH2468" s="1">
        <v>0.3551051351</v>
      </c>
      <c r="AI2468" s="1">
        <v>0.0319195627</v>
      </c>
      <c r="AJ2468" s="1">
        <v>2.6213940869</v>
      </c>
      <c r="AK2468" s="1">
        <v>90.14084507</v>
      </c>
      <c r="AL2468" s="1">
        <v>0.2915701912</v>
      </c>
      <c r="AM2468" s="1">
        <v>47.444440011</v>
      </c>
      <c r="AN2468" s="1">
        <v>100.0</v>
      </c>
      <c r="AO2468" s="1">
        <v>18410.0</v>
      </c>
      <c r="AP2468" s="1">
        <v>22.9</v>
      </c>
      <c r="AQ2468" s="1">
        <v>7.4</v>
      </c>
      <c r="AR2468" s="1">
        <v>22.8</v>
      </c>
      <c r="AS2468" s="1">
        <v>15.6</v>
      </c>
      <c r="AT2468" s="1">
        <v>21.7</v>
      </c>
      <c r="AU2468" s="1">
        <v>21.5</v>
      </c>
      <c r="AV2468" s="1">
        <v>9.1</v>
      </c>
      <c r="AW2468" s="1">
        <v>0.4</v>
      </c>
      <c r="AX2468" s="1">
        <v>0.7724</v>
      </c>
      <c r="AY2468" s="1">
        <v>16.3</v>
      </c>
      <c r="AZ2468" s="1">
        <v>14.0</v>
      </c>
      <c r="BA2468" s="1">
        <v>17.6</v>
      </c>
      <c r="BB2468" s="1">
        <v>3.08</v>
      </c>
      <c r="BC2468" s="1" t="s">
        <v>4001</v>
      </c>
      <c r="BD2468" s="1">
        <v>21.4</v>
      </c>
      <c r="BE2468" s="1">
        <v>44.3</v>
      </c>
      <c r="BF2468" s="1">
        <v>23.3</v>
      </c>
      <c r="BG2468" s="1">
        <v>10.9</v>
      </c>
      <c r="BH2468" s="1" t="s">
        <v>4054</v>
      </c>
    </row>
    <row r="2469">
      <c r="A2469" s="1">
        <v>47083.0</v>
      </c>
      <c r="B2469" s="2" t="str">
        <f>IFERROR(__xludf.DUMMYFUNCTION("TO_TEXT(A2469)"),"47083")</f>
        <v>47083</v>
      </c>
      <c r="C2469" s="1">
        <v>8234.0</v>
      </c>
      <c r="D2469" s="1">
        <v>200.290034892244</v>
      </c>
      <c r="E2469" s="1" t="s">
        <v>128</v>
      </c>
      <c r="F2469" s="1" t="s">
        <v>4055</v>
      </c>
      <c r="G2469" s="1">
        <v>41.1103827728118</v>
      </c>
      <c r="H2469" s="1">
        <v>21.490267325</v>
      </c>
      <c r="I2469" s="1">
        <v>4.8530525015</v>
      </c>
      <c r="J2469" s="1">
        <v>7.7186963979</v>
      </c>
      <c r="K2469" s="1">
        <v>22.445691954</v>
      </c>
      <c r="L2469" s="1">
        <v>27.2</v>
      </c>
      <c r="M2469" s="1">
        <v>8.1</v>
      </c>
      <c r="N2469" s="1">
        <v>28.9</v>
      </c>
      <c r="O2469" s="1">
        <v>46.380251602</v>
      </c>
      <c r="P2469" s="1">
        <v>12.573826546</v>
      </c>
      <c r="Q2469" s="1">
        <v>24.35164</v>
      </c>
      <c r="R2469" s="1">
        <v>96.93877551</v>
      </c>
      <c r="S2469" s="1">
        <v>25.2</v>
      </c>
      <c r="T2469" s="1">
        <v>1774.0</v>
      </c>
      <c r="U2469" s="1">
        <v>30.608793687</v>
      </c>
      <c r="V2469" s="1">
        <v>219.96822681</v>
      </c>
      <c r="W2469" s="1">
        <v>12.721417069</v>
      </c>
      <c r="X2469" s="1">
        <v>10.504065041</v>
      </c>
      <c r="Y2469" s="1">
        <v>73.601127536</v>
      </c>
      <c r="Z2469" s="1">
        <v>11.7</v>
      </c>
      <c r="AA2469" s="1">
        <v>1.3795748422</v>
      </c>
      <c r="AB2469" s="1">
        <v>44688.0</v>
      </c>
      <c r="AC2469" s="1">
        <v>52.4746192889999</v>
      </c>
      <c r="AD2469" s="1">
        <v>79.001019368</v>
      </c>
      <c r="AE2469" s="1">
        <v>9.8945070935</v>
      </c>
      <c r="AF2469" s="1">
        <v>2.904514099</v>
      </c>
      <c r="AG2469" s="1">
        <v>0.4114728307</v>
      </c>
      <c r="AH2469" s="1">
        <v>0.5082899673</v>
      </c>
      <c r="AI2469" s="1">
        <v>0.0726128525</v>
      </c>
      <c r="AJ2469" s="1">
        <v>2.5051434104</v>
      </c>
      <c r="AK2469" s="1">
        <v>91.73423696</v>
      </c>
      <c r="AL2469" s="1">
        <v>0.2187620641</v>
      </c>
      <c r="AM2469" s="1">
        <v>50.889507443</v>
      </c>
      <c r="AN2469" s="1">
        <v>100.0</v>
      </c>
      <c r="AO2469" s="1">
        <v>18256.0</v>
      </c>
      <c r="AP2469" s="1">
        <v>20.9</v>
      </c>
      <c r="AQ2469" s="1">
        <v>7.4</v>
      </c>
      <c r="AR2469" s="1">
        <v>23.1</v>
      </c>
      <c r="AS2469" s="1">
        <v>19.5</v>
      </c>
      <c r="AT2469" s="1">
        <v>22.5</v>
      </c>
      <c r="AU2469" s="1">
        <v>24.1</v>
      </c>
      <c r="AV2469" s="1">
        <v>7.7</v>
      </c>
      <c r="AW2469" s="1">
        <v>0.2</v>
      </c>
      <c r="AX2469" s="1">
        <v>0.6536</v>
      </c>
      <c r="AY2469" s="1">
        <v>17.8</v>
      </c>
      <c r="AZ2469" s="1">
        <v>15.1</v>
      </c>
      <c r="BA2469" s="1">
        <v>21.7</v>
      </c>
      <c r="BB2469" s="1">
        <v>3.12</v>
      </c>
      <c r="BC2469" s="1" t="s">
        <v>4001</v>
      </c>
      <c r="BD2469" s="1">
        <v>22.8</v>
      </c>
      <c r="BE2469" s="1">
        <v>47.1</v>
      </c>
      <c r="BF2469" s="1">
        <v>17.1</v>
      </c>
      <c r="BG2469" s="1">
        <v>13.0</v>
      </c>
      <c r="BH2469" s="1" t="s">
        <v>4055</v>
      </c>
    </row>
    <row r="2470">
      <c r="A2470" s="1">
        <v>47085.0</v>
      </c>
      <c r="B2470" s="2" t="str">
        <f>IFERROR(__xludf.DUMMYFUNCTION("TO_TEXT(A2470)"),"47085")</f>
        <v>47085</v>
      </c>
      <c r="C2470" s="1">
        <v>18216.0</v>
      </c>
      <c r="D2470" s="1">
        <v>530.762353326398</v>
      </c>
      <c r="E2470" s="1" t="s">
        <v>2473</v>
      </c>
      <c r="F2470" s="1" t="s">
        <v>4056</v>
      </c>
      <c r="G2470" s="1">
        <v>34.3204447071961</v>
      </c>
      <c r="H2470" s="1">
        <v>19.370453562</v>
      </c>
      <c r="I2470" s="1">
        <v>4.6992612334</v>
      </c>
      <c r="J2470" s="1">
        <v>9.0096286107</v>
      </c>
      <c r="K2470" s="1">
        <v>20.54988083</v>
      </c>
      <c r="L2470" s="1">
        <v>35.2</v>
      </c>
      <c r="M2470" s="1">
        <v>8.1</v>
      </c>
      <c r="N2470" s="1">
        <v>26.4</v>
      </c>
      <c r="O2470" s="1">
        <v>39.065702881</v>
      </c>
      <c r="P2470" s="1">
        <v>11.2447055609999</v>
      </c>
      <c r="Q2470" s="1">
        <v>27.05042</v>
      </c>
      <c r="R2470" s="1">
        <v>91.304347826</v>
      </c>
      <c r="S2470" s="1">
        <v>20.3</v>
      </c>
      <c r="T2470" s="1">
        <v>3680.0</v>
      </c>
      <c r="U2470" s="1">
        <v>21.657608696</v>
      </c>
      <c r="V2470" s="1">
        <v>259.24598031</v>
      </c>
      <c r="W2470" s="1">
        <v>11.679884643</v>
      </c>
      <c r="X2470" s="1">
        <v>9.593495935</v>
      </c>
      <c r="Y2470" s="1">
        <v>73.790088767</v>
      </c>
      <c r="Z2470" s="1">
        <v>9.9</v>
      </c>
      <c r="AA2470" s="1">
        <v>2.6478565376</v>
      </c>
      <c r="AB2470" s="1">
        <v>48056.0</v>
      </c>
      <c r="AC2470" s="1">
        <v>52.4746192889999</v>
      </c>
      <c r="AD2470" s="1">
        <v>76.494604841</v>
      </c>
      <c r="AE2470" s="1">
        <v>10.0076982289999</v>
      </c>
      <c r="AF2470" s="1">
        <v>2.6290165531</v>
      </c>
      <c r="AG2470" s="1">
        <v>0.676187385</v>
      </c>
      <c r="AH2470" s="1">
        <v>0.4868549172</v>
      </c>
      <c r="AI2470" s="1">
        <v>0.0486854917</v>
      </c>
      <c r="AJ2470" s="1">
        <v>2.6777020448</v>
      </c>
      <c r="AK2470" s="1">
        <v>92.194092827</v>
      </c>
      <c r="AL2470" s="1">
        <v>0.0747255274</v>
      </c>
      <c r="AM2470" s="1">
        <v>50.254246457</v>
      </c>
      <c r="AN2470" s="1">
        <v>82.490020498</v>
      </c>
      <c r="AO2470" s="1">
        <v>23221.0</v>
      </c>
      <c r="AP2470" s="1">
        <v>18.5</v>
      </c>
      <c r="AQ2470" s="1">
        <v>8.0</v>
      </c>
      <c r="AR2470" s="1">
        <v>16.8</v>
      </c>
      <c r="AS2470" s="1">
        <v>18.8</v>
      </c>
      <c r="AT2470" s="1">
        <v>22.1</v>
      </c>
      <c r="AU2470" s="1">
        <v>21.2</v>
      </c>
      <c r="AV2470" s="1">
        <v>6.8</v>
      </c>
      <c r="AW2470" s="1">
        <v>0.1</v>
      </c>
      <c r="AX2470" s="1">
        <v>0.4795</v>
      </c>
      <c r="AY2470" s="1">
        <v>13.1</v>
      </c>
      <c r="AZ2470" s="1">
        <v>15.2</v>
      </c>
      <c r="BA2470" s="1">
        <v>19.5</v>
      </c>
      <c r="BB2470" s="1">
        <v>3.02</v>
      </c>
      <c r="BC2470" s="1" t="s">
        <v>4001</v>
      </c>
      <c r="BD2470" s="1">
        <v>15.1</v>
      </c>
      <c r="BE2470" s="1">
        <v>48.4</v>
      </c>
      <c r="BF2470" s="1">
        <v>22.2</v>
      </c>
      <c r="BG2470" s="1">
        <v>14.3</v>
      </c>
      <c r="BH2470" s="1" t="s">
        <v>4056</v>
      </c>
    </row>
    <row r="2471">
      <c r="A2471" s="1">
        <v>47087.0</v>
      </c>
      <c r="B2471" s="2" t="str">
        <f>IFERROR(__xludf.DUMMYFUNCTION("TO_TEXT(A2471)"),"47087")</f>
        <v>47087</v>
      </c>
      <c r="C2471" s="1">
        <v>11526.0</v>
      </c>
      <c r="D2471" s="1">
        <v>308.637943769166</v>
      </c>
      <c r="E2471" s="1" t="s">
        <v>130</v>
      </c>
      <c r="F2471" s="1" t="s">
        <v>4057</v>
      </c>
      <c r="G2471" s="1">
        <v>37.3447278038517</v>
      </c>
      <c r="H2471" s="1">
        <v>23.915853491</v>
      </c>
      <c r="I2471" s="1">
        <v>5.0202015231</v>
      </c>
      <c r="J2471" s="1">
        <v>9.6681096681</v>
      </c>
      <c r="K2471" s="1">
        <v>23.836507508</v>
      </c>
      <c r="L2471" s="1">
        <v>33.8</v>
      </c>
      <c r="M2471" s="1">
        <v>8.1</v>
      </c>
      <c r="N2471" s="1">
        <v>35.0</v>
      </c>
      <c r="O2471" s="1">
        <v>47.989345248</v>
      </c>
      <c r="P2471" s="1">
        <v>12.543593205</v>
      </c>
      <c r="Q2471" s="1">
        <v>17.12769</v>
      </c>
      <c r="R2471" s="1">
        <v>86.206896552</v>
      </c>
      <c r="S2471" s="1">
        <v>29.6</v>
      </c>
      <c r="T2471" s="1">
        <v>2109.0</v>
      </c>
      <c r="U2471" s="1">
        <v>30.5357989569999</v>
      </c>
      <c r="V2471" s="1">
        <v>169.49152542</v>
      </c>
      <c r="W2471" s="1">
        <v>13.163716814</v>
      </c>
      <c r="X2471" s="1">
        <v>12.0605355059999</v>
      </c>
      <c r="Y2471" s="1">
        <v>75.418398948</v>
      </c>
      <c r="Z2471" s="1">
        <v>13.5</v>
      </c>
      <c r="AA2471" s="1">
        <v>0.00584486</v>
      </c>
      <c r="AB2471" s="1">
        <v>37563.0</v>
      </c>
      <c r="AC2471" s="1">
        <v>52.4746192889999</v>
      </c>
      <c r="AD2471" s="1">
        <v>75.874972485</v>
      </c>
      <c r="AE2471" s="1">
        <v>8.7041564792</v>
      </c>
      <c r="AF2471" s="1">
        <v>0.6038441912</v>
      </c>
      <c r="AG2471" s="1">
        <v>0.6803878211</v>
      </c>
      <c r="AH2471" s="1">
        <v>0.1530872597</v>
      </c>
      <c r="AI2471" s="1">
        <v>0.0340193911</v>
      </c>
      <c r="AJ2471" s="1">
        <v>2.2197652662</v>
      </c>
      <c r="AK2471" s="1">
        <v>95.0076543629999</v>
      </c>
      <c r="AL2471" s="1">
        <v>0.0719942405</v>
      </c>
      <c r="AM2471" s="1">
        <v>50.263650281</v>
      </c>
      <c r="AN2471" s="1">
        <v>100.0</v>
      </c>
      <c r="AO2471" s="1">
        <v>17675.0</v>
      </c>
      <c r="AP2471" s="1">
        <v>25.0</v>
      </c>
      <c r="AQ2471" s="1">
        <v>10.6</v>
      </c>
      <c r="AR2471" s="1">
        <v>23.4</v>
      </c>
      <c r="AS2471" s="1">
        <v>20.5</v>
      </c>
      <c r="AT2471" s="1">
        <v>19.5</v>
      </c>
      <c r="AU2471" s="1">
        <v>21.8</v>
      </c>
      <c r="AV2471" s="1">
        <v>4.1</v>
      </c>
      <c r="AW2471" s="1">
        <v>0.0</v>
      </c>
      <c r="AX2471" s="1">
        <v>0.6574</v>
      </c>
      <c r="AY2471" s="1">
        <v>17.1</v>
      </c>
      <c r="AZ2471" s="1">
        <v>16.3</v>
      </c>
      <c r="BA2471" s="1">
        <v>23.6</v>
      </c>
      <c r="BB2471" s="1">
        <v>3.11</v>
      </c>
      <c r="BC2471" s="1" t="s">
        <v>4001</v>
      </c>
      <c r="BD2471" s="1">
        <v>21.8</v>
      </c>
      <c r="BE2471" s="1">
        <v>44.6</v>
      </c>
      <c r="BF2471" s="1">
        <v>22.5</v>
      </c>
      <c r="BG2471" s="1">
        <v>11.0</v>
      </c>
      <c r="BH2471" s="1" t="s">
        <v>4057</v>
      </c>
    </row>
    <row r="2472">
      <c r="A2472" s="1">
        <v>47089.0</v>
      </c>
      <c r="B2472" s="2" t="str">
        <f>IFERROR(__xludf.DUMMYFUNCTION("TO_TEXT(A2472)"),"47089")</f>
        <v>47089</v>
      </c>
      <c r="C2472" s="1">
        <v>52851.0</v>
      </c>
      <c r="D2472" s="1">
        <v>274.855709509824</v>
      </c>
      <c r="E2472" s="1" t="s">
        <v>132</v>
      </c>
      <c r="F2472" s="1" t="s">
        <v>4058</v>
      </c>
      <c r="G2472" s="1">
        <v>192.286345785773</v>
      </c>
      <c r="H2472" s="1">
        <v>18.458958607</v>
      </c>
      <c r="I2472" s="1">
        <v>4.630599398</v>
      </c>
      <c r="J2472" s="1">
        <v>8.443197756</v>
      </c>
      <c r="K2472" s="1">
        <v>20.480503648</v>
      </c>
      <c r="L2472" s="1">
        <v>36.7</v>
      </c>
      <c r="M2472" s="1">
        <v>8.4</v>
      </c>
      <c r="N2472" s="1">
        <v>27.4</v>
      </c>
      <c r="O2472" s="1">
        <v>53.290407921</v>
      </c>
      <c r="P2472" s="1">
        <v>11.643720819</v>
      </c>
      <c r="Q2472" s="1">
        <v>40.88915</v>
      </c>
      <c r="R2472" s="1">
        <v>95.8801498129999</v>
      </c>
      <c r="S2472" s="1">
        <v>20.9</v>
      </c>
      <c r="T2472" s="1">
        <v>10704.0</v>
      </c>
      <c r="U2472" s="1">
        <v>25.102765321</v>
      </c>
      <c r="V2472" s="1">
        <v>247.17680689</v>
      </c>
      <c r="W2472" s="1">
        <v>13.255755123</v>
      </c>
      <c r="X2472" s="1">
        <v>10.682340915</v>
      </c>
      <c r="Y2472" s="1">
        <v>75.702148937</v>
      </c>
      <c r="Z2472" s="1">
        <v>16.7</v>
      </c>
      <c r="AA2472" s="1">
        <v>2.552956741</v>
      </c>
      <c r="AB2472" s="1">
        <v>49611.0</v>
      </c>
      <c r="AC2472" s="1">
        <v>52.4746192889999</v>
      </c>
      <c r="AD2472" s="1">
        <v>74.178804621</v>
      </c>
      <c r="AE2472" s="1">
        <v>10.259932375</v>
      </c>
      <c r="AF2472" s="1">
        <v>1.9273494779</v>
      </c>
      <c r="AG2472" s="1">
        <v>0.4998889136</v>
      </c>
      <c r="AH2472" s="1">
        <v>0.5757979708</v>
      </c>
      <c r="AI2472" s="1">
        <v>0.057394653</v>
      </c>
      <c r="AJ2472" s="1">
        <v>3.860253277</v>
      </c>
      <c r="AK2472" s="1">
        <v>92.025846108</v>
      </c>
      <c r="AL2472" s="1">
        <v>0.8798579601</v>
      </c>
      <c r="AM2472" s="1">
        <v>50.7776049769999</v>
      </c>
      <c r="AN2472" s="1">
        <v>59.48800747</v>
      </c>
      <c r="AO2472" s="1">
        <v>22674.0</v>
      </c>
      <c r="AP2472" s="1">
        <v>15.2</v>
      </c>
      <c r="AQ2472" s="1">
        <v>7.8</v>
      </c>
      <c r="AR2472" s="1">
        <v>16.3</v>
      </c>
      <c r="AS2472" s="1">
        <v>18.8</v>
      </c>
      <c r="AT2472" s="1">
        <v>20.7</v>
      </c>
      <c r="AU2472" s="1">
        <v>19.8</v>
      </c>
      <c r="AV2472" s="1">
        <v>7.4</v>
      </c>
      <c r="AW2472" s="1">
        <v>0.8</v>
      </c>
      <c r="AX2472" s="1">
        <v>0.5903</v>
      </c>
      <c r="AY2472" s="1">
        <v>12.5</v>
      </c>
      <c r="AZ2472" s="1">
        <v>13.2</v>
      </c>
      <c r="BA2472" s="1">
        <v>16.7</v>
      </c>
      <c r="BB2472" s="1">
        <v>3.24</v>
      </c>
      <c r="BC2472" s="1" t="s">
        <v>4001</v>
      </c>
      <c r="BD2472" s="1">
        <v>14.7</v>
      </c>
      <c r="BE2472" s="1">
        <v>39.1</v>
      </c>
      <c r="BF2472" s="1">
        <v>29.5</v>
      </c>
      <c r="BG2472" s="1">
        <v>16.8</v>
      </c>
      <c r="BH2472" s="1" t="s">
        <v>4058</v>
      </c>
    </row>
    <row r="2473">
      <c r="A2473" s="1">
        <v>47091.0</v>
      </c>
      <c r="B2473" s="2" t="str">
        <f>IFERROR(__xludf.DUMMYFUNCTION("TO_TEXT(A2473)"),"47091")</f>
        <v>47091</v>
      </c>
      <c r="C2473" s="1">
        <v>17923.0</v>
      </c>
      <c r="D2473" s="1">
        <v>298.441491495663</v>
      </c>
      <c r="E2473" s="1" t="s">
        <v>347</v>
      </c>
      <c r="F2473" s="1" t="s">
        <v>4059</v>
      </c>
      <c r="G2473" s="1">
        <v>60.0553224358228</v>
      </c>
      <c r="H2473" s="1">
        <v>22.1603796259999</v>
      </c>
      <c r="I2473" s="1">
        <v>4.9102246632</v>
      </c>
      <c r="J2473" s="1">
        <v>8.53432282</v>
      </c>
      <c r="K2473" s="1">
        <v>23.251335147</v>
      </c>
      <c r="L2473" s="1">
        <v>27.5</v>
      </c>
      <c r="M2473" s="1">
        <v>7.6</v>
      </c>
      <c r="N2473" s="1">
        <v>29.0</v>
      </c>
      <c r="O2473" s="1">
        <v>100.0</v>
      </c>
      <c r="P2473" s="1">
        <v>12.5840053759999</v>
      </c>
      <c r="Q2473" s="1">
        <v>33.91555</v>
      </c>
      <c r="R2473" s="1">
        <v>96.49122807</v>
      </c>
      <c r="S2473" s="1">
        <v>27.9</v>
      </c>
      <c r="T2473" s="1">
        <v>2862.0</v>
      </c>
      <c r="U2473" s="1">
        <v>23.305380853</v>
      </c>
      <c r="V2473" s="1">
        <v>627.67954717</v>
      </c>
      <c r="W2473" s="1">
        <v>13.8105567609999</v>
      </c>
      <c r="X2473" s="1">
        <v>10.510732791</v>
      </c>
      <c r="Y2473" s="1">
        <v>73.526788147</v>
      </c>
      <c r="Z2473" s="1">
        <v>13.4</v>
      </c>
      <c r="AA2473" s="1">
        <v>4.7834693886</v>
      </c>
      <c r="AB2473" s="1">
        <v>35778.0</v>
      </c>
      <c r="AC2473" s="1">
        <v>52.4746192889999</v>
      </c>
      <c r="AD2473" s="1">
        <v>77.60279965</v>
      </c>
      <c r="AE2473" s="1">
        <v>10.653907496</v>
      </c>
      <c r="AF2473" s="1">
        <v>2.2949713129</v>
      </c>
      <c r="AG2473" s="1">
        <v>0.3712453594</v>
      </c>
      <c r="AH2473" s="1">
        <v>0.2587467657</v>
      </c>
      <c r="AI2473" s="1">
        <v>0.0449994375</v>
      </c>
      <c r="AJ2473" s="1">
        <v>2.1599730003</v>
      </c>
      <c r="AK2473" s="1">
        <v>93.86320171</v>
      </c>
      <c r="AL2473" s="1">
        <v>0.1640400726</v>
      </c>
      <c r="AM2473" s="1">
        <v>46.152548093</v>
      </c>
      <c r="AN2473" s="1">
        <v>85.211576409</v>
      </c>
      <c r="AO2473" s="1">
        <v>17834.0</v>
      </c>
      <c r="AP2473" s="1">
        <v>26.9</v>
      </c>
      <c r="AQ2473" s="1">
        <v>6.7</v>
      </c>
      <c r="AR2473" s="1">
        <v>23.7</v>
      </c>
      <c r="AS2473" s="1">
        <v>20.6</v>
      </c>
      <c r="AT2473" s="1">
        <v>17.7</v>
      </c>
      <c r="AU2473" s="1">
        <v>23.3</v>
      </c>
      <c r="AV2473" s="1">
        <v>7.7</v>
      </c>
      <c r="AW2473" s="1">
        <v>0.3</v>
      </c>
      <c r="AX2473" s="1">
        <v>0.7759</v>
      </c>
      <c r="AY2473" s="1">
        <v>25.2</v>
      </c>
      <c r="AZ2473" s="1">
        <v>16.4</v>
      </c>
      <c r="BA2473" s="1">
        <v>23.7</v>
      </c>
      <c r="BB2473" s="1">
        <v>3.19</v>
      </c>
      <c r="BC2473" s="1" t="s">
        <v>4001</v>
      </c>
      <c r="BD2473" s="1">
        <v>20.2</v>
      </c>
      <c r="BE2473" s="1">
        <v>41.6</v>
      </c>
      <c r="BF2473" s="1">
        <v>26.6</v>
      </c>
      <c r="BG2473" s="1">
        <v>11.6</v>
      </c>
      <c r="BH2473" s="1" t="s">
        <v>4059</v>
      </c>
    </row>
    <row r="2474">
      <c r="A2474" s="1">
        <v>47093.0</v>
      </c>
      <c r="B2474" s="2" t="str">
        <f>IFERROR(__xludf.DUMMYFUNCTION("TO_TEXT(A2474)"),"47093")</f>
        <v>47093</v>
      </c>
      <c r="C2474" s="1">
        <v>448164.0</v>
      </c>
      <c r="D2474" s="1">
        <v>508.214129345486</v>
      </c>
      <c r="E2474" s="1" t="s">
        <v>1224</v>
      </c>
      <c r="F2474" s="1" t="s">
        <v>4060</v>
      </c>
      <c r="G2474" s="1">
        <v>881.840889739089</v>
      </c>
      <c r="H2474" s="1">
        <v>16.672816452</v>
      </c>
      <c r="I2474" s="1">
        <v>4.2958350919</v>
      </c>
      <c r="J2474" s="1">
        <v>8.2295629328</v>
      </c>
      <c r="K2474" s="1">
        <v>19.71365622</v>
      </c>
      <c r="L2474" s="1">
        <v>30.7</v>
      </c>
      <c r="M2474" s="1">
        <v>7.3</v>
      </c>
      <c r="N2474" s="1">
        <v>21.4</v>
      </c>
      <c r="O2474" s="1">
        <v>83.561146252</v>
      </c>
      <c r="P2474" s="1">
        <v>9.806133184</v>
      </c>
      <c r="Q2474" s="1">
        <v>112.58823</v>
      </c>
      <c r="R2474" s="1">
        <v>89.532753092</v>
      </c>
      <c r="S2474" s="1">
        <v>15.2</v>
      </c>
      <c r="T2474" s="1">
        <v>96339.0</v>
      </c>
      <c r="U2474" s="1">
        <v>30.807876353</v>
      </c>
      <c r="V2474" s="1">
        <v>505.64787656</v>
      </c>
      <c r="W2474" s="1">
        <v>13.7976673009999</v>
      </c>
      <c r="X2474" s="1">
        <v>12.100123471</v>
      </c>
      <c r="Y2474" s="1">
        <v>76.392969584</v>
      </c>
      <c r="Z2474" s="1">
        <v>10.7</v>
      </c>
      <c r="AA2474" s="1">
        <v>11.37562281</v>
      </c>
      <c r="AB2474" s="1">
        <v>55874.0</v>
      </c>
      <c r="AC2474" s="1">
        <v>52.4746192889999</v>
      </c>
      <c r="AD2474" s="1">
        <v>64.528851504</v>
      </c>
      <c r="AE2474" s="1">
        <v>12.274233497</v>
      </c>
      <c r="AF2474" s="1">
        <v>8.6911575386</v>
      </c>
      <c r="AG2474" s="1">
        <v>0.3539735519</v>
      </c>
      <c r="AH2474" s="1">
        <v>2.3428449845</v>
      </c>
      <c r="AI2474" s="1">
        <v>0.1087496158</v>
      </c>
      <c r="AJ2474" s="1">
        <v>4.3936134317</v>
      </c>
      <c r="AK2474" s="1">
        <v>82.279185624</v>
      </c>
      <c r="AL2474" s="1">
        <v>1.2328763937</v>
      </c>
      <c r="AM2474" s="1">
        <v>51.426747677</v>
      </c>
      <c r="AN2474" s="1">
        <v>10.921369839</v>
      </c>
      <c r="AO2474" s="1">
        <v>28980.0</v>
      </c>
      <c r="AP2474" s="1">
        <v>16.2</v>
      </c>
      <c r="AQ2474" s="1">
        <v>6.2</v>
      </c>
      <c r="AR2474" s="1">
        <v>9.4</v>
      </c>
      <c r="AS2474" s="1">
        <v>14.5</v>
      </c>
      <c r="AT2474" s="1">
        <v>21.4</v>
      </c>
      <c r="AU2474" s="1">
        <v>13.0</v>
      </c>
      <c r="AV2474" s="1">
        <v>17.1</v>
      </c>
      <c r="AW2474" s="1">
        <v>1.2</v>
      </c>
      <c r="AX2474" s="1">
        <v>0.3282</v>
      </c>
      <c r="AY2474" s="1">
        <v>13.4</v>
      </c>
      <c r="AZ2474" s="1">
        <v>11.7</v>
      </c>
      <c r="BA2474" s="1">
        <v>13.1</v>
      </c>
      <c r="BB2474" s="1">
        <v>3.3</v>
      </c>
      <c r="BC2474" s="1" t="s">
        <v>4001</v>
      </c>
      <c r="BD2474" s="1">
        <v>8.3</v>
      </c>
      <c r="BE2474" s="1">
        <v>25.3</v>
      </c>
      <c r="BF2474" s="1">
        <v>28.8</v>
      </c>
      <c r="BG2474" s="1">
        <v>37.6</v>
      </c>
      <c r="BH2474" s="1" t="s">
        <v>4060</v>
      </c>
    </row>
    <row r="2475">
      <c r="A2475" s="1">
        <v>47095.0</v>
      </c>
      <c r="B2475" s="2" t="str">
        <f>IFERROR(__xludf.DUMMYFUNCTION("TO_TEXT(A2475)"),"47095")</f>
        <v>47095</v>
      </c>
      <c r="C2475" s="1">
        <v>7643.0</v>
      </c>
      <c r="D2475" s="1">
        <v>165.784957456989</v>
      </c>
      <c r="E2475" s="1" t="s">
        <v>450</v>
      </c>
      <c r="F2475" s="1" t="s">
        <v>4061</v>
      </c>
      <c r="G2475" s="1">
        <v>46.1018907700528</v>
      </c>
      <c r="H2475" s="1">
        <v>26.804350048</v>
      </c>
      <c r="I2475" s="1">
        <v>5.0105970313</v>
      </c>
      <c r="J2475" s="1">
        <v>11.185682327</v>
      </c>
      <c r="K2475" s="1">
        <v>28.0789586919999</v>
      </c>
      <c r="L2475" s="1">
        <v>37.4</v>
      </c>
      <c r="M2475" s="1">
        <v>6.8</v>
      </c>
      <c r="N2475" s="1">
        <v>30.5</v>
      </c>
      <c r="O2475" s="1">
        <v>23.0464759959999</v>
      </c>
      <c r="P2475" s="1">
        <v>11.648016277</v>
      </c>
      <c r="Q2475" s="1">
        <v>48.31939</v>
      </c>
      <c r="R2475" s="1">
        <v>96.2264150939999</v>
      </c>
      <c r="S2475" s="1">
        <v>41.2</v>
      </c>
      <c r="T2475" s="1">
        <v>1007.0</v>
      </c>
      <c r="U2475" s="1">
        <v>49.4538232369999</v>
      </c>
      <c r="V2475" s="1">
        <v>209.75353959</v>
      </c>
      <c r="W2475" s="1">
        <v>13.053613054</v>
      </c>
      <c r="X2475" s="1">
        <v>10.138689622</v>
      </c>
      <c r="Y2475" s="1">
        <v>72.334558915</v>
      </c>
      <c r="Z2475" s="1">
        <v>10.2</v>
      </c>
      <c r="AA2475" s="1">
        <v>0.0962376435</v>
      </c>
      <c r="AB2475" s="1">
        <v>33709.0</v>
      </c>
      <c r="AC2475" s="1">
        <v>52.4746192889999</v>
      </c>
      <c r="AD2475" s="1">
        <v>57.285519746</v>
      </c>
      <c r="AE2475" s="1">
        <v>11.456790123</v>
      </c>
      <c r="AF2475" s="1">
        <v>28.498178383</v>
      </c>
      <c r="AG2475" s="1">
        <v>0.4992578599</v>
      </c>
      <c r="AH2475" s="1">
        <v>0.2024018351</v>
      </c>
      <c r="AI2475" s="1">
        <v>0.0269869113</v>
      </c>
      <c r="AJ2475" s="1">
        <v>2.442315477</v>
      </c>
      <c r="AK2475" s="1">
        <v>66.698151397</v>
      </c>
      <c r="AL2475" s="1">
        <v>0.110818672899999</v>
      </c>
      <c r="AM2475" s="1">
        <v>35.717177169</v>
      </c>
      <c r="AN2475" s="1">
        <v>100.0</v>
      </c>
      <c r="AO2475" s="1">
        <v>13330.0</v>
      </c>
      <c r="AP2475" s="1">
        <v>29.2</v>
      </c>
      <c r="AQ2475" s="1">
        <v>12.2</v>
      </c>
      <c r="AR2475" s="1">
        <v>26.9</v>
      </c>
      <c r="AS2475" s="1">
        <v>15.1</v>
      </c>
      <c r="AT2475" s="1">
        <v>15.3</v>
      </c>
      <c r="AU2475" s="1">
        <v>25.8</v>
      </c>
      <c r="AV2475" s="1">
        <v>32.5</v>
      </c>
      <c r="AW2475" s="1">
        <v>0.3</v>
      </c>
      <c r="AX2475" s="1">
        <v>0.9271</v>
      </c>
      <c r="AY2475" s="1">
        <v>35.5</v>
      </c>
      <c r="AZ2475" s="1">
        <v>19.9</v>
      </c>
      <c r="BA2475" s="1">
        <v>26.3</v>
      </c>
      <c r="BB2475" s="1">
        <v>2.84</v>
      </c>
      <c r="BC2475" s="1" t="s">
        <v>4001</v>
      </c>
      <c r="BD2475" s="1">
        <v>27.1</v>
      </c>
      <c r="BE2475" s="1">
        <v>43.2</v>
      </c>
      <c r="BF2475" s="1">
        <v>20.4</v>
      </c>
      <c r="BG2475" s="1">
        <v>9.4</v>
      </c>
      <c r="BH2475" s="1" t="s">
        <v>4061</v>
      </c>
    </row>
    <row r="2476">
      <c r="A2476" s="1">
        <v>47097.0</v>
      </c>
      <c r="B2476" s="2" t="str">
        <f>IFERROR(__xludf.DUMMYFUNCTION("TO_TEXT(A2476)"),"47097")</f>
        <v>47097</v>
      </c>
      <c r="C2476" s="1">
        <v>27261.0</v>
      </c>
      <c r="D2476" s="1">
        <v>471.966906404156</v>
      </c>
      <c r="E2476" s="1" t="s">
        <v>136</v>
      </c>
      <c r="F2476" s="1" t="s">
        <v>4062</v>
      </c>
      <c r="G2476" s="1">
        <v>57.7604057193277</v>
      </c>
      <c r="H2476" s="1">
        <v>29.070331378</v>
      </c>
      <c r="I2476" s="1">
        <v>5.1470402737</v>
      </c>
      <c r="J2476" s="1">
        <v>11.5714285709999</v>
      </c>
      <c r="K2476" s="1">
        <v>25.4614330669999</v>
      </c>
      <c r="L2476" s="1">
        <v>44.6</v>
      </c>
      <c r="M2476" s="1">
        <v>6.5</v>
      </c>
      <c r="N2476" s="1">
        <v>35.9</v>
      </c>
      <c r="O2476" s="1">
        <v>32.921085745</v>
      </c>
      <c r="P2476" s="1">
        <v>11.948363855</v>
      </c>
      <c r="Q2476" s="1">
        <v>7.91327</v>
      </c>
      <c r="R2476" s="1">
        <v>98.316498316</v>
      </c>
      <c r="S2476" s="1">
        <v>34.6</v>
      </c>
      <c r="T2476" s="1">
        <v>5969.0</v>
      </c>
      <c r="U2476" s="1">
        <v>49.924610488</v>
      </c>
      <c r="V2476" s="1">
        <v>680.64551542</v>
      </c>
      <c r="W2476" s="1">
        <v>19.394561313</v>
      </c>
      <c r="X2476" s="1">
        <v>16.554229372</v>
      </c>
      <c r="Y2476" s="1">
        <v>72.97654894</v>
      </c>
      <c r="Z2476" s="1">
        <v>20.4</v>
      </c>
      <c r="AA2476" s="1">
        <v>5.6185950357</v>
      </c>
      <c r="AB2476" s="1">
        <v>38849.0</v>
      </c>
      <c r="AC2476" s="1">
        <v>52.4746192889999</v>
      </c>
      <c r="AD2476" s="1">
        <v>57.6686487589999</v>
      </c>
      <c r="AE2476" s="1">
        <v>15.868909013</v>
      </c>
      <c r="AF2476" s="1">
        <v>34.346563408</v>
      </c>
      <c r="AG2476" s="1">
        <v>0.7899322362</v>
      </c>
      <c r="AH2476" s="1">
        <v>0.6311713456</v>
      </c>
      <c r="AI2476" s="1">
        <v>0.0116166505</v>
      </c>
      <c r="AJ2476" s="1">
        <v>2.5672797677</v>
      </c>
      <c r="AK2476" s="1">
        <v>60.460793804</v>
      </c>
      <c r="AL2476" s="1">
        <v>0.4634480535</v>
      </c>
      <c r="AM2476" s="1">
        <v>48.484027106</v>
      </c>
      <c r="AN2476" s="1">
        <v>58.6625921269999</v>
      </c>
      <c r="AO2476" s="1">
        <v>16217.0</v>
      </c>
      <c r="AP2476" s="1">
        <v>24.7</v>
      </c>
      <c r="AQ2476" s="1">
        <v>11.4</v>
      </c>
      <c r="AR2476" s="1">
        <v>24.5</v>
      </c>
      <c r="AS2476" s="1">
        <v>13.9</v>
      </c>
      <c r="AT2476" s="1">
        <v>23.2</v>
      </c>
      <c r="AU2476" s="1">
        <v>22.8</v>
      </c>
      <c r="AV2476" s="1">
        <v>39.5</v>
      </c>
      <c r="AW2476" s="1">
        <v>0.4</v>
      </c>
      <c r="AX2476" s="1">
        <v>0.9678</v>
      </c>
      <c r="AY2476" s="1">
        <v>19.3</v>
      </c>
      <c r="AZ2476" s="1">
        <v>18.6</v>
      </c>
      <c r="BA2476" s="1">
        <v>23.9</v>
      </c>
      <c r="BB2476" s="1">
        <v>2.89</v>
      </c>
      <c r="BC2476" s="1" t="s">
        <v>4001</v>
      </c>
      <c r="BD2476" s="1">
        <v>22.9</v>
      </c>
      <c r="BE2476" s="1">
        <v>45.4</v>
      </c>
      <c r="BF2476" s="1">
        <v>23.4</v>
      </c>
      <c r="BG2476" s="1">
        <v>8.3</v>
      </c>
      <c r="BH2476" s="1" t="s">
        <v>4062</v>
      </c>
    </row>
    <row r="2477">
      <c r="A2477" s="1">
        <v>47099.0</v>
      </c>
      <c r="B2477" s="2" t="str">
        <f>IFERROR(__xludf.DUMMYFUNCTION("TO_TEXT(A2477)"),"47099")</f>
        <v>47099</v>
      </c>
      <c r="C2477" s="1">
        <v>42406.0</v>
      </c>
      <c r="D2477" s="1">
        <v>617.128499277464</v>
      </c>
      <c r="E2477" s="1" t="s">
        <v>138</v>
      </c>
      <c r="F2477" s="1" t="s">
        <v>4063</v>
      </c>
      <c r="G2477" s="1">
        <v>68.7150245850728</v>
      </c>
      <c r="H2477" s="1">
        <v>20.940652199</v>
      </c>
      <c r="I2477" s="1">
        <v>4.8589975751</v>
      </c>
      <c r="J2477" s="1">
        <v>8.5843373494</v>
      </c>
      <c r="K2477" s="1">
        <v>22.580837732</v>
      </c>
      <c r="L2477" s="1">
        <v>33.3</v>
      </c>
      <c r="M2477" s="1">
        <v>8.1</v>
      </c>
      <c r="N2477" s="1">
        <v>37.0</v>
      </c>
      <c r="O2477" s="1">
        <v>56.359120113</v>
      </c>
      <c r="P2477" s="1">
        <v>13.0254840259999</v>
      </c>
      <c r="Q2477" s="1">
        <v>36.86976</v>
      </c>
      <c r="R2477" s="1">
        <v>94.646680942</v>
      </c>
      <c r="S2477" s="1">
        <v>24.7</v>
      </c>
      <c r="T2477" s="1">
        <v>10766.0</v>
      </c>
      <c r="U2477" s="1">
        <v>28.2463310419999</v>
      </c>
      <c r="V2477" s="1">
        <v>462.40047184</v>
      </c>
      <c r="W2477" s="1">
        <v>14.001862776</v>
      </c>
      <c r="X2477" s="1">
        <v>9.83243755929999</v>
      </c>
      <c r="Y2477" s="1">
        <v>73.710097296</v>
      </c>
      <c r="Z2477" s="1">
        <v>14.8</v>
      </c>
      <c r="AA2477" s="1">
        <v>2.8666012824</v>
      </c>
      <c r="AB2477" s="1">
        <v>43651.0</v>
      </c>
      <c r="AC2477" s="1">
        <v>52.4746192889999</v>
      </c>
      <c r="AD2477" s="1">
        <v>74.111958341</v>
      </c>
      <c r="AE2477" s="1">
        <v>10.685963521</v>
      </c>
      <c r="AF2477" s="1">
        <v>1.730918736</v>
      </c>
      <c r="AG2477" s="1">
        <v>0.4550235515</v>
      </c>
      <c r="AH2477" s="1">
        <v>0.5922165821</v>
      </c>
      <c r="AI2477" s="1">
        <v>0.0228655051</v>
      </c>
      <c r="AJ2477" s="1">
        <v>2.2362463987</v>
      </c>
      <c r="AK2477" s="1">
        <v>93.547354461</v>
      </c>
      <c r="AL2477" s="1">
        <v>1.4479366902</v>
      </c>
      <c r="AM2477" s="1">
        <v>50.866602643</v>
      </c>
      <c r="AN2477" s="1">
        <v>75.877140605</v>
      </c>
      <c r="AO2477" s="1">
        <v>19802.0</v>
      </c>
      <c r="AP2477" s="1">
        <v>19.5</v>
      </c>
      <c r="AQ2477" s="1">
        <v>8.8</v>
      </c>
      <c r="AR2477" s="1">
        <v>20.1</v>
      </c>
      <c r="AS2477" s="1">
        <v>17.4</v>
      </c>
      <c r="AT2477" s="1">
        <v>25.0</v>
      </c>
      <c r="AU2477" s="1">
        <v>17.7</v>
      </c>
      <c r="AV2477" s="1">
        <v>5.8</v>
      </c>
      <c r="AW2477" s="1">
        <v>1.2</v>
      </c>
      <c r="AX2477" s="1">
        <v>0.7994</v>
      </c>
      <c r="AY2477" s="1">
        <v>16.7</v>
      </c>
      <c r="AZ2477" s="1">
        <v>14.7</v>
      </c>
      <c r="BA2477" s="1">
        <v>19.6</v>
      </c>
      <c r="BB2477" s="1">
        <v>3.01</v>
      </c>
      <c r="BC2477" s="1" t="s">
        <v>4001</v>
      </c>
      <c r="BD2477" s="1">
        <v>16.6</v>
      </c>
      <c r="BE2477" s="1">
        <v>44.3</v>
      </c>
      <c r="BF2477" s="1">
        <v>24.8</v>
      </c>
      <c r="BG2477" s="1">
        <v>14.3</v>
      </c>
      <c r="BH2477" s="1" t="s">
        <v>4063</v>
      </c>
    </row>
    <row r="2478">
      <c r="A2478" s="1">
        <v>47101.0</v>
      </c>
      <c r="B2478" s="2" t="str">
        <f>IFERROR(__xludf.DUMMYFUNCTION("TO_TEXT(A2478)"),"47101")</f>
        <v>47101</v>
      </c>
      <c r="C2478" s="1">
        <v>11907.0</v>
      </c>
      <c r="D2478" s="1">
        <v>282.089237815344</v>
      </c>
      <c r="E2478" s="1" t="s">
        <v>1126</v>
      </c>
      <c r="F2478" s="1" t="s">
        <v>4064</v>
      </c>
      <c r="G2478" s="1">
        <v>42.2100470482831</v>
      </c>
      <c r="H2478" s="1">
        <v>21.930548612</v>
      </c>
      <c r="I2478" s="1">
        <v>4.806889022</v>
      </c>
      <c r="J2478" s="1">
        <v>9.0631364562</v>
      </c>
      <c r="K2478" s="1">
        <v>22.564209683</v>
      </c>
      <c r="L2478" s="1">
        <v>41.7</v>
      </c>
      <c r="M2478" s="1">
        <v>8.1</v>
      </c>
      <c r="N2478" s="1">
        <v>30.8</v>
      </c>
      <c r="O2478" s="1">
        <v>21.100238467</v>
      </c>
      <c r="P2478" s="1">
        <v>12.159284497</v>
      </c>
      <c r="Q2478" s="1">
        <v>16.6182</v>
      </c>
      <c r="R2478" s="1">
        <v>93.382352941</v>
      </c>
      <c r="S2478" s="1">
        <v>24.8</v>
      </c>
      <c r="T2478" s="1">
        <v>2668.0</v>
      </c>
      <c r="U2478" s="1">
        <v>42.953523238</v>
      </c>
      <c r="V2478" s="1">
        <v>484.39408618</v>
      </c>
      <c r="W2478" s="1">
        <v>8.2177161153</v>
      </c>
      <c r="X2478" s="1">
        <v>6.0540540541</v>
      </c>
      <c r="Y2478" s="1">
        <v>74.7592863089999</v>
      </c>
      <c r="Z2478" s="1">
        <v>17.4</v>
      </c>
      <c r="AA2478" s="1">
        <v>1.8137461802</v>
      </c>
      <c r="AB2478" s="1">
        <v>40541.0</v>
      </c>
      <c r="AC2478" s="1">
        <v>52.4746192889999</v>
      </c>
      <c r="AD2478" s="1">
        <v>78.163093737</v>
      </c>
      <c r="AE2478" s="1">
        <v>5.7309688581</v>
      </c>
      <c r="AF2478" s="1">
        <v>1.9526725137</v>
      </c>
      <c r="AG2478" s="1">
        <v>0.5957305974</v>
      </c>
      <c r="AH2478" s="1">
        <v>0.6453748138</v>
      </c>
      <c r="AI2478" s="1">
        <v>0.0496442164</v>
      </c>
      <c r="AJ2478" s="1">
        <v>2.3829223895</v>
      </c>
      <c r="AK2478" s="1">
        <v>93.231838491</v>
      </c>
      <c r="AL2478" s="1">
        <v>0.0619523852</v>
      </c>
      <c r="AM2478" s="1">
        <v>51.241105411</v>
      </c>
      <c r="AN2478" s="1">
        <v>70.191596086</v>
      </c>
      <c r="AO2478" s="1">
        <v>19877.0</v>
      </c>
      <c r="AP2478" s="1">
        <v>20.4</v>
      </c>
      <c r="AQ2478" s="1">
        <v>4.8</v>
      </c>
      <c r="AR2478" s="1">
        <v>17.4</v>
      </c>
      <c r="AS2478" s="1">
        <v>19.3</v>
      </c>
      <c r="AT2478" s="1">
        <v>22.3</v>
      </c>
      <c r="AU2478" s="1">
        <v>19.7</v>
      </c>
      <c r="AV2478" s="1">
        <v>6.6</v>
      </c>
      <c r="AW2478" s="1">
        <v>0.9</v>
      </c>
      <c r="AX2478" s="1">
        <v>0.6495</v>
      </c>
      <c r="AY2478" s="1">
        <v>15.2</v>
      </c>
      <c r="AZ2478" s="1">
        <v>15.2</v>
      </c>
      <c r="BA2478" s="1">
        <v>22.1</v>
      </c>
      <c r="BB2478" s="1">
        <v>3.09</v>
      </c>
      <c r="BC2478" s="1" t="s">
        <v>4001</v>
      </c>
      <c r="BD2478" s="1">
        <v>15.7</v>
      </c>
      <c r="BE2478" s="1">
        <v>42.5</v>
      </c>
      <c r="BF2478" s="1">
        <v>31.4</v>
      </c>
      <c r="BG2478" s="1">
        <v>10.4</v>
      </c>
      <c r="BH2478" s="1" t="s">
        <v>4064</v>
      </c>
    </row>
    <row r="2479">
      <c r="A2479" s="1">
        <v>47103.0</v>
      </c>
      <c r="B2479" s="2" t="str">
        <f>IFERROR(__xludf.DUMMYFUNCTION("TO_TEXT(A2479)"),"47103")</f>
        <v>47103</v>
      </c>
      <c r="C2479" s="1">
        <v>33582.0</v>
      </c>
      <c r="D2479" s="1">
        <v>570.34552496097</v>
      </c>
      <c r="E2479" s="1" t="s">
        <v>353</v>
      </c>
      <c r="F2479" s="1" t="s">
        <v>4065</v>
      </c>
      <c r="G2479" s="1">
        <v>58.880097292423</v>
      </c>
      <c r="H2479" s="1">
        <v>21.169457614</v>
      </c>
      <c r="I2479" s="1">
        <v>4.9517438057</v>
      </c>
      <c r="J2479" s="1">
        <v>8.3005507474</v>
      </c>
      <c r="K2479" s="1">
        <v>21.746923505</v>
      </c>
      <c r="L2479" s="1">
        <v>36.7</v>
      </c>
      <c r="M2479" s="1">
        <v>7.8</v>
      </c>
      <c r="N2479" s="1">
        <v>33.8</v>
      </c>
      <c r="O2479" s="1">
        <v>38.559995204</v>
      </c>
      <c r="P2479" s="1">
        <v>11.442564559</v>
      </c>
      <c r="Q2479" s="1">
        <v>53.33175</v>
      </c>
      <c r="R2479" s="1">
        <v>94.53125</v>
      </c>
      <c r="S2479" s="1">
        <v>18.4</v>
      </c>
      <c r="T2479" s="1">
        <v>7451.0</v>
      </c>
      <c r="U2479" s="1">
        <v>37.592269494</v>
      </c>
      <c r="V2479" s="1">
        <v>463.13422014</v>
      </c>
      <c r="W2479" s="1">
        <v>14.500734214</v>
      </c>
      <c r="X2479" s="1">
        <v>11.804008909</v>
      </c>
      <c r="Y2479" s="1">
        <v>74.347570563</v>
      </c>
      <c r="Z2479" s="1">
        <v>11.5</v>
      </c>
      <c r="AA2479" s="1">
        <v>6.3516265547</v>
      </c>
      <c r="AB2479" s="1">
        <v>51249.0</v>
      </c>
      <c r="AC2479" s="1">
        <v>52.4746192889999</v>
      </c>
      <c r="AD2479" s="1">
        <v>73.261953652</v>
      </c>
      <c r="AE2479" s="1">
        <v>11.2138903629999</v>
      </c>
      <c r="AF2479" s="1">
        <v>6.7297828062</v>
      </c>
      <c r="AG2479" s="1">
        <v>0.8294984905</v>
      </c>
      <c r="AH2479" s="1">
        <v>0.4953542222</v>
      </c>
      <c r="AI2479" s="1">
        <v>0.1553477738</v>
      </c>
      <c r="AJ2479" s="1">
        <v>3.7898994636</v>
      </c>
      <c r="AK2479" s="1">
        <v>86.5580209279999</v>
      </c>
      <c r="AL2479" s="1">
        <v>0.6031626977</v>
      </c>
      <c r="AM2479" s="1">
        <v>50.895448017</v>
      </c>
      <c r="AN2479" s="1">
        <v>72.488834268</v>
      </c>
      <c r="AO2479" s="1">
        <v>22541.0</v>
      </c>
      <c r="AP2479" s="1">
        <v>18.5</v>
      </c>
      <c r="AQ2479" s="1">
        <v>7.7</v>
      </c>
      <c r="AR2479" s="1">
        <v>16.7</v>
      </c>
      <c r="AS2479" s="1">
        <v>18.3</v>
      </c>
      <c r="AT2479" s="1">
        <v>22.5</v>
      </c>
      <c r="AU2479" s="1">
        <v>20.6</v>
      </c>
      <c r="AV2479" s="1">
        <v>12.5</v>
      </c>
      <c r="AW2479" s="1">
        <v>0.3</v>
      </c>
      <c r="AX2479" s="1">
        <v>0.6899</v>
      </c>
      <c r="AY2479" s="1">
        <v>12.8</v>
      </c>
      <c r="AZ2479" s="1">
        <v>13.4</v>
      </c>
      <c r="BA2479" s="1">
        <v>17.0</v>
      </c>
      <c r="BB2479" s="1">
        <v>3.24</v>
      </c>
      <c r="BC2479" s="1" t="s">
        <v>4001</v>
      </c>
      <c r="BD2479" s="1">
        <v>16.5</v>
      </c>
      <c r="BE2479" s="1">
        <v>40.5</v>
      </c>
      <c r="BF2479" s="1">
        <v>24.6</v>
      </c>
      <c r="BG2479" s="1">
        <v>18.4</v>
      </c>
      <c r="BH2479" s="1" t="s">
        <v>4065</v>
      </c>
    </row>
    <row r="2480">
      <c r="A2480" s="1">
        <v>47105.0</v>
      </c>
      <c r="B2480" s="2" t="str">
        <f>IFERROR(__xludf.DUMMYFUNCTION("TO_TEXT(A2480)"),"47105")</f>
        <v>47105</v>
      </c>
      <c r="C2480" s="1">
        <v>50637.0</v>
      </c>
      <c r="D2480" s="1">
        <v>229.252306533184</v>
      </c>
      <c r="E2480" s="1" t="s">
        <v>4066</v>
      </c>
      <c r="F2480" s="1" t="s">
        <v>4067</v>
      </c>
      <c r="G2480" s="1">
        <v>220.878911823163</v>
      </c>
      <c r="H2480" s="1">
        <v>17.848549662</v>
      </c>
      <c r="I2480" s="1">
        <v>4.3490827865</v>
      </c>
      <c r="J2480" s="1">
        <v>8.2508250825</v>
      </c>
      <c r="K2480" s="1">
        <v>18.581114373</v>
      </c>
      <c r="L2480" s="1">
        <v>29.0</v>
      </c>
      <c r="M2480" s="1">
        <v>7.9</v>
      </c>
      <c r="N2480" s="1">
        <v>29.4</v>
      </c>
      <c r="O2480" s="1">
        <v>52.397232062</v>
      </c>
      <c r="P2480" s="1">
        <v>12.778225073</v>
      </c>
      <c r="Q2480" s="1">
        <v>51.77174</v>
      </c>
      <c r="R2480" s="1">
        <v>91.472868217</v>
      </c>
      <c r="S2480" s="1">
        <v>16.0</v>
      </c>
      <c r="T2480" s="1">
        <v>10122.0</v>
      </c>
      <c r="U2480" s="1">
        <v>25.666864256</v>
      </c>
      <c r="V2480" s="1">
        <v>221.17211478</v>
      </c>
      <c r="W2480" s="1">
        <v>11.964107677</v>
      </c>
      <c r="X2480" s="1">
        <v>8.7856601868</v>
      </c>
      <c r="Y2480" s="1">
        <v>77.018607287</v>
      </c>
      <c r="Z2480" s="1">
        <v>16.7</v>
      </c>
      <c r="AA2480" s="1">
        <v>11.441216396</v>
      </c>
      <c r="AB2480" s="1">
        <v>58186.0</v>
      </c>
      <c r="AC2480" s="1">
        <v>52.4746192889999</v>
      </c>
      <c r="AD2480" s="1">
        <v>76.740044521</v>
      </c>
      <c r="AE2480" s="1">
        <v>9.3693970596</v>
      </c>
      <c r="AF2480" s="1">
        <v>1.2986768198</v>
      </c>
      <c r="AG2480" s="1">
        <v>0.5635767331</v>
      </c>
      <c r="AH2480" s="1">
        <v>0.9047385683</v>
      </c>
      <c r="AI2480" s="1">
        <v>0.1997964338</v>
      </c>
      <c r="AJ2480" s="1">
        <v>9.0002638821</v>
      </c>
      <c r="AK2480" s="1">
        <v>87.4071700529999</v>
      </c>
      <c r="AL2480" s="1">
        <v>2.5411427987</v>
      </c>
      <c r="AM2480" s="1">
        <v>50.833113432</v>
      </c>
      <c r="AN2480" s="1">
        <v>40.612900568</v>
      </c>
      <c r="AO2480" s="1">
        <v>28660.0</v>
      </c>
      <c r="AP2480" s="1">
        <v>13.5</v>
      </c>
      <c r="AQ2480" s="1">
        <v>7.5</v>
      </c>
      <c r="AR2480" s="1">
        <v>14.7</v>
      </c>
      <c r="AS2480" s="1">
        <v>24.6</v>
      </c>
      <c r="AT2480" s="1">
        <v>19.9</v>
      </c>
      <c r="AU2480" s="1">
        <v>16.4</v>
      </c>
      <c r="AV2480" s="1">
        <v>11.2</v>
      </c>
      <c r="AW2480" s="1">
        <v>2.8</v>
      </c>
      <c r="AX2480" s="1">
        <v>0.4438</v>
      </c>
      <c r="AY2480" s="1">
        <v>9.7</v>
      </c>
      <c r="AZ2480" s="1">
        <v>10.8</v>
      </c>
      <c r="BA2480" s="1">
        <v>14.4</v>
      </c>
      <c r="BB2480" s="1">
        <v>2.97</v>
      </c>
      <c r="BC2480" s="1" t="s">
        <v>4001</v>
      </c>
      <c r="BD2480" s="1">
        <v>13.8</v>
      </c>
      <c r="BE2480" s="1">
        <v>32.4</v>
      </c>
      <c r="BF2480" s="1">
        <v>27.4</v>
      </c>
      <c r="BG2480" s="1">
        <v>26.4</v>
      </c>
      <c r="BH2480" s="1" t="s">
        <v>4067</v>
      </c>
    </row>
    <row r="2481">
      <c r="A2481" s="1">
        <v>47107.0</v>
      </c>
      <c r="B2481" s="2" t="str">
        <f>IFERROR(__xludf.DUMMYFUNCTION("TO_TEXT(A2481)"),"47107")</f>
        <v>47107</v>
      </c>
      <c r="C2481" s="1">
        <v>52606.0</v>
      </c>
      <c r="D2481" s="1">
        <v>430.121116817672</v>
      </c>
      <c r="E2481" s="1" t="s">
        <v>4068</v>
      </c>
      <c r="F2481" s="1" t="s">
        <v>4069</v>
      </c>
      <c r="G2481" s="1">
        <v>122.305085575</v>
      </c>
      <c r="H2481" s="1">
        <v>20.921564102</v>
      </c>
      <c r="I2481" s="1">
        <v>4.551725975</v>
      </c>
      <c r="J2481" s="1">
        <v>8.8103534097</v>
      </c>
      <c r="K2481" s="1">
        <v>23.765835889</v>
      </c>
      <c r="L2481" s="1">
        <v>33.7</v>
      </c>
      <c r="M2481" s="1">
        <v>7.8</v>
      </c>
      <c r="N2481" s="1">
        <v>35.8</v>
      </c>
      <c r="O2481" s="1">
        <v>50.443883213</v>
      </c>
      <c r="P2481" s="1">
        <v>12.162097393</v>
      </c>
      <c r="Q2481" s="1">
        <v>49.17072</v>
      </c>
      <c r="R2481" s="1">
        <v>94.477317554</v>
      </c>
      <c r="S2481" s="1">
        <v>21.8</v>
      </c>
      <c r="T2481" s="1">
        <v>11172.0</v>
      </c>
      <c r="U2481" s="1">
        <v>32.849982098</v>
      </c>
      <c r="V2481" s="1">
        <v>515.037772599999</v>
      </c>
      <c r="W2481" s="1">
        <v>15.338496128</v>
      </c>
      <c r="X2481" s="1">
        <v>13.64099949</v>
      </c>
      <c r="Y2481" s="1">
        <v>74.250167634</v>
      </c>
      <c r="Z2481" s="1">
        <v>11.3</v>
      </c>
      <c r="AA2481" s="1">
        <v>5.083417963</v>
      </c>
      <c r="AB2481" s="1">
        <v>46029.0</v>
      </c>
      <c r="AC2481" s="1">
        <v>52.4746192889999</v>
      </c>
      <c r="AD2481" s="1">
        <v>74.284035835</v>
      </c>
      <c r="AE2481" s="1">
        <v>13.48818046</v>
      </c>
      <c r="AF2481" s="1">
        <v>3.6239091677</v>
      </c>
      <c r="AG2481" s="1">
        <v>0.5611335273</v>
      </c>
      <c r="AH2481" s="1">
        <v>0.7544337055</v>
      </c>
      <c r="AI2481" s="1">
        <v>0.0337806137</v>
      </c>
      <c r="AJ2481" s="1">
        <v>4.2113165056</v>
      </c>
      <c r="AK2481" s="1">
        <v>89.068218073</v>
      </c>
      <c r="AL2481" s="1">
        <v>0.651185157</v>
      </c>
      <c r="AM2481" s="1">
        <v>51.252697757</v>
      </c>
      <c r="AN2481" s="1">
        <v>60.3413308839999</v>
      </c>
      <c r="AO2481" s="1">
        <v>20472.0</v>
      </c>
      <c r="AP2481" s="1">
        <v>19.5</v>
      </c>
      <c r="AQ2481" s="1">
        <v>8.6</v>
      </c>
      <c r="AR2481" s="1">
        <v>16.8</v>
      </c>
      <c r="AS2481" s="1">
        <v>18.7</v>
      </c>
      <c r="AT2481" s="1">
        <v>21.7</v>
      </c>
      <c r="AU2481" s="1">
        <v>17.8</v>
      </c>
      <c r="AV2481" s="1">
        <v>10.2</v>
      </c>
      <c r="AW2481" s="1">
        <v>0.7</v>
      </c>
      <c r="AX2481" s="1">
        <v>0.616</v>
      </c>
      <c r="AY2481" s="1">
        <v>14.5</v>
      </c>
      <c r="AZ2481" s="1">
        <v>14.9</v>
      </c>
      <c r="BA2481" s="1">
        <v>19.5</v>
      </c>
      <c r="BB2481" s="1">
        <v>3.22</v>
      </c>
      <c r="BC2481" s="1" t="s">
        <v>4001</v>
      </c>
      <c r="BD2481" s="1">
        <v>15.5</v>
      </c>
      <c r="BE2481" s="1">
        <v>40.4</v>
      </c>
      <c r="BF2481" s="1">
        <v>27.9</v>
      </c>
      <c r="BG2481" s="1">
        <v>16.2</v>
      </c>
      <c r="BH2481" s="1" t="s">
        <v>4069</v>
      </c>
    </row>
    <row r="2482">
      <c r="A2482" s="1">
        <v>47109.0</v>
      </c>
      <c r="B2482" s="2" t="str">
        <f>IFERROR(__xludf.DUMMYFUNCTION("TO_TEXT(A2482)"),"47109")</f>
        <v>47109</v>
      </c>
      <c r="C2482" s="1">
        <v>26057.0</v>
      </c>
      <c r="D2482" s="1">
        <v>562.84205730317</v>
      </c>
      <c r="E2482" s="1" t="s">
        <v>4070</v>
      </c>
      <c r="F2482" s="1" t="s">
        <v>4071</v>
      </c>
      <c r="G2482" s="1">
        <v>46.2954032341699</v>
      </c>
      <c r="H2482" s="1">
        <v>24.533458643</v>
      </c>
      <c r="I2482" s="1">
        <v>4.9185737653</v>
      </c>
      <c r="J2482" s="1">
        <v>7.4188562597</v>
      </c>
      <c r="K2482" s="1">
        <v>25.216173988</v>
      </c>
      <c r="L2482" s="1">
        <v>30.3</v>
      </c>
      <c r="M2482" s="1">
        <v>7.5</v>
      </c>
      <c r="N2482" s="1">
        <v>38.0</v>
      </c>
      <c r="O2482" s="1">
        <v>37.077660594</v>
      </c>
      <c r="P2482" s="1">
        <v>11.375337092</v>
      </c>
      <c r="Q2482" s="1">
        <v>30.7645</v>
      </c>
      <c r="R2482" s="1">
        <v>94.949494949</v>
      </c>
      <c r="S2482" s="1">
        <v>22.3</v>
      </c>
      <c r="T2482" s="1">
        <v>5687.0</v>
      </c>
      <c r="U2482" s="1">
        <v>33.567786179</v>
      </c>
      <c r="V2482" s="1">
        <v>372.85607755</v>
      </c>
      <c r="W2482" s="1">
        <v>13.414634146</v>
      </c>
      <c r="X2482" s="1">
        <v>11.169375983</v>
      </c>
      <c r="Y2482" s="1">
        <v>72.957787921</v>
      </c>
      <c r="Z2482" s="1">
        <v>15.4</v>
      </c>
      <c r="AA2482" s="1">
        <v>5.0450558794</v>
      </c>
      <c r="AB2482" s="1">
        <v>39859.0</v>
      </c>
      <c r="AC2482" s="1">
        <v>52.4746192889999</v>
      </c>
      <c r="AD2482" s="1">
        <v>72.779884255</v>
      </c>
      <c r="AE2482" s="1">
        <v>10.454743255</v>
      </c>
      <c r="AF2482" s="1">
        <v>5.9886961908</v>
      </c>
      <c r="AG2482" s="1">
        <v>0.4103437597</v>
      </c>
      <c r="AH2482" s="1">
        <v>0.3406627439</v>
      </c>
      <c r="AI2482" s="1">
        <v>0.0193558377</v>
      </c>
      <c r="AJ2482" s="1">
        <v>2.1523691545</v>
      </c>
      <c r="AK2482" s="1">
        <v>89.656240322</v>
      </c>
      <c r="AL2482" s="1">
        <v>0.281471812</v>
      </c>
      <c r="AM2482" s="1">
        <v>50.86714153</v>
      </c>
      <c r="AN2482" s="1">
        <v>85.27325024</v>
      </c>
      <c r="AO2482" s="1">
        <v>18285.0</v>
      </c>
      <c r="AP2482" s="1">
        <v>23.1</v>
      </c>
      <c r="AQ2482" s="1">
        <v>14.8</v>
      </c>
      <c r="AR2482" s="1">
        <v>19.3</v>
      </c>
      <c r="AS2482" s="1">
        <v>19.8</v>
      </c>
      <c r="AT2482" s="1">
        <v>22.3</v>
      </c>
      <c r="AU2482" s="1">
        <v>20.0</v>
      </c>
      <c r="AV2482" s="1">
        <v>9.9</v>
      </c>
      <c r="AW2482" s="1">
        <v>0.2</v>
      </c>
      <c r="AX2482" s="1">
        <v>0.7596</v>
      </c>
      <c r="AY2482" s="1">
        <v>17.0</v>
      </c>
      <c r="AZ2482" s="1">
        <v>16.1</v>
      </c>
      <c r="BA2482" s="1">
        <v>20.4</v>
      </c>
      <c r="BB2482" s="1">
        <v>2.96</v>
      </c>
      <c r="BC2482" s="1" t="s">
        <v>4001</v>
      </c>
      <c r="BD2482" s="1">
        <v>17.4</v>
      </c>
      <c r="BE2482" s="1">
        <v>45.4</v>
      </c>
      <c r="BF2482" s="1">
        <v>24.6</v>
      </c>
      <c r="BG2482" s="1">
        <v>12.6</v>
      </c>
      <c r="BH2482" s="1" t="s">
        <v>4071</v>
      </c>
    </row>
    <row r="2483">
      <c r="A2483" s="1">
        <v>47111.0</v>
      </c>
      <c r="B2483" s="2" t="str">
        <f>IFERROR(__xludf.DUMMYFUNCTION("TO_TEXT(A2483)"),"47111")</f>
        <v>47111</v>
      </c>
      <c r="C2483" s="1">
        <v>22924.0</v>
      </c>
      <c r="D2483" s="1">
        <v>307.143506634414</v>
      </c>
      <c r="E2483" s="1" t="s">
        <v>146</v>
      </c>
      <c r="F2483" s="1" t="s">
        <v>4072</v>
      </c>
      <c r="G2483" s="1">
        <v>74.6361212424585</v>
      </c>
      <c r="H2483" s="1">
        <v>22.3164251619999</v>
      </c>
      <c r="I2483" s="1">
        <v>4.7784409256</v>
      </c>
      <c r="J2483" s="1">
        <v>9.6788194444</v>
      </c>
      <c r="K2483" s="1">
        <v>23.521921755</v>
      </c>
      <c r="L2483" s="1">
        <v>34.6</v>
      </c>
      <c r="M2483" s="1">
        <v>8.3</v>
      </c>
      <c r="N2483" s="1">
        <v>39.3</v>
      </c>
      <c r="O2483" s="1">
        <v>40.925026969</v>
      </c>
      <c r="P2483" s="1">
        <v>13.312662533</v>
      </c>
      <c r="Q2483" s="1">
        <v>16.61199</v>
      </c>
      <c r="R2483" s="1">
        <v>87.7777777779999</v>
      </c>
      <c r="S2483" s="1">
        <v>26.0</v>
      </c>
      <c r="T2483" s="1">
        <v>5604.0</v>
      </c>
      <c r="U2483" s="1">
        <v>32.066381156</v>
      </c>
      <c r="V2483" s="1">
        <v>287.6546414</v>
      </c>
      <c r="W2483" s="1">
        <v>12.757660167</v>
      </c>
      <c r="X2483" s="1">
        <v>10.253521127</v>
      </c>
      <c r="Y2483" s="1">
        <v>73.578612718</v>
      </c>
      <c r="Z2483" s="1">
        <v>18.1</v>
      </c>
      <c r="AA2483" s="1">
        <v>1.8521392549</v>
      </c>
      <c r="AB2483" s="1">
        <v>42265.0</v>
      </c>
      <c r="AC2483" s="1">
        <v>52.4746192889999</v>
      </c>
      <c r="AD2483" s="1">
        <v>73.277548359</v>
      </c>
      <c r="AE2483" s="1">
        <v>10.1554521729999</v>
      </c>
      <c r="AF2483" s="1">
        <v>0.890171028199999</v>
      </c>
      <c r="AG2483" s="1">
        <v>0.7788996497</v>
      </c>
      <c r="AH2483" s="1">
        <v>0.7253245415</v>
      </c>
      <c r="AI2483" s="1">
        <v>0.0453327838</v>
      </c>
      <c r="AJ2483" s="1">
        <v>5.4316917371</v>
      </c>
      <c r="AK2483" s="1">
        <v>91.55985988</v>
      </c>
      <c r="AL2483" s="1">
        <v>1.2705256398</v>
      </c>
      <c r="AM2483" s="1">
        <v>51.114774366</v>
      </c>
      <c r="AN2483" s="1">
        <v>79.571197411</v>
      </c>
      <c r="AO2483" s="1">
        <v>19437.0</v>
      </c>
      <c r="AP2483" s="1">
        <v>18.6</v>
      </c>
      <c r="AQ2483" s="1">
        <v>6.8</v>
      </c>
      <c r="AR2483" s="1">
        <v>24.3</v>
      </c>
      <c r="AS2483" s="1">
        <v>15.6</v>
      </c>
      <c r="AT2483" s="1">
        <v>24.7</v>
      </c>
      <c r="AU2483" s="1">
        <v>18.4</v>
      </c>
      <c r="AV2483" s="1">
        <v>5.7</v>
      </c>
      <c r="AW2483" s="1">
        <v>1.3</v>
      </c>
      <c r="AX2483" s="1">
        <v>0.6966</v>
      </c>
      <c r="AY2483" s="1">
        <v>15.5</v>
      </c>
      <c r="AZ2483" s="1">
        <v>14.1</v>
      </c>
      <c r="BA2483" s="1">
        <v>17.1</v>
      </c>
      <c r="BB2483" s="1">
        <v>3.15</v>
      </c>
      <c r="BC2483" s="1" t="s">
        <v>4001</v>
      </c>
      <c r="BD2483" s="1">
        <v>19.7</v>
      </c>
      <c r="BE2483" s="1">
        <v>45.7</v>
      </c>
      <c r="BF2483" s="1">
        <v>24.3</v>
      </c>
      <c r="BG2483" s="1">
        <v>10.3</v>
      </c>
      <c r="BH2483" s="1" t="s">
        <v>4072</v>
      </c>
    </row>
    <row r="2484">
      <c r="A2484" s="1">
        <v>47113.0</v>
      </c>
      <c r="B2484" s="2" t="str">
        <f>IFERROR(__xludf.DUMMYFUNCTION("TO_TEXT(A2484)"),"47113")</f>
        <v>47113</v>
      </c>
      <c r="C2484" s="1">
        <v>98128.0</v>
      </c>
      <c r="D2484" s="1">
        <v>557.107012867463</v>
      </c>
      <c r="E2484" s="1" t="s">
        <v>148</v>
      </c>
      <c r="F2484" s="1" t="s">
        <v>4073</v>
      </c>
      <c r="G2484" s="1">
        <v>176.138511513128</v>
      </c>
      <c r="H2484" s="1">
        <v>23.536728117</v>
      </c>
      <c r="I2484" s="1">
        <v>4.7091936906</v>
      </c>
      <c r="J2484" s="1">
        <v>9.68301712169999</v>
      </c>
      <c r="K2484" s="1">
        <v>22.454903548</v>
      </c>
      <c r="L2484" s="1">
        <v>38.7</v>
      </c>
      <c r="M2484" s="1">
        <v>6.5</v>
      </c>
      <c r="N2484" s="1">
        <v>30.3</v>
      </c>
      <c r="O2484" s="1">
        <v>77.295664028</v>
      </c>
      <c r="P2484" s="1">
        <v>9.6069474554</v>
      </c>
      <c r="Q2484" s="1">
        <v>131.08979</v>
      </c>
      <c r="R2484" s="1">
        <v>87.411883182</v>
      </c>
      <c r="S2484" s="1">
        <v>28.9</v>
      </c>
      <c r="T2484" s="1">
        <v>22072.0</v>
      </c>
      <c r="U2484" s="1">
        <v>44.9981877489999</v>
      </c>
      <c r="V2484" s="1">
        <v>833.77421455</v>
      </c>
      <c r="W2484" s="1">
        <v>16.993815542</v>
      </c>
      <c r="X2484" s="1">
        <v>16.056647876</v>
      </c>
      <c r="Y2484" s="1">
        <v>75.5556675139999</v>
      </c>
      <c r="Z2484" s="1">
        <v>13.9</v>
      </c>
      <c r="AA2484" s="1">
        <v>10.608697582</v>
      </c>
      <c r="AB2484" s="1">
        <v>46651.0</v>
      </c>
      <c r="AC2484" s="1">
        <v>52.4746192889999</v>
      </c>
      <c r="AD2484" s="1">
        <v>62.447984309</v>
      </c>
      <c r="AE2484" s="1">
        <v>15.389935541</v>
      </c>
      <c r="AF2484" s="1">
        <v>37.437631269</v>
      </c>
      <c r="AG2484" s="1">
        <v>0.3503918857</v>
      </c>
      <c r="AH2484" s="1">
        <v>1.1474821987</v>
      </c>
      <c r="AI2484" s="1">
        <v>0.0430305824</v>
      </c>
      <c r="AJ2484" s="1">
        <v>3.9946724041</v>
      </c>
      <c r="AK2484" s="1">
        <v>55.717432509</v>
      </c>
      <c r="AL2484" s="1">
        <v>0.9665792923</v>
      </c>
      <c r="AM2484" s="1">
        <v>52.639721326</v>
      </c>
      <c r="AN2484" s="1">
        <v>25.8266018269999</v>
      </c>
      <c r="AO2484" s="1">
        <v>23724.0</v>
      </c>
      <c r="AP2484" s="1">
        <v>19.4</v>
      </c>
      <c r="AQ2484" s="1">
        <v>7.3</v>
      </c>
      <c r="AR2484" s="1">
        <v>11.5</v>
      </c>
      <c r="AS2484" s="1">
        <v>15.0</v>
      </c>
      <c r="AT2484" s="1">
        <v>23.0</v>
      </c>
      <c r="AU2484" s="1">
        <v>15.5</v>
      </c>
      <c r="AV2484" s="1">
        <v>43.3</v>
      </c>
      <c r="AW2484" s="1">
        <v>0.5</v>
      </c>
      <c r="AX2484" s="1">
        <v>0.6361</v>
      </c>
      <c r="AY2484" s="1">
        <v>17.6</v>
      </c>
      <c r="AZ2484" s="1">
        <v>14.5</v>
      </c>
      <c r="BA2484" s="1">
        <v>18.6</v>
      </c>
      <c r="BB2484" s="1">
        <v>2.94</v>
      </c>
      <c r="BC2484" s="1" t="s">
        <v>4001</v>
      </c>
      <c r="BD2484" s="1">
        <v>11.1</v>
      </c>
      <c r="BE2484" s="1">
        <v>35.3</v>
      </c>
      <c r="BF2484" s="1">
        <v>27.9</v>
      </c>
      <c r="BG2484" s="1">
        <v>25.6</v>
      </c>
      <c r="BH2484" s="1" t="s">
        <v>4073</v>
      </c>
    </row>
    <row r="2485">
      <c r="A2485" s="1">
        <v>47115.0</v>
      </c>
      <c r="B2485" s="2" t="str">
        <f>IFERROR(__xludf.DUMMYFUNCTION("TO_TEXT(A2485)"),"47115")</f>
        <v>47115</v>
      </c>
      <c r="C2485" s="1">
        <v>28363.0</v>
      </c>
      <c r="D2485" s="1">
        <v>498.166028657342</v>
      </c>
      <c r="E2485" s="1" t="s">
        <v>152</v>
      </c>
      <c r="F2485" s="1" t="s">
        <v>4074</v>
      </c>
      <c r="G2485" s="1">
        <v>56.9348337068347</v>
      </c>
      <c r="H2485" s="1">
        <v>20.931286832</v>
      </c>
      <c r="I2485" s="1">
        <v>4.6853062611</v>
      </c>
      <c r="J2485" s="1">
        <v>9.4491715181</v>
      </c>
      <c r="K2485" s="1">
        <v>21.137415886</v>
      </c>
      <c r="L2485" s="1">
        <v>30.5</v>
      </c>
      <c r="M2485" s="1">
        <v>8.0</v>
      </c>
      <c r="N2485" s="1">
        <v>32.3</v>
      </c>
      <c r="O2485" s="1">
        <v>67.719658604</v>
      </c>
      <c r="P2485" s="1">
        <v>11.30611165</v>
      </c>
      <c r="Q2485" s="1">
        <v>56.28848</v>
      </c>
      <c r="R2485" s="1">
        <v>87.581699346</v>
      </c>
      <c r="S2485" s="1">
        <v>23.5</v>
      </c>
      <c r="T2485" s="1">
        <v>5932.0</v>
      </c>
      <c r="U2485" s="1">
        <v>35.013486177</v>
      </c>
      <c r="V2485" s="1">
        <v>287.61837952</v>
      </c>
      <c r="W2485" s="1">
        <v>13.770053476</v>
      </c>
      <c r="X2485" s="1">
        <v>11.4864864859999</v>
      </c>
      <c r="Y2485" s="1">
        <v>74.028637811</v>
      </c>
      <c r="Z2485" s="1">
        <v>20.0</v>
      </c>
      <c r="AA2485" s="1">
        <v>3.8670698573</v>
      </c>
      <c r="AB2485" s="1">
        <v>50819.0</v>
      </c>
      <c r="AC2485" s="1">
        <v>52.4746192889999</v>
      </c>
      <c r="AD2485" s="1">
        <v>74.633051286</v>
      </c>
      <c r="AE2485" s="1">
        <v>11.276046469</v>
      </c>
      <c r="AF2485" s="1">
        <v>4.0</v>
      </c>
      <c r="AG2485" s="1">
        <v>0.4549431321</v>
      </c>
      <c r="AH2485" s="1">
        <v>0.6194225722</v>
      </c>
      <c r="AI2485" s="1">
        <v>0.0279965004</v>
      </c>
      <c r="AJ2485" s="1">
        <v>1.8022747157</v>
      </c>
      <c r="AK2485" s="1">
        <v>91.667541557</v>
      </c>
      <c r="AL2485" s="1">
        <v>0.06727463</v>
      </c>
      <c r="AM2485" s="1">
        <v>51.146106737</v>
      </c>
      <c r="AN2485" s="1">
        <v>77.015971952</v>
      </c>
      <c r="AO2485" s="1">
        <v>22056.0</v>
      </c>
      <c r="AP2485" s="1">
        <v>19.2</v>
      </c>
      <c r="AQ2485" s="1">
        <v>6.5</v>
      </c>
      <c r="AR2485" s="1">
        <v>21.7</v>
      </c>
      <c r="AS2485" s="1">
        <v>18.2</v>
      </c>
      <c r="AT2485" s="1">
        <v>21.3</v>
      </c>
      <c r="AU2485" s="1">
        <v>21.9</v>
      </c>
      <c r="AV2485" s="1">
        <v>7.8</v>
      </c>
      <c r="AW2485" s="1">
        <v>0.3</v>
      </c>
      <c r="AX2485" s="1">
        <v>0.6275</v>
      </c>
      <c r="AY2485" s="1">
        <v>15.3</v>
      </c>
      <c r="AZ2485" s="1">
        <v>15.2</v>
      </c>
      <c r="BA2485" s="1">
        <v>20.8</v>
      </c>
      <c r="BB2485" s="1">
        <v>3.21</v>
      </c>
      <c r="BC2485" s="1" t="s">
        <v>4001</v>
      </c>
      <c r="BD2485" s="1">
        <v>18.5</v>
      </c>
      <c r="BE2485" s="1">
        <v>38.7</v>
      </c>
      <c r="BF2485" s="1">
        <v>30.1</v>
      </c>
      <c r="BG2485" s="1">
        <v>12.8</v>
      </c>
      <c r="BH2485" s="1" t="s">
        <v>4074</v>
      </c>
    </row>
    <row r="2486">
      <c r="A2486" s="1">
        <v>47117.0</v>
      </c>
      <c r="B2486" s="2" t="str">
        <f>IFERROR(__xludf.DUMMYFUNCTION("TO_TEXT(A2486)"),"47117")</f>
        <v>47117</v>
      </c>
      <c r="C2486" s="1">
        <v>31335.0</v>
      </c>
      <c r="D2486" s="1">
        <v>375.461921547824</v>
      </c>
      <c r="E2486" s="1" t="s">
        <v>154</v>
      </c>
      <c r="F2486" s="1" t="s">
        <v>4075</v>
      </c>
      <c r="G2486" s="1">
        <v>83.457198191558</v>
      </c>
      <c r="H2486" s="1">
        <v>20.473293239</v>
      </c>
      <c r="I2486" s="1">
        <v>4.6411508601</v>
      </c>
      <c r="J2486" s="1">
        <v>8.9064261556</v>
      </c>
      <c r="K2486" s="1">
        <v>21.944635794</v>
      </c>
      <c r="L2486" s="1">
        <v>37.9</v>
      </c>
      <c r="M2486" s="1">
        <v>7.9</v>
      </c>
      <c r="N2486" s="1">
        <v>29.0</v>
      </c>
      <c r="O2486" s="1">
        <v>50.903093053</v>
      </c>
      <c r="P2486" s="1">
        <v>10.567179412</v>
      </c>
      <c r="Q2486" s="1">
        <v>15.18326</v>
      </c>
      <c r="R2486" s="1">
        <v>94.376528117</v>
      </c>
      <c r="S2486" s="1">
        <v>19.9</v>
      </c>
      <c r="T2486" s="1">
        <v>7642.0</v>
      </c>
      <c r="U2486" s="1">
        <v>37.385501178</v>
      </c>
      <c r="V2486" s="1">
        <v>512.26745754</v>
      </c>
      <c r="W2486" s="1">
        <v>11.913657119</v>
      </c>
      <c r="X2486" s="1">
        <v>9.677148847</v>
      </c>
      <c r="Y2486" s="1">
        <v>75.4805637739999</v>
      </c>
      <c r="Z2486" s="1">
        <v>11.4</v>
      </c>
      <c r="AA2486" s="1">
        <v>7.7725955916</v>
      </c>
      <c r="AB2486" s="1">
        <v>51868.0</v>
      </c>
      <c r="AC2486" s="1">
        <v>52.4746192889999</v>
      </c>
      <c r="AD2486" s="1">
        <v>70.74179165</v>
      </c>
      <c r="AE2486" s="1">
        <v>10.205278592</v>
      </c>
      <c r="AF2486" s="1">
        <v>6.4721075914</v>
      </c>
      <c r="AG2486" s="1">
        <v>0.4364219339</v>
      </c>
      <c r="AH2486" s="1">
        <v>0.6798681828</v>
      </c>
      <c r="AI2486" s="1">
        <v>0.0860968441</v>
      </c>
      <c r="AJ2486" s="1">
        <v>5.3706617582</v>
      </c>
      <c r="AK2486" s="1">
        <v>85.434789063</v>
      </c>
      <c r="AL2486" s="1">
        <v>1.4154514632</v>
      </c>
      <c r="AM2486" s="1">
        <v>51.0287088439999</v>
      </c>
      <c r="AN2486" s="1">
        <v>65.822908841</v>
      </c>
      <c r="AO2486" s="1">
        <v>23407.0</v>
      </c>
      <c r="AP2486" s="1">
        <v>15.1</v>
      </c>
      <c r="AQ2486" s="1">
        <v>8.4</v>
      </c>
      <c r="AR2486" s="1">
        <v>16.0</v>
      </c>
      <c r="AS2486" s="1">
        <v>15.1</v>
      </c>
      <c r="AT2486" s="1">
        <v>23.9</v>
      </c>
      <c r="AU2486" s="1">
        <v>15.5</v>
      </c>
      <c r="AV2486" s="1">
        <v>14.2</v>
      </c>
      <c r="AW2486" s="1">
        <v>1.0</v>
      </c>
      <c r="AX2486" s="1">
        <v>0.6036</v>
      </c>
      <c r="AY2486" s="1">
        <v>13.1</v>
      </c>
      <c r="AZ2486" s="1">
        <v>12.6</v>
      </c>
      <c r="BA2486" s="1">
        <v>15.4</v>
      </c>
      <c r="BB2486" s="1">
        <v>3.06</v>
      </c>
      <c r="BC2486" s="1" t="s">
        <v>4001</v>
      </c>
      <c r="BD2486" s="1">
        <v>14.6</v>
      </c>
      <c r="BE2486" s="1">
        <v>41.4</v>
      </c>
      <c r="BF2486" s="1">
        <v>29.4</v>
      </c>
      <c r="BG2486" s="1">
        <v>14.7</v>
      </c>
      <c r="BH2486" s="1" t="s">
        <v>4075</v>
      </c>
    </row>
    <row r="2487">
      <c r="A2487" s="1">
        <v>47119.0</v>
      </c>
      <c r="B2487" s="2" t="str">
        <f>IFERROR(__xludf.DUMMYFUNCTION("TO_TEXT(A2487)"),"47119")</f>
        <v>47119</v>
      </c>
      <c r="C2487" s="1">
        <v>85767.0</v>
      </c>
      <c r="D2487" s="1">
        <v>613.13814012679</v>
      </c>
      <c r="E2487" s="1" t="s">
        <v>4076</v>
      </c>
      <c r="F2487" s="1" t="s">
        <v>4077</v>
      </c>
      <c r="G2487" s="1">
        <v>139.882017423128</v>
      </c>
      <c r="H2487" s="1">
        <v>20.44358951</v>
      </c>
      <c r="I2487" s="1">
        <v>4.5124972495</v>
      </c>
      <c r="J2487" s="1">
        <v>8.6424378669</v>
      </c>
      <c r="K2487" s="1">
        <v>20.994691095</v>
      </c>
      <c r="L2487" s="1">
        <v>32.5</v>
      </c>
      <c r="M2487" s="1">
        <v>7.9</v>
      </c>
      <c r="N2487" s="1">
        <v>32.8</v>
      </c>
      <c r="O2487" s="1">
        <v>59.907851178</v>
      </c>
      <c r="P2487" s="1">
        <v>10.660010088</v>
      </c>
      <c r="Q2487" s="1">
        <v>54.25171</v>
      </c>
      <c r="R2487" s="1">
        <v>90.852130326</v>
      </c>
      <c r="S2487" s="1">
        <v>15.2</v>
      </c>
      <c r="T2487" s="1">
        <v>20762.0</v>
      </c>
      <c r="U2487" s="1">
        <v>33.551680956</v>
      </c>
      <c r="V2487" s="1">
        <v>452.90793366</v>
      </c>
      <c r="W2487" s="1">
        <v>13.651565825</v>
      </c>
      <c r="X2487" s="1">
        <v>11.428571429</v>
      </c>
      <c r="Y2487" s="1">
        <v>76.0879930839999</v>
      </c>
      <c r="Z2487" s="1">
        <v>10.5</v>
      </c>
      <c r="AA2487" s="1">
        <v>7.1178335958</v>
      </c>
      <c r="AB2487" s="1">
        <v>57337.0</v>
      </c>
      <c r="AC2487" s="1">
        <v>52.4746192889999</v>
      </c>
      <c r="AD2487" s="1">
        <v>68.59883236</v>
      </c>
      <c r="AE2487" s="1">
        <v>11.613973638</v>
      </c>
      <c r="AF2487" s="1">
        <v>11.637693449</v>
      </c>
      <c r="AG2487" s="1">
        <v>0.4939580242</v>
      </c>
      <c r="AH2487" s="1">
        <v>1.0048759805</v>
      </c>
      <c r="AI2487" s="1">
        <v>0.0519397922</v>
      </c>
      <c r="AJ2487" s="1">
        <v>6.1458554166</v>
      </c>
      <c r="AK2487" s="1">
        <v>78.9919440319999</v>
      </c>
      <c r="AL2487" s="1">
        <v>0.7885475693</v>
      </c>
      <c r="AM2487" s="1">
        <v>51.763832945</v>
      </c>
      <c r="AN2487" s="1">
        <v>41.592964079</v>
      </c>
      <c r="AO2487" s="1">
        <v>24986.0</v>
      </c>
      <c r="AP2487" s="1">
        <v>14.7</v>
      </c>
      <c r="AQ2487" s="1">
        <v>7.1</v>
      </c>
      <c r="AR2487" s="1">
        <v>11.8</v>
      </c>
      <c r="AS2487" s="1">
        <v>14.8</v>
      </c>
      <c r="AT2487" s="1">
        <v>23.6</v>
      </c>
      <c r="AU2487" s="1">
        <v>14.7</v>
      </c>
      <c r="AV2487" s="1">
        <v>20.1</v>
      </c>
      <c r="AW2487" s="1">
        <v>1.0</v>
      </c>
      <c r="AX2487" s="1">
        <v>0.5202</v>
      </c>
      <c r="AY2487" s="1">
        <v>8.5</v>
      </c>
      <c r="AZ2487" s="1">
        <v>11.4</v>
      </c>
      <c r="BA2487" s="1">
        <v>13.1</v>
      </c>
      <c r="BB2487" s="1">
        <v>3.11</v>
      </c>
      <c r="BC2487" s="1" t="s">
        <v>4001</v>
      </c>
      <c r="BD2487" s="1">
        <v>9.8</v>
      </c>
      <c r="BE2487" s="1">
        <v>35.7</v>
      </c>
      <c r="BF2487" s="1">
        <v>31.4</v>
      </c>
      <c r="BG2487" s="1">
        <v>23.0</v>
      </c>
      <c r="BH2487" s="1" t="s">
        <v>4077</v>
      </c>
    </row>
    <row r="2488">
      <c r="A2488" s="1">
        <v>47121.0</v>
      </c>
      <c r="B2488" s="2" t="str">
        <f>IFERROR(__xludf.DUMMYFUNCTION("TO_TEXT(A2488)"),"47121")</f>
        <v>47121</v>
      </c>
      <c r="C2488" s="1">
        <v>11804.0</v>
      </c>
      <c r="D2488" s="1">
        <v>195.140048114424</v>
      </c>
      <c r="E2488" s="1" t="s">
        <v>3490</v>
      </c>
      <c r="F2488" s="1" t="s">
        <v>4078</v>
      </c>
      <c r="G2488" s="1">
        <v>60.4898897692108</v>
      </c>
      <c r="H2488" s="1">
        <v>20.446766821</v>
      </c>
      <c r="I2488" s="1">
        <v>4.8619912478</v>
      </c>
      <c r="J2488" s="1">
        <v>10.550458716</v>
      </c>
      <c r="K2488" s="1">
        <v>21.998919963</v>
      </c>
      <c r="L2488" s="1">
        <v>35.4</v>
      </c>
      <c r="M2488" s="1">
        <v>8.3</v>
      </c>
      <c r="N2488" s="1">
        <v>34.5</v>
      </c>
      <c r="O2488" s="1">
        <v>32.970305454</v>
      </c>
      <c r="P2488" s="1">
        <v>12.4827219559999</v>
      </c>
      <c r="Q2488" s="1">
        <v>49.71826</v>
      </c>
      <c r="R2488" s="1">
        <v>96.850393701</v>
      </c>
      <c r="S2488" s="1">
        <v>26.6</v>
      </c>
      <c r="T2488" s="1">
        <v>2446.0</v>
      </c>
      <c r="U2488" s="1">
        <v>31.234668847</v>
      </c>
      <c r="V2488" s="1">
        <v>430.02512028</v>
      </c>
      <c r="W2488" s="1">
        <v>15.080213904</v>
      </c>
      <c r="X2488" s="1">
        <v>12.392241379</v>
      </c>
      <c r="Y2488" s="1">
        <v>73.167152655</v>
      </c>
      <c r="Z2488" s="1">
        <v>15.8</v>
      </c>
      <c r="AA2488" s="1">
        <v>0.6041629665</v>
      </c>
      <c r="AB2488" s="1">
        <v>50565.0</v>
      </c>
      <c r="AC2488" s="1">
        <v>52.4746192889999</v>
      </c>
      <c r="AD2488" s="1">
        <v>80.208768267</v>
      </c>
      <c r="AE2488" s="1">
        <v>11.5486141659999</v>
      </c>
      <c r="AF2488" s="1">
        <v>1.5114578255</v>
      </c>
      <c r="AG2488" s="1">
        <v>0.885746790199999</v>
      </c>
      <c r="AH2488" s="1">
        <v>0.3412969283</v>
      </c>
      <c r="AI2488" s="1">
        <v>0.0325044694</v>
      </c>
      <c r="AJ2488" s="1">
        <v>2.3240695596</v>
      </c>
      <c r="AK2488" s="1">
        <v>93.937916464</v>
      </c>
      <c r="AL2488" s="1">
        <v>0.3798251038</v>
      </c>
      <c r="AM2488" s="1">
        <v>50.357549163</v>
      </c>
      <c r="AN2488" s="1">
        <v>100.0</v>
      </c>
      <c r="AO2488" s="1">
        <v>19976.0</v>
      </c>
      <c r="AP2488" s="1">
        <v>18.8</v>
      </c>
      <c r="AQ2488" s="1">
        <v>12.5</v>
      </c>
      <c r="AR2488" s="1">
        <v>21.1</v>
      </c>
      <c r="AS2488" s="1">
        <v>19.7</v>
      </c>
      <c r="AT2488" s="1">
        <v>20.9</v>
      </c>
      <c r="AU2488" s="1">
        <v>23.5</v>
      </c>
      <c r="AV2488" s="1">
        <v>5.3</v>
      </c>
      <c r="AW2488" s="1">
        <v>0.3</v>
      </c>
      <c r="AX2488" s="1">
        <v>0.6791</v>
      </c>
      <c r="AY2488" s="1">
        <v>16.1</v>
      </c>
      <c r="AZ2488" s="1">
        <v>14.1</v>
      </c>
      <c r="BA2488" s="1">
        <v>19.6</v>
      </c>
      <c r="BB2488" s="1">
        <v>3.3</v>
      </c>
      <c r="BC2488" s="1" t="s">
        <v>4001</v>
      </c>
      <c r="BD2488" s="1">
        <v>16.2</v>
      </c>
      <c r="BE2488" s="1">
        <v>45.4</v>
      </c>
      <c r="BF2488" s="1">
        <v>28.6</v>
      </c>
      <c r="BG2488" s="1">
        <v>9.8</v>
      </c>
      <c r="BH2488" s="1" t="s">
        <v>4078</v>
      </c>
    </row>
    <row r="2489">
      <c r="A2489" s="1">
        <v>47123.0</v>
      </c>
      <c r="B2489" s="2" t="str">
        <f>IFERROR(__xludf.DUMMYFUNCTION("TO_TEXT(A2489)"),"47123")</f>
        <v>47123</v>
      </c>
      <c r="C2489" s="1">
        <v>45482.0</v>
      </c>
      <c r="D2489" s="1">
        <v>635.649084415194</v>
      </c>
      <c r="E2489" s="1" t="s">
        <v>158</v>
      </c>
      <c r="F2489" s="1" t="s">
        <v>4079</v>
      </c>
      <c r="G2489" s="1">
        <v>71.5520577550176</v>
      </c>
      <c r="H2489" s="1">
        <v>22.757248384</v>
      </c>
      <c r="I2489" s="1">
        <v>4.8496533576</v>
      </c>
      <c r="J2489" s="1">
        <v>9.08829450679999</v>
      </c>
      <c r="K2489" s="1">
        <v>22.553784494</v>
      </c>
      <c r="L2489" s="1">
        <v>32.7</v>
      </c>
      <c r="M2489" s="1">
        <v>8.1</v>
      </c>
      <c r="N2489" s="1">
        <v>24.8</v>
      </c>
      <c r="O2489" s="1">
        <v>75.410498888</v>
      </c>
      <c r="P2489" s="1">
        <v>11.988003666</v>
      </c>
      <c r="Q2489" s="1">
        <v>21.6263</v>
      </c>
      <c r="R2489" s="1">
        <v>91.411042945</v>
      </c>
      <c r="S2489" s="1">
        <v>23.0</v>
      </c>
      <c r="T2489" s="1">
        <v>9715.0</v>
      </c>
      <c r="U2489" s="1">
        <v>32.187339166</v>
      </c>
      <c r="V2489" s="1">
        <v>475.13981125</v>
      </c>
      <c r="W2489" s="1">
        <v>13.258232236</v>
      </c>
      <c r="X2489" s="1">
        <v>10.879765396</v>
      </c>
      <c r="Y2489" s="1">
        <v>74.844234273</v>
      </c>
      <c r="Z2489" s="1">
        <v>11.2</v>
      </c>
      <c r="AA2489" s="1">
        <v>1.9563814543</v>
      </c>
      <c r="AB2489" s="1">
        <v>45566.0</v>
      </c>
      <c r="AC2489" s="1">
        <v>52.4746192889999</v>
      </c>
      <c r="AD2489" s="1">
        <v>75.980558381</v>
      </c>
      <c r="AE2489" s="1">
        <v>10.419477853</v>
      </c>
      <c r="AF2489" s="1">
        <v>1.9522402226</v>
      </c>
      <c r="AG2489" s="1">
        <v>0.642837112</v>
      </c>
      <c r="AH2489" s="1">
        <v>0.4702633906</v>
      </c>
      <c r="AI2489" s="1">
        <v>0.0604008025</v>
      </c>
      <c r="AJ2489" s="1">
        <v>4.6745906767</v>
      </c>
      <c r="AK2489" s="1">
        <v>90.750048536</v>
      </c>
      <c r="AL2489" s="1">
        <v>0.3929363905</v>
      </c>
      <c r="AM2489" s="1">
        <v>50.195224022</v>
      </c>
      <c r="AN2489" s="1">
        <v>76.0753835439999</v>
      </c>
      <c r="AO2489" s="1">
        <v>19840.0</v>
      </c>
      <c r="AP2489" s="1">
        <v>19.2</v>
      </c>
      <c r="AQ2489" s="1">
        <v>11.5</v>
      </c>
      <c r="AR2489" s="1">
        <v>20.9</v>
      </c>
      <c r="AS2489" s="1">
        <v>19.4</v>
      </c>
      <c r="AT2489" s="1">
        <v>21.8</v>
      </c>
      <c r="AU2489" s="1">
        <v>17.8</v>
      </c>
      <c r="AV2489" s="1">
        <v>8.5</v>
      </c>
      <c r="AW2489" s="1">
        <v>0.7</v>
      </c>
      <c r="AX2489" s="1">
        <v>0.6399</v>
      </c>
      <c r="AY2489" s="1">
        <v>16.5</v>
      </c>
      <c r="AZ2489" s="1">
        <v>14.6</v>
      </c>
      <c r="BA2489" s="1">
        <v>19.6</v>
      </c>
      <c r="BB2489" s="1">
        <v>3.22</v>
      </c>
      <c r="BC2489" s="1" t="s">
        <v>4001</v>
      </c>
      <c r="BD2489" s="1">
        <v>17.6</v>
      </c>
      <c r="BE2489" s="1">
        <v>41.5</v>
      </c>
      <c r="BF2489" s="1">
        <v>27.5</v>
      </c>
      <c r="BG2489" s="1">
        <v>13.4</v>
      </c>
      <c r="BH2489" s="1" t="s">
        <v>4079</v>
      </c>
    </row>
    <row r="2490">
      <c r="A2490" s="1">
        <v>47125.0</v>
      </c>
      <c r="B2490" s="2" t="str">
        <f>IFERROR(__xludf.DUMMYFUNCTION("TO_TEXT(A2490)"),"47125")</f>
        <v>47125</v>
      </c>
      <c r="C2490" s="1">
        <v>189709.0</v>
      </c>
      <c r="D2490" s="1">
        <v>539.16597378157</v>
      </c>
      <c r="E2490" s="1" t="s">
        <v>160</v>
      </c>
      <c r="F2490" s="1" t="s">
        <v>4080</v>
      </c>
      <c r="G2490" s="1">
        <v>351.856402712935</v>
      </c>
      <c r="H2490" s="1">
        <v>19.446061189</v>
      </c>
      <c r="I2490" s="1">
        <v>4.5368433556</v>
      </c>
      <c r="J2490" s="1">
        <v>7.648525135</v>
      </c>
      <c r="K2490" s="1">
        <v>22.478012336</v>
      </c>
      <c r="L2490" s="1">
        <v>34.3</v>
      </c>
      <c r="M2490" s="1">
        <v>7.1</v>
      </c>
      <c r="N2490" s="1">
        <v>26.4</v>
      </c>
      <c r="O2490" s="1">
        <v>65.478062566</v>
      </c>
      <c r="P2490" s="1">
        <v>8.8317662408</v>
      </c>
      <c r="Q2490" s="1">
        <v>39.46409</v>
      </c>
      <c r="R2490" s="1">
        <v>95.067873303</v>
      </c>
      <c r="S2490" s="1">
        <v>16.6</v>
      </c>
      <c r="T2490" s="1">
        <v>52453.0</v>
      </c>
      <c r="U2490" s="1">
        <v>30.61598002</v>
      </c>
      <c r="V2490" s="1">
        <v>565.56123972</v>
      </c>
      <c r="W2490" s="1">
        <v>13.772544343</v>
      </c>
      <c r="X2490" s="1">
        <v>11.430532256</v>
      </c>
      <c r="Y2490" s="1">
        <v>75.762293506</v>
      </c>
      <c r="Z2490" s="1">
        <v>11.0</v>
      </c>
      <c r="AA2490" s="1">
        <v>12.392014296</v>
      </c>
      <c r="AB2490" s="1">
        <v>56102.0</v>
      </c>
      <c r="AC2490" s="1">
        <v>52.4746192889999</v>
      </c>
      <c r="AD2490" s="1">
        <v>59.274853136</v>
      </c>
      <c r="AE2490" s="1">
        <v>12.171746214</v>
      </c>
      <c r="AF2490" s="1">
        <v>19.845593591</v>
      </c>
      <c r="AG2490" s="1">
        <v>0.7414420976</v>
      </c>
      <c r="AH2490" s="1">
        <v>2.4195193008</v>
      </c>
      <c r="AI2490" s="1">
        <v>0.4486525856</v>
      </c>
      <c r="AJ2490" s="1">
        <v>10.263656227</v>
      </c>
      <c r="AK2490" s="1">
        <v>62.773488711</v>
      </c>
      <c r="AL2490" s="1">
        <v>0.8536877195</v>
      </c>
      <c r="AM2490" s="1">
        <v>50.209274096</v>
      </c>
      <c r="AN2490" s="1">
        <v>19.742240224</v>
      </c>
      <c r="AO2490" s="1">
        <v>23384.0</v>
      </c>
      <c r="AP2490" s="1">
        <v>15.2</v>
      </c>
      <c r="AQ2490" s="1">
        <v>8.2</v>
      </c>
      <c r="AR2490" s="1">
        <v>7.8</v>
      </c>
      <c r="AS2490" s="1">
        <v>8.6</v>
      </c>
      <c r="AT2490" s="1">
        <v>27.1</v>
      </c>
      <c r="AU2490" s="1">
        <v>13.7</v>
      </c>
      <c r="AV2490" s="1">
        <v>34.9</v>
      </c>
      <c r="AW2490" s="1">
        <v>0.8</v>
      </c>
      <c r="AX2490" s="1">
        <v>0.5263</v>
      </c>
      <c r="AY2490" s="1">
        <v>12.0</v>
      </c>
      <c r="AZ2490" s="1">
        <v>12.5</v>
      </c>
      <c r="BA2490" s="1">
        <v>13.8</v>
      </c>
      <c r="BB2490" s="1">
        <v>3.17</v>
      </c>
      <c r="BC2490" s="1" t="s">
        <v>4001</v>
      </c>
      <c r="BD2490" s="1">
        <v>7.1</v>
      </c>
      <c r="BE2490" s="1">
        <v>28.5</v>
      </c>
      <c r="BF2490" s="1">
        <v>36.0</v>
      </c>
      <c r="BG2490" s="1">
        <v>28.5</v>
      </c>
      <c r="BH2490" s="1" t="s">
        <v>4080</v>
      </c>
    </row>
    <row r="2491">
      <c r="A2491" s="1">
        <v>47127.0</v>
      </c>
      <c r="B2491" s="2" t="str">
        <f>IFERROR(__xludf.DUMMYFUNCTION("TO_TEXT(A2491)"),"47127")</f>
        <v>47127</v>
      </c>
      <c r="C2491" s="1">
        <v>6314.0</v>
      </c>
      <c r="D2491" s="1">
        <v>129.222497290638</v>
      </c>
      <c r="E2491" s="1" t="s">
        <v>3269</v>
      </c>
      <c r="F2491" s="1" t="s">
        <v>4081</v>
      </c>
      <c r="G2491" s="1">
        <v>48.8614609095427</v>
      </c>
      <c r="H2491" s="1">
        <v>16.884038383</v>
      </c>
      <c r="I2491" s="1">
        <v>4.3215313298</v>
      </c>
      <c r="J2491" s="1">
        <v>7.7127659574</v>
      </c>
      <c r="K2491" s="1">
        <v>18.721635149</v>
      </c>
      <c r="L2491" s="1">
        <v>24.9</v>
      </c>
      <c r="M2491" s="1">
        <v>7.8</v>
      </c>
      <c r="N2491" s="1">
        <v>21.1</v>
      </c>
      <c r="O2491" s="1">
        <v>20.088022634</v>
      </c>
      <c r="P2491" s="1">
        <v>9.5123900879</v>
      </c>
      <c r="Q2491" s="1">
        <v>48.31939</v>
      </c>
      <c r="R2491" s="1">
        <v>91.935483871</v>
      </c>
      <c r="S2491" s="1">
        <v>14.1</v>
      </c>
      <c r="T2491" s="1">
        <v>1250.0</v>
      </c>
      <c r="U2491" s="1">
        <v>19.28</v>
      </c>
      <c r="V2491" s="1">
        <v>110.93502377</v>
      </c>
      <c r="W2491" s="1">
        <v>10.546875</v>
      </c>
      <c r="X2491" s="1">
        <v>8.1960784314</v>
      </c>
      <c r="Y2491" s="1">
        <v>79.535462406</v>
      </c>
      <c r="Z2491" s="1">
        <v>13.6</v>
      </c>
      <c r="AA2491" s="1">
        <v>14.29269697</v>
      </c>
      <c r="AB2491" s="1">
        <v>58234.0</v>
      </c>
      <c r="AC2491" s="1">
        <v>52.4746192889999</v>
      </c>
      <c r="AD2491" s="1">
        <v>82.974634896</v>
      </c>
      <c r="AE2491" s="1">
        <v>9.5796281326</v>
      </c>
      <c r="AF2491" s="1">
        <v>2.6516924037</v>
      </c>
      <c r="AG2491" s="1">
        <v>0.3431601934</v>
      </c>
      <c r="AH2491" s="1">
        <v>0.8267041023</v>
      </c>
      <c r="AI2491" s="1">
        <v>0.0155981906</v>
      </c>
      <c r="AJ2491" s="1">
        <v>2.0277647793</v>
      </c>
      <c r="AK2491" s="1">
        <v>92.84043051</v>
      </c>
      <c r="AL2491" s="1">
        <v>0.0</v>
      </c>
      <c r="AM2491" s="1">
        <v>50.038995477</v>
      </c>
      <c r="AN2491" s="1">
        <v>99.874253379</v>
      </c>
      <c r="AO2491" s="1">
        <v>30126.0</v>
      </c>
      <c r="AP2491" s="1">
        <v>10.4</v>
      </c>
      <c r="AQ2491" s="1">
        <v>5.8</v>
      </c>
      <c r="AR2491" s="1">
        <v>13.9</v>
      </c>
      <c r="AS2491" s="1">
        <v>21.8</v>
      </c>
      <c r="AT2491" s="1">
        <v>19.4</v>
      </c>
      <c r="AU2491" s="1">
        <v>17.7</v>
      </c>
      <c r="AV2491" s="1">
        <v>6.4</v>
      </c>
      <c r="AW2491" s="1">
        <v>0.0</v>
      </c>
      <c r="AX2491" s="1">
        <v>0.1808</v>
      </c>
      <c r="AY2491" s="1">
        <v>10.0</v>
      </c>
      <c r="AZ2491" s="1">
        <v>9.7</v>
      </c>
      <c r="BA2491" s="1">
        <v>11.9</v>
      </c>
      <c r="BB2491" s="1">
        <v>3.07</v>
      </c>
      <c r="BC2491" s="1" t="s">
        <v>4001</v>
      </c>
      <c r="BD2491" s="1">
        <v>14.1</v>
      </c>
      <c r="BE2491" s="1">
        <v>39.9</v>
      </c>
      <c r="BF2491" s="1">
        <v>23.3</v>
      </c>
      <c r="BG2491" s="1">
        <v>22.7</v>
      </c>
      <c r="BH2491" s="1" t="s">
        <v>4081</v>
      </c>
    </row>
    <row r="2492">
      <c r="A2492" s="1">
        <v>47129.0</v>
      </c>
      <c r="B2492" s="2" t="str">
        <f>IFERROR(__xludf.DUMMYFUNCTION("TO_TEXT(A2492)"),"47129")</f>
        <v>47129</v>
      </c>
      <c r="C2492" s="1">
        <v>21688.0</v>
      </c>
      <c r="D2492" s="1">
        <v>522.179654902606</v>
      </c>
      <c r="E2492" s="1" t="s">
        <v>162</v>
      </c>
      <c r="F2492" s="1" t="s">
        <v>4082</v>
      </c>
      <c r="G2492" s="1">
        <v>41.5335982479921</v>
      </c>
      <c r="H2492" s="1">
        <v>22.450489955</v>
      </c>
      <c r="I2492" s="1">
        <v>4.9814879719</v>
      </c>
      <c r="J2492" s="1">
        <v>9.7388849682</v>
      </c>
      <c r="K2492" s="1">
        <v>24.803678765</v>
      </c>
      <c r="L2492" s="1">
        <v>36.1</v>
      </c>
      <c r="M2492" s="1">
        <v>7.4</v>
      </c>
      <c r="N2492" s="1">
        <v>36.9</v>
      </c>
      <c r="O2492" s="1">
        <v>48.84249784</v>
      </c>
      <c r="P2492" s="1">
        <v>12.5727213959999</v>
      </c>
      <c r="Q2492" s="1">
        <v>13.86578</v>
      </c>
      <c r="R2492" s="1">
        <v>98.161764706</v>
      </c>
      <c r="S2492" s="1">
        <v>26.9</v>
      </c>
      <c r="T2492" s="1">
        <v>4049.0</v>
      </c>
      <c r="U2492" s="1">
        <v>32.995801432</v>
      </c>
      <c r="V2492" s="1">
        <v>193.76715647</v>
      </c>
      <c r="W2492" s="1">
        <v>14.2659279779999</v>
      </c>
      <c r="X2492" s="1">
        <v>10.903994394</v>
      </c>
      <c r="Y2492" s="1">
        <v>74.175853261</v>
      </c>
      <c r="Z2492" s="1">
        <v>20.8</v>
      </c>
      <c r="AA2492" s="1">
        <v>7.97288069</v>
      </c>
      <c r="AB2492" s="1">
        <v>40397.0</v>
      </c>
      <c r="AC2492" s="1">
        <v>52.4746192889999</v>
      </c>
      <c r="AD2492" s="1">
        <v>79.499800452</v>
      </c>
      <c r="AE2492" s="1">
        <v>11.4683368129999</v>
      </c>
      <c r="AF2492" s="1">
        <v>3.6470642755</v>
      </c>
      <c r="AG2492" s="1">
        <v>0.532925529399999</v>
      </c>
      <c r="AH2492" s="1">
        <v>0.3197553177</v>
      </c>
      <c r="AI2492" s="1">
        <v>0.0648778905</v>
      </c>
      <c r="AJ2492" s="1">
        <v>1.3717039715</v>
      </c>
      <c r="AK2492" s="1">
        <v>92.956114741</v>
      </c>
      <c r="AL2492" s="1">
        <v>0.2867279001</v>
      </c>
      <c r="AM2492" s="1">
        <v>45.275499328</v>
      </c>
      <c r="AN2492" s="1">
        <v>99.886296448</v>
      </c>
      <c r="AO2492" s="1">
        <v>18281.0</v>
      </c>
      <c r="AP2492" s="1">
        <v>23.6</v>
      </c>
      <c r="AQ2492" s="1">
        <v>8.6</v>
      </c>
      <c r="AR2492" s="1">
        <v>20.2</v>
      </c>
      <c r="AS2492" s="1">
        <v>15.6</v>
      </c>
      <c r="AT2492" s="1">
        <v>19.8</v>
      </c>
      <c r="AU2492" s="1">
        <v>22.8</v>
      </c>
      <c r="AV2492" s="1">
        <v>6.5</v>
      </c>
      <c r="AW2492" s="1">
        <v>0.2</v>
      </c>
      <c r="AX2492" s="1">
        <v>0.7657</v>
      </c>
      <c r="AY2492" s="1">
        <v>22.0</v>
      </c>
      <c r="AZ2492" s="1">
        <v>16.3</v>
      </c>
      <c r="BA2492" s="1">
        <v>22.0</v>
      </c>
      <c r="BB2492" s="1">
        <v>3.15</v>
      </c>
      <c r="BC2492" s="1" t="s">
        <v>4001</v>
      </c>
      <c r="BD2492" s="1">
        <v>19.7</v>
      </c>
      <c r="BE2492" s="1">
        <v>48.5</v>
      </c>
      <c r="BF2492" s="1">
        <v>22.4</v>
      </c>
      <c r="BG2492" s="1">
        <v>9.4</v>
      </c>
      <c r="BH2492" s="1" t="s">
        <v>4082</v>
      </c>
    </row>
    <row r="2493">
      <c r="A2493" s="1">
        <v>47131.0</v>
      </c>
      <c r="B2493" s="2" t="str">
        <f>IFERROR(__xludf.DUMMYFUNCTION("TO_TEXT(A2493)"),"47131")</f>
        <v>47131</v>
      </c>
      <c r="C2493" s="1">
        <v>30900.0</v>
      </c>
      <c r="D2493" s="1">
        <v>544.852958170826</v>
      </c>
      <c r="E2493" s="1" t="s">
        <v>4083</v>
      </c>
      <c r="F2493" s="1" t="s">
        <v>4084</v>
      </c>
      <c r="G2493" s="1">
        <v>56.7125488383822</v>
      </c>
      <c r="H2493" s="1">
        <v>23.462636789</v>
      </c>
      <c r="I2493" s="1">
        <v>5.0033112331</v>
      </c>
      <c r="J2493" s="1">
        <v>8.9190300041</v>
      </c>
      <c r="K2493" s="1">
        <v>24.130346085</v>
      </c>
      <c r="L2493" s="1">
        <v>37.9</v>
      </c>
      <c r="M2493" s="1">
        <v>7.3</v>
      </c>
      <c r="N2493" s="1">
        <v>38.0</v>
      </c>
      <c r="O2493" s="1">
        <v>70.097777219</v>
      </c>
      <c r="P2493" s="1">
        <v>11.821233739</v>
      </c>
      <c r="Q2493" s="1">
        <v>46.07537</v>
      </c>
      <c r="R2493" s="1">
        <v>84.375</v>
      </c>
      <c r="S2493" s="1">
        <v>25.6</v>
      </c>
      <c r="T2493" s="1">
        <v>6670.0</v>
      </c>
      <c r="U2493" s="1">
        <v>35.0074962519999</v>
      </c>
      <c r="V2493" s="1">
        <v>436.12693247</v>
      </c>
      <c r="W2493" s="1">
        <v>13.286163522</v>
      </c>
      <c r="X2493" s="1">
        <v>11.426288454</v>
      </c>
      <c r="Y2493" s="1">
        <v>76.1712851119999</v>
      </c>
      <c r="Z2493" s="1">
        <v>15.6</v>
      </c>
      <c r="AA2493" s="1">
        <v>4.8817986077</v>
      </c>
      <c r="AB2493" s="1">
        <v>42532.0</v>
      </c>
      <c r="AC2493" s="1">
        <v>52.4746192889999</v>
      </c>
      <c r="AD2493" s="1">
        <v>67.982697601</v>
      </c>
      <c r="AE2493" s="1">
        <v>10.462471569</v>
      </c>
      <c r="AF2493" s="1">
        <v>10.589090429</v>
      </c>
      <c r="AG2493" s="1">
        <v>0.3436085506</v>
      </c>
      <c r="AH2493" s="1">
        <v>0.4658539003</v>
      </c>
      <c r="AI2493" s="1">
        <v>0.1057257079</v>
      </c>
      <c r="AJ2493" s="1">
        <v>4.5990682922</v>
      </c>
      <c r="AK2493" s="1">
        <v>82.70063105</v>
      </c>
      <c r="AL2493" s="1">
        <v>0.816425792099999</v>
      </c>
      <c r="AM2493" s="1">
        <v>51.6073611519999</v>
      </c>
      <c r="AN2493" s="1">
        <v>61.583928066</v>
      </c>
      <c r="AO2493" s="1">
        <v>21650.0</v>
      </c>
      <c r="AP2493" s="1">
        <v>21.1</v>
      </c>
      <c r="AQ2493" s="1">
        <v>10.8</v>
      </c>
      <c r="AR2493" s="1">
        <v>17.1</v>
      </c>
      <c r="AS2493" s="1">
        <v>18.8</v>
      </c>
      <c r="AT2493" s="1">
        <v>22.1</v>
      </c>
      <c r="AU2493" s="1">
        <v>19.3</v>
      </c>
      <c r="AV2493" s="1">
        <v>16.2</v>
      </c>
      <c r="AW2493" s="1">
        <v>1.0</v>
      </c>
      <c r="AX2493" s="1">
        <v>0.8064</v>
      </c>
      <c r="AY2493" s="1">
        <v>14.6</v>
      </c>
      <c r="AZ2493" s="1">
        <v>17.0</v>
      </c>
      <c r="BA2493" s="1">
        <v>22.8</v>
      </c>
      <c r="BB2493" s="1">
        <v>3.1</v>
      </c>
      <c r="BC2493" s="1" t="s">
        <v>4001</v>
      </c>
      <c r="BD2493" s="1">
        <v>16.5</v>
      </c>
      <c r="BE2493" s="1">
        <v>44.8</v>
      </c>
      <c r="BF2493" s="1">
        <v>23.4</v>
      </c>
      <c r="BG2493" s="1">
        <v>15.3</v>
      </c>
      <c r="BH2493" s="1" t="s">
        <v>4084</v>
      </c>
    </row>
    <row r="2494">
      <c r="A2494" s="1">
        <v>47133.0</v>
      </c>
      <c r="B2494" s="2" t="str">
        <f>IFERROR(__xludf.DUMMYFUNCTION("TO_TEXT(A2494)"),"47133")</f>
        <v>47133</v>
      </c>
      <c r="C2494" s="1">
        <v>22090.0</v>
      </c>
      <c r="D2494" s="1">
        <v>433.48503396759</v>
      </c>
      <c r="E2494" s="1" t="s">
        <v>4085</v>
      </c>
      <c r="F2494" s="1" t="s">
        <v>4086</v>
      </c>
      <c r="G2494" s="1">
        <v>50.9590834032151</v>
      </c>
      <c r="H2494" s="1">
        <v>21.600681272</v>
      </c>
      <c r="I2494" s="1">
        <v>4.9795644936</v>
      </c>
      <c r="J2494" s="1">
        <v>7.03075957309999</v>
      </c>
      <c r="K2494" s="1">
        <v>22.7197748159999</v>
      </c>
      <c r="L2494" s="1">
        <v>38.7</v>
      </c>
      <c r="M2494" s="1">
        <v>8.3</v>
      </c>
      <c r="N2494" s="1">
        <v>32.4</v>
      </c>
      <c r="O2494" s="1">
        <v>45.292759136</v>
      </c>
      <c r="P2494" s="1">
        <v>12.017864393</v>
      </c>
      <c r="Q2494" s="1">
        <v>45.42977</v>
      </c>
      <c r="R2494" s="1">
        <v>86.075949367</v>
      </c>
      <c r="S2494" s="1">
        <v>20.8</v>
      </c>
      <c r="T2494" s="1">
        <v>4888.0</v>
      </c>
      <c r="U2494" s="1">
        <v>25.450081833</v>
      </c>
      <c r="V2494" s="1">
        <v>216.87073601</v>
      </c>
      <c r="W2494" s="1">
        <v>11.204954955</v>
      </c>
      <c r="X2494" s="1">
        <v>8.4351367074</v>
      </c>
      <c r="Y2494" s="1">
        <v>73.923059379</v>
      </c>
      <c r="Z2494" s="1">
        <v>13.2</v>
      </c>
      <c r="AA2494" s="1">
        <v>0.4437102584</v>
      </c>
      <c r="AB2494" s="1">
        <v>42149.0</v>
      </c>
      <c r="AC2494" s="1">
        <v>52.4746192889999</v>
      </c>
      <c r="AD2494" s="1">
        <v>79.4740361039999</v>
      </c>
      <c r="AE2494" s="1">
        <v>7.951777886</v>
      </c>
      <c r="AF2494" s="1">
        <v>0.6162769621</v>
      </c>
      <c r="AG2494" s="1">
        <v>0.4123617908</v>
      </c>
      <c r="AH2494" s="1">
        <v>0.3443900671</v>
      </c>
      <c r="AI2494" s="1">
        <v>0.0090628965</v>
      </c>
      <c r="AJ2494" s="1">
        <v>1.572412543</v>
      </c>
      <c r="AK2494" s="1">
        <v>96.016856987</v>
      </c>
      <c r="AL2494" s="1">
        <v>0.2164606282</v>
      </c>
      <c r="AM2494" s="1">
        <v>50.430487584</v>
      </c>
      <c r="AN2494" s="1">
        <v>84.218629715</v>
      </c>
      <c r="AO2494" s="1">
        <v>19827.0</v>
      </c>
      <c r="AP2494" s="1">
        <v>20.0</v>
      </c>
      <c r="AQ2494" s="1">
        <v>7.1</v>
      </c>
      <c r="AR2494" s="1">
        <v>21.6</v>
      </c>
      <c r="AS2494" s="1">
        <v>19.2</v>
      </c>
      <c r="AT2494" s="1">
        <v>22.7</v>
      </c>
      <c r="AU2494" s="1">
        <v>15.2</v>
      </c>
      <c r="AV2494" s="1">
        <v>3.5</v>
      </c>
      <c r="AW2494" s="1">
        <v>0.3</v>
      </c>
      <c r="AX2494" s="1">
        <v>0.5747</v>
      </c>
      <c r="AY2494" s="1">
        <v>17.1</v>
      </c>
      <c r="AZ2494" s="1">
        <v>13.2</v>
      </c>
      <c r="BA2494" s="1">
        <v>16.9</v>
      </c>
      <c r="BB2494" s="1">
        <v>3.35</v>
      </c>
      <c r="BC2494" s="1" t="s">
        <v>4001</v>
      </c>
      <c r="BD2494" s="1">
        <v>19.4</v>
      </c>
      <c r="BE2494" s="1">
        <v>46.7</v>
      </c>
      <c r="BF2494" s="1">
        <v>21.2</v>
      </c>
      <c r="BG2494" s="1">
        <v>12.8</v>
      </c>
      <c r="BH2494" s="1" t="s">
        <v>4086</v>
      </c>
    </row>
    <row r="2495">
      <c r="A2495" s="1">
        <v>47135.0</v>
      </c>
      <c r="B2495" s="2" t="str">
        <f>IFERROR(__xludf.DUMMYFUNCTION("TO_TEXT(A2495)"),"47135")</f>
        <v>47135</v>
      </c>
      <c r="C2495" s="1">
        <v>7891.0</v>
      </c>
      <c r="D2495" s="1">
        <v>414.749838280282</v>
      </c>
      <c r="E2495" s="1" t="s">
        <v>164</v>
      </c>
      <c r="F2495" s="1" t="s">
        <v>4087</v>
      </c>
      <c r="G2495" s="1">
        <v>19.0259266470583</v>
      </c>
      <c r="H2495" s="1">
        <v>25.030051381</v>
      </c>
      <c r="I2495" s="1">
        <v>5.1552409445</v>
      </c>
      <c r="J2495" s="1">
        <v>7.4074074074</v>
      </c>
      <c r="K2495" s="1">
        <v>24.3081117859999</v>
      </c>
      <c r="L2495" s="1">
        <v>28.9</v>
      </c>
      <c r="M2495" s="1">
        <v>6.7</v>
      </c>
      <c r="N2495" s="1">
        <v>27.2</v>
      </c>
      <c r="O2495" s="1">
        <v>12.760581175</v>
      </c>
      <c r="P2495" s="1">
        <v>14.3553101659999</v>
      </c>
      <c r="Q2495" s="1">
        <v>25.07837</v>
      </c>
      <c r="R2495" s="1">
        <v>96.6292134829999</v>
      </c>
      <c r="S2495" s="1">
        <v>26.4</v>
      </c>
      <c r="T2495" s="1">
        <v>1750.0</v>
      </c>
      <c r="U2495" s="1">
        <v>25.6</v>
      </c>
      <c r="V2495" s="1">
        <v>253.08446694</v>
      </c>
      <c r="W2495" s="1">
        <v>14.018691589</v>
      </c>
      <c r="X2495" s="1">
        <v>9.1760904685</v>
      </c>
      <c r="Y2495" s="1">
        <v>72.528705783</v>
      </c>
      <c r="Z2495" s="1">
        <v>16.4</v>
      </c>
      <c r="AA2495" s="1">
        <v>12.8558289</v>
      </c>
      <c r="AB2495" s="1">
        <v>41960.0</v>
      </c>
      <c r="AC2495" s="1">
        <v>52.4746192889999</v>
      </c>
      <c r="AD2495" s="1">
        <v>79.740729575</v>
      </c>
      <c r="AE2495" s="1">
        <v>10.402684564</v>
      </c>
      <c r="AF2495" s="1">
        <v>2.4305555556</v>
      </c>
      <c r="AG2495" s="1">
        <v>0.8060515873</v>
      </c>
      <c r="AH2495" s="1">
        <v>0.5952380952</v>
      </c>
      <c r="AI2495" s="1">
        <v>0.0124007937</v>
      </c>
      <c r="AJ2495" s="1">
        <v>2.7901785714</v>
      </c>
      <c r="AK2495" s="1">
        <v>91.393849206</v>
      </c>
      <c r="AL2495" s="1">
        <v>0.0</v>
      </c>
      <c r="AM2495" s="1">
        <v>49.541170635</v>
      </c>
      <c r="AN2495" s="1">
        <v>100.0</v>
      </c>
      <c r="AO2495" s="1">
        <v>18611.0</v>
      </c>
      <c r="AP2495" s="1">
        <v>28.6</v>
      </c>
      <c r="AQ2495" s="1">
        <v>7.1</v>
      </c>
      <c r="AR2495" s="1">
        <v>24.8</v>
      </c>
      <c r="AS2495" s="1">
        <v>20.1</v>
      </c>
      <c r="AT2495" s="1">
        <v>22.5</v>
      </c>
      <c r="AU2495" s="1">
        <v>19.9</v>
      </c>
      <c r="AV2495" s="1">
        <v>6.9</v>
      </c>
      <c r="AW2495" s="1">
        <v>0.1</v>
      </c>
      <c r="AX2495" s="1">
        <v>0.7291</v>
      </c>
      <c r="AY2495" s="1">
        <v>14.4</v>
      </c>
      <c r="AZ2495" s="1">
        <v>17.7</v>
      </c>
      <c r="BA2495" s="1">
        <v>25.4</v>
      </c>
      <c r="BB2495" s="1">
        <v>3.13</v>
      </c>
      <c r="BC2495" s="1" t="s">
        <v>4001</v>
      </c>
      <c r="BD2495" s="1">
        <v>25.1</v>
      </c>
      <c r="BE2495" s="1">
        <v>38.5</v>
      </c>
      <c r="BF2495" s="1">
        <v>24.9</v>
      </c>
      <c r="BG2495" s="1">
        <v>11.5</v>
      </c>
      <c r="BH2495" s="1" t="s">
        <v>4087</v>
      </c>
    </row>
    <row r="2496">
      <c r="A2496" s="1">
        <v>47137.0</v>
      </c>
      <c r="B2496" s="2" t="str">
        <f>IFERROR(__xludf.DUMMYFUNCTION("TO_TEXT(A2496)"),"47137")</f>
        <v>47137</v>
      </c>
      <c r="C2496" s="1">
        <v>5096.0</v>
      </c>
      <c r="D2496" s="1">
        <v>162.978726808076</v>
      </c>
      <c r="E2496" s="1" t="s">
        <v>4088</v>
      </c>
      <c r="F2496" s="1" t="s">
        <v>4089</v>
      </c>
      <c r="G2496" s="1">
        <v>31.2678844644617</v>
      </c>
      <c r="H2496" s="1">
        <v>20.00851537</v>
      </c>
      <c r="I2496" s="1">
        <v>4.7185412296</v>
      </c>
      <c r="J2496" s="1">
        <v>8.0139372822</v>
      </c>
      <c r="K2496" s="1">
        <v>20.788896899</v>
      </c>
      <c r="L2496" s="1">
        <v>31.2</v>
      </c>
      <c r="M2496" s="1">
        <v>8.4</v>
      </c>
      <c r="N2496" s="1">
        <v>34.5</v>
      </c>
      <c r="O2496" s="1">
        <v>56.706716565</v>
      </c>
      <c r="P2496" s="1">
        <v>12.024102985</v>
      </c>
      <c r="Q2496" s="1">
        <v>39.4244</v>
      </c>
      <c r="R2496" s="1">
        <v>96.825396825</v>
      </c>
      <c r="S2496" s="1">
        <v>24.3</v>
      </c>
      <c r="T2496" s="1">
        <v>941.0</v>
      </c>
      <c r="U2496" s="1">
        <v>24.867162593</v>
      </c>
      <c r="V2496" s="1">
        <v>204.45915685</v>
      </c>
      <c r="W2496" s="1">
        <v>7.7464788732</v>
      </c>
      <c r="X2496" s="1">
        <v>4.8699763593</v>
      </c>
      <c r="Y2496" s="1">
        <v>75.897443748</v>
      </c>
      <c r="Z2496" s="1">
        <v>16.2</v>
      </c>
      <c r="AA2496" s="1">
        <v>0.2675761718</v>
      </c>
      <c r="AB2496" s="1">
        <v>40182.0</v>
      </c>
      <c r="AC2496" s="1">
        <v>52.4746192889999</v>
      </c>
      <c r="AD2496" s="1">
        <v>81.469792606</v>
      </c>
      <c r="AE2496" s="1">
        <v>2.2585295531</v>
      </c>
      <c r="AF2496" s="1">
        <v>0.2164502165</v>
      </c>
      <c r="AG2496" s="1">
        <v>0.3541912633</v>
      </c>
      <c r="AH2496" s="1">
        <v>0.098386462</v>
      </c>
      <c r="AI2496" s="1">
        <v>0.0787091696</v>
      </c>
      <c r="AJ2496" s="1">
        <v>1.9677292405</v>
      </c>
      <c r="AK2496" s="1">
        <v>96.556473829</v>
      </c>
      <c r="AL2496" s="1">
        <v>0.2055498458</v>
      </c>
      <c r="AM2496" s="1">
        <v>49.980322708</v>
      </c>
      <c r="AN2496" s="1">
        <v>100.0</v>
      </c>
      <c r="AO2496" s="1">
        <v>20664.0</v>
      </c>
      <c r="AP2496" s="1">
        <v>16.5</v>
      </c>
      <c r="AQ2496" s="1">
        <v>6.0</v>
      </c>
      <c r="AR2496" s="1">
        <v>22.7</v>
      </c>
      <c r="AS2496" s="1">
        <v>26.2</v>
      </c>
      <c r="AT2496" s="1">
        <v>18.2</v>
      </c>
      <c r="AU2496" s="1">
        <v>20.6</v>
      </c>
      <c r="AV2496" s="1">
        <v>3.1</v>
      </c>
      <c r="AW2496" s="1">
        <v>0.5</v>
      </c>
      <c r="AX2496" s="1">
        <v>0.4954</v>
      </c>
      <c r="AY2496" s="1">
        <v>17.8</v>
      </c>
      <c r="AZ2496" s="1">
        <v>14.1</v>
      </c>
      <c r="BA2496" s="1">
        <v>22.9</v>
      </c>
      <c r="BB2496" s="1">
        <v>3.05</v>
      </c>
      <c r="BC2496" s="1" t="s">
        <v>4001</v>
      </c>
      <c r="BD2496" s="1">
        <v>25.6</v>
      </c>
      <c r="BE2496" s="1">
        <v>38.2</v>
      </c>
      <c r="BF2496" s="1">
        <v>26.7</v>
      </c>
      <c r="BG2496" s="1">
        <v>9.4</v>
      </c>
      <c r="BH2496" s="1" t="s">
        <v>4089</v>
      </c>
    </row>
    <row r="2497">
      <c r="A2497" s="1">
        <v>47139.0</v>
      </c>
      <c r="B2497" s="2" t="str">
        <f>IFERROR(__xludf.DUMMYFUNCTION("TO_TEXT(A2497)"),"47139")</f>
        <v>47139</v>
      </c>
      <c r="C2497" s="1">
        <v>16697.0</v>
      </c>
      <c r="D2497" s="1">
        <v>434.634686649565</v>
      </c>
      <c r="E2497" s="1" t="s">
        <v>381</v>
      </c>
      <c r="F2497" s="1" t="s">
        <v>4090</v>
      </c>
      <c r="G2497" s="1">
        <v>38.4161699764711</v>
      </c>
      <c r="H2497" s="1">
        <v>21.093613195</v>
      </c>
      <c r="I2497" s="1">
        <v>4.8102953763</v>
      </c>
      <c r="J2497" s="1">
        <v>8.5616438356</v>
      </c>
      <c r="K2497" s="1">
        <v>21.863483316</v>
      </c>
      <c r="L2497" s="1">
        <v>34.4</v>
      </c>
      <c r="M2497" s="1">
        <v>8.4</v>
      </c>
      <c r="N2497" s="1">
        <v>31.6</v>
      </c>
      <c r="O2497" s="1">
        <v>73.3848439819999</v>
      </c>
      <c r="P2497" s="1">
        <v>12.511478421</v>
      </c>
      <c r="Q2497" s="1">
        <v>59.67655</v>
      </c>
      <c r="R2497" s="1">
        <v>91.477272727</v>
      </c>
      <c r="S2497" s="1">
        <v>22.4</v>
      </c>
      <c r="T2497" s="1">
        <v>3370.0</v>
      </c>
      <c r="U2497" s="1">
        <v>26.557863501</v>
      </c>
      <c r="V2497" s="1">
        <v>224.12144394</v>
      </c>
      <c r="W2497" s="1">
        <v>12.860310421</v>
      </c>
      <c r="X2497" s="1">
        <v>9.6914973664</v>
      </c>
      <c r="Y2497" s="1">
        <v>73.938143754</v>
      </c>
      <c r="Z2497" s="1">
        <v>16.0</v>
      </c>
      <c r="AA2497" s="1">
        <v>0.142234784</v>
      </c>
      <c r="AB2497" s="1">
        <v>41968.0</v>
      </c>
      <c r="AC2497" s="1">
        <v>52.4746192889999</v>
      </c>
      <c r="AD2497" s="1">
        <v>73.816234498</v>
      </c>
      <c r="AE2497" s="1">
        <v>9.8896113715</v>
      </c>
      <c r="AF2497" s="1">
        <v>0.698307492</v>
      </c>
      <c r="AG2497" s="1">
        <v>0.5740324299</v>
      </c>
      <c r="AH2497" s="1">
        <v>0.3846609066</v>
      </c>
      <c r="AI2497" s="1">
        <v>0.0710143212</v>
      </c>
      <c r="AJ2497" s="1">
        <v>2.2132796781</v>
      </c>
      <c r="AK2497" s="1">
        <v>94.77452953</v>
      </c>
      <c r="AL2497" s="1">
        <v>0.1186684155</v>
      </c>
      <c r="AM2497" s="1">
        <v>50.733814653</v>
      </c>
      <c r="AN2497" s="1">
        <v>100.0</v>
      </c>
      <c r="AO2497" s="1">
        <v>22768.0</v>
      </c>
      <c r="AP2497" s="1">
        <v>17.8</v>
      </c>
      <c r="AQ2497" s="1">
        <v>9.0</v>
      </c>
      <c r="AR2497" s="1">
        <v>21.0</v>
      </c>
      <c r="AS2497" s="1">
        <v>19.3</v>
      </c>
      <c r="AT2497" s="1">
        <v>20.7</v>
      </c>
      <c r="AU2497" s="1">
        <v>18.5</v>
      </c>
      <c r="AV2497" s="1">
        <v>4.5</v>
      </c>
      <c r="AW2497" s="1">
        <v>0.2</v>
      </c>
      <c r="AX2497" s="1">
        <v>0.5412</v>
      </c>
      <c r="AY2497" s="1">
        <v>15.3</v>
      </c>
      <c r="AZ2497" s="1">
        <v>13.9</v>
      </c>
      <c r="BA2497" s="1">
        <v>18.1</v>
      </c>
      <c r="BB2497" s="1">
        <v>3.13</v>
      </c>
      <c r="BC2497" s="1" t="s">
        <v>4001</v>
      </c>
      <c r="BD2497" s="1">
        <v>17.6</v>
      </c>
      <c r="BE2497" s="1">
        <v>39.4</v>
      </c>
      <c r="BF2497" s="1">
        <v>31.1</v>
      </c>
      <c r="BG2497" s="1">
        <v>11.9</v>
      </c>
      <c r="BH2497" s="1" t="s">
        <v>4090</v>
      </c>
    </row>
    <row r="2498">
      <c r="A2498" s="1">
        <v>47141.0</v>
      </c>
      <c r="B2498" s="2" t="str">
        <f>IFERROR(__xludf.DUMMYFUNCTION("TO_TEXT(A2498)"),"47141")</f>
        <v>47141</v>
      </c>
      <c r="C2498" s="1">
        <v>74652.0</v>
      </c>
      <c r="D2498" s="1">
        <v>401.106157697811</v>
      </c>
      <c r="E2498" s="1" t="s">
        <v>771</v>
      </c>
      <c r="F2498" s="1" t="s">
        <v>4091</v>
      </c>
      <c r="G2498" s="1">
        <v>186.115317771416</v>
      </c>
      <c r="H2498" s="1">
        <v>20.52281006</v>
      </c>
      <c r="I2498" s="1">
        <v>4.8056891705</v>
      </c>
      <c r="J2498" s="1">
        <v>7.5774785007</v>
      </c>
      <c r="K2498" s="1">
        <v>23.697794155</v>
      </c>
      <c r="L2498" s="1">
        <v>28.3</v>
      </c>
      <c r="M2498" s="1">
        <v>7.2</v>
      </c>
      <c r="N2498" s="1">
        <v>26.8</v>
      </c>
      <c r="O2498" s="1">
        <v>47.398404336</v>
      </c>
      <c r="P2498" s="1">
        <v>12.394934439</v>
      </c>
      <c r="Q2498" s="1">
        <v>66.9464699999999</v>
      </c>
      <c r="R2498" s="1">
        <v>92.378752887</v>
      </c>
      <c r="S2498" s="1">
        <v>18.7</v>
      </c>
      <c r="T2498" s="1">
        <v>15855.0</v>
      </c>
      <c r="U2498" s="1">
        <v>35.868811101</v>
      </c>
      <c r="V2498" s="1">
        <v>396.88135866</v>
      </c>
      <c r="W2498" s="1">
        <v>17.441860465</v>
      </c>
      <c r="X2498" s="1">
        <v>16.029080838</v>
      </c>
      <c r="Y2498" s="1">
        <v>76.045288943</v>
      </c>
      <c r="Z2498" s="1">
        <v>11.4</v>
      </c>
      <c r="AA2498" s="1">
        <v>9.4600751477</v>
      </c>
      <c r="AB2498" s="1">
        <v>45512.0</v>
      </c>
      <c r="AC2498" s="1">
        <v>52.4746192889999</v>
      </c>
      <c r="AD2498" s="1">
        <v>60.68466731</v>
      </c>
      <c r="AE2498" s="1">
        <v>14.464789211</v>
      </c>
      <c r="AF2498" s="1">
        <v>2.1574521517</v>
      </c>
      <c r="AG2498" s="1">
        <v>0.7495909592</v>
      </c>
      <c r="AH2498" s="1">
        <v>1.5346955342</v>
      </c>
      <c r="AI2498" s="1">
        <v>0.1420544627</v>
      </c>
      <c r="AJ2498" s="1">
        <v>6.52816356559999</v>
      </c>
      <c r="AK2498" s="1">
        <v>88.105475439</v>
      </c>
      <c r="AL2498" s="1">
        <v>1.7127616719</v>
      </c>
      <c r="AM2498" s="1">
        <v>50.246692795</v>
      </c>
      <c r="AN2498" s="1">
        <v>34.976009734</v>
      </c>
      <c r="AO2498" s="1">
        <v>22555.0</v>
      </c>
      <c r="AP2498" s="1">
        <v>24.0</v>
      </c>
      <c r="AQ2498" s="1">
        <v>7.7</v>
      </c>
      <c r="AR2498" s="1">
        <v>14.8</v>
      </c>
      <c r="AS2498" s="1">
        <v>16.0</v>
      </c>
      <c r="AT2498" s="1">
        <v>21.1</v>
      </c>
      <c r="AU2498" s="1">
        <v>13.7</v>
      </c>
      <c r="AV2498" s="1">
        <v>10.9</v>
      </c>
      <c r="AW2498" s="1">
        <v>2.5</v>
      </c>
      <c r="AX2498" s="1">
        <v>0.6097</v>
      </c>
      <c r="AY2498" s="1">
        <v>16.1</v>
      </c>
      <c r="AZ2498" s="1">
        <v>13.3</v>
      </c>
      <c r="BA2498" s="1">
        <v>16.0</v>
      </c>
      <c r="BB2498" s="1">
        <v>3.09</v>
      </c>
      <c r="BC2498" s="1" t="s">
        <v>4001</v>
      </c>
      <c r="BD2498" s="1">
        <v>13.4</v>
      </c>
      <c r="BE2498" s="1">
        <v>36.5</v>
      </c>
      <c r="BF2498" s="1">
        <v>23.6</v>
      </c>
      <c r="BG2498" s="1">
        <v>26.4</v>
      </c>
      <c r="BH2498" s="1" t="s">
        <v>4091</v>
      </c>
    </row>
    <row r="2499">
      <c r="A2499" s="1">
        <v>47143.0</v>
      </c>
      <c r="B2499" s="2" t="str">
        <f>IFERROR(__xludf.DUMMYFUNCTION("TO_TEXT(A2499)"),"47143")</f>
        <v>47143</v>
      </c>
      <c r="C2499" s="1">
        <v>32461.0</v>
      </c>
      <c r="D2499" s="1">
        <v>315.377086996581</v>
      </c>
      <c r="E2499" s="1" t="s">
        <v>4092</v>
      </c>
      <c r="F2499" s="1" t="s">
        <v>4093</v>
      </c>
      <c r="G2499" s="1">
        <v>102.927578883852</v>
      </c>
      <c r="H2499" s="1">
        <v>21.63885662</v>
      </c>
      <c r="I2499" s="1">
        <v>4.8680716428</v>
      </c>
      <c r="J2499" s="1">
        <v>8.2500924898</v>
      </c>
      <c r="K2499" s="1">
        <v>23.412529976</v>
      </c>
      <c r="L2499" s="1">
        <v>37.8</v>
      </c>
      <c r="M2499" s="1">
        <v>7.5</v>
      </c>
      <c r="N2499" s="1">
        <v>33.8</v>
      </c>
      <c r="O2499" s="1">
        <v>63.7335345339999</v>
      </c>
      <c r="P2499" s="1">
        <v>12.715375382</v>
      </c>
      <c r="Q2499" s="1">
        <v>33.6484</v>
      </c>
      <c r="R2499" s="1">
        <v>87.158469945</v>
      </c>
      <c r="S2499" s="1">
        <v>27.2</v>
      </c>
      <c r="T2499" s="1">
        <v>7456.0</v>
      </c>
      <c r="U2499" s="1">
        <v>39.10944206</v>
      </c>
      <c r="V2499" s="1">
        <v>279.73096912</v>
      </c>
      <c r="W2499" s="1">
        <v>10.6365834</v>
      </c>
      <c r="X2499" s="1">
        <v>8.5549608893</v>
      </c>
      <c r="Y2499" s="1">
        <v>73.835999504</v>
      </c>
      <c r="Z2499" s="1">
        <v>20.8</v>
      </c>
      <c r="AA2499" s="1">
        <v>5.2368078153</v>
      </c>
      <c r="AB2499" s="1">
        <v>44132.0</v>
      </c>
      <c r="AC2499" s="1">
        <v>52.4746192889999</v>
      </c>
      <c r="AD2499" s="1">
        <v>70.264138713</v>
      </c>
      <c r="AE2499" s="1">
        <v>10.345119269</v>
      </c>
      <c r="AF2499" s="1">
        <v>2.0578622443</v>
      </c>
      <c r="AG2499" s="1">
        <v>0.5628858492</v>
      </c>
      <c r="AH2499" s="1">
        <v>0.5931485292</v>
      </c>
      <c r="AI2499" s="1">
        <v>0.0665778961</v>
      </c>
      <c r="AJ2499" s="1">
        <v>5.3685994432</v>
      </c>
      <c r="AK2499" s="1">
        <v>89.989105435</v>
      </c>
      <c r="AL2499" s="1">
        <v>1.5696533682</v>
      </c>
      <c r="AM2499" s="1">
        <v>50.3661784289999</v>
      </c>
      <c r="AN2499" s="1">
        <v>68.01534157</v>
      </c>
      <c r="AO2499" s="1">
        <v>20888.0</v>
      </c>
      <c r="AP2499" s="1">
        <v>22.9</v>
      </c>
      <c r="AQ2499" s="1">
        <v>8.0</v>
      </c>
      <c r="AR2499" s="1">
        <v>24.1</v>
      </c>
      <c r="AS2499" s="1">
        <v>17.7</v>
      </c>
      <c r="AT2499" s="1">
        <v>23.0</v>
      </c>
      <c r="AU2499" s="1">
        <v>22.1</v>
      </c>
      <c r="AV2499" s="1">
        <v>8.8</v>
      </c>
      <c r="AW2499" s="1">
        <v>1.0</v>
      </c>
      <c r="AX2499" s="1">
        <v>0.83</v>
      </c>
      <c r="AY2499" s="1">
        <v>15.4</v>
      </c>
      <c r="AZ2499" s="1">
        <v>16.5</v>
      </c>
      <c r="BA2499" s="1">
        <v>23.0</v>
      </c>
      <c r="BB2499" s="1">
        <v>3.29</v>
      </c>
      <c r="BC2499" s="1" t="s">
        <v>4001</v>
      </c>
      <c r="BD2499" s="1">
        <v>19.2</v>
      </c>
      <c r="BE2499" s="1">
        <v>36.8</v>
      </c>
      <c r="BF2499" s="1">
        <v>27.0</v>
      </c>
      <c r="BG2499" s="1">
        <v>16.9</v>
      </c>
      <c r="BH2499" s="1" t="s">
        <v>4093</v>
      </c>
    </row>
    <row r="2500">
      <c r="A2500" s="1">
        <v>47145.0</v>
      </c>
      <c r="B2500" s="2" t="str">
        <f>IFERROR(__xludf.DUMMYFUNCTION("TO_TEXT(A2500)"),"47145")</f>
        <v>47145</v>
      </c>
      <c r="C2500" s="1">
        <v>52983.0</v>
      </c>
      <c r="D2500" s="1">
        <v>360.729185833972</v>
      </c>
      <c r="E2500" s="1" t="s">
        <v>4094</v>
      </c>
      <c r="F2500" s="1" t="s">
        <v>4095</v>
      </c>
      <c r="G2500" s="1">
        <v>146.877497249102</v>
      </c>
      <c r="H2500" s="1">
        <v>19.9590451059999</v>
      </c>
      <c r="I2500" s="1">
        <v>4.8339386883</v>
      </c>
      <c r="J2500" s="1">
        <v>9.0575275398</v>
      </c>
      <c r="K2500" s="1">
        <v>19.955390414</v>
      </c>
      <c r="L2500" s="1">
        <v>34.1</v>
      </c>
      <c r="M2500" s="1">
        <v>7.6</v>
      </c>
      <c r="N2500" s="1">
        <v>23.9</v>
      </c>
      <c r="O2500" s="1">
        <v>65.161218877</v>
      </c>
      <c r="P2500" s="1">
        <v>10.77911883</v>
      </c>
      <c r="Q2500" s="1">
        <v>35.82472</v>
      </c>
      <c r="R2500" s="1">
        <v>95.472440945</v>
      </c>
      <c r="S2500" s="1">
        <v>22.0</v>
      </c>
      <c r="T2500" s="1">
        <v>9970.0</v>
      </c>
      <c r="U2500" s="1">
        <v>26.3189568709999</v>
      </c>
      <c r="V2500" s="1">
        <v>334.03330566</v>
      </c>
      <c r="W2500" s="1">
        <v>12.70320483</v>
      </c>
      <c r="X2500" s="1">
        <v>10.783061273</v>
      </c>
      <c r="Y2500" s="1">
        <v>74.953647988</v>
      </c>
      <c r="Z2500" s="1">
        <v>15.6</v>
      </c>
      <c r="AA2500" s="1">
        <v>9.4762839789</v>
      </c>
      <c r="AB2500" s="1">
        <v>54440.0</v>
      </c>
      <c r="AC2500" s="1">
        <v>52.4746192889999</v>
      </c>
      <c r="AD2500" s="1">
        <v>76.663645471</v>
      </c>
      <c r="AE2500" s="1">
        <v>10.3446555939999</v>
      </c>
      <c r="AF2500" s="1">
        <v>2.5912683478</v>
      </c>
      <c r="AG2500" s="1">
        <v>0.455400828</v>
      </c>
      <c r="AH2500" s="1">
        <v>0.647346631499999</v>
      </c>
      <c r="AI2500" s="1">
        <v>0.0602182913</v>
      </c>
      <c r="AJ2500" s="1">
        <v>1.9627399323</v>
      </c>
      <c r="AK2500" s="1">
        <v>92.608204742</v>
      </c>
      <c r="AL2500" s="1">
        <v>0.3085809234</v>
      </c>
      <c r="AM2500" s="1">
        <v>51.211893113</v>
      </c>
      <c r="AN2500" s="1">
        <v>50.992045182</v>
      </c>
      <c r="AO2500" s="1">
        <v>23942.0</v>
      </c>
      <c r="AP2500" s="1">
        <v>16.2</v>
      </c>
      <c r="AQ2500" s="1">
        <v>9.3</v>
      </c>
      <c r="AR2500" s="1">
        <v>14.2</v>
      </c>
      <c r="AS2500" s="1">
        <v>21.3</v>
      </c>
      <c r="AT2500" s="1">
        <v>19.5</v>
      </c>
      <c r="AU2500" s="1">
        <v>20.9</v>
      </c>
      <c r="AV2500" s="1">
        <v>6.7</v>
      </c>
      <c r="AW2500" s="1">
        <v>0.5</v>
      </c>
      <c r="AX2500" s="1">
        <v>0.4785</v>
      </c>
      <c r="AY2500" s="1">
        <v>14.6</v>
      </c>
      <c r="AZ2500" s="1">
        <v>13.7</v>
      </c>
      <c r="BA2500" s="1">
        <v>17.0</v>
      </c>
      <c r="BB2500" s="1">
        <v>3.25</v>
      </c>
      <c r="BC2500" s="1" t="s">
        <v>4001</v>
      </c>
      <c r="BD2500" s="1">
        <v>11.1</v>
      </c>
      <c r="BE2500" s="1">
        <v>36.3</v>
      </c>
      <c r="BF2500" s="1">
        <v>32.9</v>
      </c>
      <c r="BG2500" s="1">
        <v>19.8</v>
      </c>
      <c r="BH2500" s="1" t="s">
        <v>4095</v>
      </c>
    </row>
    <row r="2501">
      <c r="A2501" s="1">
        <v>47147.0</v>
      </c>
      <c r="B2501" s="2" t="str">
        <f>IFERROR(__xludf.DUMMYFUNCTION("TO_TEXT(A2501)"),"47147")</f>
        <v>47147</v>
      </c>
      <c r="C2501" s="1">
        <v>67905.0</v>
      </c>
      <c r="D2501" s="1">
        <v>476.288149563402</v>
      </c>
      <c r="E2501" s="1" t="s">
        <v>1908</v>
      </c>
      <c r="F2501" s="1" t="s">
        <v>4096</v>
      </c>
      <c r="G2501" s="1">
        <v>142.571256627414</v>
      </c>
      <c r="H2501" s="1">
        <v>17.879673288</v>
      </c>
      <c r="I2501" s="1">
        <v>4.3924190021</v>
      </c>
      <c r="J2501" s="1">
        <v>8.24122236669999</v>
      </c>
      <c r="K2501" s="1">
        <v>19.806466902</v>
      </c>
      <c r="L2501" s="1">
        <v>34.1</v>
      </c>
      <c r="M2501" s="1">
        <v>8.7</v>
      </c>
      <c r="N2501" s="1">
        <v>30.7</v>
      </c>
      <c r="O2501" s="1">
        <v>58.342259705</v>
      </c>
      <c r="P2501" s="1">
        <v>10.085553081</v>
      </c>
      <c r="Q2501" s="1">
        <v>35.62421</v>
      </c>
      <c r="R2501" s="1">
        <v>96.932515337</v>
      </c>
      <c r="S2501" s="1">
        <v>15.4</v>
      </c>
      <c r="T2501" s="1">
        <v>16982.0</v>
      </c>
      <c r="U2501" s="1">
        <v>31.704157343</v>
      </c>
      <c r="V2501" s="1">
        <v>426.09483716</v>
      </c>
      <c r="W2501" s="1">
        <v>12.3736352609999</v>
      </c>
      <c r="X2501" s="1">
        <v>9.7042626963</v>
      </c>
      <c r="Y2501" s="1">
        <v>75.757442246</v>
      </c>
      <c r="Z2501" s="1">
        <v>10.6</v>
      </c>
      <c r="AA2501" s="1">
        <v>1.6182121408</v>
      </c>
      <c r="AB2501" s="1">
        <v>66006.0</v>
      </c>
      <c r="AC2501" s="1">
        <v>52.4746192889999</v>
      </c>
      <c r="AD2501" s="1">
        <v>74.96848905</v>
      </c>
      <c r="AE2501" s="1">
        <v>10.095805491</v>
      </c>
      <c r="AF2501" s="1">
        <v>7.3325635104</v>
      </c>
      <c r="AG2501" s="1">
        <v>0.6210217991</v>
      </c>
      <c r="AH2501" s="1">
        <v>0.6731256689</v>
      </c>
      <c r="AI2501" s="1">
        <v>0.1196980792</v>
      </c>
      <c r="AJ2501" s="1">
        <v>7.283276066</v>
      </c>
      <c r="AK2501" s="1">
        <v>82.998648116</v>
      </c>
      <c r="AL2501" s="1">
        <v>1.5492176913</v>
      </c>
      <c r="AM2501" s="1">
        <v>50.597082183</v>
      </c>
      <c r="AN2501" s="1">
        <v>53.2398955989999</v>
      </c>
      <c r="AO2501" s="1">
        <v>25534.0</v>
      </c>
      <c r="AP2501" s="1">
        <v>10.5</v>
      </c>
      <c r="AQ2501" s="1">
        <v>7.4</v>
      </c>
      <c r="AR2501" s="1">
        <v>13.5</v>
      </c>
      <c r="AS2501" s="1">
        <v>13.4</v>
      </c>
      <c r="AT2501" s="1">
        <v>25.0</v>
      </c>
      <c r="AU2501" s="1">
        <v>14.5</v>
      </c>
      <c r="AV2501" s="1">
        <v>15.7</v>
      </c>
      <c r="AW2501" s="1">
        <v>1.3</v>
      </c>
      <c r="AX2501" s="1">
        <v>0.3591</v>
      </c>
      <c r="AY2501" s="1">
        <v>10.5</v>
      </c>
      <c r="AZ2501" s="1">
        <v>10.6</v>
      </c>
      <c r="BA2501" s="1">
        <v>13.2</v>
      </c>
      <c r="BB2501" s="1">
        <v>2.97</v>
      </c>
      <c r="BC2501" s="1" t="s">
        <v>4001</v>
      </c>
      <c r="BD2501" s="1">
        <v>12.8</v>
      </c>
      <c r="BE2501" s="1">
        <v>38.1</v>
      </c>
      <c r="BF2501" s="1">
        <v>29.5</v>
      </c>
      <c r="BG2501" s="1">
        <v>19.6</v>
      </c>
      <c r="BH2501" s="1" t="s">
        <v>4096</v>
      </c>
    </row>
    <row r="2502">
      <c r="A2502" s="1">
        <v>47149.0</v>
      </c>
      <c r="B2502" s="2" t="str">
        <f>IFERROR(__xludf.DUMMYFUNCTION("TO_TEXT(A2502)"),"47149")</f>
        <v>47149</v>
      </c>
      <c r="C2502" s="1">
        <v>290289.0</v>
      </c>
      <c r="D2502" s="1">
        <v>619.366066931615</v>
      </c>
      <c r="E2502" s="1" t="s">
        <v>3299</v>
      </c>
      <c r="F2502" s="1" t="s">
        <v>4097</v>
      </c>
      <c r="G2502" s="1">
        <v>468.687284465086</v>
      </c>
      <c r="H2502" s="1">
        <v>17.005739903</v>
      </c>
      <c r="I2502" s="1">
        <v>3.9009663086</v>
      </c>
      <c r="J2502" s="1">
        <v>8.587883648</v>
      </c>
      <c r="K2502" s="1">
        <v>18.863190384</v>
      </c>
      <c r="L2502" s="1">
        <v>35.9</v>
      </c>
      <c r="M2502" s="1">
        <v>7.9</v>
      </c>
      <c r="N2502" s="1">
        <v>24.8</v>
      </c>
      <c r="O2502" s="1">
        <v>75.56967906</v>
      </c>
      <c r="P2502" s="1">
        <v>9.4543284685</v>
      </c>
      <c r="Q2502" s="1">
        <v>42.56567</v>
      </c>
      <c r="R2502" s="1">
        <v>95.314705052</v>
      </c>
      <c r="S2502" s="1">
        <v>11.8</v>
      </c>
      <c r="T2502" s="1">
        <v>75963.0</v>
      </c>
      <c r="U2502" s="1">
        <v>29.889551492</v>
      </c>
      <c r="V2502" s="1">
        <v>491.58465148</v>
      </c>
      <c r="W2502" s="1">
        <v>14.286404017</v>
      </c>
      <c r="X2502" s="1">
        <v>11.5779736109999</v>
      </c>
      <c r="Y2502" s="1">
        <v>77.776609021</v>
      </c>
      <c r="Z2502" s="1">
        <v>10.8</v>
      </c>
      <c r="AA2502" s="1">
        <v>7.9560142936</v>
      </c>
      <c r="AB2502" s="1">
        <v>64170.0</v>
      </c>
      <c r="AC2502" s="1">
        <v>52.4746192889999</v>
      </c>
      <c r="AD2502" s="1">
        <v>65.473014945</v>
      </c>
      <c r="AE2502" s="1">
        <v>11.207451723</v>
      </c>
      <c r="AF2502" s="1">
        <v>15.389516452</v>
      </c>
      <c r="AG2502" s="1">
        <v>0.552186894</v>
      </c>
      <c r="AH2502" s="1">
        <v>3.5273477177</v>
      </c>
      <c r="AI2502" s="1">
        <v>0.1074209733</v>
      </c>
      <c r="AJ2502" s="1">
        <v>8.4511680877</v>
      </c>
      <c r="AK2502" s="1">
        <v>69.981224414</v>
      </c>
      <c r="AL2502" s="1">
        <v>2.3165175194</v>
      </c>
      <c r="AM2502" s="1">
        <v>50.77841731</v>
      </c>
      <c r="AN2502" s="1">
        <v>17.021446741</v>
      </c>
      <c r="AO2502" s="1">
        <v>26373.0</v>
      </c>
      <c r="AP2502" s="1">
        <v>12.6</v>
      </c>
      <c r="AQ2502" s="1">
        <v>6.1</v>
      </c>
      <c r="AR2502" s="1">
        <v>9.2</v>
      </c>
      <c r="AS2502" s="1">
        <v>9.5</v>
      </c>
      <c r="AT2502" s="1">
        <v>25.2</v>
      </c>
      <c r="AU2502" s="1">
        <v>10.1</v>
      </c>
      <c r="AV2502" s="1">
        <v>26.6</v>
      </c>
      <c r="AW2502" s="1">
        <v>1.9</v>
      </c>
      <c r="AX2502" s="1">
        <v>0.3457</v>
      </c>
      <c r="AY2502" s="1">
        <v>10.0</v>
      </c>
      <c r="AZ2502" s="1">
        <v>9.9</v>
      </c>
      <c r="BA2502" s="1">
        <v>10.5</v>
      </c>
      <c r="BB2502" s="1">
        <v>3.16</v>
      </c>
      <c r="BC2502" s="1" t="s">
        <v>4001</v>
      </c>
      <c r="BD2502" s="1">
        <v>8.2</v>
      </c>
      <c r="BE2502" s="1">
        <v>27.8</v>
      </c>
      <c r="BF2502" s="1">
        <v>31.7</v>
      </c>
      <c r="BG2502" s="1">
        <v>32.2</v>
      </c>
      <c r="BH2502" s="1" t="s">
        <v>4097</v>
      </c>
    </row>
    <row r="2503">
      <c r="A2503" s="1">
        <v>47151.0</v>
      </c>
      <c r="B2503" s="2" t="str">
        <f>IFERROR(__xludf.DUMMYFUNCTION("TO_TEXT(A2503)"),"47151")</f>
        <v>47151</v>
      </c>
      <c r="C2503" s="1">
        <v>22029.0</v>
      </c>
      <c r="D2503" s="1">
        <v>532.302085245076</v>
      </c>
      <c r="E2503" s="1" t="s">
        <v>394</v>
      </c>
      <c r="F2503" s="1" t="s">
        <v>4098</v>
      </c>
      <c r="G2503" s="1">
        <v>41.3843954600659</v>
      </c>
      <c r="H2503" s="1">
        <v>23.945272284</v>
      </c>
      <c r="I2503" s="1">
        <v>5.22085205899999</v>
      </c>
      <c r="J2503" s="1">
        <v>9.262166405</v>
      </c>
      <c r="K2503" s="1">
        <v>25.820436757</v>
      </c>
      <c r="L2503" s="1">
        <v>42.1</v>
      </c>
      <c r="M2503" s="1">
        <v>7.6</v>
      </c>
      <c r="N2503" s="1">
        <v>32.2</v>
      </c>
      <c r="O2503" s="1">
        <v>71.050026993</v>
      </c>
      <c r="P2503" s="1">
        <v>11.3193903659999</v>
      </c>
      <c r="Q2503" s="1">
        <v>40.92956</v>
      </c>
      <c r="R2503" s="1">
        <v>95.890410959</v>
      </c>
      <c r="S2503" s="1">
        <v>26.6</v>
      </c>
      <c r="T2503" s="1">
        <v>5266.0</v>
      </c>
      <c r="U2503" s="1">
        <v>38.909988606</v>
      </c>
      <c r="V2503" s="1">
        <v>230.02118017</v>
      </c>
      <c r="W2503" s="1">
        <v>14.157706093</v>
      </c>
      <c r="X2503" s="1">
        <v>13.456432537</v>
      </c>
      <c r="Y2503" s="1">
        <v>72.10644565</v>
      </c>
      <c r="Z2503" s="1">
        <v>13.1</v>
      </c>
      <c r="AA2503" s="1">
        <v>1.7163836993</v>
      </c>
      <c r="AB2503" s="1">
        <v>35685.0</v>
      </c>
      <c r="AC2503" s="1">
        <v>52.4746192889999</v>
      </c>
      <c r="AD2503" s="1">
        <v>68.976215098</v>
      </c>
      <c r="AE2503" s="1">
        <v>11.763997592</v>
      </c>
      <c r="AF2503" s="1">
        <v>0.2132583148</v>
      </c>
      <c r="AG2503" s="1">
        <v>0.335768410499999</v>
      </c>
      <c r="AH2503" s="1">
        <v>0.290394301</v>
      </c>
      <c r="AI2503" s="1">
        <v>0.0090748219</v>
      </c>
      <c r="AJ2503" s="1">
        <v>1.0481419302</v>
      </c>
      <c r="AK2503" s="1">
        <v>97.14596851</v>
      </c>
      <c r="AL2503" s="1">
        <v>0.1163974975</v>
      </c>
      <c r="AM2503" s="1">
        <v>50.9006760739999</v>
      </c>
      <c r="AN2503" s="1">
        <v>80.556055426</v>
      </c>
      <c r="AO2503" s="1">
        <v>21011.0</v>
      </c>
      <c r="AP2503" s="1">
        <v>27.7</v>
      </c>
      <c r="AQ2503" s="1">
        <v>13.4</v>
      </c>
      <c r="AR2503" s="1">
        <v>22.7</v>
      </c>
      <c r="AS2503" s="1">
        <v>15.6</v>
      </c>
      <c r="AT2503" s="1">
        <v>24.6</v>
      </c>
      <c r="AU2503" s="1">
        <v>24.5</v>
      </c>
      <c r="AV2503" s="1">
        <v>2.4</v>
      </c>
      <c r="AW2503" s="1">
        <v>0.1</v>
      </c>
      <c r="AX2503" s="1">
        <v>0.6418</v>
      </c>
      <c r="AY2503" s="1">
        <v>22.0</v>
      </c>
      <c r="AZ2503" s="1">
        <v>17.7</v>
      </c>
      <c r="BA2503" s="1">
        <v>22.3</v>
      </c>
      <c r="BB2503" s="1">
        <v>3.14</v>
      </c>
      <c r="BC2503" s="1" t="s">
        <v>4001</v>
      </c>
      <c r="BD2503" s="1">
        <v>20.2</v>
      </c>
      <c r="BE2503" s="1">
        <v>44.3</v>
      </c>
      <c r="BF2503" s="1">
        <v>26.3</v>
      </c>
      <c r="BG2503" s="1">
        <v>9.2</v>
      </c>
      <c r="BH2503" s="1" t="s">
        <v>4098</v>
      </c>
    </row>
    <row r="2504">
      <c r="A2504" s="1">
        <v>47153.0</v>
      </c>
      <c r="B2504" s="2" t="str">
        <f>IFERROR(__xludf.DUMMYFUNCTION("TO_TEXT(A2504)"),"47153")</f>
        <v>47153</v>
      </c>
      <c r="C2504" s="1">
        <v>14710.0</v>
      </c>
      <c r="D2504" s="1">
        <v>265.850866850434</v>
      </c>
      <c r="E2504" s="1" t="s">
        <v>4099</v>
      </c>
      <c r="F2504" s="1" t="s">
        <v>4100</v>
      </c>
      <c r="G2504" s="1">
        <v>55.3317736905321</v>
      </c>
      <c r="H2504" s="1">
        <v>21.659863033</v>
      </c>
      <c r="I2504" s="1">
        <v>4.9072504743</v>
      </c>
      <c r="J2504" s="1">
        <v>10.443622921</v>
      </c>
      <c r="K2504" s="1">
        <v>21.495811574</v>
      </c>
      <c r="L2504" s="1">
        <v>37.9</v>
      </c>
      <c r="M2504" s="1">
        <v>8.6</v>
      </c>
      <c r="N2504" s="1">
        <v>26.4</v>
      </c>
      <c r="O2504" s="1">
        <v>33.708900227</v>
      </c>
      <c r="P2504" s="1">
        <v>11.290738671</v>
      </c>
      <c r="Q2504" s="1">
        <v>33.93051</v>
      </c>
      <c r="R2504" s="1">
        <v>86.419753086</v>
      </c>
      <c r="S2504" s="1">
        <v>25.6</v>
      </c>
      <c r="T2504" s="1">
        <v>3143.0</v>
      </c>
      <c r="U2504" s="1">
        <v>33.2803054409999</v>
      </c>
      <c r="V2504" s="1">
        <v>389.13116404</v>
      </c>
      <c r="W2504" s="1">
        <v>15.405405405</v>
      </c>
      <c r="X2504" s="1">
        <v>10.417422868</v>
      </c>
      <c r="Y2504" s="1">
        <v>77.079219315</v>
      </c>
      <c r="Z2504" s="1">
        <v>12.7</v>
      </c>
      <c r="AA2504" s="1">
        <v>0.0245486141</v>
      </c>
      <c r="AB2504" s="1">
        <v>49707.0</v>
      </c>
      <c r="AC2504" s="1">
        <v>52.4746192889999</v>
      </c>
      <c r="AD2504" s="1">
        <v>76.383017828</v>
      </c>
      <c r="AE2504" s="1">
        <v>8.3820662768</v>
      </c>
      <c r="AF2504" s="1">
        <v>0.5915568701</v>
      </c>
      <c r="AG2504" s="1">
        <v>0.6318902931</v>
      </c>
      <c r="AH2504" s="1">
        <v>0.4840010756</v>
      </c>
      <c r="AI2504" s="1">
        <v>0.0739446088</v>
      </c>
      <c r="AJ2504" s="1">
        <v>3.4888410863</v>
      </c>
      <c r="AK2504" s="1">
        <v>93.486152191</v>
      </c>
      <c r="AL2504" s="1">
        <v>0.3790045767</v>
      </c>
      <c r="AM2504" s="1">
        <v>50.504167787</v>
      </c>
      <c r="AN2504" s="1">
        <v>73.802437642</v>
      </c>
      <c r="AO2504" s="1">
        <v>21605.0</v>
      </c>
      <c r="AP2504" s="1">
        <v>16.1</v>
      </c>
      <c r="AQ2504" s="1">
        <v>9.1</v>
      </c>
      <c r="AR2504" s="1">
        <v>18.2</v>
      </c>
      <c r="AS2504" s="1">
        <v>19.3</v>
      </c>
      <c r="AT2504" s="1">
        <v>22.4</v>
      </c>
      <c r="AU2504" s="1">
        <v>23.2</v>
      </c>
      <c r="AV2504" s="1">
        <v>14.4</v>
      </c>
      <c r="AW2504" s="1">
        <v>0.4</v>
      </c>
      <c r="AX2504" s="1">
        <v>0.7405</v>
      </c>
      <c r="AY2504" s="1">
        <v>17.4</v>
      </c>
      <c r="AZ2504" s="1">
        <v>14.7</v>
      </c>
      <c r="BA2504" s="1">
        <v>19.6</v>
      </c>
      <c r="BB2504" s="1">
        <v>3.29</v>
      </c>
      <c r="BC2504" s="1" t="s">
        <v>4001</v>
      </c>
      <c r="BD2504" s="1">
        <v>18.4</v>
      </c>
      <c r="BE2504" s="1">
        <v>39.1</v>
      </c>
      <c r="BF2504" s="1">
        <v>27.4</v>
      </c>
      <c r="BG2504" s="1">
        <v>15.1</v>
      </c>
      <c r="BH2504" s="1" t="s">
        <v>4100</v>
      </c>
    </row>
    <row r="2505">
      <c r="A2505" s="1">
        <v>47155.0</v>
      </c>
      <c r="B2505" s="2" t="str">
        <f>IFERROR(__xludf.DUMMYFUNCTION("TO_TEXT(A2505)"),"47155")</f>
        <v>47155</v>
      </c>
      <c r="C2505" s="1">
        <v>94537.0</v>
      </c>
      <c r="D2505" s="1">
        <v>592.497462343326</v>
      </c>
      <c r="E2505" s="1" t="s">
        <v>400</v>
      </c>
      <c r="F2505" s="1" t="s">
        <v>4101</v>
      </c>
      <c r="G2505" s="1">
        <v>159.556801519633</v>
      </c>
      <c r="H2505" s="1">
        <v>19.473471042</v>
      </c>
      <c r="I2505" s="1">
        <v>4.7178496601</v>
      </c>
      <c r="J2505" s="1">
        <v>8.2023239918</v>
      </c>
      <c r="K2505" s="1">
        <v>21.47980237</v>
      </c>
      <c r="L2505" s="1">
        <v>44.3</v>
      </c>
      <c r="M2505" s="1">
        <v>8.0</v>
      </c>
      <c r="N2505" s="1">
        <v>34.7</v>
      </c>
      <c r="O2505" s="1">
        <v>63.718586256</v>
      </c>
      <c r="P2505" s="1">
        <v>16.67353032</v>
      </c>
      <c r="Q2505" s="1">
        <v>38.91927</v>
      </c>
      <c r="R2505" s="1">
        <v>89.154411765</v>
      </c>
      <c r="S2505" s="1">
        <v>23.0</v>
      </c>
      <c r="T2505" s="1">
        <v>19683.0</v>
      </c>
      <c r="U2505" s="1">
        <v>33.790580704</v>
      </c>
      <c r="V2505" s="1">
        <v>311.17898786</v>
      </c>
      <c r="W2505" s="1">
        <v>14.318550568</v>
      </c>
      <c r="X2505" s="1">
        <v>11.032319651</v>
      </c>
      <c r="Y2505" s="1">
        <v>75.951232144</v>
      </c>
      <c r="Z2505" s="1">
        <v>15.1</v>
      </c>
      <c r="AA2505" s="1">
        <v>5.4339480977</v>
      </c>
      <c r="AB2505" s="1">
        <v>47202.0</v>
      </c>
      <c r="AC2505" s="1">
        <v>52.4746192889999</v>
      </c>
      <c r="AD2505" s="1">
        <v>68.147245906</v>
      </c>
      <c r="AE2505" s="1">
        <v>11.1416087829999</v>
      </c>
      <c r="AF2505" s="1">
        <v>1.1042781841</v>
      </c>
      <c r="AG2505" s="1">
        <v>0.6292649042</v>
      </c>
      <c r="AH2505" s="1">
        <v>1.2840681567</v>
      </c>
      <c r="AI2505" s="1">
        <v>0.0490336289</v>
      </c>
      <c r="AJ2505" s="1">
        <v>6.2650676255</v>
      </c>
      <c r="AK2505" s="1">
        <v>89.73358395</v>
      </c>
      <c r="AL2505" s="1">
        <v>2.0950395083</v>
      </c>
      <c r="AM2505" s="1">
        <v>51.0532014869999</v>
      </c>
      <c r="AN2505" s="1">
        <v>56.647643204</v>
      </c>
      <c r="AO2505" s="1">
        <v>22773.0</v>
      </c>
      <c r="AP2505" s="1">
        <v>15.3</v>
      </c>
      <c r="AQ2505" s="1">
        <v>6.4</v>
      </c>
      <c r="AR2505" s="1">
        <v>16.5</v>
      </c>
      <c r="AS2505" s="1">
        <v>17.7</v>
      </c>
      <c r="AT2505" s="1">
        <v>21.3</v>
      </c>
      <c r="AU2505" s="1">
        <v>17.3</v>
      </c>
      <c r="AV2505" s="1">
        <v>9.0</v>
      </c>
      <c r="AW2505" s="1">
        <v>1.9</v>
      </c>
      <c r="AX2505" s="1">
        <v>0.5556</v>
      </c>
      <c r="AY2505" s="1">
        <v>12.9</v>
      </c>
      <c r="AZ2505" s="1">
        <v>13.1</v>
      </c>
      <c r="BA2505" s="1">
        <v>16.5</v>
      </c>
      <c r="BB2505" s="1">
        <v>3.32</v>
      </c>
      <c r="BC2505" s="1" t="s">
        <v>4001</v>
      </c>
      <c r="BD2505" s="1">
        <v>15.0</v>
      </c>
      <c r="BE2505" s="1">
        <v>37.2</v>
      </c>
      <c r="BF2505" s="1">
        <v>30.3</v>
      </c>
      <c r="BG2505" s="1">
        <v>17.4</v>
      </c>
      <c r="BH2505" s="1" t="s">
        <v>4101</v>
      </c>
    </row>
    <row r="2506">
      <c r="A2506" s="1">
        <v>47157.0</v>
      </c>
      <c r="B2506" s="2" t="str">
        <f>IFERROR(__xludf.DUMMYFUNCTION("TO_TEXT(A2506)"),"47157")</f>
        <v>47157</v>
      </c>
      <c r="C2506" s="1">
        <v>936990.0</v>
      </c>
      <c r="D2506" s="1">
        <v>763.589183295236</v>
      </c>
      <c r="E2506" s="1" t="s">
        <v>176</v>
      </c>
      <c r="F2506" s="1" t="s">
        <v>4102</v>
      </c>
      <c r="G2506" s="1">
        <v>1227.08652832988</v>
      </c>
      <c r="H2506" s="1">
        <v>20.611823743</v>
      </c>
      <c r="I2506" s="1">
        <v>4.160828464</v>
      </c>
      <c r="J2506" s="1">
        <v>11.76745272</v>
      </c>
      <c r="K2506" s="1">
        <v>20.096967848</v>
      </c>
      <c r="L2506" s="1">
        <v>35.5</v>
      </c>
      <c r="M2506" s="1">
        <v>6.0</v>
      </c>
      <c r="N2506" s="1">
        <v>25.2</v>
      </c>
      <c r="O2506" s="1">
        <v>86.687242089</v>
      </c>
      <c r="P2506" s="1">
        <v>11.749753252</v>
      </c>
      <c r="Q2506" s="1">
        <v>83.56805</v>
      </c>
      <c r="R2506" s="1">
        <v>80.341066482</v>
      </c>
      <c r="S2506" s="1">
        <v>33.2</v>
      </c>
      <c r="T2506" s="1">
        <v>234034.0</v>
      </c>
      <c r="U2506" s="1">
        <v>50.955844023</v>
      </c>
      <c r="V2506" s="1">
        <v>1346.1547646</v>
      </c>
      <c r="W2506" s="1">
        <v>20.188309926</v>
      </c>
      <c r="X2506" s="1">
        <v>18.101250989</v>
      </c>
      <c r="Y2506" s="1">
        <v>75.685420008</v>
      </c>
      <c r="Z2506" s="1">
        <v>12.0</v>
      </c>
      <c r="AA2506" s="1">
        <v>11.309213087</v>
      </c>
      <c r="AB2506" s="1">
        <v>47924.0</v>
      </c>
      <c r="AC2506" s="1">
        <v>52.4746192889999</v>
      </c>
      <c r="AD2506" s="1">
        <v>55.352880717</v>
      </c>
      <c r="AE2506" s="1">
        <v>18.026947268</v>
      </c>
      <c r="AF2506" s="1">
        <v>53.648142053</v>
      </c>
      <c r="AG2506" s="1">
        <v>0.3364096076</v>
      </c>
      <c r="AH2506" s="1">
        <v>2.7076271368</v>
      </c>
      <c r="AI2506" s="1">
        <v>0.0745914568</v>
      </c>
      <c r="AJ2506" s="1">
        <v>6.53508790679999</v>
      </c>
      <c r="AK2506" s="1">
        <v>35.584078892</v>
      </c>
      <c r="AL2506" s="1">
        <v>1.9070949032</v>
      </c>
      <c r="AM2506" s="1">
        <v>52.4963559189999</v>
      </c>
      <c r="AN2506" s="1">
        <v>2.7597871597</v>
      </c>
      <c r="AO2506" s="1">
        <v>26963.0</v>
      </c>
      <c r="AP2506" s="1">
        <v>21.4</v>
      </c>
      <c r="AQ2506" s="1">
        <v>9.4</v>
      </c>
      <c r="AR2506" s="1">
        <v>12.9</v>
      </c>
      <c r="AS2506" s="1">
        <v>11.6</v>
      </c>
      <c r="AT2506" s="1">
        <v>25.5</v>
      </c>
      <c r="AU2506" s="1">
        <v>12.5</v>
      </c>
      <c r="AV2506" s="1">
        <v>63.2</v>
      </c>
      <c r="AW2506" s="1">
        <v>1.9</v>
      </c>
      <c r="AX2506" s="1">
        <v>0.7896</v>
      </c>
      <c r="AY2506" s="1">
        <v>17.2</v>
      </c>
      <c r="AZ2506" s="1">
        <v>15.0</v>
      </c>
      <c r="BA2506" s="1">
        <v>18.7</v>
      </c>
      <c r="BB2506" s="1">
        <v>3.13</v>
      </c>
      <c r="BC2506" s="1" t="s">
        <v>4001</v>
      </c>
      <c r="BD2506" s="1">
        <v>11.6</v>
      </c>
      <c r="BE2506" s="1">
        <v>27.5</v>
      </c>
      <c r="BF2506" s="1">
        <v>29.3</v>
      </c>
      <c r="BG2506" s="1">
        <v>31.6</v>
      </c>
      <c r="BH2506" s="1" t="s">
        <v>4102</v>
      </c>
    </row>
    <row r="2507">
      <c r="A2507" s="1">
        <v>47159.0</v>
      </c>
      <c r="B2507" s="2" t="str">
        <f>IFERROR(__xludf.DUMMYFUNCTION("TO_TEXT(A2507)"),"47159")</f>
        <v>47159</v>
      </c>
      <c r="C2507" s="1">
        <v>19176.0</v>
      </c>
      <c r="D2507" s="1">
        <v>314.293502158335</v>
      </c>
      <c r="E2507" s="1" t="s">
        <v>1734</v>
      </c>
      <c r="F2507" s="1" t="s">
        <v>4103</v>
      </c>
      <c r="G2507" s="1">
        <v>61.0130335763017</v>
      </c>
      <c r="H2507" s="1">
        <v>19.044998124</v>
      </c>
      <c r="I2507" s="1">
        <v>4.6845722176</v>
      </c>
      <c r="J2507" s="1">
        <v>10.213032581</v>
      </c>
      <c r="K2507" s="1">
        <v>22.154397692</v>
      </c>
      <c r="L2507" s="1">
        <v>30.0</v>
      </c>
      <c r="M2507" s="1">
        <v>8.6</v>
      </c>
      <c r="N2507" s="1">
        <v>20.0</v>
      </c>
      <c r="O2507" s="1">
        <v>49.253887092</v>
      </c>
      <c r="P2507" s="1">
        <v>10.3331485929999</v>
      </c>
      <c r="Q2507" s="1">
        <v>40.7415</v>
      </c>
      <c r="R2507" s="1">
        <v>92.3076923079999</v>
      </c>
      <c r="S2507" s="1">
        <v>18.8</v>
      </c>
      <c r="T2507" s="1">
        <v>4485.0</v>
      </c>
      <c r="U2507" s="1">
        <v>33.199554069</v>
      </c>
      <c r="V2507" s="1">
        <v>236.7387289</v>
      </c>
      <c r="W2507" s="1">
        <v>11.317008604</v>
      </c>
      <c r="X2507" s="1">
        <v>9.042196919</v>
      </c>
      <c r="Y2507" s="1">
        <v>74.85743138</v>
      </c>
      <c r="Z2507" s="1">
        <v>16.3</v>
      </c>
      <c r="AA2507" s="1">
        <v>0.5736811463</v>
      </c>
      <c r="AB2507" s="1">
        <v>50704.0</v>
      </c>
      <c r="AC2507" s="1">
        <v>52.4746192889999</v>
      </c>
      <c r="AD2507" s="1">
        <v>74.2879746839999</v>
      </c>
      <c r="AE2507" s="1">
        <v>11.343900758</v>
      </c>
      <c r="AF2507" s="1">
        <v>2.2264567245</v>
      </c>
      <c r="AG2507" s="1">
        <v>0.4713669642</v>
      </c>
      <c r="AH2507" s="1">
        <v>0.4162070003</v>
      </c>
      <c r="AI2507" s="1">
        <v>0.0150436265</v>
      </c>
      <c r="AJ2507" s="1">
        <v>2.9284926286</v>
      </c>
      <c r="AK2507" s="1">
        <v>92.638652091</v>
      </c>
      <c r="AL2507" s="1">
        <v>0.038093165</v>
      </c>
      <c r="AM2507" s="1">
        <v>50.2507271089999</v>
      </c>
      <c r="AN2507" s="1">
        <v>82.875926119</v>
      </c>
      <c r="AO2507" s="1">
        <v>23108.0</v>
      </c>
      <c r="AP2507" s="1">
        <v>16.2</v>
      </c>
      <c r="AQ2507" s="1">
        <v>4.2</v>
      </c>
      <c r="AR2507" s="1">
        <v>17.3</v>
      </c>
      <c r="AS2507" s="1">
        <v>15.4</v>
      </c>
      <c r="AT2507" s="1">
        <v>23.9</v>
      </c>
      <c r="AU2507" s="1">
        <v>18.6</v>
      </c>
      <c r="AV2507" s="1">
        <v>6.7</v>
      </c>
      <c r="AW2507" s="1">
        <v>0.1</v>
      </c>
      <c r="AX2507" s="1">
        <v>0.3397</v>
      </c>
      <c r="AY2507" s="1">
        <v>15.3</v>
      </c>
      <c r="AZ2507" s="1">
        <v>12.6</v>
      </c>
      <c r="BA2507" s="1">
        <v>14.9</v>
      </c>
      <c r="BB2507" s="1">
        <v>3.17</v>
      </c>
      <c r="BC2507" s="1" t="s">
        <v>4001</v>
      </c>
      <c r="BD2507" s="1">
        <v>14.7</v>
      </c>
      <c r="BE2507" s="1">
        <v>46.5</v>
      </c>
      <c r="BF2507" s="1">
        <v>24.3</v>
      </c>
      <c r="BG2507" s="1">
        <v>14.4</v>
      </c>
      <c r="BH2507" s="1" t="s">
        <v>4103</v>
      </c>
    </row>
    <row r="2508">
      <c r="A2508" s="1">
        <v>47161.0</v>
      </c>
      <c r="B2508" s="2" t="str">
        <f>IFERROR(__xludf.DUMMYFUNCTION("TO_TEXT(A2508)"),"47161")</f>
        <v>47161</v>
      </c>
      <c r="C2508" s="1">
        <v>13257.0</v>
      </c>
      <c r="D2508" s="1">
        <v>459.325270936858</v>
      </c>
      <c r="E2508" s="1" t="s">
        <v>1008</v>
      </c>
      <c r="F2508" s="1" t="s">
        <v>4104</v>
      </c>
      <c r="G2508" s="1">
        <v>28.8618999188973</v>
      </c>
      <c r="H2508" s="1">
        <v>19.064627123</v>
      </c>
      <c r="I2508" s="1">
        <v>4.5994999919</v>
      </c>
      <c r="J2508" s="1">
        <v>7.4423480084</v>
      </c>
      <c r="K2508" s="1">
        <v>20.703662226</v>
      </c>
      <c r="L2508" s="1">
        <v>26.9</v>
      </c>
      <c r="M2508" s="1">
        <v>8.1</v>
      </c>
      <c r="N2508" s="1">
        <v>27.0</v>
      </c>
      <c r="O2508" s="1">
        <v>54.323026118</v>
      </c>
      <c r="P2508" s="1">
        <v>12.013967535</v>
      </c>
      <c r="Q2508" s="1">
        <v>7.48783</v>
      </c>
      <c r="R2508" s="1">
        <v>97.385620915</v>
      </c>
      <c r="S2508" s="1">
        <v>22.2</v>
      </c>
      <c r="T2508" s="1">
        <v>2786.0</v>
      </c>
      <c r="U2508" s="1">
        <v>31.155778894</v>
      </c>
      <c r="V2508" s="1">
        <v>439.1562195</v>
      </c>
      <c r="W2508" s="1">
        <v>13.693346191</v>
      </c>
      <c r="X2508" s="1">
        <v>12.979351032</v>
      </c>
      <c r="Y2508" s="1">
        <v>75.253072725</v>
      </c>
      <c r="Z2508" s="1">
        <v>10.5</v>
      </c>
      <c r="AA2508" s="1">
        <v>0.7287981378</v>
      </c>
      <c r="AB2508" s="1">
        <v>46565.0</v>
      </c>
      <c r="AC2508" s="1">
        <v>52.4746192889999</v>
      </c>
      <c r="AD2508" s="1">
        <v>72.874571102</v>
      </c>
      <c r="AE2508" s="1">
        <v>12.204563977</v>
      </c>
      <c r="AF2508" s="1">
        <v>1.68866602759999</v>
      </c>
      <c r="AG2508" s="1">
        <v>0.759531008</v>
      </c>
      <c r="AH2508" s="1">
        <v>1.04712041879999</v>
      </c>
      <c r="AI2508" s="1">
        <v>0.0516186122</v>
      </c>
      <c r="AJ2508" s="1">
        <v>3.0971167318</v>
      </c>
      <c r="AK2508" s="1">
        <v>91.696777524</v>
      </c>
      <c r="AL2508" s="1">
        <v>0.0877963126</v>
      </c>
      <c r="AM2508" s="1">
        <v>50.055305656</v>
      </c>
      <c r="AN2508" s="1">
        <v>100.0</v>
      </c>
      <c r="AO2508" s="1">
        <v>21652.0</v>
      </c>
      <c r="AP2508" s="1">
        <v>19.2</v>
      </c>
      <c r="AQ2508" s="1">
        <v>8.7</v>
      </c>
      <c r="AR2508" s="1">
        <v>13.7</v>
      </c>
      <c r="AS2508" s="1">
        <v>18.9</v>
      </c>
      <c r="AT2508" s="1">
        <v>21.5</v>
      </c>
      <c r="AU2508" s="1">
        <v>21.3</v>
      </c>
      <c r="AV2508" s="1">
        <v>8.0</v>
      </c>
      <c r="AW2508" s="1">
        <v>0.2</v>
      </c>
      <c r="AX2508" s="1">
        <v>0.3429</v>
      </c>
      <c r="AY2508" s="1">
        <v>12.9</v>
      </c>
      <c r="AZ2508" s="1">
        <v>14.9</v>
      </c>
      <c r="BA2508" s="1">
        <v>19.5</v>
      </c>
      <c r="BB2508" s="1">
        <v>3.12</v>
      </c>
      <c r="BC2508" s="1" t="s">
        <v>4001</v>
      </c>
      <c r="BD2508" s="1">
        <v>12.8</v>
      </c>
      <c r="BE2508" s="1">
        <v>44.8</v>
      </c>
      <c r="BF2508" s="1">
        <v>26.8</v>
      </c>
      <c r="BG2508" s="1">
        <v>15.6</v>
      </c>
      <c r="BH2508" s="1" t="s">
        <v>4104</v>
      </c>
    </row>
    <row r="2509">
      <c r="A2509" s="1">
        <v>47163.0</v>
      </c>
      <c r="B2509" s="2" t="str">
        <f>IFERROR(__xludf.DUMMYFUNCTION("TO_TEXT(A2509)"),"47163")</f>
        <v>47163</v>
      </c>
      <c r="C2509" s="1">
        <v>156644.0</v>
      </c>
      <c r="D2509" s="1">
        <v>413.412064348642</v>
      </c>
      <c r="E2509" s="1" t="s">
        <v>1416</v>
      </c>
      <c r="F2509" s="1" t="s">
        <v>4105</v>
      </c>
      <c r="G2509" s="1">
        <v>378.905246141771</v>
      </c>
      <c r="H2509" s="1">
        <v>20.52552902</v>
      </c>
      <c r="I2509" s="1">
        <v>5.2014366207</v>
      </c>
      <c r="J2509" s="1">
        <v>8.2901554404</v>
      </c>
      <c r="K2509" s="1">
        <v>22.099687584</v>
      </c>
      <c r="L2509" s="1">
        <v>34.0</v>
      </c>
      <c r="M2509" s="1">
        <v>7.2</v>
      </c>
      <c r="N2509" s="1">
        <v>29.6</v>
      </c>
      <c r="O2509" s="1">
        <v>78.1231069419999</v>
      </c>
      <c r="P2509" s="1">
        <v>10.274868572</v>
      </c>
      <c r="Q2509" s="1">
        <v>126.62416</v>
      </c>
      <c r="R2509" s="1">
        <v>94.456886898</v>
      </c>
      <c r="S2509" s="1">
        <v>24.6</v>
      </c>
      <c r="T2509" s="1">
        <v>30480.0</v>
      </c>
      <c r="U2509" s="1">
        <v>34.356955381</v>
      </c>
      <c r="V2509" s="1">
        <v>484.19744035</v>
      </c>
      <c r="W2509" s="1">
        <v>11.419682829</v>
      </c>
      <c r="X2509" s="1">
        <v>9.2853296407</v>
      </c>
      <c r="Y2509" s="1">
        <v>75.877264692</v>
      </c>
      <c r="Z2509" s="1">
        <v>14.8</v>
      </c>
      <c r="AA2509" s="1">
        <v>12.887317634</v>
      </c>
      <c r="AB2509" s="1">
        <v>46024.0</v>
      </c>
      <c r="AC2509" s="1">
        <v>52.4746192889999</v>
      </c>
      <c r="AD2509" s="1">
        <v>72.008937333</v>
      </c>
      <c r="AE2509" s="1">
        <v>9.5409156367</v>
      </c>
      <c r="AF2509" s="1">
        <v>2.1963873456</v>
      </c>
      <c r="AG2509" s="1">
        <v>0.3697643149</v>
      </c>
      <c r="AH2509" s="1">
        <v>0.7813887409</v>
      </c>
      <c r="AI2509" s="1">
        <v>0.0399573788</v>
      </c>
      <c r="AJ2509" s="1">
        <v>1.9376157495</v>
      </c>
      <c r="AK2509" s="1">
        <v>93.29603978</v>
      </c>
      <c r="AL2509" s="1">
        <v>0.3430727502</v>
      </c>
      <c r="AM2509" s="1">
        <v>51.3617221</v>
      </c>
      <c r="AN2509" s="1">
        <v>25.561301595</v>
      </c>
      <c r="AO2509" s="1">
        <v>24680.0</v>
      </c>
      <c r="AP2509" s="1">
        <v>16.8</v>
      </c>
      <c r="AQ2509" s="1">
        <v>7.7</v>
      </c>
      <c r="AR2509" s="1">
        <v>14.3</v>
      </c>
      <c r="AS2509" s="1">
        <v>20.3</v>
      </c>
      <c r="AT2509" s="1">
        <v>19.9</v>
      </c>
      <c r="AU2509" s="1">
        <v>20.4</v>
      </c>
      <c r="AV2509" s="1">
        <v>6.2</v>
      </c>
      <c r="AW2509" s="1">
        <v>0.3</v>
      </c>
      <c r="AX2509" s="1">
        <v>0.5317</v>
      </c>
      <c r="AY2509" s="1">
        <v>15.1</v>
      </c>
      <c r="AZ2509" s="1">
        <v>14.3</v>
      </c>
      <c r="BA2509" s="1">
        <v>19.7</v>
      </c>
      <c r="BB2509" s="1">
        <v>3.18</v>
      </c>
      <c r="BC2509" s="1" t="s">
        <v>4001</v>
      </c>
      <c r="BD2509" s="1">
        <v>12.8</v>
      </c>
      <c r="BE2509" s="1">
        <v>34.7</v>
      </c>
      <c r="BF2509" s="1">
        <v>28.8</v>
      </c>
      <c r="BG2509" s="1">
        <v>23.6</v>
      </c>
      <c r="BH2509" s="1" t="s">
        <v>4105</v>
      </c>
    </row>
    <row r="2510">
      <c r="A2510" s="1">
        <v>47165.0</v>
      </c>
      <c r="B2510" s="2" t="str">
        <f>IFERROR(__xludf.DUMMYFUNCTION("TO_TEXT(A2510)"),"47165")</f>
        <v>47165</v>
      </c>
      <c r="C2510" s="1">
        <v>172786.0</v>
      </c>
      <c r="D2510" s="1">
        <v>529.37196566132</v>
      </c>
      <c r="E2510" s="1" t="s">
        <v>1742</v>
      </c>
      <c r="F2510" s="1" t="s">
        <v>4106</v>
      </c>
      <c r="G2510" s="1">
        <v>326.398092849791</v>
      </c>
      <c r="H2510" s="1">
        <v>17.351509927</v>
      </c>
      <c r="I2510" s="1">
        <v>4.4265903149</v>
      </c>
      <c r="J2510" s="1">
        <v>8.0635182512</v>
      </c>
      <c r="K2510" s="1">
        <v>18.136700439</v>
      </c>
      <c r="L2510" s="1">
        <v>31.1</v>
      </c>
      <c r="M2510" s="1">
        <v>8.3</v>
      </c>
      <c r="N2510" s="1">
        <v>32.1</v>
      </c>
      <c r="O2510" s="1">
        <v>65.403218276</v>
      </c>
      <c r="P2510" s="1">
        <v>9.8000849607</v>
      </c>
      <c r="Q2510" s="1">
        <v>49.0343</v>
      </c>
      <c r="R2510" s="1">
        <v>94.664125774</v>
      </c>
      <c r="S2510" s="1">
        <v>11.7</v>
      </c>
      <c r="T2510" s="1">
        <v>42859.0</v>
      </c>
      <c r="U2510" s="1">
        <v>30.208357638</v>
      </c>
      <c r="V2510" s="1">
        <v>248.55705793</v>
      </c>
      <c r="W2510" s="1">
        <v>11.654016445</v>
      </c>
      <c r="X2510" s="1">
        <v>10.122038765</v>
      </c>
      <c r="Y2510" s="1">
        <v>77.822641879</v>
      </c>
      <c r="Z2510" s="1">
        <v>8.3</v>
      </c>
      <c r="AA2510" s="1">
        <v>6.940020292</v>
      </c>
      <c r="AB2510" s="1">
        <v>66171.0</v>
      </c>
      <c r="AC2510" s="1">
        <v>52.4746192889999</v>
      </c>
      <c r="AD2510" s="1">
        <v>73.44504532</v>
      </c>
      <c r="AE2510" s="1">
        <v>10.28688014</v>
      </c>
      <c r="AF2510" s="1">
        <v>7.7066935971</v>
      </c>
      <c r="AG2510" s="1">
        <v>0.3948725347</v>
      </c>
      <c r="AH2510" s="1">
        <v>1.4704860833</v>
      </c>
      <c r="AI2510" s="1">
        <v>0.0993860507</v>
      </c>
      <c r="AJ2510" s="1">
        <v>5.0745662547</v>
      </c>
      <c r="AK2510" s="1">
        <v>83.790455733</v>
      </c>
      <c r="AL2510" s="1">
        <v>1.0159091853</v>
      </c>
      <c r="AM2510" s="1">
        <v>51.173663765</v>
      </c>
      <c r="AN2510" s="1">
        <v>27.882598276</v>
      </c>
      <c r="AO2510" s="1">
        <v>29313.0</v>
      </c>
      <c r="AP2510" s="1">
        <v>9.7</v>
      </c>
      <c r="AQ2510" s="1">
        <v>5.3</v>
      </c>
      <c r="AR2510" s="1">
        <v>10.7</v>
      </c>
      <c r="AS2510" s="1">
        <v>14.6</v>
      </c>
      <c r="AT2510" s="1">
        <v>24.4</v>
      </c>
      <c r="AU2510" s="1">
        <v>13.0</v>
      </c>
      <c r="AV2510" s="1">
        <v>14.3</v>
      </c>
      <c r="AW2510" s="1">
        <v>0.8</v>
      </c>
      <c r="AX2510" s="1">
        <v>0.1936</v>
      </c>
      <c r="AY2510" s="1">
        <v>8.6</v>
      </c>
      <c r="AZ2510" s="1">
        <v>10.0</v>
      </c>
      <c r="BA2510" s="1">
        <v>11.5</v>
      </c>
      <c r="BB2510" s="1">
        <v>3.2</v>
      </c>
      <c r="BC2510" s="1" t="s">
        <v>4001</v>
      </c>
      <c r="BD2510" s="1">
        <v>10.3</v>
      </c>
      <c r="BE2510" s="1">
        <v>30.9</v>
      </c>
      <c r="BF2510" s="1">
        <v>30.7</v>
      </c>
      <c r="BG2510" s="1">
        <v>28.1</v>
      </c>
      <c r="BH2510" s="1" t="s">
        <v>4106</v>
      </c>
    </row>
    <row r="2511">
      <c r="A2511" s="1">
        <v>47167.0</v>
      </c>
      <c r="B2511" s="2" t="str">
        <f>IFERROR(__xludf.DUMMYFUNCTION("TO_TEXT(A2511)"),"47167")</f>
        <v>47167</v>
      </c>
      <c r="C2511" s="1">
        <v>61558.0</v>
      </c>
      <c r="D2511" s="1">
        <v>458.406236593379</v>
      </c>
      <c r="E2511" s="1" t="s">
        <v>1422</v>
      </c>
      <c r="F2511" s="1" t="s">
        <v>4107</v>
      </c>
      <c r="G2511" s="1">
        <v>134.287003722866</v>
      </c>
      <c r="H2511" s="1">
        <v>18.925137089</v>
      </c>
      <c r="I2511" s="1">
        <v>4.4230714794</v>
      </c>
      <c r="J2511" s="1">
        <v>8.9471577262</v>
      </c>
      <c r="K2511" s="1">
        <v>21.237103259</v>
      </c>
      <c r="L2511" s="1">
        <v>32.4</v>
      </c>
      <c r="M2511" s="1">
        <v>7.6</v>
      </c>
      <c r="N2511" s="1">
        <v>35.9</v>
      </c>
      <c r="O2511" s="1">
        <v>49.35249914</v>
      </c>
      <c r="P2511" s="1">
        <v>9.0525219806</v>
      </c>
      <c r="Q2511" s="1">
        <v>29.3322</v>
      </c>
      <c r="R2511" s="1">
        <v>97.297297297</v>
      </c>
      <c r="S2511" s="1">
        <v>18.5</v>
      </c>
      <c r="T2511" s="1">
        <v>15265.0</v>
      </c>
      <c r="U2511" s="1">
        <v>34.176220111</v>
      </c>
      <c r="V2511" s="1">
        <v>668.40495007</v>
      </c>
      <c r="W2511" s="1">
        <v>11.823928822</v>
      </c>
      <c r="X2511" s="1">
        <v>10.1235741439999</v>
      </c>
      <c r="Y2511" s="1">
        <v>74.825789503</v>
      </c>
      <c r="Z2511" s="1">
        <v>16.8</v>
      </c>
      <c r="AA2511" s="1">
        <v>6.12574072899999</v>
      </c>
      <c r="AB2511" s="1">
        <v>60874.0</v>
      </c>
      <c r="AC2511" s="1">
        <v>52.4746192889999</v>
      </c>
      <c r="AD2511" s="1">
        <v>70.293083236</v>
      </c>
      <c r="AE2511" s="1">
        <v>10.099144635</v>
      </c>
      <c r="AF2511" s="1">
        <v>18.288108345</v>
      </c>
      <c r="AG2511" s="1">
        <v>0.472548351</v>
      </c>
      <c r="AH2511" s="1">
        <v>0.7469836476</v>
      </c>
      <c r="AI2511" s="1">
        <v>0.152644484499999</v>
      </c>
      <c r="AJ2511" s="1">
        <v>2.8482811257</v>
      </c>
      <c r="AK2511" s="1">
        <v>75.786362677</v>
      </c>
      <c r="AL2511" s="1">
        <v>0.397190183</v>
      </c>
      <c r="AM2511" s="1">
        <v>50.640619672</v>
      </c>
      <c r="AN2511" s="1">
        <v>55.125161671</v>
      </c>
      <c r="AO2511" s="1">
        <v>24969.0</v>
      </c>
      <c r="AP2511" s="1">
        <v>13.8</v>
      </c>
      <c r="AQ2511" s="1">
        <v>9.4</v>
      </c>
      <c r="AR2511" s="1">
        <v>14.3</v>
      </c>
      <c r="AS2511" s="1">
        <v>13.0</v>
      </c>
      <c r="AT2511" s="1">
        <v>25.7</v>
      </c>
      <c r="AU2511" s="1">
        <v>15.5</v>
      </c>
      <c r="AV2511" s="1">
        <v>23.9</v>
      </c>
      <c r="AW2511" s="1">
        <v>0.9</v>
      </c>
      <c r="AX2511" s="1">
        <v>0.4957</v>
      </c>
      <c r="AY2511" s="1">
        <v>10.5</v>
      </c>
      <c r="AZ2511" s="1">
        <v>12.9</v>
      </c>
      <c r="BA2511" s="1">
        <v>15.7</v>
      </c>
      <c r="BB2511" s="1">
        <v>3.19</v>
      </c>
      <c r="BC2511" s="1" t="s">
        <v>4001</v>
      </c>
      <c r="BD2511" s="1">
        <v>12.2</v>
      </c>
      <c r="BE2511" s="1">
        <v>37.6</v>
      </c>
      <c r="BF2511" s="1">
        <v>32.9</v>
      </c>
      <c r="BG2511" s="1">
        <v>17.3</v>
      </c>
      <c r="BH2511" s="1" t="s">
        <v>4107</v>
      </c>
    </row>
    <row r="2512">
      <c r="A2512" s="1">
        <v>47169.0</v>
      </c>
      <c r="B2512" s="2" t="str">
        <f>IFERROR(__xludf.DUMMYFUNCTION("TO_TEXT(A2512)"),"47169")</f>
        <v>47169</v>
      </c>
      <c r="C2512" s="1">
        <v>7970.0</v>
      </c>
      <c r="D2512" s="1">
        <v>114.341625822446</v>
      </c>
      <c r="E2512" s="1" t="s">
        <v>4108</v>
      </c>
      <c r="F2512" s="1" t="s">
        <v>4109</v>
      </c>
      <c r="G2512" s="1">
        <v>69.7033992885156</v>
      </c>
      <c r="H2512" s="1">
        <v>20.069555754</v>
      </c>
      <c r="I2512" s="1">
        <v>4.4953871932</v>
      </c>
      <c r="J2512" s="1">
        <v>9.4766619519</v>
      </c>
      <c r="K2512" s="1">
        <v>23.070842709</v>
      </c>
      <c r="L2512" s="1">
        <v>22.4</v>
      </c>
      <c r="M2512" s="1">
        <v>7.7</v>
      </c>
      <c r="N2512" s="1">
        <v>22.2</v>
      </c>
      <c r="O2512" s="1">
        <v>66.950444727</v>
      </c>
      <c r="P2512" s="1">
        <v>12.644009217</v>
      </c>
      <c r="Q2512" s="1">
        <v>19.83537</v>
      </c>
      <c r="R2512" s="1">
        <v>97.916666667</v>
      </c>
      <c r="S2512" s="1">
        <v>20.5</v>
      </c>
      <c r="T2512" s="1">
        <v>1877.0</v>
      </c>
      <c r="U2512" s="1">
        <v>48.268513586</v>
      </c>
      <c r="V2512" s="1">
        <v>496.38705624</v>
      </c>
      <c r="W2512" s="1">
        <v>14.189189189</v>
      </c>
      <c r="X2512" s="1">
        <v>13.969335605</v>
      </c>
      <c r="Y2512" s="1">
        <v>73.79209155</v>
      </c>
      <c r="Z2512" s="1">
        <v>6.3</v>
      </c>
      <c r="AA2512" s="1">
        <v>6.508531482</v>
      </c>
      <c r="AB2512" s="1">
        <v>49280.0</v>
      </c>
      <c r="AC2512" s="1">
        <v>52.4746192889999</v>
      </c>
      <c r="AD2512" s="1">
        <v>74.9181401439999</v>
      </c>
      <c r="AE2512" s="1">
        <v>12.008005337</v>
      </c>
      <c r="AF2512" s="1">
        <v>11.4148201959999</v>
      </c>
      <c r="AG2512" s="1">
        <v>0.5993461678</v>
      </c>
      <c r="AH2512" s="1">
        <v>0.4449691246</v>
      </c>
      <c r="AI2512" s="1">
        <v>0.0090810025</v>
      </c>
      <c r="AJ2512" s="1">
        <v>2.442789684</v>
      </c>
      <c r="AK2512" s="1">
        <v>83.645114421</v>
      </c>
      <c r="AL2512" s="1">
        <v>0.534580688299999</v>
      </c>
      <c r="AM2512" s="1">
        <v>40.782782419</v>
      </c>
      <c r="AN2512" s="1">
        <v>100.0</v>
      </c>
      <c r="AO2512" s="1">
        <v>23319.0</v>
      </c>
      <c r="AP2512" s="1">
        <v>13.3</v>
      </c>
      <c r="AQ2512" s="1">
        <v>8.0</v>
      </c>
      <c r="AR2512" s="1">
        <v>20.7</v>
      </c>
      <c r="AS2512" s="1">
        <v>16.1</v>
      </c>
      <c r="AT2512" s="1">
        <v>23.1</v>
      </c>
      <c r="AU2512" s="1">
        <v>17.1</v>
      </c>
      <c r="AV2512" s="1">
        <v>14.4</v>
      </c>
      <c r="AW2512" s="1">
        <v>0.1</v>
      </c>
      <c r="AX2512" s="1">
        <v>0.3734</v>
      </c>
      <c r="AY2512" s="1">
        <v>15.8</v>
      </c>
      <c r="AZ2512" s="1">
        <v>13.5</v>
      </c>
      <c r="BA2512" s="1">
        <v>16.0</v>
      </c>
      <c r="BB2512" s="1">
        <v>3.2</v>
      </c>
      <c r="BC2512" s="1" t="s">
        <v>4001</v>
      </c>
      <c r="BD2512" s="1">
        <v>15.6</v>
      </c>
      <c r="BE2512" s="1">
        <v>38.4</v>
      </c>
      <c r="BF2512" s="1">
        <v>32.3</v>
      </c>
      <c r="BG2512" s="1">
        <v>13.8</v>
      </c>
      <c r="BH2512" s="1" t="s">
        <v>4109</v>
      </c>
    </row>
    <row r="2513">
      <c r="A2513" s="1">
        <v>47171.0</v>
      </c>
      <c r="B2513" s="2" t="str">
        <f>IFERROR(__xludf.DUMMYFUNCTION("TO_TEXT(A2513)"),"47171")</f>
        <v>47171</v>
      </c>
      <c r="C2513" s="1">
        <v>17945.0</v>
      </c>
      <c r="D2513" s="1">
        <v>186.159736445603</v>
      </c>
      <c r="E2513" s="1" t="s">
        <v>4110</v>
      </c>
      <c r="F2513" s="1" t="s">
        <v>4111</v>
      </c>
      <c r="G2513" s="1">
        <v>96.3957101714287</v>
      </c>
      <c r="H2513" s="1">
        <v>22.1414176109999</v>
      </c>
      <c r="I2513" s="1">
        <v>4.9409638954</v>
      </c>
      <c r="J2513" s="1">
        <v>9.7517730496</v>
      </c>
      <c r="K2513" s="1">
        <v>21.888610224</v>
      </c>
      <c r="L2513" s="1">
        <v>33.0</v>
      </c>
      <c r="M2513" s="1">
        <v>7.6</v>
      </c>
      <c r="N2513" s="1">
        <v>21.8</v>
      </c>
      <c r="O2513" s="1">
        <v>100.0</v>
      </c>
      <c r="P2513" s="1">
        <v>12.334246981</v>
      </c>
      <c r="Q2513" s="1">
        <v>39.41663</v>
      </c>
      <c r="R2513" s="1">
        <v>85.858585859</v>
      </c>
      <c r="S2513" s="1">
        <v>24.1</v>
      </c>
      <c r="T2513" s="1">
        <v>3210.0</v>
      </c>
      <c r="U2513" s="1">
        <v>36.137071651</v>
      </c>
      <c r="V2513" s="1">
        <v>251.01801752</v>
      </c>
      <c r="W2513" s="1">
        <v>11.664482307</v>
      </c>
      <c r="X2513" s="1">
        <v>10.175438596</v>
      </c>
      <c r="Y2513" s="1">
        <v>73.290935889</v>
      </c>
      <c r="Z2513" s="1">
        <v>18.7</v>
      </c>
      <c r="AA2513" s="1">
        <v>6.1383686976</v>
      </c>
      <c r="AB2513" s="1">
        <v>43688.0</v>
      </c>
      <c r="AC2513" s="1">
        <v>52.4746192889999</v>
      </c>
      <c r="AD2513" s="1">
        <v>71.187342109</v>
      </c>
      <c r="AE2513" s="1">
        <v>11.485819105</v>
      </c>
      <c r="AF2513" s="1">
        <v>0.4222735206</v>
      </c>
      <c r="AG2513" s="1">
        <v>0.517988852</v>
      </c>
      <c r="AH2513" s="1">
        <v>0.2533641124</v>
      </c>
      <c r="AI2513" s="1">
        <v>0.0563031361</v>
      </c>
      <c r="AJ2513" s="1">
        <v>5.1066944429</v>
      </c>
      <c r="AK2513" s="1">
        <v>92.83824109</v>
      </c>
      <c r="AL2513" s="1">
        <v>1.0671357373</v>
      </c>
      <c r="AM2513" s="1">
        <v>50.88114408</v>
      </c>
      <c r="AN2513" s="1">
        <v>44.667722383</v>
      </c>
      <c r="AO2513" s="1">
        <v>20958.0</v>
      </c>
      <c r="AP2513" s="1">
        <v>21.0</v>
      </c>
      <c r="AQ2513" s="1">
        <v>11.5</v>
      </c>
      <c r="AR2513" s="1">
        <v>19.1</v>
      </c>
      <c r="AS2513" s="1">
        <v>21.7</v>
      </c>
      <c r="AT2513" s="1">
        <v>19.2</v>
      </c>
      <c r="AU2513" s="1">
        <v>24.4</v>
      </c>
      <c r="AV2513" s="1">
        <v>6.0</v>
      </c>
      <c r="AW2513" s="1">
        <v>1.8</v>
      </c>
      <c r="AX2513" s="1">
        <v>0.8182</v>
      </c>
      <c r="AY2513" s="1">
        <v>15.8</v>
      </c>
      <c r="AZ2513" s="1">
        <v>16.6</v>
      </c>
      <c r="BA2513" s="1">
        <v>22.7</v>
      </c>
      <c r="BB2513" s="1">
        <v>3.11</v>
      </c>
      <c r="BC2513" s="1" t="s">
        <v>4001</v>
      </c>
      <c r="BD2513" s="1">
        <v>15.0</v>
      </c>
      <c r="BE2513" s="1">
        <v>39.4</v>
      </c>
      <c r="BF2513" s="1">
        <v>30.8</v>
      </c>
      <c r="BG2513" s="1">
        <v>14.8</v>
      </c>
      <c r="BH2513" s="1" t="s">
        <v>4111</v>
      </c>
    </row>
    <row r="2514">
      <c r="A2514" s="1">
        <v>47173.0</v>
      </c>
      <c r="B2514" s="2" t="str">
        <f>IFERROR(__xludf.DUMMYFUNCTION("TO_TEXT(A2514)"),"47173")</f>
        <v>47173</v>
      </c>
      <c r="C2514" s="1">
        <v>19081.0</v>
      </c>
      <c r="D2514" s="1">
        <v>223.565062683384</v>
      </c>
      <c r="E2514" s="1" t="s">
        <v>406</v>
      </c>
      <c r="F2514" s="1" t="s">
        <v>4112</v>
      </c>
      <c r="G2514" s="1">
        <v>85.348756066697</v>
      </c>
      <c r="H2514" s="1">
        <v>21.986611427</v>
      </c>
      <c r="I2514" s="1">
        <v>4.9584643728</v>
      </c>
      <c r="J2514" s="1">
        <v>10.0485100489999</v>
      </c>
      <c r="K2514" s="1">
        <v>25.1500355409999</v>
      </c>
      <c r="L2514" s="1">
        <v>33.9</v>
      </c>
      <c r="M2514" s="1">
        <v>8.1</v>
      </c>
      <c r="N2514" s="1">
        <v>26.1</v>
      </c>
      <c r="O2514" s="1">
        <v>22.41875556</v>
      </c>
      <c r="P2514" s="1">
        <v>12.9470261999999</v>
      </c>
      <c r="Q2514" s="1">
        <v>15.43051</v>
      </c>
      <c r="R2514" s="1">
        <v>87.0813397129999</v>
      </c>
      <c r="S2514" s="1">
        <v>27.5</v>
      </c>
      <c r="T2514" s="1">
        <v>4184.0</v>
      </c>
      <c r="U2514" s="1">
        <v>29.134799235</v>
      </c>
      <c r="V2514" s="1">
        <v>295.27044683</v>
      </c>
      <c r="W2514" s="1">
        <v>14.855570839</v>
      </c>
      <c r="X2514" s="1">
        <v>10.698961938</v>
      </c>
      <c r="Y2514" s="1">
        <v>74.880917869</v>
      </c>
      <c r="Z2514" s="1">
        <v>18.1</v>
      </c>
      <c r="AA2514" s="1">
        <v>0.7291684845</v>
      </c>
      <c r="AB2514" s="1">
        <v>40322.0</v>
      </c>
      <c r="AC2514" s="1">
        <v>52.4746192889999</v>
      </c>
      <c r="AD2514" s="1">
        <v>74.571989896</v>
      </c>
      <c r="AE2514" s="1">
        <v>10.9922321559999</v>
      </c>
      <c r="AF2514" s="1">
        <v>0.4622104835</v>
      </c>
      <c r="AG2514" s="1">
        <v>0.507923608299999</v>
      </c>
      <c r="AH2514" s="1">
        <v>0.2234863876</v>
      </c>
      <c r="AI2514" s="1">
        <v>0.0914262495</v>
      </c>
      <c r="AJ2514" s="1">
        <v>1.6710686713</v>
      </c>
      <c r="AK2514" s="1">
        <v>96.068671272</v>
      </c>
      <c r="AL2514" s="1">
        <v>0.2139682888</v>
      </c>
      <c r="AM2514" s="1">
        <v>50.731409996</v>
      </c>
      <c r="AN2514" s="1">
        <v>100.0</v>
      </c>
      <c r="AO2514" s="1">
        <v>19030.0</v>
      </c>
      <c r="AP2514" s="1">
        <v>23.5</v>
      </c>
      <c r="AQ2514" s="1">
        <v>9.1</v>
      </c>
      <c r="AR2514" s="1">
        <v>23.1</v>
      </c>
      <c r="AS2514" s="1">
        <v>16.4</v>
      </c>
      <c r="AT2514" s="1">
        <v>22.5</v>
      </c>
      <c r="AU2514" s="1">
        <v>18.2</v>
      </c>
      <c r="AV2514" s="1">
        <v>3.3</v>
      </c>
      <c r="AW2514" s="1">
        <v>0.4</v>
      </c>
      <c r="AX2514" s="1">
        <v>0.7039</v>
      </c>
      <c r="AY2514" s="1">
        <v>18.3</v>
      </c>
      <c r="AZ2514" s="1">
        <v>15.5</v>
      </c>
      <c r="BA2514" s="1">
        <v>20.7</v>
      </c>
      <c r="BB2514" s="1">
        <v>3.23</v>
      </c>
      <c r="BC2514" s="1" t="s">
        <v>4001</v>
      </c>
      <c r="BD2514" s="1">
        <v>22.9</v>
      </c>
      <c r="BE2514" s="1">
        <v>44.8</v>
      </c>
      <c r="BF2514" s="1">
        <v>22.4</v>
      </c>
      <c r="BG2514" s="1">
        <v>9.9</v>
      </c>
      <c r="BH2514" s="1" t="s">
        <v>4112</v>
      </c>
    </row>
    <row r="2515">
      <c r="A2515" s="1">
        <v>47175.0</v>
      </c>
      <c r="B2515" s="2" t="str">
        <f>IFERROR(__xludf.DUMMYFUNCTION("TO_TEXT(A2515)"),"47175")</f>
        <v>47175</v>
      </c>
      <c r="C2515" s="1">
        <v>5641.0</v>
      </c>
      <c r="D2515" s="1">
        <v>273.415205419044</v>
      </c>
      <c r="E2515" s="1" t="s">
        <v>408</v>
      </c>
      <c r="F2515" s="1" t="s">
        <v>4113</v>
      </c>
      <c r="G2515" s="1">
        <v>20.6316250457045</v>
      </c>
      <c r="H2515" s="1">
        <v>21.989434316</v>
      </c>
      <c r="I2515" s="1">
        <v>4.8471685234</v>
      </c>
      <c r="J2515" s="1">
        <v>8.4257206208</v>
      </c>
      <c r="K2515" s="1">
        <v>22.371614629</v>
      </c>
      <c r="L2515" s="1">
        <v>31.6</v>
      </c>
      <c r="M2515" s="1">
        <v>8.5</v>
      </c>
      <c r="N2515" s="1">
        <v>29.7</v>
      </c>
      <c r="O2515" s="1">
        <v>62.887527037</v>
      </c>
      <c r="P2515" s="1">
        <v>12.816934171</v>
      </c>
      <c r="Q2515" s="1">
        <v>48.31939</v>
      </c>
      <c r="R2515" s="1">
        <v>89.795918367</v>
      </c>
      <c r="S2515" s="1">
        <v>27.7</v>
      </c>
      <c r="T2515" s="1">
        <v>1046.0</v>
      </c>
      <c r="U2515" s="1">
        <v>14.149139579</v>
      </c>
      <c r="V2515" s="1">
        <v>274.11795915</v>
      </c>
      <c r="W2515" s="1">
        <v>9.8130841121</v>
      </c>
      <c r="X2515" s="1">
        <v>8.2269503546</v>
      </c>
      <c r="Y2515" s="1">
        <v>73.167626646</v>
      </c>
      <c r="Z2515" s="1">
        <v>13.9</v>
      </c>
      <c r="AA2515" s="1">
        <v>0.36404377</v>
      </c>
      <c r="AB2515" s="1">
        <v>38265.0</v>
      </c>
      <c r="AC2515" s="1">
        <v>52.4746192889999</v>
      </c>
      <c r="AD2515" s="1">
        <v>83.171521036</v>
      </c>
      <c r="AE2515" s="1">
        <v>7.5087021382</v>
      </c>
      <c r="AF2515" s="1">
        <v>0.7458803122</v>
      </c>
      <c r="AG2515" s="1">
        <v>0.381613183</v>
      </c>
      <c r="AH2515" s="1">
        <v>0.2428447528</v>
      </c>
      <c r="AI2515" s="1">
        <v>0.0520381613</v>
      </c>
      <c r="AJ2515" s="1">
        <v>1.6131830009</v>
      </c>
      <c r="AK2515" s="1">
        <v>95.524718127</v>
      </c>
      <c r="AL2515" s="1">
        <v>0.0</v>
      </c>
      <c r="AM2515" s="1">
        <v>49.939288812</v>
      </c>
      <c r="AN2515" s="1">
        <v>100.0</v>
      </c>
      <c r="AO2515" s="1">
        <v>21348.0</v>
      </c>
      <c r="AP2515" s="1">
        <v>19.1</v>
      </c>
      <c r="AQ2515" s="1">
        <v>11.7</v>
      </c>
      <c r="AR2515" s="1">
        <v>19.5</v>
      </c>
      <c r="AS2515" s="1">
        <v>20.4</v>
      </c>
      <c r="AT2515" s="1">
        <v>19.3</v>
      </c>
      <c r="AU2515" s="1">
        <v>22.5</v>
      </c>
      <c r="AV2515" s="1">
        <v>4.3</v>
      </c>
      <c r="AW2515" s="1">
        <v>0.0</v>
      </c>
      <c r="AX2515" s="1">
        <v>0.3833</v>
      </c>
      <c r="AY2515" s="1">
        <v>15.5</v>
      </c>
      <c r="AZ2515" s="1">
        <v>16.1</v>
      </c>
      <c r="BA2515" s="1">
        <v>23.3</v>
      </c>
      <c r="BB2515" s="1">
        <v>3.14</v>
      </c>
      <c r="BC2515" s="1" t="s">
        <v>4001</v>
      </c>
      <c r="BD2515" s="1">
        <v>21.0</v>
      </c>
      <c r="BE2515" s="1">
        <v>50.8</v>
      </c>
      <c r="BF2515" s="1">
        <v>20.5</v>
      </c>
      <c r="BG2515" s="1">
        <v>7.8</v>
      </c>
      <c r="BH2515" s="1" t="s">
        <v>4113</v>
      </c>
    </row>
    <row r="2516">
      <c r="A2516" s="1">
        <v>47177.0</v>
      </c>
      <c r="B2516" s="2" t="str">
        <f>IFERROR(__xludf.DUMMYFUNCTION("TO_TEXT(A2516)"),"47177")</f>
        <v>47177</v>
      </c>
      <c r="C2516" s="1">
        <v>40099.0</v>
      </c>
      <c r="D2516" s="1">
        <v>432.673291964484</v>
      </c>
      <c r="E2516" s="1" t="s">
        <v>1045</v>
      </c>
      <c r="F2516" s="1" t="s">
        <v>4114</v>
      </c>
      <c r="G2516" s="1">
        <v>92.6773173771297</v>
      </c>
      <c r="H2516" s="1">
        <v>23.8809435819999</v>
      </c>
      <c r="I2516" s="1">
        <v>5.0823937768</v>
      </c>
      <c r="J2516" s="1">
        <v>8.8741322065</v>
      </c>
      <c r="K2516" s="1">
        <v>24.139189286</v>
      </c>
      <c r="L2516" s="1">
        <v>38.1</v>
      </c>
      <c r="M2516" s="1">
        <v>7.9</v>
      </c>
      <c r="N2516" s="1">
        <v>30.9</v>
      </c>
      <c r="O2516" s="1">
        <v>56.610356686</v>
      </c>
      <c r="P2516" s="1">
        <v>14.810879728</v>
      </c>
      <c r="Q2516" s="1">
        <v>51.65925</v>
      </c>
      <c r="R2516" s="1">
        <v>94.1883767539999</v>
      </c>
      <c r="S2516" s="1">
        <v>35.3</v>
      </c>
      <c r="T2516" s="1">
        <v>9504.0</v>
      </c>
      <c r="U2516" s="1">
        <v>33.449074074</v>
      </c>
      <c r="V2516" s="1">
        <v>457.57226294</v>
      </c>
      <c r="W2516" s="1">
        <v>9.9454603786</v>
      </c>
      <c r="X2516" s="1">
        <v>8.382642998</v>
      </c>
      <c r="Y2516" s="1">
        <v>74.437176104</v>
      </c>
      <c r="Z2516" s="1">
        <v>18.5</v>
      </c>
      <c r="AA2516" s="1">
        <v>4.0332362497</v>
      </c>
      <c r="AB2516" s="1">
        <v>42475.0</v>
      </c>
      <c r="AC2516" s="1">
        <v>52.4746192889999</v>
      </c>
      <c r="AD2516" s="1">
        <v>69.358032577</v>
      </c>
      <c r="AE2516" s="1">
        <v>12.0671923209999</v>
      </c>
      <c r="AF2516" s="1">
        <v>3.238906013</v>
      </c>
      <c r="AG2516" s="1">
        <v>0.5088311561</v>
      </c>
      <c r="AH2516" s="1">
        <v>0.8244043251</v>
      </c>
      <c r="AI2516" s="1">
        <v>0.0856206272</v>
      </c>
      <c r="AJ2516" s="1">
        <v>9.2714907774</v>
      </c>
      <c r="AK2516" s="1">
        <v>84.928323303</v>
      </c>
      <c r="AL2516" s="1">
        <v>1.8831202988</v>
      </c>
      <c r="AM2516" s="1">
        <v>50.518616371</v>
      </c>
      <c r="AN2516" s="1">
        <v>61.3795527</v>
      </c>
      <c r="AO2516" s="1">
        <v>20749.0</v>
      </c>
      <c r="AP2516" s="1">
        <v>20.7</v>
      </c>
      <c r="AQ2516" s="1">
        <v>7.8</v>
      </c>
      <c r="AR2516" s="1">
        <v>21.4</v>
      </c>
      <c r="AS2516" s="1">
        <v>16.6</v>
      </c>
      <c r="AT2516" s="1">
        <v>23.8</v>
      </c>
      <c r="AU2516" s="1">
        <v>19.0</v>
      </c>
      <c r="AV2516" s="1">
        <v>13.7</v>
      </c>
      <c r="AW2516" s="1">
        <v>2.3</v>
      </c>
      <c r="AX2516" s="1">
        <v>0.7857</v>
      </c>
      <c r="AY2516" s="1">
        <v>15.9</v>
      </c>
      <c r="AZ2516" s="1">
        <v>16.1</v>
      </c>
      <c r="BA2516" s="1">
        <v>22.2</v>
      </c>
      <c r="BB2516" s="1">
        <v>2.96</v>
      </c>
      <c r="BC2516" s="1" t="s">
        <v>4001</v>
      </c>
      <c r="BD2516" s="1">
        <v>20.5</v>
      </c>
      <c r="BE2516" s="1">
        <v>43.3</v>
      </c>
      <c r="BF2516" s="1">
        <v>21.6</v>
      </c>
      <c r="BG2516" s="1">
        <v>14.5</v>
      </c>
      <c r="BH2516" s="1" t="s">
        <v>4114</v>
      </c>
    </row>
    <row r="2517">
      <c r="A2517" s="1">
        <v>47179.0</v>
      </c>
      <c r="B2517" s="2" t="str">
        <f>IFERROR(__xludf.DUMMYFUNCTION("TO_TEXT(A2517)"),"47179")</f>
        <v>47179</v>
      </c>
      <c r="C2517" s="1">
        <v>126044.0</v>
      </c>
      <c r="D2517" s="1">
        <v>326.46366963174</v>
      </c>
      <c r="E2517" s="1" t="s">
        <v>188</v>
      </c>
      <c r="F2517" s="1" t="s">
        <v>4115</v>
      </c>
      <c r="G2517" s="1">
        <v>386.08890276269</v>
      </c>
      <c r="H2517" s="1">
        <v>19.915037666</v>
      </c>
      <c r="I2517" s="1">
        <v>4.6637693909</v>
      </c>
      <c r="J2517" s="1">
        <v>8.4714144629</v>
      </c>
      <c r="K2517" s="1">
        <v>20.446176652</v>
      </c>
      <c r="L2517" s="1">
        <v>31.0</v>
      </c>
      <c r="M2517" s="1">
        <v>7.6</v>
      </c>
      <c r="N2517" s="1">
        <v>25.6</v>
      </c>
      <c r="O2517" s="1">
        <v>70.409582124</v>
      </c>
      <c r="P2517" s="1">
        <v>11.226106034</v>
      </c>
      <c r="Q2517" s="1">
        <v>172.13589</v>
      </c>
      <c r="R2517" s="1">
        <v>92.4060150379999</v>
      </c>
      <c r="S2517" s="1">
        <v>18.0</v>
      </c>
      <c r="T2517" s="1">
        <v>24400.0</v>
      </c>
      <c r="U2517" s="1">
        <v>31.62704918</v>
      </c>
      <c r="V2517" s="1">
        <v>332.36098666</v>
      </c>
      <c r="W2517" s="1">
        <v>13.337149399</v>
      </c>
      <c r="X2517" s="1">
        <v>11.808189865</v>
      </c>
      <c r="Y2517" s="1">
        <v>75.737200635</v>
      </c>
      <c r="Z2517" s="1">
        <v>12.4</v>
      </c>
      <c r="AA2517" s="1">
        <v>7.7072354315</v>
      </c>
      <c r="AB2517" s="1">
        <v>49242.0</v>
      </c>
      <c r="AC2517" s="1">
        <v>52.4746192889999</v>
      </c>
      <c r="AD2517" s="1">
        <v>64.749012972</v>
      </c>
      <c r="AE2517" s="1">
        <v>11.479873717</v>
      </c>
      <c r="AF2517" s="1">
        <v>4.3014765915</v>
      </c>
      <c r="AG2517" s="1">
        <v>0.4401004611</v>
      </c>
      <c r="AH2517" s="1">
        <v>1.6142200658</v>
      </c>
      <c r="AI2517" s="1">
        <v>0.0590947616</v>
      </c>
      <c r="AJ2517" s="1">
        <v>3.5729003864</v>
      </c>
      <c r="AK2517" s="1">
        <v>88.417426734</v>
      </c>
      <c r="AL2517" s="1">
        <v>0.376610341</v>
      </c>
      <c r="AM2517" s="1">
        <v>51.146516131</v>
      </c>
      <c r="AN2517" s="1">
        <v>26.421584173</v>
      </c>
      <c r="AO2517" s="1">
        <v>26662.0</v>
      </c>
      <c r="AP2517" s="1">
        <v>17.1</v>
      </c>
      <c r="AQ2517" s="1">
        <v>5.7</v>
      </c>
      <c r="AR2517" s="1">
        <v>11.6</v>
      </c>
      <c r="AS2517" s="1">
        <v>16.9</v>
      </c>
      <c r="AT2517" s="1">
        <v>19.7</v>
      </c>
      <c r="AU2517" s="1">
        <v>17.7</v>
      </c>
      <c r="AV2517" s="1">
        <v>10.5</v>
      </c>
      <c r="AW2517" s="1">
        <v>0.2</v>
      </c>
      <c r="AX2517" s="1">
        <v>0.3814</v>
      </c>
      <c r="AY2517" s="1">
        <v>15.8</v>
      </c>
      <c r="AZ2517" s="1">
        <v>13.3</v>
      </c>
      <c r="BA2517" s="1">
        <v>16.1</v>
      </c>
      <c r="BB2517" s="1">
        <v>3.14</v>
      </c>
      <c r="BC2517" s="1" t="s">
        <v>4001</v>
      </c>
      <c r="BD2517" s="1">
        <v>11.2</v>
      </c>
      <c r="BE2517" s="1">
        <v>28.9</v>
      </c>
      <c r="BF2517" s="1">
        <v>28.1</v>
      </c>
      <c r="BG2517" s="1">
        <v>31.8</v>
      </c>
      <c r="BH2517" s="1" t="s">
        <v>4115</v>
      </c>
    </row>
    <row r="2518">
      <c r="A2518" s="1">
        <v>47181.0</v>
      </c>
      <c r="B2518" s="2" t="str">
        <f>IFERROR(__xludf.DUMMYFUNCTION("TO_TEXT(A2518)"),"47181")</f>
        <v>47181</v>
      </c>
      <c r="C2518" s="1">
        <v>16842.0</v>
      </c>
      <c r="D2518" s="1">
        <v>734.101526446612</v>
      </c>
      <c r="E2518" s="1" t="s">
        <v>1048</v>
      </c>
      <c r="F2518" s="1" t="s">
        <v>4116</v>
      </c>
      <c r="G2518" s="1">
        <v>22.9423307175548</v>
      </c>
      <c r="H2518" s="1">
        <v>23.832401755</v>
      </c>
      <c r="I2518" s="1">
        <v>4.764835093</v>
      </c>
      <c r="J2518" s="1">
        <v>8.0597014925</v>
      </c>
      <c r="K2518" s="1">
        <v>24.667945125</v>
      </c>
      <c r="L2518" s="1">
        <v>34.7</v>
      </c>
      <c r="M2518" s="1">
        <v>7.4</v>
      </c>
      <c r="N2518" s="1">
        <v>40.7</v>
      </c>
      <c r="O2518" s="1">
        <v>70.789025322</v>
      </c>
      <c r="P2518" s="1">
        <v>11.841059603</v>
      </c>
      <c r="Q2518" s="1">
        <v>30.15136</v>
      </c>
      <c r="R2518" s="1">
        <v>96.341463415</v>
      </c>
      <c r="S2518" s="1">
        <v>27.6</v>
      </c>
      <c r="T2518" s="1">
        <v>3058.0</v>
      </c>
      <c r="U2518" s="1">
        <v>30.117724003</v>
      </c>
      <c r="V2518" s="1">
        <v>296.9738366</v>
      </c>
      <c r="W2518" s="1">
        <v>12.4584717609999</v>
      </c>
      <c r="X2518" s="1">
        <v>11.028037383</v>
      </c>
      <c r="Y2518" s="1">
        <v>75.369921865</v>
      </c>
      <c r="Z2518" s="1">
        <v>15.0</v>
      </c>
      <c r="AA2518" s="1">
        <v>9.1400442869</v>
      </c>
      <c r="AB2518" s="1">
        <v>38879.0</v>
      </c>
      <c r="AC2518" s="1">
        <v>52.4746192889999</v>
      </c>
      <c r="AD2518" s="1">
        <v>80.601276453</v>
      </c>
      <c r="AE2518" s="1">
        <v>11.564871702</v>
      </c>
      <c r="AF2518" s="1">
        <v>6.34134557309999</v>
      </c>
      <c r="AG2518" s="1">
        <v>0.4167169948</v>
      </c>
      <c r="AH2518" s="1">
        <v>0.320086967</v>
      </c>
      <c r="AI2518" s="1">
        <v>0.0301968837</v>
      </c>
      <c r="AJ2518" s="1">
        <v>2.1258606112</v>
      </c>
      <c r="AK2518" s="1">
        <v>89.871965213</v>
      </c>
      <c r="AL2518" s="1">
        <v>0.1326008714</v>
      </c>
      <c r="AM2518" s="1">
        <v>44.775939123</v>
      </c>
      <c r="AN2518" s="1">
        <v>100.0</v>
      </c>
      <c r="AO2518" s="1">
        <v>17735.0</v>
      </c>
      <c r="AP2518" s="1">
        <v>18.9</v>
      </c>
      <c r="AQ2518" s="1">
        <v>8.4</v>
      </c>
      <c r="AR2518" s="1">
        <v>21.5</v>
      </c>
      <c r="AS2518" s="1">
        <v>18.0</v>
      </c>
      <c r="AT2518" s="1">
        <v>18.1</v>
      </c>
      <c r="AU2518" s="1">
        <v>20.3</v>
      </c>
      <c r="AV2518" s="1">
        <v>9.5</v>
      </c>
      <c r="AW2518" s="1">
        <v>0.5</v>
      </c>
      <c r="AX2518" s="1">
        <v>0.5833</v>
      </c>
      <c r="AY2518" s="1">
        <v>17.3</v>
      </c>
      <c r="AZ2518" s="1">
        <v>15.3</v>
      </c>
      <c r="BA2518" s="1">
        <v>21.7</v>
      </c>
      <c r="BB2518" s="1">
        <v>2.99</v>
      </c>
      <c r="BC2518" s="1" t="s">
        <v>4001</v>
      </c>
      <c r="BD2518" s="1">
        <v>19.8</v>
      </c>
      <c r="BE2518" s="1">
        <v>46.6</v>
      </c>
      <c r="BF2518" s="1">
        <v>23.8</v>
      </c>
      <c r="BG2518" s="1">
        <v>9.7</v>
      </c>
      <c r="BH2518" s="1" t="s">
        <v>4116</v>
      </c>
    </row>
    <row r="2519">
      <c r="A2519" s="1">
        <v>47183.0</v>
      </c>
      <c r="B2519" s="2" t="str">
        <f>IFERROR(__xludf.DUMMYFUNCTION("TO_TEXT(A2519)"),"47183")</f>
        <v>47183</v>
      </c>
      <c r="C2519" s="1">
        <v>34024.0</v>
      </c>
      <c r="D2519" s="1">
        <v>580.352073351874</v>
      </c>
      <c r="E2519" s="1" t="s">
        <v>4117</v>
      </c>
      <c r="F2519" s="1" t="s">
        <v>4118</v>
      </c>
      <c r="G2519" s="1">
        <v>58.6264813417335</v>
      </c>
      <c r="H2519" s="1">
        <v>21.994651435</v>
      </c>
      <c r="I2519" s="1">
        <v>4.8919459523</v>
      </c>
      <c r="J2519" s="1">
        <v>7.572570467</v>
      </c>
      <c r="K2519" s="1">
        <v>22.157361399</v>
      </c>
      <c r="L2519" s="1">
        <v>38.6</v>
      </c>
      <c r="M2519" s="1">
        <v>7.2</v>
      </c>
      <c r="N2519" s="1">
        <v>34.3</v>
      </c>
      <c r="O2519" s="1">
        <v>25.01641872</v>
      </c>
      <c r="P2519" s="1">
        <v>10.298848793</v>
      </c>
      <c r="Q2519" s="1">
        <v>56.99373</v>
      </c>
      <c r="R2519" s="1">
        <v>91.830985915</v>
      </c>
      <c r="S2519" s="1">
        <v>22.3</v>
      </c>
      <c r="T2519" s="1">
        <v>6529.0</v>
      </c>
      <c r="U2519" s="1">
        <v>32.730892939</v>
      </c>
      <c r="V2519" s="1">
        <v>203.97681415</v>
      </c>
      <c r="W2519" s="1">
        <v>11.589895988</v>
      </c>
      <c r="X2519" s="1">
        <v>10.8288973379999</v>
      </c>
      <c r="Y2519" s="1">
        <v>75.672532082</v>
      </c>
      <c r="Z2519" s="1">
        <v>10.7</v>
      </c>
      <c r="AA2519" s="1">
        <v>7.18694202279999</v>
      </c>
      <c r="AB2519" s="1">
        <v>42351.0</v>
      </c>
      <c r="AC2519" s="1">
        <v>52.4746192889999</v>
      </c>
      <c r="AD2519" s="1">
        <v>66.460859978</v>
      </c>
      <c r="AE2519" s="1">
        <v>9.8812685518</v>
      </c>
      <c r="AF2519" s="1">
        <v>7.5295525961</v>
      </c>
      <c r="AG2519" s="1">
        <v>0.4429148586</v>
      </c>
      <c r="AH2519" s="1">
        <v>1.226993865</v>
      </c>
      <c r="AI2519" s="1">
        <v>0.0418973515</v>
      </c>
      <c r="AJ2519" s="1">
        <v>2.6754451594</v>
      </c>
      <c r="AK2519" s="1">
        <v>86.8143049529999</v>
      </c>
      <c r="AL2519" s="1">
        <v>0.4169017616</v>
      </c>
      <c r="AM2519" s="1">
        <v>50.9741134219999</v>
      </c>
      <c r="AN2519" s="1">
        <v>67.005510979</v>
      </c>
      <c r="AO2519" s="1">
        <v>19847.0</v>
      </c>
      <c r="AP2519" s="1">
        <v>19.1</v>
      </c>
      <c r="AQ2519" s="1">
        <v>10.0</v>
      </c>
      <c r="AR2519" s="1">
        <v>15.2</v>
      </c>
      <c r="AS2519" s="1">
        <v>16.9</v>
      </c>
      <c r="AT2519" s="1">
        <v>19.6</v>
      </c>
      <c r="AU2519" s="1">
        <v>16.9</v>
      </c>
      <c r="AV2519" s="1">
        <v>12.8</v>
      </c>
      <c r="AW2519" s="1">
        <v>0.2</v>
      </c>
      <c r="AX2519" s="1">
        <v>0.5603</v>
      </c>
      <c r="AY2519" s="1">
        <v>17.7</v>
      </c>
      <c r="AZ2519" s="1">
        <v>14.7</v>
      </c>
      <c r="BA2519" s="1">
        <v>19.0</v>
      </c>
      <c r="BB2519" s="1">
        <v>2.89</v>
      </c>
      <c r="BC2519" s="1" t="s">
        <v>4001</v>
      </c>
      <c r="BD2519" s="1">
        <v>14.9</v>
      </c>
      <c r="BE2519" s="1">
        <v>38.9</v>
      </c>
      <c r="BF2519" s="1">
        <v>24.6</v>
      </c>
      <c r="BG2519" s="1">
        <v>21.6</v>
      </c>
      <c r="BH2519" s="1" t="s">
        <v>4118</v>
      </c>
    </row>
    <row r="2520">
      <c r="A2520" s="1">
        <v>47185.0</v>
      </c>
      <c r="B2520" s="2" t="str">
        <f>IFERROR(__xludf.DUMMYFUNCTION("TO_TEXT(A2520)"),"47185")</f>
        <v>47185</v>
      </c>
      <c r="C2520" s="1">
        <v>26373.0</v>
      </c>
      <c r="D2520" s="1">
        <v>376.678059835894</v>
      </c>
      <c r="E2520" s="1" t="s">
        <v>411</v>
      </c>
      <c r="F2520" s="1" t="s">
        <v>4119</v>
      </c>
      <c r="G2520" s="1">
        <v>70.0146964001297</v>
      </c>
      <c r="H2520" s="1">
        <v>24.645122119</v>
      </c>
      <c r="I2520" s="1">
        <v>5.0887987552</v>
      </c>
      <c r="J2520" s="1">
        <v>8.3173996176</v>
      </c>
      <c r="K2520" s="1">
        <v>23.435191173</v>
      </c>
      <c r="L2520" s="1">
        <v>31.4</v>
      </c>
      <c r="M2520" s="1">
        <v>7.9</v>
      </c>
      <c r="N2520" s="1">
        <v>22.5</v>
      </c>
      <c r="O2520" s="1">
        <v>35.888703998</v>
      </c>
      <c r="P2520" s="1">
        <v>11.372960595</v>
      </c>
      <c r="Q2520" s="1">
        <v>33.64109</v>
      </c>
      <c r="R2520" s="1">
        <v>93.84057971</v>
      </c>
      <c r="S2520" s="1">
        <v>24.6</v>
      </c>
      <c r="T2520" s="1">
        <v>5905.0</v>
      </c>
      <c r="U2520" s="1">
        <v>25.791701948</v>
      </c>
      <c r="V2520" s="1">
        <v>254.33308214</v>
      </c>
      <c r="W2520" s="1">
        <v>12.919896641</v>
      </c>
      <c r="X2520" s="1">
        <v>10.281837161</v>
      </c>
      <c r="Y2520" s="1">
        <v>74.32732597</v>
      </c>
      <c r="Z2520" s="1">
        <v>21.7</v>
      </c>
      <c r="AA2520" s="1">
        <v>5.4532405675</v>
      </c>
      <c r="AB2520" s="1">
        <v>42603.0</v>
      </c>
      <c r="AC2520" s="1">
        <v>52.4746192889999</v>
      </c>
      <c r="AD2520" s="1">
        <v>80.635112049</v>
      </c>
      <c r="AE2520" s="1">
        <v>10.080816674</v>
      </c>
      <c r="AF2520" s="1">
        <v>1.7523149002</v>
      </c>
      <c r="AG2520" s="1">
        <v>0.5201608441</v>
      </c>
      <c r="AH2520" s="1">
        <v>0.402110156</v>
      </c>
      <c r="AI2520" s="1">
        <v>0.0922271</v>
      </c>
      <c r="AJ2520" s="1">
        <v>2.8295274283</v>
      </c>
      <c r="AK2520" s="1">
        <v>93.035009407</v>
      </c>
      <c r="AL2520" s="1">
        <v>0.1399328322</v>
      </c>
      <c r="AM2520" s="1">
        <v>51.075367986</v>
      </c>
      <c r="AN2520" s="1">
        <v>78.174219264</v>
      </c>
      <c r="AO2520" s="1">
        <v>18785.0</v>
      </c>
      <c r="AP2520" s="1">
        <v>18.1</v>
      </c>
      <c r="AQ2520" s="1">
        <v>10.5</v>
      </c>
      <c r="AR2520" s="1">
        <v>17.8</v>
      </c>
      <c r="AS2520" s="1">
        <v>19.8</v>
      </c>
      <c r="AT2520" s="1">
        <v>22.0</v>
      </c>
      <c r="AU2520" s="1">
        <v>20.2</v>
      </c>
      <c r="AV2520" s="1">
        <v>6.1</v>
      </c>
      <c r="AW2520" s="1">
        <v>0.3</v>
      </c>
      <c r="AX2520" s="1">
        <v>0.5976</v>
      </c>
      <c r="AY2520" s="1">
        <v>16.0</v>
      </c>
      <c r="AZ2520" s="1">
        <v>13.8</v>
      </c>
      <c r="BA2520" s="1">
        <v>18.7</v>
      </c>
      <c r="BB2520" s="1">
        <v>3.17</v>
      </c>
      <c r="BC2520" s="1" t="s">
        <v>4001</v>
      </c>
      <c r="BD2520" s="1">
        <v>16.8</v>
      </c>
      <c r="BE2520" s="1">
        <v>45.7</v>
      </c>
      <c r="BF2520" s="1">
        <v>25.2</v>
      </c>
      <c r="BG2520" s="1">
        <v>12.3</v>
      </c>
      <c r="BH2520" s="1" t="s">
        <v>4119</v>
      </c>
    </row>
    <row r="2521">
      <c r="A2521" s="1">
        <v>47187.0</v>
      </c>
      <c r="B2521" s="2" t="str">
        <f>IFERROR(__xludf.DUMMYFUNCTION("TO_TEXT(A2521)"),"47187")</f>
        <v>47187</v>
      </c>
      <c r="C2521" s="1">
        <v>205645.0</v>
      </c>
      <c r="D2521" s="1">
        <v>582.598257644359</v>
      </c>
      <c r="E2521" s="1" t="s">
        <v>1302</v>
      </c>
      <c r="F2521" s="1" t="s">
        <v>4120</v>
      </c>
      <c r="G2521" s="1">
        <v>352.979085161517</v>
      </c>
      <c r="H2521" s="1">
        <v>13.6934458359999</v>
      </c>
      <c r="I2521" s="1">
        <v>3.8029942739</v>
      </c>
      <c r="J2521" s="1">
        <v>6.51891329779999</v>
      </c>
      <c r="K2521" s="1">
        <v>15.256201902</v>
      </c>
      <c r="L2521" s="1">
        <v>21.6</v>
      </c>
      <c r="M2521" s="1">
        <v>9.2</v>
      </c>
      <c r="N2521" s="1">
        <v>17.9</v>
      </c>
      <c r="O2521" s="1">
        <v>80.443493356</v>
      </c>
      <c r="P2521" s="1">
        <v>6.2931906392</v>
      </c>
      <c r="Q2521" s="1">
        <v>149.82962</v>
      </c>
      <c r="R2521" s="1">
        <v>95.625215295</v>
      </c>
      <c r="S2521" s="1">
        <v>3.5</v>
      </c>
      <c r="T2521" s="1">
        <v>60336.0</v>
      </c>
      <c r="U2521" s="1">
        <v>13.169583665</v>
      </c>
      <c r="V2521" s="1">
        <v>139.67044426</v>
      </c>
      <c r="W2521" s="1">
        <v>10.28925329</v>
      </c>
      <c r="X2521" s="1">
        <v>8.7501767284</v>
      </c>
      <c r="Y2521" s="1">
        <v>82.016201447</v>
      </c>
      <c r="Z2521" s="1">
        <v>7.9</v>
      </c>
      <c r="AA2521" s="1">
        <v>3.3126459143</v>
      </c>
      <c r="AB2521" s="1">
        <v>115930.0</v>
      </c>
      <c r="AC2521" s="1">
        <v>52.4746192889999</v>
      </c>
      <c r="AD2521" s="1">
        <v>80.562486728</v>
      </c>
      <c r="AE2521" s="1">
        <v>8.1721215071</v>
      </c>
      <c r="AF2521" s="1">
        <v>4.3373941112</v>
      </c>
      <c r="AG2521" s="1">
        <v>0.2735954499</v>
      </c>
      <c r="AH2521" s="1">
        <v>4.71455881649999</v>
      </c>
      <c r="AI2521" s="1">
        <v>0.0612784762</v>
      </c>
      <c r="AJ2521" s="1">
        <v>4.8690496226</v>
      </c>
      <c r="AK2521" s="1">
        <v>84.314004721</v>
      </c>
      <c r="AL2521" s="1">
        <v>0.768602117099999</v>
      </c>
      <c r="AM2521" s="1">
        <v>50.934496761</v>
      </c>
      <c r="AN2521" s="1">
        <v>19.386184232</v>
      </c>
      <c r="AO2521" s="1">
        <v>46494.0</v>
      </c>
      <c r="AP2521" s="1">
        <v>5.2</v>
      </c>
      <c r="AQ2521" s="1">
        <v>3.7</v>
      </c>
      <c r="AR2521" s="1">
        <v>4.4</v>
      </c>
      <c r="AS2521" s="1">
        <v>11.5</v>
      </c>
      <c r="AT2521" s="1">
        <v>28.1</v>
      </c>
      <c r="AU2521" s="1">
        <v>7.1</v>
      </c>
      <c r="AV2521" s="1">
        <v>14.3</v>
      </c>
      <c r="AW2521" s="1">
        <v>0.7</v>
      </c>
      <c r="AX2521" s="1">
        <v>0.0181</v>
      </c>
      <c r="AY2521" s="1">
        <v>4.3</v>
      </c>
      <c r="AZ2521" s="1">
        <v>5.8</v>
      </c>
      <c r="BA2521" s="1">
        <v>5.1</v>
      </c>
      <c r="BB2521" s="1">
        <v>3.67</v>
      </c>
      <c r="BC2521" s="1" t="s">
        <v>4001</v>
      </c>
      <c r="BD2521" s="1">
        <v>4.7</v>
      </c>
      <c r="BE2521" s="1">
        <v>13.3</v>
      </c>
      <c r="BF2521" s="1">
        <v>22.2</v>
      </c>
      <c r="BG2521" s="1">
        <v>59.8</v>
      </c>
      <c r="BH2521" s="1" t="s">
        <v>4120</v>
      </c>
    </row>
    <row r="2522">
      <c r="A2522" s="1">
        <v>47189.0</v>
      </c>
      <c r="B2522" s="2" t="str">
        <f>IFERROR(__xludf.DUMMYFUNCTION("TO_TEXT(A2522)"),"47189")</f>
        <v>47189</v>
      </c>
      <c r="C2522" s="1">
        <v>125616.0</v>
      </c>
      <c r="D2522" s="1">
        <v>571.065401715216</v>
      </c>
      <c r="E2522" s="1" t="s">
        <v>1754</v>
      </c>
      <c r="F2522" s="1" t="s">
        <v>4121</v>
      </c>
      <c r="G2522" s="1">
        <v>219.967799874949</v>
      </c>
      <c r="H2522" s="1">
        <v>16.57487394</v>
      </c>
      <c r="I2522" s="1">
        <v>4.0918215578</v>
      </c>
      <c r="J2522" s="1">
        <v>8.5549132948</v>
      </c>
      <c r="K2522" s="1">
        <v>18.180668233</v>
      </c>
      <c r="L2522" s="1">
        <v>37.2</v>
      </c>
      <c r="M2522" s="1">
        <v>8.6</v>
      </c>
      <c r="N2522" s="1">
        <v>21.0</v>
      </c>
      <c r="O2522" s="1">
        <v>58.09040906</v>
      </c>
      <c r="P2522" s="1">
        <v>8.6157360933</v>
      </c>
      <c r="Q2522" s="1">
        <v>32.24813</v>
      </c>
      <c r="R2522" s="1">
        <v>96.183206107</v>
      </c>
      <c r="S2522" s="1">
        <v>9.9</v>
      </c>
      <c r="T2522" s="1">
        <v>31630.0</v>
      </c>
      <c r="U2522" s="1">
        <v>24.423016124</v>
      </c>
      <c r="V2522" s="1">
        <v>302.56300142</v>
      </c>
      <c r="W2522" s="1">
        <v>12.326656394</v>
      </c>
      <c r="X2522" s="1">
        <v>10.728609626</v>
      </c>
      <c r="Y2522" s="1">
        <v>78.434137432</v>
      </c>
      <c r="Z2522" s="1">
        <v>11.0</v>
      </c>
      <c r="AA2522" s="1">
        <v>3.8862704929</v>
      </c>
      <c r="AB2522" s="1">
        <v>76507.0</v>
      </c>
      <c r="AC2522" s="1">
        <v>52.4746192889999</v>
      </c>
      <c r="AD2522" s="1">
        <v>76.826846297</v>
      </c>
      <c r="AE2522" s="1">
        <v>9.9436003199</v>
      </c>
      <c r="AF2522" s="1">
        <v>7.0769777778</v>
      </c>
      <c r="AG2522" s="1">
        <v>0.4963555556</v>
      </c>
      <c r="AH2522" s="1">
        <v>1.6739555556</v>
      </c>
      <c r="AI2522" s="1">
        <v>0.0917333333</v>
      </c>
      <c r="AJ2522" s="1">
        <v>4.5091555556</v>
      </c>
      <c r="AK2522" s="1">
        <v>84.667733333</v>
      </c>
      <c r="AL2522" s="1">
        <v>1.1219195329</v>
      </c>
      <c r="AM2522" s="1">
        <v>50.811733333</v>
      </c>
      <c r="AN2522" s="1">
        <v>38.467274306</v>
      </c>
      <c r="AO2522" s="1">
        <v>29762.0</v>
      </c>
      <c r="AP2522" s="1">
        <v>9.1</v>
      </c>
      <c r="AQ2522" s="1">
        <v>5.4</v>
      </c>
      <c r="AR2522" s="1">
        <v>10.2</v>
      </c>
      <c r="AS2522" s="1">
        <v>14.5</v>
      </c>
      <c r="AT2522" s="1">
        <v>24.2</v>
      </c>
      <c r="AU2522" s="1">
        <v>13.1</v>
      </c>
      <c r="AV2522" s="1">
        <v>13.7</v>
      </c>
      <c r="AW2522" s="1">
        <v>0.7</v>
      </c>
      <c r="AX2522" s="1">
        <v>0.1375</v>
      </c>
      <c r="AY2522" s="1">
        <v>7.4</v>
      </c>
      <c r="AZ2522" s="1">
        <v>9.1</v>
      </c>
      <c r="BA2522" s="1">
        <v>10.5</v>
      </c>
      <c r="BB2522" s="1">
        <v>3.21</v>
      </c>
      <c r="BC2522" s="1" t="s">
        <v>4001</v>
      </c>
      <c r="BD2522" s="1">
        <v>8.4</v>
      </c>
      <c r="BE2522" s="1">
        <v>29.0</v>
      </c>
      <c r="BF2522" s="1">
        <v>30.2</v>
      </c>
      <c r="BG2522" s="1">
        <v>32.4</v>
      </c>
      <c r="BH2522" s="1" t="s">
        <v>4121</v>
      </c>
    </row>
    <row r="2523">
      <c r="A2523" s="1">
        <v>48001.0</v>
      </c>
      <c r="B2523" s="2" t="str">
        <f>IFERROR(__xludf.DUMMYFUNCTION("TO_TEXT(A2523)"),"48001")</f>
        <v>48001</v>
      </c>
      <c r="C2523" s="1">
        <v>57772.0</v>
      </c>
      <c r="D2523" s="1">
        <v>1062.60261463334</v>
      </c>
      <c r="E2523" s="1" t="s">
        <v>1589</v>
      </c>
      <c r="F2523" s="1" t="s">
        <v>4122</v>
      </c>
      <c r="G2523" s="1">
        <v>54.3683962418394</v>
      </c>
      <c r="H2523" s="1">
        <v>19.727722639</v>
      </c>
      <c r="I2523" s="1">
        <v>3.9711157105</v>
      </c>
      <c r="J2523" s="1">
        <v>7.3070408904</v>
      </c>
      <c r="K2523" s="1">
        <v>17.386320799</v>
      </c>
      <c r="L2523" s="1">
        <v>36.5</v>
      </c>
      <c r="M2523" s="1">
        <v>5.9</v>
      </c>
      <c r="N2523" s="1">
        <v>23.1</v>
      </c>
      <c r="O2523" s="1">
        <v>26.389886756</v>
      </c>
      <c r="P2523" s="1">
        <v>19.602529359</v>
      </c>
      <c r="Q2523" s="1">
        <v>34.63743</v>
      </c>
      <c r="R2523" s="1">
        <v>96.8</v>
      </c>
      <c r="S2523" s="1">
        <v>22.6</v>
      </c>
      <c r="T2523" s="1">
        <v>11168.0</v>
      </c>
      <c r="U2523" s="1">
        <v>32.494627507</v>
      </c>
      <c r="V2523" s="1">
        <v>416.60892461</v>
      </c>
      <c r="W2523" s="1">
        <v>14.423657212</v>
      </c>
      <c r="X2523" s="1">
        <v>9.3321134492</v>
      </c>
      <c r="Y2523" s="1">
        <v>73.351754925</v>
      </c>
      <c r="Z2523" s="1">
        <v>10.4</v>
      </c>
      <c r="AA2523" s="1">
        <v>15.497338722</v>
      </c>
      <c r="AB2523" s="1">
        <v>45969.0</v>
      </c>
      <c r="AC2523" s="1">
        <v>59.215550156</v>
      </c>
      <c r="AD2523" s="1">
        <v>70.927759888</v>
      </c>
      <c r="AE2523" s="1">
        <v>9.4740197641</v>
      </c>
      <c r="AF2523" s="1">
        <v>20.958712989</v>
      </c>
      <c r="AG2523" s="1">
        <v>0.6975902992</v>
      </c>
      <c r="AH2523" s="1">
        <v>0.9301203989</v>
      </c>
      <c r="AI2523" s="1">
        <v>0.158464956899999</v>
      </c>
      <c r="AJ2523" s="1">
        <v>17.965103261</v>
      </c>
      <c r="AK2523" s="1">
        <v>58.664760494</v>
      </c>
      <c r="AL2523" s="1">
        <v>2.5295232541</v>
      </c>
      <c r="AM2523" s="1">
        <v>38.773963519</v>
      </c>
      <c r="AN2523" s="1">
        <v>67.063532793</v>
      </c>
      <c r="AO2523" s="1">
        <v>18087.0</v>
      </c>
      <c r="AP2523" s="1">
        <v>17.1</v>
      </c>
      <c r="AQ2523" s="1">
        <v>4.3</v>
      </c>
      <c r="AR2523" s="1">
        <v>19.8</v>
      </c>
      <c r="AS2523" s="1">
        <v>13.7</v>
      </c>
      <c r="AT2523" s="1">
        <v>19.4</v>
      </c>
      <c r="AU2523" s="1">
        <v>12.4</v>
      </c>
      <c r="AV2523" s="1">
        <v>40.0</v>
      </c>
      <c r="AW2523" s="1">
        <v>2.4</v>
      </c>
      <c r="AX2523" s="1">
        <v>0.7549</v>
      </c>
      <c r="AY2523" s="1">
        <v>19.8</v>
      </c>
      <c r="AZ2523" s="1">
        <v>15.2</v>
      </c>
      <c r="BA2523" s="1">
        <v>22.9</v>
      </c>
      <c r="BB2523" s="1">
        <v>2.85</v>
      </c>
      <c r="BC2523" s="1" t="s">
        <v>4123</v>
      </c>
      <c r="BD2523" s="1">
        <v>18.7</v>
      </c>
      <c r="BE2523" s="1">
        <v>38.9</v>
      </c>
      <c r="BF2523" s="1">
        <v>31.8</v>
      </c>
      <c r="BG2523" s="1">
        <v>10.6</v>
      </c>
      <c r="BH2523" s="1" t="s">
        <v>4122</v>
      </c>
    </row>
    <row r="2524">
      <c r="A2524" s="1">
        <v>48003.0</v>
      </c>
      <c r="B2524" s="2" t="str">
        <f>IFERROR(__xludf.DUMMYFUNCTION("TO_TEXT(A2524)"),"48003")</f>
        <v>48003</v>
      </c>
      <c r="C2524" s="1">
        <v>17215.0</v>
      </c>
      <c r="D2524" s="1">
        <v>1500.72069074688</v>
      </c>
      <c r="E2524" s="1" t="s">
        <v>4124</v>
      </c>
      <c r="F2524" s="1" t="s">
        <v>4125</v>
      </c>
      <c r="G2524" s="1">
        <v>11.4711552297133</v>
      </c>
      <c r="H2524" s="1">
        <v>19.851002217</v>
      </c>
      <c r="I2524" s="1">
        <v>3.7311770587</v>
      </c>
      <c r="J2524" s="1">
        <v>6.29274965799999</v>
      </c>
      <c r="K2524" s="1">
        <v>13.4363001999999</v>
      </c>
      <c r="L2524" s="1">
        <v>34.9</v>
      </c>
      <c r="M2524" s="1">
        <v>8.1</v>
      </c>
      <c r="N2524" s="1">
        <v>26.4</v>
      </c>
      <c r="O2524" s="1">
        <v>93.865819018</v>
      </c>
      <c r="P2524" s="1">
        <v>22.0535205919999</v>
      </c>
      <c r="Q2524" s="1">
        <v>50.78434</v>
      </c>
      <c r="R2524" s="1">
        <v>95.8</v>
      </c>
      <c r="S2524" s="1">
        <v>14.0</v>
      </c>
      <c r="T2524" s="1">
        <v>5519.0</v>
      </c>
      <c r="U2524" s="1">
        <v>20.837108172</v>
      </c>
      <c r="V2524" s="1">
        <v>493.88847502</v>
      </c>
      <c r="W2524" s="1">
        <v>16.326530612</v>
      </c>
      <c r="X2524" s="1">
        <v>7.2112676056</v>
      </c>
      <c r="Y2524" s="1">
        <v>77.459563506</v>
      </c>
      <c r="Z2524" s="1">
        <v>6.7</v>
      </c>
      <c r="AA2524" s="1">
        <v>11.697018786</v>
      </c>
      <c r="AB2524" s="1">
        <v>84946.0</v>
      </c>
      <c r="AC2524" s="1">
        <v>39.719626168</v>
      </c>
      <c r="AD2524" s="1">
        <v>73.057371097</v>
      </c>
      <c r="AE2524" s="1">
        <v>6.4387464387</v>
      </c>
      <c r="AF2524" s="1">
        <v>1.3349514563</v>
      </c>
      <c r="AG2524" s="1">
        <v>1.5225066196</v>
      </c>
      <c r="AH2524" s="1">
        <v>0.7722859665</v>
      </c>
      <c r="AI2524" s="1">
        <v>0.0220653133</v>
      </c>
      <c r="AJ2524" s="1">
        <v>56.641659312</v>
      </c>
      <c r="AK2524" s="1">
        <v>39.877537511</v>
      </c>
      <c r="AL2524" s="1">
        <v>8.0285240057</v>
      </c>
      <c r="AM2524" s="1">
        <v>48.84157105</v>
      </c>
      <c r="AN2524" s="1">
        <v>16.502096578</v>
      </c>
      <c r="AO2524" s="1">
        <v>29240.0</v>
      </c>
      <c r="AP2524" s="1">
        <v>10.7</v>
      </c>
      <c r="AQ2524" s="1">
        <v>5.2</v>
      </c>
      <c r="AR2524" s="1">
        <v>26.2</v>
      </c>
      <c r="AS2524" s="1">
        <v>10.2</v>
      </c>
      <c r="AT2524" s="1">
        <v>30.8</v>
      </c>
      <c r="AU2524" s="1">
        <v>10.6</v>
      </c>
      <c r="AV2524" s="1">
        <v>57.9</v>
      </c>
      <c r="AW2524" s="1">
        <v>8.0</v>
      </c>
      <c r="AX2524" s="1">
        <v>0.4836</v>
      </c>
      <c r="AY2524" s="1">
        <v>10.2</v>
      </c>
      <c r="AZ2524" s="1">
        <v>10.1</v>
      </c>
      <c r="BA2524" s="1">
        <v>14.3</v>
      </c>
      <c r="BB2524" s="1">
        <v>2.94</v>
      </c>
      <c r="BC2524" s="1" t="s">
        <v>4123</v>
      </c>
      <c r="BD2524" s="1">
        <v>27.7</v>
      </c>
      <c r="BE2524" s="1">
        <v>34.9</v>
      </c>
      <c r="BF2524" s="1">
        <v>25.1</v>
      </c>
      <c r="BG2524" s="1">
        <v>12.2</v>
      </c>
      <c r="BH2524" s="1" t="s">
        <v>4125</v>
      </c>
    </row>
    <row r="2525">
      <c r="A2525" s="1">
        <v>48005.0</v>
      </c>
      <c r="B2525" s="2" t="str">
        <f>IFERROR(__xludf.DUMMYFUNCTION("TO_TEXT(A2525)"),"48005")</f>
        <v>48005</v>
      </c>
      <c r="C2525" s="1">
        <v>87657.0</v>
      </c>
      <c r="D2525" s="1">
        <v>797.779430843078</v>
      </c>
      <c r="E2525" s="1" t="s">
        <v>4126</v>
      </c>
      <c r="F2525" s="1" t="s">
        <v>4127</v>
      </c>
      <c r="G2525" s="1">
        <v>109.876234722379</v>
      </c>
      <c r="H2525" s="1">
        <v>20.900429989</v>
      </c>
      <c r="I2525" s="1">
        <v>4.3349035728</v>
      </c>
      <c r="J2525" s="1">
        <v>9.0500485909</v>
      </c>
      <c r="K2525" s="1">
        <v>15.856965822</v>
      </c>
      <c r="L2525" s="1">
        <v>40.7</v>
      </c>
      <c r="M2525" s="1">
        <v>6.2</v>
      </c>
      <c r="N2525" s="1">
        <v>34.5</v>
      </c>
      <c r="O2525" s="1">
        <v>65.127750055</v>
      </c>
      <c r="P2525" s="1">
        <v>21.657537309</v>
      </c>
      <c r="Q2525" s="1">
        <v>59.22214</v>
      </c>
      <c r="R2525" s="1">
        <v>92.4</v>
      </c>
      <c r="S2525" s="1">
        <v>26.7</v>
      </c>
      <c r="T2525" s="1">
        <v>22462.0</v>
      </c>
      <c r="U2525" s="1">
        <v>38.567358205</v>
      </c>
      <c r="V2525" s="1">
        <v>311.67123784</v>
      </c>
      <c r="W2525" s="1">
        <v>17.461878997</v>
      </c>
      <c r="X2525" s="1">
        <v>12.337037651</v>
      </c>
      <c r="Y2525" s="1">
        <v>76.13032605</v>
      </c>
      <c r="Z2525" s="1">
        <v>14.3</v>
      </c>
      <c r="AA2525" s="1">
        <v>10.95047622</v>
      </c>
      <c r="AB2525" s="1">
        <v>46653.0</v>
      </c>
      <c r="AC2525" s="1">
        <v>66.865877485</v>
      </c>
      <c r="AD2525" s="1">
        <v>66.400285872</v>
      </c>
      <c r="AE2525" s="1">
        <v>12.175363355</v>
      </c>
      <c r="AF2525" s="1">
        <v>14.833739035</v>
      </c>
      <c r="AG2525" s="1">
        <v>0.758967528599999</v>
      </c>
      <c r="AH2525" s="1">
        <v>1.0770219997</v>
      </c>
      <c r="AI2525" s="1">
        <v>0.0700408763</v>
      </c>
      <c r="AJ2525" s="1">
        <v>22.492306986</v>
      </c>
      <c r="AK2525" s="1">
        <v>60.307490929</v>
      </c>
      <c r="AL2525" s="1">
        <v>4.3948232757</v>
      </c>
      <c r="AM2525" s="1">
        <v>51.21480733</v>
      </c>
      <c r="AN2525" s="1">
        <v>43.082366228</v>
      </c>
      <c r="AO2525" s="1">
        <v>21486.0</v>
      </c>
      <c r="AP2525" s="1">
        <v>19.6</v>
      </c>
      <c r="AQ2525" s="1">
        <v>8.3</v>
      </c>
      <c r="AR2525" s="1">
        <v>20.1</v>
      </c>
      <c r="AS2525" s="1">
        <v>15.1</v>
      </c>
      <c r="AT2525" s="1">
        <v>26.1</v>
      </c>
      <c r="AU2525" s="1">
        <v>20.1</v>
      </c>
      <c r="AV2525" s="1">
        <v>38.3</v>
      </c>
      <c r="AW2525" s="1">
        <v>4.7</v>
      </c>
      <c r="AX2525" s="1">
        <v>0.9669</v>
      </c>
      <c r="AY2525" s="1">
        <v>15.6</v>
      </c>
      <c r="AZ2525" s="1">
        <v>17.9</v>
      </c>
      <c r="BA2525" s="1">
        <v>26.1</v>
      </c>
      <c r="BB2525" s="1">
        <v>2.81</v>
      </c>
      <c r="BC2525" s="1" t="s">
        <v>4123</v>
      </c>
      <c r="BD2525" s="1">
        <v>18.1</v>
      </c>
      <c r="BE2525" s="1">
        <v>31.6</v>
      </c>
      <c r="BF2525" s="1">
        <v>33.4</v>
      </c>
      <c r="BG2525" s="1">
        <v>16.9</v>
      </c>
      <c r="BH2525" s="1" t="s">
        <v>4127</v>
      </c>
    </row>
    <row r="2526">
      <c r="A2526" s="1">
        <v>48007.0</v>
      </c>
      <c r="B2526" s="2" t="str">
        <f>IFERROR(__xludf.DUMMYFUNCTION("TO_TEXT(A2526)"),"48007")</f>
        <v>48007</v>
      </c>
      <c r="C2526" s="1">
        <v>24729.0</v>
      </c>
      <c r="D2526" s="1">
        <v>252.084298495607</v>
      </c>
      <c r="E2526" s="1" t="s">
        <v>4128</v>
      </c>
      <c r="F2526" s="1" t="s">
        <v>4129</v>
      </c>
      <c r="G2526" s="1">
        <v>98.0981368041487</v>
      </c>
      <c r="H2526" s="1">
        <v>20.5505409409999</v>
      </c>
      <c r="I2526" s="1">
        <v>4.2559215221</v>
      </c>
      <c r="J2526" s="1">
        <v>9.2635212888</v>
      </c>
      <c r="K2526" s="1">
        <v>14.157452328</v>
      </c>
      <c r="L2526" s="1">
        <v>40.5</v>
      </c>
      <c r="M2526" s="1">
        <v>5.8</v>
      </c>
      <c r="N2526" s="1">
        <v>36.3</v>
      </c>
      <c r="O2526" s="1">
        <v>80.602815442</v>
      </c>
      <c r="P2526" s="1">
        <v>22.302433689</v>
      </c>
      <c r="Q2526" s="1">
        <v>35.19474</v>
      </c>
      <c r="R2526" s="1">
        <v>88.7</v>
      </c>
      <c r="S2526" s="1">
        <v>34.7</v>
      </c>
      <c r="T2526" s="1">
        <v>4653.0</v>
      </c>
      <c r="U2526" s="1">
        <v>35.869331614</v>
      </c>
      <c r="V2526" s="1">
        <v>476.54828759</v>
      </c>
      <c r="W2526" s="1">
        <v>13.821989529</v>
      </c>
      <c r="X2526" s="1">
        <v>11.233595801</v>
      </c>
      <c r="Y2526" s="1">
        <v>77.876649908</v>
      </c>
      <c r="Z2526" s="1">
        <v>18.7</v>
      </c>
      <c r="AA2526" s="1">
        <v>19.935814023</v>
      </c>
      <c r="AB2526" s="1">
        <v>46912.0</v>
      </c>
      <c r="AC2526" s="1">
        <v>96.3093835889999</v>
      </c>
      <c r="AD2526" s="1">
        <v>77.86259542</v>
      </c>
      <c r="AE2526" s="1">
        <v>13.0708835559999</v>
      </c>
      <c r="AF2526" s="1">
        <v>1.260928043</v>
      </c>
      <c r="AG2526" s="1">
        <v>1.2357094822</v>
      </c>
      <c r="AH2526" s="1">
        <v>1.9964694015</v>
      </c>
      <c r="AI2526" s="1">
        <v>0.0924680565</v>
      </c>
      <c r="AJ2526" s="1">
        <v>27.42938803</v>
      </c>
      <c r="AK2526" s="1">
        <v>67.514290518</v>
      </c>
      <c r="AL2526" s="1">
        <v>2.4240108677</v>
      </c>
      <c r="AM2526" s="1">
        <v>50.609448554</v>
      </c>
      <c r="AN2526" s="1">
        <v>27.260557907</v>
      </c>
      <c r="AO2526" s="1">
        <v>29426.0</v>
      </c>
      <c r="AP2526" s="1">
        <v>17.0</v>
      </c>
      <c r="AQ2526" s="1">
        <v>7.5</v>
      </c>
      <c r="AR2526" s="1">
        <v>16.8</v>
      </c>
      <c r="AS2526" s="1">
        <v>26.9</v>
      </c>
      <c r="AT2526" s="1">
        <v>18.5</v>
      </c>
      <c r="AU2526" s="1">
        <v>23.0</v>
      </c>
      <c r="AV2526" s="1">
        <v>31.9</v>
      </c>
      <c r="AW2526" s="1">
        <v>1.6</v>
      </c>
      <c r="AX2526" s="1">
        <v>0.6727</v>
      </c>
      <c r="AY2526" s="1">
        <v>18.7</v>
      </c>
      <c r="AZ2526" s="1">
        <v>18.4</v>
      </c>
      <c r="BA2526" s="1">
        <v>28.9</v>
      </c>
      <c r="BB2526" s="1">
        <v>2.96</v>
      </c>
      <c r="BC2526" s="1" t="s">
        <v>4123</v>
      </c>
      <c r="BD2526" s="1">
        <v>15.5</v>
      </c>
      <c r="BE2526" s="1">
        <v>31.2</v>
      </c>
      <c r="BF2526" s="1">
        <v>31.4</v>
      </c>
      <c r="BG2526" s="1">
        <v>21.9</v>
      </c>
      <c r="BH2526" s="1" t="s">
        <v>4129</v>
      </c>
    </row>
    <row r="2527">
      <c r="A2527" s="1">
        <v>48009.0</v>
      </c>
      <c r="B2527" s="2" t="str">
        <f>IFERROR(__xludf.DUMMYFUNCTION("TO_TEXT(A2527)"),"48009")</f>
        <v>48009</v>
      </c>
      <c r="C2527" s="1">
        <v>8750.0</v>
      </c>
      <c r="D2527" s="1">
        <v>903.114068437319</v>
      </c>
      <c r="E2527" s="1" t="s">
        <v>4130</v>
      </c>
      <c r="F2527" s="1" t="s">
        <v>4131</v>
      </c>
      <c r="G2527" s="1">
        <v>9.68869858836363</v>
      </c>
      <c r="H2527" s="1">
        <v>13.891397662</v>
      </c>
      <c r="I2527" s="1">
        <v>3.8330074892</v>
      </c>
      <c r="J2527" s="1">
        <v>7.97773654919999</v>
      </c>
      <c r="K2527" s="1">
        <v>14.0626069859999</v>
      </c>
      <c r="L2527" s="1">
        <v>26.8</v>
      </c>
      <c r="M2527" s="1">
        <v>7.6</v>
      </c>
      <c r="N2527" s="1">
        <v>19.3</v>
      </c>
      <c r="O2527" s="1">
        <v>22.509388116</v>
      </c>
      <c r="P2527" s="1">
        <v>18.978205491</v>
      </c>
      <c r="Q2527" s="1">
        <v>48.31939</v>
      </c>
      <c r="R2527" s="1">
        <v>99.4</v>
      </c>
      <c r="S2527" s="1">
        <v>14.3</v>
      </c>
      <c r="T2527" s="1">
        <v>1888.0</v>
      </c>
      <c r="U2527" s="1">
        <v>23.622881356</v>
      </c>
      <c r="V2527" s="1">
        <v>201.65162282</v>
      </c>
      <c r="W2527" s="1">
        <v>9.4594594595</v>
      </c>
      <c r="X2527" s="1">
        <v>6.9069069069</v>
      </c>
      <c r="Y2527" s="1">
        <v>78.794054623</v>
      </c>
      <c r="Z2527" s="1">
        <v>11.5</v>
      </c>
      <c r="AA2527" s="1">
        <v>5.4338379588</v>
      </c>
      <c r="AB2527" s="1">
        <v>61190.0</v>
      </c>
      <c r="AC2527" s="1">
        <v>29.3871136719999</v>
      </c>
      <c r="AD2527" s="1">
        <v>84.153661465</v>
      </c>
      <c r="AE2527" s="1">
        <v>7.4589910245</v>
      </c>
      <c r="AF2527" s="1">
        <v>0.865012519899999</v>
      </c>
      <c r="AG2527" s="1">
        <v>1.4796266788</v>
      </c>
      <c r="AH2527" s="1">
        <v>0.523560209399999</v>
      </c>
      <c r="AI2527" s="1">
        <v>0.034145231</v>
      </c>
      <c r="AJ2527" s="1">
        <v>8.1607102208</v>
      </c>
      <c r="AK2527" s="1">
        <v>88.28818575</v>
      </c>
      <c r="AL2527" s="1">
        <v>0.9450891255</v>
      </c>
      <c r="AM2527" s="1">
        <v>50.762576827</v>
      </c>
      <c r="AN2527" s="1">
        <v>88.988292467</v>
      </c>
      <c r="AO2527" s="1">
        <v>29086.0</v>
      </c>
      <c r="AP2527" s="1">
        <v>8.1</v>
      </c>
      <c r="AQ2527" s="1">
        <v>3.3</v>
      </c>
      <c r="AR2527" s="1">
        <v>9.9</v>
      </c>
      <c r="AS2527" s="1">
        <v>17.8</v>
      </c>
      <c r="AT2527" s="1">
        <v>22.3</v>
      </c>
      <c r="AU2527" s="1">
        <v>14.8</v>
      </c>
      <c r="AV2527" s="1">
        <v>11.4</v>
      </c>
      <c r="AW2527" s="1">
        <v>1.5</v>
      </c>
      <c r="AX2527" s="1">
        <v>0.0834</v>
      </c>
      <c r="AY2527" s="1">
        <v>10.3</v>
      </c>
      <c r="AZ2527" s="1">
        <v>13.2</v>
      </c>
      <c r="BA2527" s="1">
        <v>21.1</v>
      </c>
      <c r="BB2527" s="1">
        <v>2.89</v>
      </c>
      <c r="BC2527" s="1" t="s">
        <v>4123</v>
      </c>
      <c r="BD2527" s="1">
        <v>9.7</v>
      </c>
      <c r="BE2527" s="1">
        <v>35.4</v>
      </c>
      <c r="BF2527" s="1">
        <v>31.0</v>
      </c>
      <c r="BG2527" s="1">
        <v>23.9</v>
      </c>
      <c r="BH2527" s="1" t="s">
        <v>4131</v>
      </c>
    </row>
    <row r="2528">
      <c r="A2528" s="1">
        <v>48011.0</v>
      </c>
      <c r="B2528" s="2" t="str">
        <f>IFERROR(__xludf.DUMMYFUNCTION("TO_TEXT(A2528)"),"48011")</f>
        <v>48011</v>
      </c>
      <c r="C2528" s="1">
        <v>1913.0</v>
      </c>
      <c r="D2528" s="1">
        <v>909.10869388085</v>
      </c>
      <c r="E2528" s="1" t="s">
        <v>3717</v>
      </c>
      <c r="F2528" s="1" t="s">
        <v>4132</v>
      </c>
      <c r="G2528" s="1">
        <v>2.10425883381853</v>
      </c>
      <c r="H2528" s="1">
        <v>12.287989974</v>
      </c>
      <c r="I2528" s="1">
        <v>3.5862015712</v>
      </c>
      <c r="J2528" s="1">
        <v>8.6092715232</v>
      </c>
      <c r="K2528" s="1">
        <v>11.749550267</v>
      </c>
      <c r="L2528" s="1">
        <v>29.3</v>
      </c>
      <c r="M2528" s="1">
        <v>6.5</v>
      </c>
      <c r="N2528" s="1">
        <v>23.2</v>
      </c>
      <c r="O2528" s="1">
        <v>2.524986849</v>
      </c>
      <c r="P2528" s="1">
        <v>17.6144244109999</v>
      </c>
      <c r="Q2528" s="1">
        <v>0.0</v>
      </c>
      <c r="R2528" s="1">
        <v>100.0</v>
      </c>
      <c r="S2528" s="1">
        <v>15.3</v>
      </c>
      <c r="T2528" s="1">
        <v>396.0</v>
      </c>
      <c r="U2528" s="1">
        <v>25.252525253</v>
      </c>
      <c r="V2528" s="1">
        <v>152.82730515</v>
      </c>
      <c r="W2528" s="1">
        <v>10.0</v>
      </c>
      <c r="X2528" s="1">
        <v>8.0924855491</v>
      </c>
      <c r="Y2528" s="1">
        <v>77.355340106</v>
      </c>
      <c r="Z2528" s="1">
        <v>9.2</v>
      </c>
      <c r="AA2528" s="1">
        <v>19.804288477</v>
      </c>
      <c r="AB2528" s="1">
        <v>57210.0</v>
      </c>
      <c r="AC2528" s="1">
        <v>42.741935484</v>
      </c>
      <c r="AD2528" s="1">
        <v>80.367231638</v>
      </c>
      <c r="AE2528" s="1">
        <v>9.4339622642</v>
      </c>
      <c r="AF2528" s="1">
        <v>0.8456659619</v>
      </c>
      <c r="AG2528" s="1">
        <v>1.4799154334</v>
      </c>
      <c r="AH2528" s="1">
        <v>0.2114164905</v>
      </c>
      <c r="AI2528" s="1">
        <v>0.0</v>
      </c>
      <c r="AJ2528" s="1">
        <v>7.9809725159</v>
      </c>
      <c r="AK2528" s="1">
        <v>89.059196617</v>
      </c>
      <c r="AL2528" s="1">
        <v>1.0027855153</v>
      </c>
      <c r="AM2528" s="1">
        <v>51.479915433</v>
      </c>
      <c r="AN2528" s="1">
        <v>100.0</v>
      </c>
      <c r="AO2528" s="1">
        <v>28542.0</v>
      </c>
      <c r="AP2528" s="1">
        <v>9.6</v>
      </c>
      <c r="AQ2528" s="1">
        <v>1.6</v>
      </c>
      <c r="AR2528" s="1">
        <v>10.2</v>
      </c>
      <c r="AS2528" s="1">
        <v>21.9</v>
      </c>
      <c r="AT2528" s="1">
        <v>22.6</v>
      </c>
      <c r="AU2528" s="1">
        <v>15.6</v>
      </c>
      <c r="AV2528" s="1">
        <v>16.3</v>
      </c>
      <c r="AW2528" s="1">
        <v>0.3</v>
      </c>
      <c r="AX2528" s="1">
        <v>0.1305</v>
      </c>
      <c r="AY2528" s="1">
        <v>10.6</v>
      </c>
      <c r="AZ2528" s="1">
        <v>12.1</v>
      </c>
      <c r="BA2528" s="1">
        <v>19.7</v>
      </c>
      <c r="BB2528" s="1">
        <v>3.08</v>
      </c>
      <c r="BC2528" s="1" t="s">
        <v>4123</v>
      </c>
      <c r="BD2528" s="1">
        <v>13.1</v>
      </c>
      <c r="BE2528" s="1">
        <v>22.4</v>
      </c>
      <c r="BF2528" s="1">
        <v>41.6</v>
      </c>
      <c r="BG2528" s="1">
        <v>22.8</v>
      </c>
      <c r="BH2528" s="1" t="s">
        <v>4132</v>
      </c>
    </row>
    <row r="2529">
      <c r="A2529" s="1">
        <v>48013.0</v>
      </c>
      <c r="B2529" s="2" t="str">
        <f>IFERROR(__xludf.DUMMYFUNCTION("TO_TEXT(A2529)"),"48013")</f>
        <v>48013</v>
      </c>
      <c r="C2529" s="1">
        <v>47710.0</v>
      </c>
      <c r="D2529" s="1">
        <v>1219.54048877763</v>
      </c>
      <c r="E2529" s="1" t="s">
        <v>4133</v>
      </c>
      <c r="F2529" s="1" t="s">
        <v>4134</v>
      </c>
      <c r="G2529" s="1">
        <v>39.121292354812</v>
      </c>
      <c r="H2529" s="1">
        <v>23.67838846</v>
      </c>
      <c r="I2529" s="1">
        <v>4.002868048</v>
      </c>
      <c r="J2529" s="1">
        <v>7.9890962466</v>
      </c>
      <c r="K2529" s="1">
        <v>14.3944698979999</v>
      </c>
      <c r="L2529" s="1">
        <v>36.7</v>
      </c>
      <c r="M2529" s="1">
        <v>8.3</v>
      </c>
      <c r="N2529" s="1">
        <v>32.1</v>
      </c>
      <c r="O2529" s="1">
        <v>41.16586137</v>
      </c>
      <c r="P2529" s="1">
        <v>19.01973021</v>
      </c>
      <c r="Q2529" s="1">
        <v>16.33286</v>
      </c>
      <c r="R2529" s="1">
        <v>92.5</v>
      </c>
      <c r="S2529" s="1">
        <v>23.9</v>
      </c>
      <c r="T2529" s="1">
        <v>13486.0</v>
      </c>
      <c r="U2529" s="1">
        <v>37.038410203</v>
      </c>
      <c r="V2529" s="1">
        <v>222.3809038</v>
      </c>
      <c r="W2529" s="1">
        <v>13.8807429129999</v>
      </c>
      <c r="X2529" s="1">
        <v>7.09359605909999</v>
      </c>
      <c r="Y2529" s="1">
        <v>78.256183319</v>
      </c>
      <c r="Z2529" s="1">
        <v>17.1</v>
      </c>
      <c r="AA2529" s="1">
        <v>8.1379763808</v>
      </c>
      <c r="AB2529" s="1">
        <v>50594.0</v>
      </c>
      <c r="AC2529" s="1">
        <v>62.907510263</v>
      </c>
      <c r="AD2529" s="1">
        <v>75.277831936</v>
      </c>
      <c r="AE2529" s="1">
        <v>8.1969486824</v>
      </c>
      <c r="AF2529" s="1">
        <v>0.7414032995</v>
      </c>
      <c r="AG2529" s="1">
        <v>1.3138541046</v>
      </c>
      <c r="AH2529" s="1">
        <v>0.6221427152</v>
      </c>
      <c r="AI2529" s="1">
        <v>0.12721129</v>
      </c>
      <c r="AJ2529" s="1">
        <v>64.65712582</v>
      </c>
      <c r="AK2529" s="1">
        <v>33.132578016</v>
      </c>
      <c r="AL2529" s="1">
        <v>4.0646273539</v>
      </c>
      <c r="AM2529" s="1">
        <v>50.141125025</v>
      </c>
      <c r="AN2529" s="1">
        <v>60.7111843419999</v>
      </c>
      <c r="AO2529" s="1">
        <v>23416.0</v>
      </c>
      <c r="AP2529" s="1">
        <v>15.3</v>
      </c>
      <c r="AQ2529" s="1">
        <v>7.2</v>
      </c>
      <c r="AR2529" s="1">
        <v>24.7</v>
      </c>
      <c r="AS2529" s="1">
        <v>13.8</v>
      </c>
      <c r="AT2529" s="1">
        <v>28.1</v>
      </c>
      <c r="AU2529" s="1">
        <v>11.4</v>
      </c>
      <c r="AV2529" s="1">
        <v>65.2</v>
      </c>
      <c r="AW2529" s="1">
        <v>4.0</v>
      </c>
      <c r="AX2529" s="1">
        <v>0.7338</v>
      </c>
      <c r="AY2529" s="1">
        <v>14.7</v>
      </c>
      <c r="AZ2529" s="1">
        <v>12.6</v>
      </c>
      <c r="BA2529" s="1">
        <v>19.7</v>
      </c>
      <c r="BB2529" s="1">
        <v>2.63</v>
      </c>
      <c r="BC2529" s="1" t="s">
        <v>4123</v>
      </c>
      <c r="BD2529" s="1">
        <v>22.9</v>
      </c>
      <c r="BE2529" s="1">
        <v>38.7</v>
      </c>
      <c r="BF2529" s="1">
        <v>23.9</v>
      </c>
      <c r="BG2529" s="1">
        <v>14.4</v>
      </c>
      <c r="BH2529" s="1" t="s">
        <v>4134</v>
      </c>
    </row>
    <row r="2530">
      <c r="A2530" s="1">
        <v>48015.0</v>
      </c>
      <c r="B2530" s="2" t="str">
        <f>IFERROR(__xludf.DUMMYFUNCTION("TO_TEXT(A2530)"),"48015")</f>
        <v>48015</v>
      </c>
      <c r="C2530" s="1">
        <v>29107.0</v>
      </c>
      <c r="D2530" s="1">
        <v>646.49136448477</v>
      </c>
      <c r="E2530" s="1" t="s">
        <v>4135</v>
      </c>
      <c r="F2530" s="1" t="s">
        <v>4136</v>
      </c>
      <c r="G2530" s="1">
        <v>45.0230298485073</v>
      </c>
      <c r="H2530" s="1">
        <v>17.116888869</v>
      </c>
      <c r="I2530" s="1">
        <v>3.926105426</v>
      </c>
      <c r="J2530" s="1">
        <v>7.949790795</v>
      </c>
      <c r="K2530" s="1">
        <v>13.560554297</v>
      </c>
      <c r="L2530" s="1">
        <v>31.5</v>
      </c>
      <c r="M2530" s="1">
        <v>7.6</v>
      </c>
      <c r="N2530" s="1">
        <v>29.3</v>
      </c>
      <c r="O2530" s="1">
        <v>26.494703874</v>
      </c>
      <c r="P2530" s="1">
        <v>20.244660999</v>
      </c>
      <c r="Q2530" s="1">
        <v>20.14369</v>
      </c>
      <c r="R2530" s="1">
        <v>96.8</v>
      </c>
      <c r="S2530" s="1">
        <v>16.9</v>
      </c>
      <c r="T2530" s="1">
        <v>7060.0</v>
      </c>
      <c r="U2530" s="1">
        <v>25.439093484</v>
      </c>
      <c r="V2530" s="1">
        <v>237.77981589</v>
      </c>
      <c r="W2530" s="1">
        <v>14.527629234</v>
      </c>
      <c r="X2530" s="1">
        <v>9.9909584087</v>
      </c>
      <c r="Y2530" s="1">
        <v>78.919241711</v>
      </c>
      <c r="Z2530" s="1">
        <v>10.4</v>
      </c>
      <c r="AA2530" s="1">
        <v>3.4972102771</v>
      </c>
      <c r="AB2530" s="1">
        <v>59942.0</v>
      </c>
      <c r="AC2530" s="1">
        <v>54.0453652439999</v>
      </c>
      <c r="AD2530" s="1">
        <v>76.324608278</v>
      </c>
      <c r="AE2530" s="1">
        <v>9.2672413793</v>
      </c>
      <c r="AF2530" s="1">
        <v>8.61982727</v>
      </c>
      <c r="AG2530" s="1">
        <v>0.7969588849</v>
      </c>
      <c r="AH2530" s="1">
        <v>0.7702824369</v>
      </c>
      <c r="AI2530" s="1">
        <v>0.0433492281</v>
      </c>
      <c r="AJ2530" s="1">
        <v>27.560105372</v>
      </c>
      <c r="AK2530" s="1">
        <v>61.679282404</v>
      </c>
      <c r="AL2530" s="1">
        <v>5.2150440885</v>
      </c>
      <c r="AM2530" s="1">
        <v>50.135049518</v>
      </c>
      <c r="AN2530" s="1">
        <v>66.344089805</v>
      </c>
      <c r="AO2530" s="1">
        <v>28351.0</v>
      </c>
      <c r="AP2530" s="1">
        <v>14.5</v>
      </c>
      <c r="AQ2530" s="1">
        <v>5.8</v>
      </c>
      <c r="AR2530" s="1">
        <v>17.6</v>
      </c>
      <c r="AS2530" s="1">
        <v>17.8</v>
      </c>
      <c r="AT2530" s="1">
        <v>24.5</v>
      </c>
      <c r="AU2530" s="1">
        <v>13.7</v>
      </c>
      <c r="AV2530" s="1">
        <v>36.2</v>
      </c>
      <c r="AW2530" s="1">
        <v>4.2</v>
      </c>
      <c r="AX2530" s="1">
        <v>0.5422</v>
      </c>
      <c r="AY2530" s="1">
        <v>11.1</v>
      </c>
      <c r="AZ2530" s="1">
        <v>13.1</v>
      </c>
      <c r="BA2530" s="1">
        <v>19.6</v>
      </c>
      <c r="BB2530" s="1">
        <v>3.0</v>
      </c>
      <c r="BC2530" s="1" t="s">
        <v>4123</v>
      </c>
      <c r="BD2530" s="1">
        <v>16.0</v>
      </c>
      <c r="BE2530" s="1">
        <v>29.2</v>
      </c>
      <c r="BF2530" s="1">
        <v>30.9</v>
      </c>
      <c r="BG2530" s="1">
        <v>23.9</v>
      </c>
      <c r="BH2530" s="1" t="s">
        <v>4136</v>
      </c>
    </row>
    <row r="2531">
      <c r="A2531" s="1">
        <v>48017.0</v>
      </c>
      <c r="B2531" s="2" t="str">
        <f>IFERROR(__xludf.DUMMYFUNCTION("TO_TEXT(A2531)"),"48017")</f>
        <v>48017</v>
      </c>
      <c r="C2531" s="1">
        <v>7131.0</v>
      </c>
      <c r="D2531" s="1">
        <v>826.971482208972</v>
      </c>
      <c r="E2531" s="1" t="s">
        <v>4137</v>
      </c>
      <c r="F2531" s="1" t="s">
        <v>4138</v>
      </c>
      <c r="G2531" s="1">
        <v>8.62303012064209</v>
      </c>
      <c r="H2531" s="1">
        <v>26.991707829</v>
      </c>
      <c r="I2531" s="1">
        <v>4.2888981417</v>
      </c>
      <c r="J2531" s="1">
        <v>7.4576271186</v>
      </c>
      <c r="K2531" s="1">
        <v>16.253688372</v>
      </c>
      <c r="L2531" s="1">
        <v>31.3</v>
      </c>
      <c r="M2531" s="1">
        <v>8.3</v>
      </c>
      <c r="N2531" s="1">
        <v>24.6</v>
      </c>
      <c r="O2531" s="1">
        <v>82.121423587</v>
      </c>
      <c r="P2531" s="1">
        <v>27.337038909</v>
      </c>
      <c r="Q2531" s="1">
        <v>42.39084</v>
      </c>
      <c r="R2531" s="1">
        <v>100.0</v>
      </c>
      <c r="S2531" s="1">
        <v>26.1</v>
      </c>
      <c r="T2531" s="1">
        <v>2024.0</v>
      </c>
      <c r="U2531" s="1">
        <v>36.907114625</v>
      </c>
      <c r="V2531" s="1">
        <v>160.18944143</v>
      </c>
      <c r="W2531" s="1">
        <v>14.470842333</v>
      </c>
      <c r="X2531" s="1">
        <v>5.3603603604</v>
      </c>
      <c r="Y2531" s="1">
        <v>77.738257968</v>
      </c>
      <c r="Z2531" s="1">
        <v>6.1</v>
      </c>
      <c r="AA2531" s="1">
        <v>3.634954571</v>
      </c>
      <c r="AB2531" s="1">
        <v>45051.0</v>
      </c>
      <c r="AC2531" s="1">
        <v>83.136710618</v>
      </c>
      <c r="AD2531" s="1">
        <v>78.398863098</v>
      </c>
      <c r="AE2531" s="1">
        <v>5.6864754098</v>
      </c>
      <c r="AF2531" s="1">
        <v>1.2523125089</v>
      </c>
      <c r="AG2531" s="1">
        <v>3.3584744557</v>
      </c>
      <c r="AH2531" s="1">
        <v>0.8680802618</v>
      </c>
      <c r="AI2531" s="1">
        <v>0.1280774157</v>
      </c>
      <c r="AJ2531" s="1">
        <v>64.095631137</v>
      </c>
      <c r="AK2531" s="1">
        <v>33.001280774</v>
      </c>
      <c r="AL2531" s="1">
        <v>13.346462657</v>
      </c>
      <c r="AM2531" s="1">
        <v>50.206346947</v>
      </c>
      <c r="AN2531" s="1">
        <v>28.750872296</v>
      </c>
      <c r="AO2531" s="1">
        <v>17710.0</v>
      </c>
      <c r="AP2531" s="1">
        <v>19.1</v>
      </c>
      <c r="AQ2531" s="1">
        <v>2.1</v>
      </c>
      <c r="AR2531" s="1">
        <v>32.4</v>
      </c>
      <c r="AS2531" s="1">
        <v>14.3</v>
      </c>
      <c r="AT2531" s="1">
        <v>30.1</v>
      </c>
      <c r="AU2531" s="1">
        <v>14.6</v>
      </c>
      <c r="AV2531" s="1">
        <v>64.5</v>
      </c>
      <c r="AW2531" s="1">
        <v>18.5</v>
      </c>
      <c r="AX2531" s="1">
        <v>0.8491</v>
      </c>
      <c r="AY2531" s="1">
        <v>15.9</v>
      </c>
      <c r="AZ2531" s="1">
        <v>13.0</v>
      </c>
      <c r="BA2531" s="1">
        <v>19.8</v>
      </c>
      <c r="BB2531" s="1">
        <v>3.01</v>
      </c>
      <c r="BC2531" s="1" t="s">
        <v>4123</v>
      </c>
      <c r="BD2531" s="1">
        <v>23.1</v>
      </c>
      <c r="BE2531" s="1">
        <v>35.1</v>
      </c>
      <c r="BF2531" s="1">
        <v>24.6</v>
      </c>
      <c r="BG2531" s="1">
        <v>17.2</v>
      </c>
      <c r="BH2531" s="1" t="s">
        <v>4138</v>
      </c>
    </row>
    <row r="2532">
      <c r="A2532" s="1">
        <v>48019.0</v>
      </c>
      <c r="B2532" s="2" t="str">
        <f>IFERROR(__xludf.DUMMYFUNCTION("TO_TEXT(A2532)"),"48019")</f>
        <v>48019</v>
      </c>
      <c r="C2532" s="1">
        <v>21015.0</v>
      </c>
      <c r="D2532" s="1">
        <v>790.994367732598</v>
      </c>
      <c r="E2532" s="1" t="s">
        <v>4139</v>
      </c>
      <c r="F2532" s="1" t="s">
        <v>4140</v>
      </c>
      <c r="G2532" s="1">
        <v>26.5678250785021</v>
      </c>
      <c r="H2532" s="1">
        <v>16.935833605</v>
      </c>
      <c r="I2532" s="1">
        <v>4.0040776406</v>
      </c>
      <c r="J2532" s="1">
        <v>9.21386306</v>
      </c>
      <c r="K2532" s="1">
        <v>13.663315439</v>
      </c>
      <c r="L2532" s="1">
        <v>29.9</v>
      </c>
      <c r="M2532" s="1">
        <v>6.8</v>
      </c>
      <c r="N2532" s="1">
        <v>27.8</v>
      </c>
      <c r="O2532" s="1">
        <v>58.481815963</v>
      </c>
      <c r="P2532" s="1">
        <v>18.650132642</v>
      </c>
      <c r="Q2532" s="1">
        <v>26.84444</v>
      </c>
      <c r="R2532" s="1">
        <v>91.5</v>
      </c>
      <c r="S2532" s="1">
        <v>22.8</v>
      </c>
      <c r="T2532" s="1">
        <v>3676.0</v>
      </c>
      <c r="U2532" s="1">
        <v>36.262241567</v>
      </c>
      <c r="V2532" s="1">
        <v>137.71815268</v>
      </c>
      <c r="W2532" s="1">
        <v>11.992731678</v>
      </c>
      <c r="X2532" s="1">
        <v>9.1304347826</v>
      </c>
      <c r="Y2532" s="1">
        <v>79.5528456689999</v>
      </c>
      <c r="Z2532" s="1">
        <v>8.6</v>
      </c>
      <c r="AA2532" s="1">
        <v>13.055285758</v>
      </c>
      <c r="AB2532" s="1">
        <v>53008.0</v>
      </c>
      <c r="AC2532" s="1">
        <v>51.017274472</v>
      </c>
      <c r="AD2532" s="1">
        <v>84.020868721</v>
      </c>
      <c r="AE2532" s="1">
        <v>7.8994614004</v>
      </c>
      <c r="AF2532" s="1">
        <v>0.9069400631</v>
      </c>
      <c r="AG2532" s="1">
        <v>1.3012618297</v>
      </c>
      <c r="AH2532" s="1">
        <v>0.5871012969</v>
      </c>
      <c r="AI2532" s="1">
        <v>0.0438135296</v>
      </c>
      <c r="AJ2532" s="1">
        <v>19.409393621</v>
      </c>
      <c r="AK2532" s="1">
        <v>77.20382054</v>
      </c>
      <c r="AL2532" s="1">
        <v>1.3397770228</v>
      </c>
      <c r="AM2532" s="1">
        <v>50.372415002</v>
      </c>
      <c r="AN2532" s="1">
        <v>100.0</v>
      </c>
      <c r="AO2532" s="1">
        <v>28547.0</v>
      </c>
      <c r="AP2532" s="1">
        <v>16.5</v>
      </c>
      <c r="AQ2532" s="1">
        <v>4.1</v>
      </c>
      <c r="AR2532" s="1">
        <v>13.2</v>
      </c>
      <c r="AS2532" s="1">
        <v>24.8</v>
      </c>
      <c r="AT2532" s="1">
        <v>17.7</v>
      </c>
      <c r="AU2532" s="1">
        <v>19.0</v>
      </c>
      <c r="AV2532" s="1">
        <v>20.8</v>
      </c>
      <c r="AW2532" s="1">
        <v>0.6</v>
      </c>
      <c r="AX2532" s="1">
        <v>0.3378</v>
      </c>
      <c r="AY2532" s="1">
        <v>12.9</v>
      </c>
      <c r="AZ2532" s="1">
        <v>15.6</v>
      </c>
      <c r="BA2532" s="1">
        <v>25.9</v>
      </c>
      <c r="BB2532" s="1">
        <v>3.14</v>
      </c>
      <c r="BC2532" s="1" t="s">
        <v>4123</v>
      </c>
      <c r="BD2532" s="1">
        <v>10.7</v>
      </c>
      <c r="BE2532" s="1">
        <v>32.3</v>
      </c>
      <c r="BF2532" s="1">
        <v>34.2</v>
      </c>
      <c r="BG2532" s="1">
        <v>22.8</v>
      </c>
      <c r="BH2532" s="1" t="s">
        <v>4140</v>
      </c>
    </row>
    <row r="2533">
      <c r="A2533" s="1">
        <v>48021.0</v>
      </c>
      <c r="B2533" s="2" t="str">
        <f>IFERROR(__xludf.DUMMYFUNCTION("TO_TEXT(A2533)"),"48021")</f>
        <v>48021</v>
      </c>
      <c r="C2533" s="1">
        <v>78286.0</v>
      </c>
      <c r="D2533" s="1">
        <v>888.171992852292</v>
      </c>
      <c r="E2533" s="1" t="s">
        <v>4141</v>
      </c>
      <c r="F2533" s="1" t="s">
        <v>4142</v>
      </c>
      <c r="G2533" s="1">
        <v>88.142837907544</v>
      </c>
      <c r="H2533" s="1">
        <v>20.343852258</v>
      </c>
      <c r="I2533" s="1">
        <v>3.84829124</v>
      </c>
      <c r="J2533" s="1">
        <v>7.5768107883</v>
      </c>
      <c r="K2533" s="1">
        <v>15.6332130579999</v>
      </c>
      <c r="L2533" s="1">
        <v>38.4</v>
      </c>
      <c r="M2533" s="1">
        <v>7.3</v>
      </c>
      <c r="N2533" s="1">
        <v>23.9</v>
      </c>
      <c r="O2533" s="1">
        <v>47.513179005</v>
      </c>
      <c r="P2533" s="1">
        <v>21.75716118</v>
      </c>
      <c r="Q2533" s="1">
        <v>27.13512</v>
      </c>
      <c r="R2533" s="1">
        <v>93.5</v>
      </c>
      <c r="S2533" s="1">
        <v>19.2</v>
      </c>
      <c r="T2533" s="1">
        <v>21000.0</v>
      </c>
      <c r="U2533" s="1">
        <v>29.676190476</v>
      </c>
      <c r="V2533" s="1">
        <v>406.70173732</v>
      </c>
      <c r="W2533" s="1">
        <v>15.43377227</v>
      </c>
      <c r="X2533" s="1">
        <v>10.118577075</v>
      </c>
      <c r="Y2533" s="1">
        <v>77.619203968</v>
      </c>
      <c r="Z2533" s="1">
        <v>11.7</v>
      </c>
      <c r="AA2533" s="1">
        <v>11.401628331</v>
      </c>
      <c r="AB2533" s="1">
        <v>61883.0</v>
      </c>
      <c r="AC2533" s="1">
        <v>69.318550217</v>
      </c>
      <c r="AD2533" s="1">
        <v>77.451173802</v>
      </c>
      <c r="AE2533" s="1">
        <v>9.7918559511</v>
      </c>
      <c r="AF2533" s="1">
        <v>6.6731052244</v>
      </c>
      <c r="AG2533" s="1">
        <v>1.9718083149</v>
      </c>
      <c r="AH2533" s="1">
        <v>0.9301416483</v>
      </c>
      <c r="AI2533" s="1">
        <v>0.1437178072</v>
      </c>
      <c r="AJ2533" s="1">
        <v>38.726775202</v>
      </c>
      <c r="AK2533" s="1">
        <v>51.98330574</v>
      </c>
      <c r="AL2533" s="1">
        <v>5.3682572614</v>
      </c>
      <c r="AM2533" s="1">
        <v>49.0710080939999</v>
      </c>
      <c r="AN2533" s="1">
        <v>63.85244907</v>
      </c>
      <c r="AO2533" s="1">
        <v>25242.0</v>
      </c>
      <c r="AP2533" s="1">
        <v>13.6</v>
      </c>
      <c r="AQ2533" s="1">
        <v>8.6</v>
      </c>
      <c r="AR2533" s="1">
        <v>19.4</v>
      </c>
      <c r="AS2533" s="1">
        <v>13.4</v>
      </c>
      <c r="AT2533" s="1">
        <v>25.7</v>
      </c>
      <c r="AU2533" s="1">
        <v>14.3</v>
      </c>
      <c r="AV2533" s="1">
        <v>45.6</v>
      </c>
      <c r="AW2533" s="1">
        <v>5.7</v>
      </c>
      <c r="AX2533" s="1">
        <v>0.7437</v>
      </c>
      <c r="AY2533" s="1">
        <v>14.0</v>
      </c>
      <c r="AZ2533" s="1">
        <v>12.4</v>
      </c>
      <c r="BA2533" s="1">
        <v>17.6</v>
      </c>
      <c r="BB2533" s="1">
        <v>3.06</v>
      </c>
      <c r="BC2533" s="1" t="s">
        <v>4123</v>
      </c>
      <c r="BD2533" s="1">
        <v>18.1</v>
      </c>
      <c r="BE2533" s="1">
        <v>30.4</v>
      </c>
      <c r="BF2533" s="1">
        <v>30.9</v>
      </c>
      <c r="BG2533" s="1">
        <v>20.7</v>
      </c>
      <c r="BH2533" s="1" t="s">
        <v>4142</v>
      </c>
    </row>
    <row r="2534">
      <c r="A2534" s="1">
        <v>48023.0</v>
      </c>
      <c r="B2534" s="2" t="str">
        <f>IFERROR(__xludf.DUMMYFUNCTION("TO_TEXT(A2534)"),"48023")</f>
        <v>48023</v>
      </c>
      <c r="C2534" s="1">
        <v>3639.0</v>
      </c>
      <c r="D2534" s="1">
        <v>867.481690923176</v>
      </c>
      <c r="E2534" s="1" t="s">
        <v>4143</v>
      </c>
      <c r="F2534" s="1" t="s">
        <v>4144</v>
      </c>
      <c r="G2534" s="1">
        <v>4.19490121587162</v>
      </c>
      <c r="H2534" s="1">
        <v>17.134811954</v>
      </c>
      <c r="I2534" s="1">
        <v>4.1811383038</v>
      </c>
      <c r="J2534" s="1">
        <v>8.6956521739</v>
      </c>
      <c r="K2534" s="1">
        <v>14.2415963979999</v>
      </c>
      <c r="L2534" s="1">
        <v>26.6</v>
      </c>
      <c r="M2534" s="1">
        <v>7.3</v>
      </c>
      <c r="N2534" s="1">
        <v>25.2</v>
      </c>
      <c r="O2534" s="1">
        <v>85.856146001</v>
      </c>
      <c r="P2534" s="1">
        <v>18.916913947</v>
      </c>
      <c r="Q2534" s="1">
        <v>139.6258</v>
      </c>
      <c r="R2534" s="1">
        <v>97.9</v>
      </c>
      <c r="S2534" s="1">
        <v>28.6</v>
      </c>
      <c r="T2534" s="1">
        <v>779.0</v>
      </c>
      <c r="U2534" s="1">
        <v>16.5596919129999</v>
      </c>
      <c r="V2534" s="1">
        <v>236.01277246</v>
      </c>
      <c r="W2534" s="1">
        <v>7.91788856299999</v>
      </c>
      <c r="X2534" s="1">
        <v>7.44047619049999</v>
      </c>
      <c r="Y2534" s="1">
        <v>73.726985036</v>
      </c>
      <c r="Z2534" s="1">
        <v>11.7</v>
      </c>
      <c r="AA2534" s="1">
        <v>3.7217347153</v>
      </c>
      <c r="AB2534" s="1">
        <v>41180.0</v>
      </c>
      <c r="AC2534" s="1">
        <v>56.994818653</v>
      </c>
      <c r="AD2534" s="1">
        <v>71.302578019</v>
      </c>
      <c r="AE2534" s="1">
        <v>5.0896057348</v>
      </c>
      <c r="AF2534" s="1">
        <v>2.5404801787</v>
      </c>
      <c r="AG2534" s="1">
        <v>0.837520937999999</v>
      </c>
      <c r="AH2534" s="1">
        <v>0.4745951982</v>
      </c>
      <c r="AI2534" s="1">
        <v>0.0837520938</v>
      </c>
      <c r="AJ2534" s="1">
        <v>13.65159129</v>
      </c>
      <c r="AK2534" s="1">
        <v>81.295365717</v>
      </c>
      <c r="AL2534" s="1">
        <v>0.0</v>
      </c>
      <c r="AM2534" s="1">
        <v>51.312116136</v>
      </c>
      <c r="AN2534" s="1">
        <v>100.0</v>
      </c>
      <c r="AO2534" s="1">
        <v>30495.0</v>
      </c>
      <c r="AP2534" s="1">
        <v>12.7</v>
      </c>
      <c r="AQ2534" s="1">
        <v>1.4</v>
      </c>
      <c r="AR2534" s="1">
        <v>13.1</v>
      </c>
      <c r="AS2534" s="1">
        <v>24.4</v>
      </c>
      <c r="AT2534" s="1">
        <v>21.4</v>
      </c>
      <c r="AU2534" s="1">
        <v>17.7</v>
      </c>
      <c r="AV2534" s="1">
        <v>13.4</v>
      </c>
      <c r="AW2534" s="1">
        <v>0.4</v>
      </c>
      <c r="AX2534" s="1">
        <v>0.1079</v>
      </c>
      <c r="AY2534" s="1">
        <v>15.9</v>
      </c>
      <c r="AZ2534" s="1">
        <v>16.1</v>
      </c>
      <c r="BA2534" s="1">
        <v>19.9</v>
      </c>
      <c r="BB2534" s="1">
        <v>2.87</v>
      </c>
      <c r="BC2534" s="1" t="s">
        <v>4123</v>
      </c>
      <c r="BD2534" s="1">
        <v>14.5</v>
      </c>
      <c r="BE2534" s="1">
        <v>35.0</v>
      </c>
      <c r="BF2534" s="1">
        <v>27.7</v>
      </c>
      <c r="BG2534" s="1">
        <v>22.8</v>
      </c>
      <c r="BH2534" s="1" t="s">
        <v>4144</v>
      </c>
    </row>
    <row r="2535">
      <c r="A2535" s="1">
        <v>48025.0</v>
      </c>
      <c r="B2535" s="2" t="str">
        <f>IFERROR(__xludf.DUMMYFUNCTION("TO_TEXT(A2535)"),"48025")</f>
        <v>48025</v>
      </c>
      <c r="C2535" s="1">
        <v>32706.0</v>
      </c>
      <c r="D2535" s="1">
        <v>880.239012202224</v>
      </c>
      <c r="E2535" s="1" t="s">
        <v>4145</v>
      </c>
      <c r="F2535" s="1" t="s">
        <v>4146</v>
      </c>
      <c r="G2535" s="1">
        <v>37.1558173934764</v>
      </c>
      <c r="H2535" s="1">
        <v>23.853585888</v>
      </c>
      <c r="I2535" s="1">
        <v>3.883157306</v>
      </c>
      <c r="J2535" s="1">
        <v>10.115384615</v>
      </c>
      <c r="K2535" s="1">
        <v>15.765248622</v>
      </c>
      <c r="L2535" s="1">
        <v>30.7</v>
      </c>
      <c r="M2535" s="1">
        <v>7.1</v>
      </c>
      <c r="N2535" s="1">
        <v>21.7</v>
      </c>
      <c r="O2535" s="1">
        <v>50.88980258</v>
      </c>
      <c r="P2535" s="1">
        <v>18.911941868</v>
      </c>
      <c r="Q2535" s="1">
        <v>21.49679</v>
      </c>
      <c r="R2535" s="1">
        <v>89.0</v>
      </c>
      <c r="S2535" s="1">
        <v>32.0</v>
      </c>
      <c r="T2535" s="1">
        <v>6891.0</v>
      </c>
      <c r="U2535" s="1">
        <v>32.346538964</v>
      </c>
      <c r="V2535" s="1">
        <v>252.08688695</v>
      </c>
      <c r="W2535" s="1">
        <v>17.24137931</v>
      </c>
      <c r="X2535" s="1">
        <v>9.8722415796</v>
      </c>
      <c r="Y2535" s="1">
        <v>76.458372508</v>
      </c>
      <c r="Z2535" s="1">
        <v>13.3</v>
      </c>
      <c r="AA2535" s="1">
        <v>11.4724080059999</v>
      </c>
      <c r="AB2535" s="1">
        <v>41806.0</v>
      </c>
      <c r="AC2535" s="1">
        <v>70.382165605</v>
      </c>
      <c r="AD2535" s="1">
        <v>63.828042638</v>
      </c>
      <c r="AE2535" s="1">
        <v>15.951692037</v>
      </c>
      <c r="AF2535" s="1">
        <v>8.3284745451</v>
      </c>
      <c r="AG2535" s="1">
        <v>0.9206125142</v>
      </c>
      <c r="AH2535" s="1">
        <v>0.6413600516</v>
      </c>
      <c r="AI2535" s="1">
        <v>0.1012673766</v>
      </c>
      <c r="AJ2535" s="1">
        <v>59.2536901219999</v>
      </c>
      <c r="AK2535" s="1">
        <v>30.917236935</v>
      </c>
      <c r="AL2535" s="1">
        <v>2.5449345078</v>
      </c>
      <c r="AM2535" s="1">
        <v>39.181268604</v>
      </c>
      <c r="AN2535" s="1">
        <v>42.97730768</v>
      </c>
      <c r="AO2535" s="1">
        <v>17504.0</v>
      </c>
      <c r="AP2535" s="1">
        <v>20.5</v>
      </c>
      <c r="AQ2535" s="1">
        <v>6.1</v>
      </c>
      <c r="AR2535" s="1">
        <v>28.6</v>
      </c>
      <c r="AS2535" s="1">
        <v>11.5</v>
      </c>
      <c r="AT2535" s="1">
        <v>21.5</v>
      </c>
      <c r="AU2535" s="1">
        <v>16.1</v>
      </c>
      <c r="AV2535" s="1">
        <v>67.3</v>
      </c>
      <c r="AW2535" s="1">
        <v>3.2</v>
      </c>
      <c r="AX2535" s="1">
        <v>0.9201</v>
      </c>
      <c r="AY2535" s="1">
        <v>24.0</v>
      </c>
      <c r="AZ2535" s="1">
        <v>17.2</v>
      </c>
      <c r="BA2535" s="1">
        <v>25.7</v>
      </c>
      <c r="BB2535" s="1">
        <v>2.96</v>
      </c>
      <c r="BC2535" s="1" t="s">
        <v>4123</v>
      </c>
      <c r="BD2535" s="1">
        <v>24.6</v>
      </c>
      <c r="BE2535" s="1">
        <v>34.2</v>
      </c>
      <c r="BF2535" s="1">
        <v>32.3</v>
      </c>
      <c r="BG2535" s="1">
        <v>8.9</v>
      </c>
      <c r="BH2535" s="1" t="s">
        <v>4146</v>
      </c>
    </row>
    <row r="2536">
      <c r="A2536" s="1">
        <v>48027.0</v>
      </c>
      <c r="B2536" s="2" t="str">
        <f>IFERROR(__xludf.DUMMYFUNCTION("TO_TEXT(A2536)"),"48027")</f>
        <v>48027</v>
      </c>
      <c r="C2536" s="1">
        <v>330859.0</v>
      </c>
      <c r="D2536" s="1">
        <v>1051.0252229968</v>
      </c>
      <c r="E2536" s="1" t="s">
        <v>1770</v>
      </c>
      <c r="F2536" s="1" t="s">
        <v>4147</v>
      </c>
      <c r="G2536" s="1">
        <v>314.796441379987</v>
      </c>
      <c r="H2536" s="1">
        <v>20.289556752</v>
      </c>
      <c r="I2536" s="1">
        <v>4.1053234195</v>
      </c>
      <c r="J2536" s="1">
        <v>8.7590060964</v>
      </c>
      <c r="K2536" s="1">
        <v>15.179414783</v>
      </c>
      <c r="L2536" s="1">
        <v>34.8</v>
      </c>
      <c r="M2536" s="1">
        <v>6.1</v>
      </c>
      <c r="N2536" s="1">
        <v>22.9</v>
      </c>
      <c r="O2536" s="1">
        <v>77.680145696</v>
      </c>
      <c r="P2536" s="1">
        <v>13.260658306</v>
      </c>
      <c r="Q2536" s="1">
        <v>81.64838</v>
      </c>
      <c r="R2536" s="1">
        <v>75.0</v>
      </c>
      <c r="S2536" s="1">
        <v>19.1</v>
      </c>
      <c r="T2536" s="1">
        <v>94531.0</v>
      </c>
      <c r="U2536" s="1">
        <v>33.517047318</v>
      </c>
      <c r="V2536" s="1">
        <v>411.0096789</v>
      </c>
      <c r="W2536" s="1">
        <v>14.917053749</v>
      </c>
      <c r="X2536" s="1">
        <v>11.9529454179999</v>
      </c>
      <c r="Y2536" s="1">
        <v>78.432746919</v>
      </c>
      <c r="Z2536" s="1">
        <v>11.1</v>
      </c>
      <c r="AA2536" s="1">
        <v>12.7711337909999</v>
      </c>
      <c r="AB2536" s="1">
        <v>54292.0</v>
      </c>
      <c r="AC2536" s="1">
        <v>55.8447242119999</v>
      </c>
      <c r="AD2536" s="1">
        <v>54.267679078</v>
      </c>
      <c r="AE2536" s="1">
        <v>12.394283797</v>
      </c>
      <c r="AF2536" s="1">
        <v>22.157394234</v>
      </c>
      <c r="AG2536" s="1">
        <v>1.0684902233</v>
      </c>
      <c r="AH2536" s="1">
        <v>3.2577704546</v>
      </c>
      <c r="AI2536" s="1">
        <v>0.8829103424</v>
      </c>
      <c r="AJ2536" s="1">
        <v>25.2844152269999</v>
      </c>
      <c r="AK2536" s="1">
        <v>44.84931476</v>
      </c>
      <c r="AL2536" s="1">
        <v>2.2837711174</v>
      </c>
      <c r="AM2536" s="1">
        <v>50.3123928</v>
      </c>
      <c r="AN2536" s="1">
        <v>15.186229794</v>
      </c>
      <c r="AO2536" s="1">
        <v>24213.0</v>
      </c>
      <c r="AP2536" s="1">
        <v>14.7</v>
      </c>
      <c r="AQ2536" s="1">
        <v>8.7</v>
      </c>
      <c r="AR2536" s="1">
        <v>9.7</v>
      </c>
      <c r="AS2536" s="1">
        <v>9.9</v>
      </c>
      <c r="AT2536" s="1">
        <v>27.9</v>
      </c>
      <c r="AU2536" s="1">
        <v>14.2</v>
      </c>
      <c r="AV2536" s="1">
        <v>51.9</v>
      </c>
      <c r="AW2536" s="1">
        <v>2.4</v>
      </c>
      <c r="AX2536" s="1">
        <v>0.7523</v>
      </c>
      <c r="AY2536" s="1">
        <v>13.8</v>
      </c>
      <c r="AZ2536" s="1">
        <v>16.2</v>
      </c>
      <c r="BA2536" s="1">
        <v>23.1</v>
      </c>
      <c r="BB2536" s="1">
        <v>2.59</v>
      </c>
      <c r="BC2536" s="1" t="s">
        <v>4123</v>
      </c>
      <c r="BD2536" s="1">
        <v>9.0</v>
      </c>
      <c r="BE2536" s="1">
        <v>26.0</v>
      </c>
      <c r="BF2536" s="1">
        <v>39.9</v>
      </c>
      <c r="BG2536" s="1">
        <v>25.2</v>
      </c>
      <c r="BH2536" s="1" t="s">
        <v>4147</v>
      </c>
    </row>
    <row r="2537">
      <c r="A2537" s="1">
        <v>48029.0</v>
      </c>
      <c r="B2537" s="2" t="str">
        <f>IFERROR(__xludf.DUMMYFUNCTION("TO_TEXT(A2537)"),"48029")</f>
        <v>48029</v>
      </c>
      <c r="C2537" s="1">
        <v>1858699.0</v>
      </c>
      <c r="D2537" s="1">
        <v>1239.87739270445</v>
      </c>
      <c r="E2537" s="1" t="s">
        <v>4148</v>
      </c>
      <c r="F2537" s="1" t="s">
        <v>4149</v>
      </c>
      <c r="G2537" s="1">
        <v>1499.09903264367</v>
      </c>
      <c r="H2537" s="1">
        <v>22.492039858</v>
      </c>
      <c r="I2537" s="1">
        <v>4.2145781718</v>
      </c>
      <c r="J2537" s="1">
        <v>8.9450781336</v>
      </c>
      <c r="K2537" s="1">
        <v>14.899297572</v>
      </c>
      <c r="L2537" s="1">
        <v>28.6</v>
      </c>
      <c r="M2537" s="1">
        <v>7.6</v>
      </c>
      <c r="N2537" s="1">
        <v>23.4</v>
      </c>
      <c r="O2537" s="1">
        <v>86.264129421</v>
      </c>
      <c r="P2537" s="1">
        <v>16.904979007</v>
      </c>
      <c r="Q2537" s="1">
        <v>74.0333</v>
      </c>
      <c r="R2537" s="1">
        <v>87.3</v>
      </c>
      <c r="S2537" s="1">
        <v>23.7</v>
      </c>
      <c r="T2537" s="1">
        <v>495245.0</v>
      </c>
      <c r="U2537" s="1">
        <v>36.768064291</v>
      </c>
      <c r="V2537" s="1">
        <v>533.05881535</v>
      </c>
      <c r="W2537" s="1">
        <v>17.90653276</v>
      </c>
      <c r="X2537" s="1">
        <v>13.580478114</v>
      </c>
      <c r="Y2537" s="1">
        <v>78.893690438</v>
      </c>
      <c r="Z2537" s="1">
        <v>8.5</v>
      </c>
      <c r="AA2537" s="1">
        <v>10.6662620979999</v>
      </c>
      <c r="AB2537" s="1">
        <v>54210.0</v>
      </c>
      <c r="AC2537" s="1">
        <v>61.712693731</v>
      </c>
      <c r="AD2537" s="1">
        <v>58.812565803</v>
      </c>
      <c r="AE2537" s="1">
        <v>14.484650487</v>
      </c>
      <c r="AF2537" s="1">
        <v>7.3619029541</v>
      </c>
      <c r="AG2537" s="1">
        <v>1.2202619371</v>
      </c>
      <c r="AH2537" s="1">
        <v>3.2822453021</v>
      </c>
      <c r="AI2537" s="1">
        <v>0.2263791075</v>
      </c>
      <c r="AJ2537" s="1">
        <v>60.490249737</v>
      </c>
      <c r="AK2537" s="1">
        <v>27.356172985</v>
      </c>
      <c r="AL2537" s="1">
        <v>6.0176484115</v>
      </c>
      <c r="AM2537" s="1">
        <v>50.629818298</v>
      </c>
      <c r="AN2537" s="1">
        <v>4.5390847652</v>
      </c>
      <c r="AO2537" s="1">
        <v>25317.0</v>
      </c>
      <c r="AP2537" s="1">
        <v>17.2</v>
      </c>
      <c r="AQ2537" s="1">
        <v>6.7</v>
      </c>
      <c r="AR2537" s="1">
        <v>16.6</v>
      </c>
      <c r="AS2537" s="1">
        <v>11.3</v>
      </c>
      <c r="AT2537" s="1">
        <v>26.2</v>
      </c>
      <c r="AU2537" s="1">
        <v>13.6</v>
      </c>
      <c r="AV2537" s="1">
        <v>71.1</v>
      </c>
      <c r="AW2537" s="1">
        <v>6.1</v>
      </c>
      <c r="AX2537" s="1">
        <v>0.8176</v>
      </c>
      <c r="AY2537" s="1">
        <v>15.2</v>
      </c>
      <c r="AZ2537" s="1">
        <v>14.1</v>
      </c>
      <c r="BA2537" s="1">
        <v>20.0</v>
      </c>
      <c r="BB2537" s="1">
        <v>2.74</v>
      </c>
      <c r="BC2537" s="1" t="s">
        <v>4123</v>
      </c>
      <c r="BD2537" s="1">
        <v>15.8</v>
      </c>
      <c r="BE2537" s="1">
        <v>25.4</v>
      </c>
      <c r="BF2537" s="1">
        <v>30.8</v>
      </c>
      <c r="BG2537" s="1">
        <v>28.0</v>
      </c>
      <c r="BH2537" s="1" t="s">
        <v>4149</v>
      </c>
    </row>
    <row r="2538">
      <c r="A2538" s="1">
        <v>48031.0</v>
      </c>
      <c r="B2538" s="2" t="str">
        <f>IFERROR(__xludf.DUMMYFUNCTION("TO_TEXT(A2538)"),"48031")</f>
        <v>48031</v>
      </c>
      <c r="C2538" s="1">
        <v>10918.0</v>
      </c>
      <c r="D2538" s="1">
        <v>709.249466966981</v>
      </c>
      <c r="E2538" s="1" t="s">
        <v>4150</v>
      </c>
      <c r="F2538" s="1" t="s">
        <v>4151</v>
      </c>
      <c r="G2538" s="1">
        <v>15.3937373357353</v>
      </c>
      <c r="H2538" s="1">
        <v>16.317222287</v>
      </c>
      <c r="I2538" s="1">
        <v>3.9516231277</v>
      </c>
      <c r="J2538" s="1">
        <v>6.3694267516</v>
      </c>
      <c r="K2538" s="1">
        <v>13.394388603</v>
      </c>
      <c r="L2538" s="1">
        <v>29.4</v>
      </c>
      <c r="M2538" s="1">
        <v>8.2</v>
      </c>
      <c r="N2538" s="1">
        <v>27.5</v>
      </c>
      <c r="O2538" s="1">
        <v>49.880918358</v>
      </c>
      <c r="P2538" s="1">
        <v>21.46253113</v>
      </c>
      <c r="Q2538" s="1">
        <v>43.00705</v>
      </c>
      <c r="R2538" s="1">
        <v>96.5</v>
      </c>
      <c r="S2538" s="1">
        <v>17.2</v>
      </c>
      <c r="T2538" s="1">
        <v>1991.0</v>
      </c>
      <c r="U2538" s="1">
        <v>33.249623305</v>
      </c>
      <c r="V2538" s="1">
        <v>136.81762211</v>
      </c>
      <c r="W2538" s="1">
        <v>14.251497006</v>
      </c>
      <c r="X2538" s="1">
        <v>10.358949651</v>
      </c>
      <c r="Y2538" s="1">
        <v>78.751044634</v>
      </c>
      <c r="Z2538" s="1">
        <v>12.4</v>
      </c>
      <c r="AA2538" s="1">
        <v>1.0159346382</v>
      </c>
      <c r="AB2538" s="1">
        <v>64832.0</v>
      </c>
      <c r="AC2538" s="1">
        <v>39.408284024</v>
      </c>
      <c r="AD2538" s="1">
        <v>77.868280195</v>
      </c>
      <c r="AE2538" s="1">
        <v>10.349006302</v>
      </c>
      <c r="AF2538" s="1">
        <v>1.0852845667</v>
      </c>
      <c r="AG2538" s="1">
        <v>1.29037771319999</v>
      </c>
      <c r="AH2538" s="1">
        <v>1.1023756623</v>
      </c>
      <c r="AI2538" s="1">
        <v>0.0940010255</v>
      </c>
      <c r="AJ2538" s="1">
        <v>19.80857973</v>
      </c>
      <c r="AK2538" s="1">
        <v>76.39719706</v>
      </c>
      <c r="AL2538" s="1">
        <v>2.1260861527</v>
      </c>
      <c r="AM2538" s="1">
        <v>49.8205434969999</v>
      </c>
      <c r="AN2538" s="1">
        <v>100.0</v>
      </c>
      <c r="AO2538" s="1">
        <v>30982.0</v>
      </c>
      <c r="AP2538" s="1">
        <v>9.7</v>
      </c>
      <c r="AQ2538" s="1">
        <v>6.1</v>
      </c>
      <c r="AR2538" s="1">
        <v>10.1</v>
      </c>
      <c r="AS2538" s="1">
        <v>21.5</v>
      </c>
      <c r="AT2538" s="1">
        <v>19.1</v>
      </c>
      <c r="AU2538" s="1">
        <v>16.5</v>
      </c>
      <c r="AV2538" s="1">
        <v>22.0</v>
      </c>
      <c r="AW2538" s="1">
        <v>2.6</v>
      </c>
      <c r="AX2538" s="1">
        <v>0.2362</v>
      </c>
      <c r="AY2538" s="1">
        <v>8.6</v>
      </c>
      <c r="AZ2538" s="1">
        <v>13.1</v>
      </c>
      <c r="BA2538" s="1">
        <v>21.1</v>
      </c>
      <c r="BB2538" s="1">
        <v>2.94</v>
      </c>
      <c r="BC2538" s="1" t="s">
        <v>4123</v>
      </c>
      <c r="BD2538" s="1">
        <v>9.9</v>
      </c>
      <c r="BE2538" s="1">
        <v>30.3</v>
      </c>
      <c r="BF2538" s="1">
        <v>33.3</v>
      </c>
      <c r="BG2538" s="1">
        <v>26.5</v>
      </c>
      <c r="BH2538" s="1" t="s">
        <v>4151</v>
      </c>
    </row>
    <row r="2539">
      <c r="A2539" s="1">
        <v>48033.0</v>
      </c>
      <c r="B2539" s="2" t="str">
        <f>IFERROR(__xludf.DUMMYFUNCTION("TO_TEXT(A2539)"),"48033")</f>
        <v>48033</v>
      </c>
      <c r="C2539" s="1">
        <v>698.0</v>
      </c>
      <c r="D2539" s="1">
        <v>897.442389517446</v>
      </c>
      <c r="E2539" s="1" t="s">
        <v>4152</v>
      </c>
      <c r="F2539" s="1" t="s">
        <v>4153</v>
      </c>
      <c r="G2539" s="1">
        <v>0.777765802187385</v>
      </c>
      <c r="H2539" s="1">
        <v>12.579258433</v>
      </c>
      <c r="I2539" s="1">
        <v>3.3842013713</v>
      </c>
      <c r="J2539" s="1">
        <v>7.80443539465</v>
      </c>
      <c r="K2539" s="1">
        <v>10.64309217</v>
      </c>
      <c r="L2539" s="1">
        <v>27.1</v>
      </c>
      <c r="M2539" s="1">
        <v>7.0</v>
      </c>
      <c r="N2539" s="1">
        <v>26.1</v>
      </c>
      <c r="O2539" s="1">
        <v>0.0</v>
      </c>
      <c r="P2539" s="1">
        <v>16.184971098</v>
      </c>
      <c r="Q2539" s="1">
        <v>0.0</v>
      </c>
      <c r="R2539" s="1">
        <v>100.0</v>
      </c>
      <c r="S2539" s="1">
        <v>14.5</v>
      </c>
      <c r="T2539" s="1">
        <v>169.0</v>
      </c>
      <c r="U2539" s="1">
        <v>14.201183432</v>
      </c>
      <c r="V2539" s="1">
        <v>466.2004662</v>
      </c>
      <c r="W2539" s="1">
        <v>4.0</v>
      </c>
      <c r="X2539" s="1">
        <v>1.6260162602</v>
      </c>
      <c r="Y2539" s="1">
        <v>77.482572377</v>
      </c>
      <c r="Z2539" s="1">
        <v>16.5</v>
      </c>
      <c r="AA2539" s="1">
        <v>15.0074294379999</v>
      </c>
      <c r="AB2539" s="1">
        <v>66101.0</v>
      </c>
      <c r="AC2539" s="1">
        <v>24.892703863</v>
      </c>
      <c r="AD2539" s="1">
        <v>75.095785441</v>
      </c>
      <c r="AE2539" s="1">
        <v>0.9009009009</v>
      </c>
      <c r="AF2539" s="1">
        <v>0.9259259259</v>
      </c>
      <c r="AG2539" s="1">
        <v>0.7716049383</v>
      </c>
      <c r="AH2539" s="1">
        <v>0.1543209877</v>
      </c>
      <c r="AI2539" s="1">
        <v>0.0</v>
      </c>
      <c r="AJ2539" s="1">
        <v>18.672839506</v>
      </c>
      <c r="AK2539" s="1">
        <v>78.240740741</v>
      </c>
      <c r="AL2539" s="1">
        <v>0.0</v>
      </c>
      <c r="AM2539" s="1">
        <v>47.99382716</v>
      </c>
      <c r="AN2539" s="1">
        <v>100.0</v>
      </c>
      <c r="AO2539" s="1">
        <v>42236.0</v>
      </c>
      <c r="AP2539" s="1">
        <v>2.6</v>
      </c>
      <c r="AQ2539" s="1">
        <v>1.1</v>
      </c>
      <c r="AR2539" s="1">
        <v>6.7</v>
      </c>
      <c r="AS2539" s="1">
        <v>19.3</v>
      </c>
      <c r="AT2539" s="1">
        <v>30.2</v>
      </c>
      <c r="AU2539" s="1">
        <v>16.5</v>
      </c>
      <c r="AV2539" s="1">
        <v>6.4</v>
      </c>
      <c r="AW2539" s="1">
        <v>0.9</v>
      </c>
      <c r="AX2539" s="1">
        <v>0.0395</v>
      </c>
      <c r="AY2539" s="1">
        <v>10.6</v>
      </c>
      <c r="AZ2539" s="1">
        <v>13.3</v>
      </c>
      <c r="BA2539" s="1">
        <v>25.2</v>
      </c>
      <c r="BB2539" s="1">
        <v>2.92</v>
      </c>
      <c r="BC2539" s="1" t="s">
        <v>4123</v>
      </c>
      <c r="BD2539" s="1">
        <v>5.3</v>
      </c>
      <c r="BE2539" s="1">
        <v>20.1</v>
      </c>
      <c r="BF2539" s="1">
        <v>35.2</v>
      </c>
      <c r="BG2539" s="1">
        <v>39.5</v>
      </c>
      <c r="BH2539" s="1" t="s">
        <v>4153</v>
      </c>
    </row>
    <row r="2540">
      <c r="A2540" s="1">
        <v>48035.0</v>
      </c>
      <c r="B2540" s="2" t="str">
        <f>IFERROR(__xludf.DUMMYFUNCTION("TO_TEXT(A2540)"),"48035")</f>
        <v>48035</v>
      </c>
      <c r="C2540" s="1">
        <v>17953.0</v>
      </c>
      <c r="D2540" s="1">
        <v>982.978764818618</v>
      </c>
      <c r="E2540" s="1" t="s">
        <v>4154</v>
      </c>
      <c r="F2540" s="1" t="s">
        <v>4155</v>
      </c>
      <c r="G2540" s="1">
        <v>18.2638736893902</v>
      </c>
      <c r="H2540" s="1">
        <v>17.592109629</v>
      </c>
      <c r="I2540" s="1">
        <v>4.0951881694</v>
      </c>
      <c r="J2540" s="1">
        <v>7.037896365</v>
      </c>
      <c r="K2540" s="1">
        <v>14.269071565</v>
      </c>
      <c r="L2540" s="1">
        <v>31.8</v>
      </c>
      <c r="M2540" s="1">
        <v>7.5</v>
      </c>
      <c r="N2540" s="1">
        <v>27.2</v>
      </c>
      <c r="O2540" s="1">
        <v>31.380408522</v>
      </c>
      <c r="P2540" s="1">
        <v>22.263410379</v>
      </c>
      <c r="Q2540" s="1">
        <v>54.56728</v>
      </c>
      <c r="R2540" s="1">
        <v>96.8</v>
      </c>
      <c r="S2540" s="1">
        <v>24.0</v>
      </c>
      <c r="T2540" s="1">
        <v>3892.0</v>
      </c>
      <c r="U2540" s="1">
        <v>31.500513875</v>
      </c>
      <c r="V2540" s="1">
        <v>82.208239795</v>
      </c>
      <c r="W2540" s="1">
        <v>12.816901408</v>
      </c>
      <c r="X2540" s="1">
        <v>8.6382978723</v>
      </c>
      <c r="Y2540" s="1">
        <v>76.34363487</v>
      </c>
      <c r="Z2540" s="1">
        <v>10.5</v>
      </c>
      <c r="AA2540" s="1">
        <v>3.5234113757</v>
      </c>
      <c r="AB2540" s="1">
        <v>48460.0</v>
      </c>
      <c r="AC2540" s="1">
        <v>62.348942598</v>
      </c>
      <c r="AD2540" s="1">
        <v>78.075620767</v>
      </c>
      <c r="AE2540" s="1">
        <v>9.433411215</v>
      </c>
      <c r="AF2540" s="1">
        <v>1.6639024129</v>
      </c>
      <c r="AG2540" s="1">
        <v>0.8667273019</v>
      </c>
      <c r="AH2540" s="1">
        <v>0.5724680327</v>
      </c>
      <c r="AI2540" s="1">
        <v>0.0749023594</v>
      </c>
      <c r="AJ2540" s="1">
        <v>19.046599968</v>
      </c>
      <c r="AK2540" s="1">
        <v>77.154780376</v>
      </c>
      <c r="AL2540" s="1">
        <v>2.5478078358</v>
      </c>
      <c r="AM2540" s="1">
        <v>50.5216414319999</v>
      </c>
      <c r="AN2540" s="1">
        <v>81.215681968</v>
      </c>
      <c r="AO2540" s="1">
        <v>24815.0</v>
      </c>
      <c r="AP2540" s="1">
        <v>14.8</v>
      </c>
      <c r="AQ2540" s="1">
        <v>6.4</v>
      </c>
      <c r="AR2540" s="1">
        <v>17.7</v>
      </c>
      <c r="AS2540" s="1">
        <v>23.4</v>
      </c>
      <c r="AT2540" s="1">
        <v>21.9</v>
      </c>
      <c r="AU2540" s="1">
        <v>17.5</v>
      </c>
      <c r="AV2540" s="1">
        <v>20.7</v>
      </c>
      <c r="AW2540" s="1">
        <v>3.0</v>
      </c>
      <c r="AX2540" s="1">
        <v>0.5909</v>
      </c>
      <c r="AY2540" s="1">
        <v>13.7</v>
      </c>
      <c r="AZ2540" s="1">
        <v>15.6</v>
      </c>
      <c r="BA2540" s="1">
        <v>25.8</v>
      </c>
      <c r="BB2540" s="1">
        <v>2.66</v>
      </c>
      <c r="BC2540" s="1" t="s">
        <v>4123</v>
      </c>
      <c r="BD2540" s="1">
        <v>13.5</v>
      </c>
      <c r="BE2540" s="1">
        <v>34.2</v>
      </c>
      <c r="BF2540" s="1">
        <v>32.5</v>
      </c>
      <c r="BG2540" s="1">
        <v>19.8</v>
      </c>
      <c r="BH2540" s="1" t="s">
        <v>4155</v>
      </c>
    </row>
    <row r="2541">
      <c r="A2541" s="1">
        <v>48037.0</v>
      </c>
      <c r="B2541" s="2" t="str">
        <f>IFERROR(__xludf.DUMMYFUNCTION("TO_TEXT(A2541)"),"48037")</f>
        <v>48037</v>
      </c>
      <c r="C2541" s="1">
        <v>93483.0</v>
      </c>
      <c r="D2541" s="1">
        <v>885.0051471825</v>
      </c>
      <c r="E2541" s="1" t="s">
        <v>4156</v>
      </c>
      <c r="F2541" s="1" t="s">
        <v>4157</v>
      </c>
      <c r="G2541" s="1">
        <v>105.629894128427</v>
      </c>
      <c r="H2541" s="1">
        <v>18.895084234</v>
      </c>
      <c r="I2541" s="1">
        <v>4.2673580563</v>
      </c>
      <c r="J2541" s="1">
        <v>9.8661613171</v>
      </c>
      <c r="K2541" s="1">
        <v>17.14611872</v>
      </c>
      <c r="L2541" s="1">
        <v>47.3</v>
      </c>
      <c r="M2541" s="1">
        <v>5.9</v>
      </c>
      <c r="N2541" s="1">
        <v>39.3</v>
      </c>
      <c r="O2541" s="1">
        <v>40.863177227</v>
      </c>
      <c r="P2541" s="1">
        <v>16.356519948</v>
      </c>
      <c r="Q2541" s="1">
        <v>67.01272</v>
      </c>
      <c r="R2541" s="1">
        <v>95.5</v>
      </c>
      <c r="S2541" s="1">
        <v>25.5</v>
      </c>
      <c r="T2541" s="1">
        <v>22167.0</v>
      </c>
      <c r="U2541" s="1">
        <v>42.969278657</v>
      </c>
      <c r="V2541" s="1">
        <v>514.29637328</v>
      </c>
      <c r="W2541" s="1">
        <v>15.825517344</v>
      </c>
      <c r="X2541" s="1">
        <v>12.567096285</v>
      </c>
      <c r="Y2541" s="1">
        <v>75.629992085</v>
      </c>
      <c r="Z2541" s="1">
        <v>14.8</v>
      </c>
      <c r="AA2541" s="1">
        <v>8.777039207</v>
      </c>
      <c r="AB2541" s="1">
        <v>47339.0</v>
      </c>
      <c r="AC2541" s="1">
        <v>60.490387295</v>
      </c>
      <c r="AD2541" s="1">
        <v>63.813702529</v>
      </c>
      <c r="AE2541" s="1">
        <v>12.626656274</v>
      </c>
      <c r="AF2541" s="1">
        <v>24.9522921</v>
      </c>
      <c r="AG2541" s="1">
        <v>1.0569950384</v>
      </c>
      <c r="AH2541" s="1">
        <v>1.3803485857</v>
      </c>
      <c r="AI2541" s="1">
        <v>0.0922352742</v>
      </c>
      <c r="AJ2541" s="1">
        <v>7.8050125101</v>
      </c>
      <c r="AK2541" s="1">
        <v>63.1493575339999</v>
      </c>
      <c r="AL2541" s="1">
        <v>1.1560627805</v>
      </c>
      <c r="AM2541" s="1">
        <v>49.6702853989999</v>
      </c>
      <c r="AN2541" s="1">
        <v>35.4248366009999</v>
      </c>
      <c r="AO2541" s="1">
        <v>23705.0</v>
      </c>
      <c r="AP2541" s="1">
        <v>19.5</v>
      </c>
      <c r="AQ2541" s="1">
        <v>8.1</v>
      </c>
      <c r="AR2541" s="1">
        <v>12.5</v>
      </c>
      <c r="AS2541" s="1">
        <v>15.4</v>
      </c>
      <c r="AT2541" s="1">
        <v>23.9</v>
      </c>
      <c r="AU2541" s="1">
        <v>14.7</v>
      </c>
      <c r="AV2541" s="1">
        <v>35.2</v>
      </c>
      <c r="AW2541" s="1">
        <v>1.4</v>
      </c>
      <c r="AX2541" s="1">
        <v>0.8631</v>
      </c>
      <c r="AY2541" s="1">
        <v>16.8</v>
      </c>
      <c r="AZ2541" s="1">
        <v>17.5</v>
      </c>
      <c r="BA2541" s="1">
        <v>26.5</v>
      </c>
      <c r="BB2541" s="1">
        <v>2.83</v>
      </c>
      <c r="BC2541" s="1" t="s">
        <v>4123</v>
      </c>
      <c r="BD2541" s="1">
        <v>11.2</v>
      </c>
      <c r="BE2541" s="1">
        <v>34.8</v>
      </c>
      <c r="BF2541" s="1">
        <v>33.3</v>
      </c>
      <c r="BG2541" s="1">
        <v>20.6</v>
      </c>
      <c r="BH2541" s="1" t="s">
        <v>4157</v>
      </c>
    </row>
    <row r="2542">
      <c r="A2542" s="1">
        <v>48039.0</v>
      </c>
      <c r="B2542" s="2" t="str">
        <f>IFERROR(__xludf.DUMMYFUNCTION("TO_TEXT(A2542)"),"48039")</f>
        <v>48039</v>
      </c>
      <c r="C2542" s="1">
        <v>338419.0</v>
      </c>
      <c r="D2542" s="1">
        <v>1357.81144898721</v>
      </c>
      <c r="E2542" s="1" t="s">
        <v>4158</v>
      </c>
      <c r="F2542" s="1" t="s">
        <v>4159</v>
      </c>
      <c r="G2542" s="1">
        <v>249.238581875581</v>
      </c>
      <c r="H2542" s="1">
        <v>18.376297341</v>
      </c>
      <c r="I2542" s="1">
        <v>3.7413812997</v>
      </c>
      <c r="J2542" s="1">
        <v>8.3679990354</v>
      </c>
      <c r="K2542" s="1">
        <v>13.406956708</v>
      </c>
      <c r="L2542" s="1">
        <v>28.2</v>
      </c>
      <c r="M2542" s="1">
        <v>7.5</v>
      </c>
      <c r="N2542" s="1">
        <v>28.0</v>
      </c>
      <c r="O2542" s="1">
        <v>80.513529566</v>
      </c>
      <c r="P2542" s="1">
        <v>14.167458619</v>
      </c>
      <c r="Q2542" s="1">
        <v>64.55938</v>
      </c>
      <c r="R2542" s="1">
        <v>93.8</v>
      </c>
      <c r="S2542" s="1">
        <v>13.1</v>
      </c>
      <c r="T2542" s="1">
        <v>93852.0</v>
      </c>
      <c r="U2542" s="1">
        <v>23.1811788769999</v>
      </c>
      <c r="V2542" s="1">
        <v>182.64601518</v>
      </c>
      <c r="W2542" s="1">
        <v>13.684486832</v>
      </c>
      <c r="X2542" s="1">
        <v>9.3650512911</v>
      </c>
      <c r="Y2542" s="1">
        <v>79.083775624</v>
      </c>
      <c r="Z2542" s="1">
        <v>10.5</v>
      </c>
      <c r="AA2542" s="1">
        <v>6.8551565245</v>
      </c>
      <c r="AB2542" s="1">
        <v>74225.0</v>
      </c>
      <c r="AC2542" s="1">
        <v>44.17376277</v>
      </c>
      <c r="AD2542" s="1">
        <v>71.826004951</v>
      </c>
      <c r="AE2542" s="1">
        <v>9.5093998365</v>
      </c>
      <c r="AF2542" s="1">
        <v>13.950567261</v>
      </c>
      <c r="AG2542" s="1">
        <v>0.828741220999999</v>
      </c>
      <c r="AH2542" s="1">
        <v>6.9937871421</v>
      </c>
      <c r="AI2542" s="1">
        <v>0.0991356024</v>
      </c>
      <c r="AJ2542" s="1">
        <v>31.1196650459999</v>
      </c>
      <c r="AK2542" s="1">
        <v>46.159103187</v>
      </c>
      <c r="AL2542" s="1">
        <v>4.1281391913</v>
      </c>
      <c r="AM2542" s="1">
        <v>49.486493787</v>
      </c>
      <c r="AN2542" s="1">
        <v>22.52862699</v>
      </c>
      <c r="AO2542" s="1">
        <v>31180.0</v>
      </c>
      <c r="AP2542" s="1">
        <v>10.5</v>
      </c>
      <c r="AQ2542" s="1">
        <v>5.2</v>
      </c>
      <c r="AR2542" s="1">
        <v>13.3</v>
      </c>
      <c r="AS2542" s="1">
        <v>10.9</v>
      </c>
      <c r="AT2542" s="1">
        <v>26.9</v>
      </c>
      <c r="AU2542" s="1">
        <v>9.6</v>
      </c>
      <c r="AV2542" s="1">
        <v>50.0</v>
      </c>
      <c r="AW2542" s="1">
        <v>4.1</v>
      </c>
      <c r="AX2542" s="1">
        <v>0.5186</v>
      </c>
      <c r="AY2542" s="1">
        <v>8.6</v>
      </c>
      <c r="AZ2542" s="1">
        <v>12.3</v>
      </c>
      <c r="BA2542" s="1">
        <v>17.8</v>
      </c>
      <c r="BB2542" s="1">
        <v>2.8</v>
      </c>
      <c r="BC2542" s="1" t="s">
        <v>4123</v>
      </c>
      <c r="BD2542" s="1">
        <v>12.1</v>
      </c>
      <c r="BE2542" s="1">
        <v>25.5</v>
      </c>
      <c r="BF2542" s="1">
        <v>32.4</v>
      </c>
      <c r="BG2542" s="1">
        <v>30.0</v>
      </c>
      <c r="BH2542" s="1" t="s">
        <v>4159</v>
      </c>
    </row>
    <row r="2543">
      <c r="A2543" s="1">
        <v>48041.0</v>
      </c>
      <c r="B2543" s="2" t="str">
        <f>IFERROR(__xludf.DUMMYFUNCTION("TO_TEXT(A2543)"),"48041")</f>
        <v>48041</v>
      </c>
      <c r="C2543" s="1">
        <v>209896.0</v>
      </c>
      <c r="D2543" s="1">
        <v>585.517525831406</v>
      </c>
      <c r="E2543" s="1" t="s">
        <v>4160</v>
      </c>
      <c r="F2543" s="1" t="s">
        <v>4161</v>
      </c>
      <c r="G2543" s="1">
        <v>358.47944893188</v>
      </c>
      <c r="H2543" s="1">
        <v>17.973388847</v>
      </c>
      <c r="I2543" s="1">
        <v>4.1290450729</v>
      </c>
      <c r="J2543" s="1">
        <v>7.6380852183</v>
      </c>
      <c r="K2543" s="1">
        <v>14.152728089</v>
      </c>
      <c r="L2543" s="1">
        <v>29.1</v>
      </c>
      <c r="M2543" s="1">
        <v>5.8</v>
      </c>
      <c r="N2543" s="1">
        <v>20.1</v>
      </c>
      <c r="O2543" s="1">
        <v>88.634905646</v>
      </c>
      <c r="P2543" s="1">
        <v>16.900472534</v>
      </c>
      <c r="Q2543" s="1">
        <v>85.2668</v>
      </c>
      <c r="R2543" s="1">
        <v>85.7</v>
      </c>
      <c r="S2543" s="1">
        <v>20.2</v>
      </c>
      <c r="T2543" s="1">
        <v>44860.0</v>
      </c>
      <c r="U2543" s="1">
        <v>33.943379403</v>
      </c>
      <c r="V2543" s="1">
        <v>317.12946081</v>
      </c>
      <c r="W2543" s="1">
        <v>27.0004617719999</v>
      </c>
      <c r="X2543" s="1">
        <v>24.156884033</v>
      </c>
      <c r="Y2543" s="1">
        <v>81.263168605</v>
      </c>
      <c r="Z2543" s="1">
        <v>8.0</v>
      </c>
      <c r="AA2543" s="1">
        <v>12.433637868</v>
      </c>
      <c r="AB2543" s="1">
        <v>50113.0</v>
      </c>
      <c r="AC2543" s="1">
        <v>56.573967418</v>
      </c>
      <c r="AD2543" s="1">
        <v>46.161435999</v>
      </c>
      <c r="AE2543" s="1">
        <v>23.154804224</v>
      </c>
      <c r="AF2543" s="1">
        <v>10.4287390079999</v>
      </c>
      <c r="AG2543" s="1">
        <v>0.674287125499999</v>
      </c>
      <c r="AH2543" s="1">
        <v>6.5739687244</v>
      </c>
      <c r="AI2543" s="1">
        <v>0.1159826776</v>
      </c>
      <c r="AJ2543" s="1">
        <v>26.025542649</v>
      </c>
      <c r="AK2543" s="1">
        <v>55.284488309</v>
      </c>
      <c r="AL2543" s="1">
        <v>4.6001157323</v>
      </c>
      <c r="AM2543" s="1">
        <v>49.450074529</v>
      </c>
      <c r="AN2543" s="1">
        <v>12.063576784</v>
      </c>
      <c r="AO2543" s="1">
        <v>24157.0</v>
      </c>
      <c r="AP2543" s="1">
        <v>27.0</v>
      </c>
      <c r="AQ2543" s="1">
        <v>5.7</v>
      </c>
      <c r="AR2543" s="1">
        <v>14.4</v>
      </c>
      <c r="AS2543" s="1">
        <v>8.2</v>
      </c>
      <c r="AT2543" s="1">
        <v>20.6</v>
      </c>
      <c r="AU2543" s="1">
        <v>8.4</v>
      </c>
      <c r="AV2543" s="1">
        <v>42.7</v>
      </c>
      <c r="AW2543" s="1">
        <v>4.8</v>
      </c>
      <c r="AX2543" s="1">
        <v>0.6663</v>
      </c>
      <c r="AY2543" s="1">
        <v>20.0</v>
      </c>
      <c r="AZ2543" s="1">
        <v>15.1</v>
      </c>
      <c r="BA2543" s="1">
        <v>19.6</v>
      </c>
      <c r="BB2543" s="1">
        <v>2.71</v>
      </c>
      <c r="BC2543" s="1" t="s">
        <v>4123</v>
      </c>
      <c r="BD2543" s="1">
        <v>12.8</v>
      </c>
      <c r="BE2543" s="1">
        <v>19.2</v>
      </c>
      <c r="BF2543" s="1">
        <v>26.3</v>
      </c>
      <c r="BG2543" s="1">
        <v>41.7</v>
      </c>
      <c r="BH2543" s="1" t="s">
        <v>4161</v>
      </c>
    </row>
    <row r="2544">
      <c r="A2544" s="1">
        <v>48043.0</v>
      </c>
      <c r="B2544" s="2" t="str">
        <f>IFERROR(__xludf.DUMMYFUNCTION("TO_TEXT(A2544)"),"48043")</f>
        <v>48043</v>
      </c>
      <c r="C2544" s="1">
        <v>9188.0</v>
      </c>
      <c r="D2544" s="1">
        <v>6183.7594395122</v>
      </c>
      <c r="E2544" s="1" t="s">
        <v>4162</v>
      </c>
      <c r="F2544" s="1" t="s">
        <v>4163</v>
      </c>
      <c r="G2544" s="1">
        <v>1.48582752771586</v>
      </c>
      <c r="H2544" s="1">
        <v>21.545321723</v>
      </c>
      <c r="I2544" s="1">
        <v>4.0881107548</v>
      </c>
      <c r="J2544" s="1">
        <v>6.33802816899999</v>
      </c>
      <c r="K2544" s="1">
        <v>14.441223413</v>
      </c>
      <c r="L2544" s="1">
        <v>25.9</v>
      </c>
      <c r="M2544" s="1">
        <v>7.2</v>
      </c>
      <c r="N2544" s="1">
        <v>26.8</v>
      </c>
      <c r="O2544" s="1">
        <v>57.939774697</v>
      </c>
      <c r="P2544" s="1">
        <v>19.7849165859999</v>
      </c>
      <c r="Q2544" s="1">
        <v>64.26047</v>
      </c>
      <c r="R2544" s="1">
        <v>98.7</v>
      </c>
      <c r="S2544" s="1">
        <v>21.2</v>
      </c>
      <c r="T2544" s="1">
        <v>1653.0</v>
      </c>
      <c r="U2544" s="1">
        <v>24.924379915</v>
      </c>
      <c r="V2544" s="1">
        <v>162.60162602</v>
      </c>
      <c r="W2544" s="1">
        <v>18.181818182</v>
      </c>
      <c r="X2544" s="1">
        <v>10.8886107629999</v>
      </c>
      <c r="Y2544" s="1">
        <v>80.9371981589999</v>
      </c>
      <c r="Z2544" s="1">
        <v>12.0</v>
      </c>
      <c r="AA2544" s="1">
        <v>13.048238462</v>
      </c>
      <c r="AB2544" s="1">
        <v>45670.0</v>
      </c>
      <c r="AC2544" s="1">
        <v>51.791277259</v>
      </c>
      <c r="AD2544" s="1">
        <v>57.965499746</v>
      </c>
      <c r="AE2544" s="1">
        <v>11.235342242</v>
      </c>
      <c r="AF2544" s="1">
        <v>1.2301715766</v>
      </c>
      <c r="AG2544" s="1">
        <v>1.7157656199</v>
      </c>
      <c r="AH2544" s="1">
        <v>1.3596633215</v>
      </c>
      <c r="AI2544" s="1">
        <v>0.1834466386</v>
      </c>
      <c r="AJ2544" s="1">
        <v>45.0307542889999</v>
      </c>
      <c r="AK2544" s="1">
        <v>50.3507068089999</v>
      </c>
      <c r="AL2544" s="1">
        <v>2.1079161416</v>
      </c>
      <c r="AM2544" s="1">
        <v>49.455055574</v>
      </c>
      <c r="AN2544" s="1">
        <v>34.867850953</v>
      </c>
      <c r="AO2544" s="1">
        <v>26156.0</v>
      </c>
      <c r="AP2544" s="1">
        <v>11.2</v>
      </c>
      <c r="AQ2544" s="1">
        <v>7.0</v>
      </c>
      <c r="AR2544" s="1">
        <v>13.6</v>
      </c>
      <c r="AS2544" s="1">
        <v>19.0</v>
      </c>
      <c r="AT2544" s="1">
        <v>20.5</v>
      </c>
      <c r="AU2544" s="1">
        <v>21.9</v>
      </c>
      <c r="AV2544" s="1">
        <v>47.9</v>
      </c>
      <c r="AW2544" s="1">
        <v>3.3</v>
      </c>
      <c r="AX2544" s="1">
        <v>0.6393</v>
      </c>
      <c r="AY2544" s="1">
        <v>13.1</v>
      </c>
      <c r="AZ2544" s="1">
        <v>15.2</v>
      </c>
      <c r="BA2544" s="1">
        <v>19.6</v>
      </c>
      <c r="BB2544" s="1">
        <v>3.11</v>
      </c>
      <c r="BC2544" s="1" t="s">
        <v>4123</v>
      </c>
      <c r="BD2544" s="1">
        <v>14.3</v>
      </c>
      <c r="BE2544" s="1">
        <v>21.3</v>
      </c>
      <c r="BF2544" s="1">
        <v>24.3</v>
      </c>
      <c r="BG2544" s="1">
        <v>40.0</v>
      </c>
      <c r="BH2544" s="1" t="s">
        <v>4163</v>
      </c>
    </row>
    <row r="2545">
      <c r="A2545" s="1">
        <v>48045.0</v>
      </c>
      <c r="B2545" s="2" t="str">
        <f>IFERROR(__xludf.DUMMYFUNCTION("TO_TEXT(A2545)"),"48045")</f>
        <v>48045</v>
      </c>
      <c r="C2545" s="1">
        <v>1672.0</v>
      </c>
      <c r="D2545" s="1">
        <v>900.000320286772</v>
      </c>
      <c r="E2545" s="1" t="s">
        <v>4164</v>
      </c>
      <c r="F2545" s="1" t="s">
        <v>4165</v>
      </c>
      <c r="G2545" s="1">
        <v>1.85777711664285</v>
      </c>
      <c r="H2545" s="1">
        <v>19.311017965</v>
      </c>
      <c r="I2545" s="1">
        <v>4.1354908024</v>
      </c>
      <c r="J2545" s="1">
        <v>7.80443539465</v>
      </c>
      <c r="K2545" s="1">
        <v>14.333748709</v>
      </c>
      <c r="L2545" s="1">
        <v>26.0</v>
      </c>
      <c r="M2545" s="1">
        <v>4.0</v>
      </c>
      <c r="N2545" s="1">
        <v>28.5</v>
      </c>
      <c r="O2545" s="1">
        <v>71.227855834</v>
      </c>
      <c r="P2545" s="1">
        <v>31.431079895</v>
      </c>
      <c r="Q2545" s="1">
        <v>0.0</v>
      </c>
      <c r="R2545" s="1">
        <v>100.0</v>
      </c>
      <c r="S2545" s="1">
        <v>24.3</v>
      </c>
      <c r="T2545" s="1">
        <v>277.0</v>
      </c>
      <c r="U2545" s="1">
        <v>41.155234657</v>
      </c>
      <c r="V2545" s="1">
        <v>0.0</v>
      </c>
      <c r="W2545" s="1">
        <v>8.5714285714</v>
      </c>
      <c r="X2545" s="1">
        <v>5.53935860059999</v>
      </c>
      <c r="Y2545" s="1">
        <v>77.482572377</v>
      </c>
      <c r="Z2545" s="1">
        <v>10.2</v>
      </c>
      <c r="AA2545" s="1">
        <v>47.74436079</v>
      </c>
      <c r="AB2545" s="1">
        <v>44409.0</v>
      </c>
      <c r="AC2545" s="1">
        <v>54.411764706</v>
      </c>
      <c r="AD2545" s="1">
        <v>74.367088608</v>
      </c>
      <c r="AE2545" s="1">
        <v>4.5614035088</v>
      </c>
      <c r="AF2545" s="1">
        <v>3.364116095</v>
      </c>
      <c r="AG2545" s="1">
        <v>0.791556728199999</v>
      </c>
      <c r="AH2545" s="1">
        <v>0.2638522427</v>
      </c>
      <c r="AI2545" s="1">
        <v>0.0</v>
      </c>
      <c r="AJ2545" s="1">
        <v>24.802110818</v>
      </c>
      <c r="AK2545" s="1">
        <v>69.19525066</v>
      </c>
      <c r="AL2545" s="1">
        <v>4.6448087432</v>
      </c>
      <c r="AM2545" s="1">
        <v>50.593667546</v>
      </c>
      <c r="AN2545" s="1">
        <v>100.0</v>
      </c>
      <c r="AO2545" s="1">
        <v>22906.0</v>
      </c>
      <c r="AP2545" s="1">
        <v>14.5</v>
      </c>
      <c r="AQ2545" s="1">
        <v>5.9</v>
      </c>
      <c r="AR2545" s="1">
        <v>22.5</v>
      </c>
      <c r="AS2545" s="1">
        <v>21.8</v>
      </c>
      <c r="AT2545" s="1">
        <v>22.4</v>
      </c>
      <c r="AU2545" s="1">
        <v>10.0</v>
      </c>
      <c r="AV2545" s="1">
        <v>37.3</v>
      </c>
      <c r="AW2545" s="1">
        <v>9.4</v>
      </c>
      <c r="AX2545" s="1">
        <v>0.3894</v>
      </c>
      <c r="AY2545" s="1">
        <v>15.0</v>
      </c>
      <c r="AZ2545" s="1">
        <v>14.3</v>
      </c>
      <c r="BA2545" s="1">
        <v>19.9</v>
      </c>
      <c r="BB2545" s="1">
        <v>2.86</v>
      </c>
      <c r="BC2545" s="1" t="s">
        <v>4123</v>
      </c>
      <c r="BD2545" s="1">
        <v>13.9</v>
      </c>
      <c r="BE2545" s="1">
        <v>36.5</v>
      </c>
      <c r="BF2545" s="1">
        <v>29.9</v>
      </c>
      <c r="BG2545" s="1">
        <v>19.8</v>
      </c>
      <c r="BH2545" s="1" t="s">
        <v>4165</v>
      </c>
    </row>
    <row r="2546">
      <c r="A2546" s="1">
        <v>48047.0</v>
      </c>
      <c r="B2546" s="2" t="str">
        <f>IFERROR(__xludf.DUMMYFUNCTION("TO_TEXT(A2546)"),"48047")</f>
        <v>48047</v>
      </c>
      <c r="C2546" s="1">
        <v>7217.0</v>
      </c>
      <c r="D2546" s="1">
        <v>943.354142045529</v>
      </c>
      <c r="E2546" s="1" t="s">
        <v>820</v>
      </c>
      <c r="F2546" s="1" t="s">
        <v>4166</v>
      </c>
      <c r="G2546" s="1">
        <v>7.65036127826921</v>
      </c>
      <c r="H2546" s="1">
        <v>38.22644594</v>
      </c>
      <c r="I2546" s="1">
        <v>4.7629865509</v>
      </c>
      <c r="J2546" s="1">
        <v>8.41584158419999</v>
      </c>
      <c r="K2546" s="1">
        <v>18.203002328</v>
      </c>
      <c r="L2546" s="1">
        <v>36.9</v>
      </c>
      <c r="M2546" s="1">
        <v>7.0</v>
      </c>
      <c r="N2546" s="1">
        <v>25.8</v>
      </c>
      <c r="O2546" s="1">
        <v>42.018551848</v>
      </c>
      <c r="P2546" s="1">
        <v>16.660947152</v>
      </c>
      <c r="Q2546" s="1">
        <v>48.31939</v>
      </c>
      <c r="R2546" s="1">
        <v>89.7</v>
      </c>
      <c r="S2546" s="1">
        <v>48.6</v>
      </c>
      <c r="T2546" s="1">
        <v>1845.0</v>
      </c>
      <c r="U2546" s="1">
        <v>58.428184282</v>
      </c>
      <c r="V2546" s="1">
        <v>234.27272101</v>
      </c>
      <c r="W2546" s="1">
        <v>20.689655172</v>
      </c>
      <c r="X2546" s="1">
        <v>14.786967419</v>
      </c>
      <c r="Y2546" s="1">
        <v>77.146799608</v>
      </c>
      <c r="Z2546" s="1">
        <v>11.9</v>
      </c>
      <c r="AA2546" s="1">
        <v>11.214864594</v>
      </c>
      <c r="AB2546" s="1">
        <v>30116.0</v>
      </c>
      <c r="AC2546" s="1">
        <v>79.924480806</v>
      </c>
      <c r="AD2546" s="1">
        <v>62.426900585</v>
      </c>
      <c r="AE2546" s="1">
        <v>18.905472637</v>
      </c>
      <c r="AF2546" s="1">
        <v>0.5341579983</v>
      </c>
      <c r="AG2546" s="1">
        <v>0.646612313699999</v>
      </c>
      <c r="AH2546" s="1">
        <v>1.1245431543</v>
      </c>
      <c r="AI2546" s="1">
        <v>0.0421703683</v>
      </c>
      <c r="AJ2546" s="1">
        <v>91.565926342</v>
      </c>
      <c r="AK2546" s="1">
        <v>6.6488614001</v>
      </c>
      <c r="AL2546" s="1">
        <v>9.192992963</v>
      </c>
      <c r="AM2546" s="1">
        <v>49.4658420019999</v>
      </c>
      <c r="AN2546" s="1">
        <v>31.7596566519999</v>
      </c>
      <c r="AO2546" s="1">
        <v>14885.0</v>
      </c>
      <c r="AP2546" s="1">
        <v>34.7</v>
      </c>
      <c r="AQ2546" s="1">
        <v>12.9</v>
      </c>
      <c r="AR2546" s="1">
        <v>29.6</v>
      </c>
      <c r="AS2546" s="1">
        <v>15.7</v>
      </c>
      <c r="AT2546" s="1">
        <v>24.2</v>
      </c>
      <c r="AU2546" s="1">
        <v>16.9</v>
      </c>
      <c r="AV2546" s="1">
        <v>94.7</v>
      </c>
      <c r="AW2546" s="1">
        <v>8.1</v>
      </c>
      <c r="AX2546" s="1">
        <v>0.999</v>
      </c>
      <c r="AY2546" s="1">
        <v>29.6</v>
      </c>
      <c r="AZ2546" s="1">
        <v>21.6</v>
      </c>
      <c r="BA2546" s="1">
        <v>32.7</v>
      </c>
      <c r="BB2546" s="1">
        <v>2.49</v>
      </c>
      <c r="BC2546" s="1" t="s">
        <v>4123</v>
      </c>
      <c r="BD2546" s="1">
        <v>31.2</v>
      </c>
      <c r="BE2546" s="1">
        <v>24.7</v>
      </c>
      <c r="BF2546" s="1">
        <v>28.4</v>
      </c>
      <c r="BG2546" s="1">
        <v>15.7</v>
      </c>
      <c r="BH2546" s="1" t="s">
        <v>4166</v>
      </c>
    </row>
    <row r="2547">
      <c r="A2547" s="1">
        <v>48049.0</v>
      </c>
      <c r="B2547" s="2" t="str">
        <f>IFERROR(__xludf.DUMMYFUNCTION("TO_TEXT(A2547)"),"48049")</f>
        <v>48049</v>
      </c>
      <c r="C2547" s="1">
        <v>37935.0</v>
      </c>
      <c r="D2547" s="1">
        <v>944.437085954456</v>
      </c>
      <c r="E2547" s="1" t="s">
        <v>1158</v>
      </c>
      <c r="F2547" s="1" t="s">
        <v>4167</v>
      </c>
      <c r="G2547" s="1">
        <v>40.1667835413966</v>
      </c>
      <c r="H2547" s="1">
        <v>18.475035705</v>
      </c>
      <c r="I2547" s="1">
        <v>4.1391422852</v>
      </c>
      <c r="J2547" s="1">
        <v>9.1098748261</v>
      </c>
      <c r="K2547" s="1">
        <v>15.156660418</v>
      </c>
      <c r="L2547" s="1">
        <v>38.6</v>
      </c>
      <c r="M2547" s="1">
        <v>6.5</v>
      </c>
      <c r="N2547" s="1">
        <v>33.7</v>
      </c>
      <c r="O2547" s="1">
        <v>64.869049494</v>
      </c>
      <c r="P2547" s="1">
        <v>18.688312572</v>
      </c>
      <c r="Q2547" s="1">
        <v>49.93036</v>
      </c>
      <c r="R2547" s="1">
        <v>96.5</v>
      </c>
      <c r="S2547" s="1">
        <v>21.2</v>
      </c>
      <c r="T2547" s="1">
        <v>8353.0</v>
      </c>
      <c r="U2547" s="1">
        <v>27.463186879</v>
      </c>
      <c r="V2547" s="1">
        <v>314.49865215</v>
      </c>
      <c r="W2547" s="1">
        <v>10.890718563</v>
      </c>
      <c r="X2547" s="1">
        <v>9.1426403642</v>
      </c>
      <c r="Y2547" s="1">
        <v>75.662292943</v>
      </c>
      <c r="Z2547" s="1">
        <v>12.7</v>
      </c>
      <c r="AA2547" s="1">
        <v>13.727854504</v>
      </c>
      <c r="AB2547" s="1">
        <v>47097.0</v>
      </c>
      <c r="AC2547" s="1">
        <v>62.892263196</v>
      </c>
      <c r="AD2547" s="1">
        <v>72.274543379</v>
      </c>
      <c r="AE2547" s="1">
        <v>9.3632677579</v>
      </c>
      <c r="AF2547" s="1">
        <v>3.5465668178</v>
      </c>
      <c r="AG2547" s="1">
        <v>0.856977112099999</v>
      </c>
      <c r="AH2547" s="1">
        <v>0.8068769117</v>
      </c>
      <c r="AI2547" s="1">
        <v>0.0791055796</v>
      </c>
      <c r="AJ2547" s="1">
        <v>22.748127835</v>
      </c>
      <c r="AK2547" s="1">
        <v>70.978799705</v>
      </c>
      <c r="AL2547" s="1">
        <v>1.9507559878</v>
      </c>
      <c r="AM2547" s="1">
        <v>50.522096825</v>
      </c>
      <c r="AN2547" s="1">
        <v>40.40046187</v>
      </c>
      <c r="AO2547" s="1">
        <v>22090.0</v>
      </c>
      <c r="AP2547" s="1">
        <v>17.7</v>
      </c>
      <c r="AQ2547" s="1">
        <v>4.1</v>
      </c>
      <c r="AR2547" s="1">
        <v>14.9</v>
      </c>
      <c r="AS2547" s="1">
        <v>19.0</v>
      </c>
      <c r="AT2547" s="1">
        <v>23.0</v>
      </c>
      <c r="AU2547" s="1">
        <v>14.1</v>
      </c>
      <c r="AV2547" s="1">
        <v>26.9</v>
      </c>
      <c r="AW2547" s="1">
        <v>1.7</v>
      </c>
      <c r="AX2547" s="1">
        <v>0.6501</v>
      </c>
      <c r="AY2547" s="1">
        <v>13.7</v>
      </c>
      <c r="AZ2547" s="1">
        <v>14.8</v>
      </c>
      <c r="BA2547" s="1">
        <v>22.7</v>
      </c>
      <c r="BB2547" s="1">
        <v>2.72</v>
      </c>
      <c r="BC2547" s="1" t="s">
        <v>4123</v>
      </c>
      <c r="BD2547" s="1">
        <v>12.8</v>
      </c>
      <c r="BE2547" s="1">
        <v>36.3</v>
      </c>
      <c r="BF2547" s="1">
        <v>31.8</v>
      </c>
      <c r="BG2547" s="1">
        <v>19.1</v>
      </c>
      <c r="BH2547" s="1" t="s">
        <v>4167</v>
      </c>
    </row>
    <row r="2548">
      <c r="A2548" s="1">
        <v>48051.0</v>
      </c>
      <c r="B2548" s="2" t="str">
        <f>IFERROR(__xludf.DUMMYFUNCTION("TO_TEXT(A2548)"),"48051")</f>
        <v>48051</v>
      </c>
      <c r="C2548" s="1">
        <v>17417.0</v>
      </c>
      <c r="D2548" s="1">
        <v>659.031562076322</v>
      </c>
      <c r="E2548" s="1" t="s">
        <v>4168</v>
      </c>
      <c r="F2548" s="1" t="s">
        <v>4169</v>
      </c>
      <c r="G2548" s="1">
        <v>26.4281727951338</v>
      </c>
      <c r="H2548" s="1">
        <v>17.6254746979999</v>
      </c>
      <c r="I2548" s="1">
        <v>3.9854279416</v>
      </c>
      <c r="J2548" s="1">
        <v>8.2162921348</v>
      </c>
      <c r="K2548" s="1">
        <v>14.072572987</v>
      </c>
      <c r="L2548" s="1">
        <v>38.4</v>
      </c>
      <c r="M2548" s="1">
        <v>7.3</v>
      </c>
      <c r="N2548" s="1">
        <v>25.0</v>
      </c>
      <c r="O2548" s="1">
        <v>49.874905452</v>
      </c>
      <c r="P2548" s="1">
        <v>19.837603248</v>
      </c>
      <c r="Q2548" s="1">
        <v>38.86514</v>
      </c>
      <c r="R2548" s="1">
        <v>94.2</v>
      </c>
      <c r="S2548" s="1">
        <v>23.7</v>
      </c>
      <c r="T2548" s="1">
        <v>3953.0</v>
      </c>
      <c r="U2548" s="1">
        <v>29.648368328</v>
      </c>
      <c r="V2548" s="1">
        <v>173.87133521</v>
      </c>
      <c r="W2548" s="1">
        <v>12.137823023</v>
      </c>
      <c r="X2548" s="1">
        <v>7.36589271419999</v>
      </c>
      <c r="Y2548" s="1">
        <v>76.724240886</v>
      </c>
      <c r="Z2548" s="1">
        <v>4.8</v>
      </c>
      <c r="AA2548" s="1">
        <v>4.0831226839</v>
      </c>
      <c r="AB2548" s="1">
        <v>53626.0</v>
      </c>
      <c r="AC2548" s="1">
        <v>61.390374332</v>
      </c>
      <c r="AD2548" s="1">
        <v>79.804560261</v>
      </c>
      <c r="AE2548" s="1">
        <v>8.5204650422</v>
      </c>
      <c r="AF2548" s="1">
        <v>12.463973027</v>
      </c>
      <c r="AG2548" s="1">
        <v>1.0712926206</v>
      </c>
      <c r="AH2548" s="1">
        <v>0.4078525205</v>
      </c>
      <c r="AI2548" s="1">
        <v>0.0380662352</v>
      </c>
      <c r="AJ2548" s="1">
        <v>20.827668715</v>
      </c>
      <c r="AK2548" s="1">
        <v>64.4080700419999</v>
      </c>
      <c r="AL2548" s="1">
        <v>2.581837696</v>
      </c>
      <c r="AM2548" s="1">
        <v>50.812986024</v>
      </c>
      <c r="AN2548" s="1">
        <v>76.65677547</v>
      </c>
      <c r="AO2548" s="1">
        <v>25833.0</v>
      </c>
      <c r="AP2548" s="1">
        <v>13.6</v>
      </c>
      <c r="AQ2548" s="1">
        <v>6.1</v>
      </c>
      <c r="AR2548" s="1">
        <v>19.6</v>
      </c>
      <c r="AS2548" s="1">
        <v>19.4</v>
      </c>
      <c r="AT2548" s="1">
        <v>23.1</v>
      </c>
      <c r="AU2548" s="1">
        <v>17.0</v>
      </c>
      <c r="AV2548" s="1">
        <v>34.1</v>
      </c>
      <c r="AW2548" s="1">
        <v>3.1</v>
      </c>
      <c r="AX2548" s="1">
        <v>0.6628</v>
      </c>
      <c r="AY2548" s="1">
        <v>13.8</v>
      </c>
      <c r="AZ2548" s="1">
        <v>14.2</v>
      </c>
      <c r="BA2548" s="1">
        <v>22.7</v>
      </c>
      <c r="BB2548" s="1">
        <v>2.75</v>
      </c>
      <c r="BC2548" s="1" t="s">
        <v>4123</v>
      </c>
      <c r="BD2548" s="1">
        <v>17.5</v>
      </c>
      <c r="BE2548" s="1">
        <v>38.4</v>
      </c>
      <c r="BF2548" s="1">
        <v>26.8</v>
      </c>
      <c r="BG2548" s="1">
        <v>17.3</v>
      </c>
      <c r="BH2548" s="1" t="s">
        <v>4169</v>
      </c>
    </row>
    <row r="2549">
      <c r="A2549" s="1">
        <v>48053.0</v>
      </c>
      <c r="B2549" s="2" t="str">
        <f>IFERROR(__xludf.DUMMYFUNCTION("TO_TEXT(A2549)"),"48053")</f>
        <v>48053</v>
      </c>
      <c r="C2549" s="1">
        <v>44584.0</v>
      </c>
      <c r="D2549" s="1">
        <v>994.264475699256</v>
      </c>
      <c r="E2549" s="1" t="s">
        <v>4170</v>
      </c>
      <c r="F2549" s="1" t="s">
        <v>4171</v>
      </c>
      <c r="G2549" s="1">
        <v>44.8411877218529</v>
      </c>
      <c r="H2549" s="1">
        <v>16.537019165</v>
      </c>
      <c r="I2549" s="1">
        <v>3.9190630867</v>
      </c>
      <c r="J2549" s="1">
        <v>6.6547831254</v>
      </c>
      <c r="K2549" s="1">
        <v>13.382040532</v>
      </c>
      <c r="L2549" s="1">
        <v>31.3</v>
      </c>
      <c r="M2549" s="1">
        <v>7.0</v>
      </c>
      <c r="N2549" s="1">
        <v>27.3</v>
      </c>
      <c r="O2549" s="1">
        <v>62.977777778</v>
      </c>
      <c r="P2549" s="1">
        <v>21.2832991079999</v>
      </c>
      <c r="Q2549" s="1">
        <v>47.00453</v>
      </c>
      <c r="R2549" s="1">
        <v>92.9</v>
      </c>
      <c r="S2549" s="1">
        <v>18.6</v>
      </c>
      <c r="T2549" s="1">
        <v>9824.0</v>
      </c>
      <c r="U2549" s="1">
        <v>31.697882736</v>
      </c>
      <c r="V2549" s="1">
        <v>247.74134894</v>
      </c>
      <c r="W2549" s="1">
        <v>12.791411043</v>
      </c>
      <c r="X2549" s="1">
        <v>9.4444444444</v>
      </c>
      <c r="Y2549" s="1">
        <v>79.203228456</v>
      </c>
      <c r="Z2549" s="1">
        <v>17.8</v>
      </c>
      <c r="AA2549" s="1">
        <v>13.0249030929999</v>
      </c>
      <c r="AB2549" s="1">
        <v>56696.0</v>
      </c>
      <c r="AC2549" s="1">
        <v>60.123772366</v>
      </c>
      <c r="AD2549" s="1">
        <v>75.316042495</v>
      </c>
      <c r="AE2549" s="1">
        <v>9.6178538673</v>
      </c>
      <c r="AF2549" s="1">
        <v>1.7984098271</v>
      </c>
      <c r="AG2549" s="1">
        <v>1.1926296748</v>
      </c>
      <c r="AH2549" s="1">
        <v>0.9233940516</v>
      </c>
      <c r="AI2549" s="1">
        <v>0.0799293255999999</v>
      </c>
      <c r="AJ2549" s="1">
        <v>22.670480838</v>
      </c>
      <c r="AK2549" s="1">
        <v>72.946026671</v>
      </c>
      <c r="AL2549" s="1">
        <v>2.4118909687</v>
      </c>
      <c r="AM2549" s="1">
        <v>50.999116571</v>
      </c>
      <c r="AN2549" s="1">
        <v>55.67251462</v>
      </c>
      <c r="AO2549" s="1">
        <v>27434.0</v>
      </c>
      <c r="AP2549" s="1">
        <v>14.4</v>
      </c>
      <c r="AQ2549" s="1">
        <v>4.6</v>
      </c>
      <c r="AR2549" s="1">
        <v>13.9</v>
      </c>
      <c r="AS2549" s="1">
        <v>21.2</v>
      </c>
      <c r="AT2549" s="1">
        <v>21.8</v>
      </c>
      <c r="AU2549" s="1">
        <v>19.5</v>
      </c>
      <c r="AV2549" s="1">
        <v>25.5</v>
      </c>
      <c r="AW2549" s="1">
        <v>2.8</v>
      </c>
      <c r="AX2549" s="1">
        <v>0.5616</v>
      </c>
      <c r="AY2549" s="1">
        <v>10.5</v>
      </c>
      <c r="AZ2549" s="1">
        <v>14.0</v>
      </c>
      <c r="BA2549" s="1">
        <v>21.1</v>
      </c>
      <c r="BB2549" s="1">
        <v>2.94</v>
      </c>
      <c r="BC2549" s="1" t="s">
        <v>4123</v>
      </c>
      <c r="BD2549" s="1">
        <v>11.7</v>
      </c>
      <c r="BE2549" s="1">
        <v>30.8</v>
      </c>
      <c r="BF2549" s="1">
        <v>32.2</v>
      </c>
      <c r="BG2549" s="1">
        <v>25.4</v>
      </c>
      <c r="BH2549" s="1" t="s">
        <v>4171</v>
      </c>
    </row>
    <row r="2550">
      <c r="A2550" s="1">
        <v>48055.0</v>
      </c>
      <c r="B2550" s="2" t="str">
        <f>IFERROR(__xludf.DUMMYFUNCTION("TO_TEXT(A2550)"),"48055")</f>
        <v>48055</v>
      </c>
      <c r="C2550" s="1">
        <v>39848.0</v>
      </c>
      <c r="D2550" s="1">
        <v>545.22807441062</v>
      </c>
      <c r="E2550" s="1" t="s">
        <v>1787</v>
      </c>
      <c r="F2550" s="1" t="s">
        <v>4172</v>
      </c>
      <c r="G2550" s="1">
        <v>73.0850113378238</v>
      </c>
      <c r="H2550" s="1">
        <v>23.058850624</v>
      </c>
      <c r="I2550" s="1">
        <v>4.1005125472</v>
      </c>
      <c r="J2550" s="1">
        <v>8.6456908345</v>
      </c>
      <c r="K2550" s="1">
        <v>15.43705445</v>
      </c>
      <c r="L2550" s="1">
        <v>39.1</v>
      </c>
      <c r="M2550" s="1">
        <v>7.7</v>
      </c>
      <c r="N2550" s="1">
        <v>27.3</v>
      </c>
      <c r="O2550" s="1">
        <v>58.7190668839999</v>
      </c>
      <c r="P2550" s="1">
        <v>21.692969871</v>
      </c>
      <c r="Q2550" s="1">
        <v>28.34333</v>
      </c>
      <c r="R2550" s="1">
        <v>90.2</v>
      </c>
      <c r="S2550" s="1">
        <v>20.7</v>
      </c>
      <c r="T2550" s="1">
        <v>9742.0</v>
      </c>
      <c r="U2550" s="1">
        <v>34.438513652</v>
      </c>
      <c r="V2550" s="1">
        <v>219.3145491</v>
      </c>
      <c r="W2550" s="1">
        <v>16.067903672</v>
      </c>
      <c r="X2550" s="1">
        <v>9.8882681564</v>
      </c>
      <c r="Y2550" s="1">
        <v>77.354248434</v>
      </c>
      <c r="Z2550" s="1">
        <v>10.6</v>
      </c>
      <c r="AA2550" s="1">
        <v>7.7458631786</v>
      </c>
      <c r="AB2550" s="1">
        <v>52588.0</v>
      </c>
      <c r="AC2550" s="1">
        <v>73.376539209</v>
      </c>
      <c r="AD2550" s="1">
        <v>65.950850662</v>
      </c>
      <c r="AE2550" s="1">
        <v>13.266593095</v>
      </c>
      <c r="AF2550" s="1">
        <v>5.732189516</v>
      </c>
      <c r="AG2550" s="1">
        <v>1.5561773071</v>
      </c>
      <c r="AH2550" s="1">
        <v>1.0127870141</v>
      </c>
      <c r="AI2550" s="1">
        <v>0.1017411612</v>
      </c>
      <c r="AJ2550" s="1">
        <v>53.032580295</v>
      </c>
      <c r="AK2550" s="1">
        <v>38.985363147</v>
      </c>
      <c r="AL2550" s="1">
        <v>5.3909952607</v>
      </c>
      <c r="AM2550" s="1">
        <v>49.541008625</v>
      </c>
      <c r="AN2550" s="1">
        <v>42.2923343669999</v>
      </c>
      <c r="AO2550" s="1">
        <v>21485.0</v>
      </c>
      <c r="AP2550" s="1">
        <v>18.6</v>
      </c>
      <c r="AQ2550" s="1">
        <v>4.5</v>
      </c>
      <c r="AR2550" s="1">
        <v>20.9</v>
      </c>
      <c r="AS2550" s="1">
        <v>13.3</v>
      </c>
      <c r="AT2550" s="1">
        <v>24.3</v>
      </c>
      <c r="AU2550" s="1">
        <v>14.2</v>
      </c>
      <c r="AV2550" s="1">
        <v>58.2</v>
      </c>
      <c r="AW2550" s="1">
        <v>5.1</v>
      </c>
      <c r="AX2550" s="1">
        <v>0.8793</v>
      </c>
      <c r="AY2550" s="1">
        <v>14.4</v>
      </c>
      <c r="AZ2550" s="1">
        <v>14.6</v>
      </c>
      <c r="BA2550" s="1">
        <v>20.8</v>
      </c>
      <c r="BB2550" s="1">
        <v>3.04</v>
      </c>
      <c r="BC2550" s="1" t="s">
        <v>4123</v>
      </c>
      <c r="BD2550" s="1">
        <v>21.8</v>
      </c>
      <c r="BE2550" s="1">
        <v>37.9</v>
      </c>
      <c r="BF2550" s="1">
        <v>25.7</v>
      </c>
      <c r="BG2550" s="1">
        <v>14.6</v>
      </c>
      <c r="BH2550" s="1" t="s">
        <v>4172</v>
      </c>
    </row>
    <row r="2551">
      <c r="A2551" s="1">
        <v>48057.0</v>
      </c>
      <c r="B2551" s="2" t="str">
        <f>IFERROR(__xludf.DUMMYFUNCTION("TO_TEXT(A2551)"),"48057")</f>
        <v>48057</v>
      </c>
      <c r="C2551" s="1">
        <v>21805.0</v>
      </c>
      <c r="D2551" s="1">
        <v>506.838807380448</v>
      </c>
      <c r="E2551" s="1" t="s">
        <v>74</v>
      </c>
      <c r="F2551" s="1" t="s">
        <v>4173</v>
      </c>
      <c r="G2551" s="1">
        <v>43.0215675723357</v>
      </c>
      <c r="H2551" s="1">
        <v>20.950035718</v>
      </c>
      <c r="I2551" s="1">
        <v>3.8436965912</v>
      </c>
      <c r="J2551" s="1">
        <v>7.2342519685</v>
      </c>
      <c r="K2551" s="1">
        <v>14.001674427</v>
      </c>
      <c r="L2551" s="1">
        <v>30.7</v>
      </c>
      <c r="M2551" s="1">
        <v>7.2</v>
      </c>
      <c r="N2551" s="1">
        <v>22.7</v>
      </c>
      <c r="O2551" s="1">
        <v>55.2172489589999</v>
      </c>
      <c r="P2551" s="1">
        <v>19.235082997</v>
      </c>
      <c r="Q2551" s="1">
        <v>50.58867</v>
      </c>
      <c r="R2551" s="1">
        <v>93.0</v>
      </c>
      <c r="S2551" s="1">
        <v>24.0</v>
      </c>
      <c r="T2551" s="1">
        <v>5363.0</v>
      </c>
      <c r="U2551" s="1">
        <v>38.280812978</v>
      </c>
      <c r="V2551" s="1">
        <v>512.48390599</v>
      </c>
      <c r="W2551" s="1">
        <v>16.346153846</v>
      </c>
      <c r="X2551" s="1">
        <v>8.9838187702</v>
      </c>
      <c r="Y2551" s="1">
        <v>78.385217493</v>
      </c>
      <c r="Z2551" s="1">
        <v>13.5</v>
      </c>
      <c r="AA2551" s="1">
        <v>13.4370550859999</v>
      </c>
      <c r="AB2551" s="1">
        <v>52085.0</v>
      </c>
      <c r="AC2551" s="1">
        <v>72.562068083</v>
      </c>
      <c r="AD2551" s="1">
        <v>70.778537612</v>
      </c>
      <c r="AE2551" s="1">
        <v>8.7995501827</v>
      </c>
      <c r="AF2551" s="1">
        <v>2.5462640879</v>
      </c>
      <c r="AG2551" s="1">
        <v>0.820926673199999</v>
      </c>
      <c r="AH2551" s="1">
        <v>5.4635684801</v>
      </c>
      <c r="AI2551" s="1">
        <v>0.0510180418</v>
      </c>
      <c r="AJ2551" s="1">
        <v>49.1210982789999</v>
      </c>
      <c r="AK2551" s="1">
        <v>41.732758221</v>
      </c>
      <c r="AL2551" s="1">
        <v>5.7483143856</v>
      </c>
      <c r="AM2551" s="1">
        <v>48.620193869</v>
      </c>
      <c r="AN2551" s="1">
        <v>44.7313034939999</v>
      </c>
      <c r="AO2551" s="1">
        <v>25181.0</v>
      </c>
      <c r="AP2551" s="1">
        <v>18.1</v>
      </c>
      <c r="AQ2551" s="1">
        <v>6.3</v>
      </c>
      <c r="AR2551" s="1">
        <v>19.5</v>
      </c>
      <c r="AS2551" s="1">
        <v>16.0</v>
      </c>
      <c r="AT2551" s="1">
        <v>25.5</v>
      </c>
      <c r="AU2551" s="1">
        <v>17.4</v>
      </c>
      <c r="AV2551" s="1">
        <v>56.3</v>
      </c>
      <c r="AW2551" s="1">
        <v>4.7</v>
      </c>
      <c r="AX2551" s="1">
        <v>0.8395</v>
      </c>
      <c r="AY2551" s="1">
        <v>14.7</v>
      </c>
      <c r="AZ2551" s="1">
        <v>14.5</v>
      </c>
      <c r="BA2551" s="1">
        <v>21.6</v>
      </c>
      <c r="BB2551" s="1">
        <v>2.8</v>
      </c>
      <c r="BC2551" s="1" t="s">
        <v>4123</v>
      </c>
      <c r="BD2551" s="1">
        <v>20.7</v>
      </c>
      <c r="BE2551" s="1">
        <v>33.0</v>
      </c>
      <c r="BF2551" s="1">
        <v>32.1</v>
      </c>
      <c r="BG2551" s="1">
        <v>14.2</v>
      </c>
      <c r="BH2551" s="1" t="s">
        <v>4173</v>
      </c>
    </row>
    <row r="2552">
      <c r="A2552" s="1">
        <v>48059.0</v>
      </c>
      <c r="B2552" s="2" t="str">
        <f>IFERROR(__xludf.DUMMYFUNCTION("TO_TEXT(A2552)"),"48059")</f>
        <v>48059</v>
      </c>
      <c r="C2552" s="1">
        <v>13596.0</v>
      </c>
      <c r="D2552" s="1">
        <v>899.37180762099</v>
      </c>
      <c r="E2552" s="1" t="s">
        <v>4174</v>
      </c>
      <c r="F2552" s="1" t="s">
        <v>4175</v>
      </c>
      <c r="G2552" s="1">
        <v>15.1172183570708</v>
      </c>
      <c r="H2552" s="1">
        <v>16.77024025</v>
      </c>
      <c r="I2552" s="1">
        <v>4.1063485618</v>
      </c>
      <c r="J2552" s="1">
        <v>11.263467189</v>
      </c>
      <c r="K2552" s="1">
        <v>15.452111313</v>
      </c>
      <c r="L2552" s="1">
        <v>34.8</v>
      </c>
      <c r="M2552" s="1">
        <v>6.6</v>
      </c>
      <c r="N2552" s="1">
        <v>29.5</v>
      </c>
      <c r="O2552" s="1">
        <v>54.555522741</v>
      </c>
      <c r="P2552" s="1">
        <v>18.546793605</v>
      </c>
      <c r="Q2552" s="1">
        <v>7.17051</v>
      </c>
      <c r="R2552" s="1">
        <v>94.0</v>
      </c>
      <c r="S2552" s="1">
        <v>20.2</v>
      </c>
      <c r="T2552" s="1">
        <v>3200.0</v>
      </c>
      <c r="U2552" s="1">
        <v>22.3125</v>
      </c>
      <c r="V2552" s="1">
        <v>88.394534271</v>
      </c>
      <c r="W2552" s="1">
        <v>13.1679389309999</v>
      </c>
      <c r="X2552" s="1">
        <v>11.54158215</v>
      </c>
      <c r="Y2552" s="1">
        <v>76.271685708</v>
      </c>
      <c r="Z2552" s="1">
        <v>13.4</v>
      </c>
      <c r="AA2552" s="1">
        <v>11.240862974</v>
      </c>
      <c r="AB2552" s="1">
        <v>50330.0</v>
      </c>
      <c r="AC2552" s="1">
        <v>52.479174931</v>
      </c>
      <c r="AD2552" s="1">
        <v>82.759917278</v>
      </c>
      <c r="AE2552" s="1">
        <v>10.856913506</v>
      </c>
      <c r="AF2552" s="1">
        <v>1.4649135344</v>
      </c>
      <c r="AG2552" s="1">
        <v>0.800343004099999</v>
      </c>
      <c r="AH2552" s="1">
        <v>0.7003001286</v>
      </c>
      <c r="AI2552" s="1">
        <v>0.1000428755</v>
      </c>
      <c r="AJ2552" s="1">
        <v>9.911390596</v>
      </c>
      <c r="AK2552" s="1">
        <v>85.765327998</v>
      </c>
      <c r="AL2552" s="1">
        <v>0.621308583299999</v>
      </c>
      <c r="AM2552" s="1">
        <v>50.4787766189999</v>
      </c>
      <c r="AN2552" s="1">
        <v>72.179562906</v>
      </c>
      <c r="AO2552" s="1">
        <v>22557.0</v>
      </c>
      <c r="AP2552" s="1">
        <v>18.0</v>
      </c>
      <c r="AQ2552" s="1">
        <v>3.8</v>
      </c>
      <c r="AR2552" s="1">
        <v>12.0</v>
      </c>
      <c r="AS2552" s="1">
        <v>19.7</v>
      </c>
      <c r="AT2552" s="1">
        <v>23.9</v>
      </c>
      <c r="AU2552" s="1">
        <v>18.3</v>
      </c>
      <c r="AV2552" s="1">
        <v>12.9</v>
      </c>
      <c r="AW2552" s="1">
        <v>0.8</v>
      </c>
      <c r="AX2552" s="1">
        <v>0.3601</v>
      </c>
      <c r="AY2552" s="1">
        <v>12.1</v>
      </c>
      <c r="AZ2552" s="1">
        <v>15.5</v>
      </c>
      <c r="BA2552" s="1">
        <v>23.7</v>
      </c>
      <c r="BB2552" s="1">
        <v>2.87</v>
      </c>
      <c r="BC2552" s="1" t="s">
        <v>4123</v>
      </c>
      <c r="BD2552" s="1">
        <v>11.8</v>
      </c>
      <c r="BE2552" s="1">
        <v>35.8</v>
      </c>
      <c r="BF2552" s="1">
        <v>31.4</v>
      </c>
      <c r="BG2552" s="1">
        <v>21.0</v>
      </c>
      <c r="BH2552" s="1" t="s">
        <v>4175</v>
      </c>
    </row>
    <row r="2553">
      <c r="A2553" s="1">
        <v>48061.0</v>
      </c>
      <c r="B2553" s="2" t="str">
        <f>IFERROR(__xludf.DUMMYFUNCTION("TO_TEXT(A2553)"),"48061")</f>
        <v>48061</v>
      </c>
      <c r="C2553" s="1">
        <v>418785.0</v>
      </c>
      <c r="D2553" s="1">
        <v>891.081353662017</v>
      </c>
      <c r="E2553" s="1" t="s">
        <v>1957</v>
      </c>
      <c r="F2553" s="1" t="s">
        <v>4176</v>
      </c>
      <c r="G2553" s="1">
        <v>469.97392356932</v>
      </c>
      <c r="H2553" s="1">
        <v>31.3566707309999</v>
      </c>
      <c r="I2553" s="1">
        <v>4.0955741345</v>
      </c>
      <c r="J2553" s="1">
        <v>8.1357393607</v>
      </c>
      <c r="K2553" s="1">
        <v>13.1814445509999</v>
      </c>
      <c r="L2553" s="1">
        <v>30.8</v>
      </c>
      <c r="M2553" s="1">
        <v>7.3</v>
      </c>
      <c r="N2553" s="1">
        <v>24.5</v>
      </c>
      <c r="O2553" s="1">
        <v>65.609275762</v>
      </c>
      <c r="P2553" s="1">
        <v>29.0352571569999</v>
      </c>
      <c r="Q2553" s="1">
        <v>48.85244</v>
      </c>
      <c r="R2553" s="1">
        <v>89.5</v>
      </c>
      <c r="S2553" s="1">
        <v>40.2</v>
      </c>
      <c r="T2553" s="1">
        <v>129906.0</v>
      </c>
      <c r="U2553" s="1">
        <v>37.329299647</v>
      </c>
      <c r="V2553" s="1">
        <v>319.14504091</v>
      </c>
      <c r="W2553" s="1">
        <v>24.441421387</v>
      </c>
      <c r="X2553" s="1">
        <v>14.06631016</v>
      </c>
      <c r="Y2553" s="1">
        <v>80.914610073</v>
      </c>
      <c r="Z2553" s="1">
        <v>10.5</v>
      </c>
      <c r="AA2553" s="1">
        <v>14.164701</v>
      </c>
      <c r="AB2553" s="1">
        <v>38106.0</v>
      </c>
      <c r="AC2553" s="1">
        <v>87.033089872</v>
      </c>
      <c r="AD2553" s="1">
        <v>66.655842838</v>
      </c>
      <c r="AE2553" s="1">
        <v>15.056313493</v>
      </c>
      <c r="AF2553" s="1">
        <v>0.3849891958</v>
      </c>
      <c r="AG2553" s="1">
        <v>0.6664181851</v>
      </c>
      <c r="AH2553" s="1">
        <v>0.7980505204</v>
      </c>
      <c r="AI2553" s="1">
        <v>0.0750162771</v>
      </c>
      <c r="AJ2553" s="1">
        <v>89.813827529</v>
      </c>
      <c r="AK2553" s="1">
        <v>8.756852902</v>
      </c>
      <c r="AL2553" s="1">
        <v>17.049039363</v>
      </c>
      <c r="AM2553" s="1">
        <v>51.321277258</v>
      </c>
      <c r="AN2553" s="1">
        <v>8.4208064596</v>
      </c>
      <c r="AO2553" s="1">
        <v>15457.0</v>
      </c>
      <c r="AP2553" s="1">
        <v>33.0</v>
      </c>
      <c r="AQ2553" s="1">
        <v>9.4</v>
      </c>
      <c r="AR2553" s="1">
        <v>34.4</v>
      </c>
      <c r="AS2553" s="1">
        <v>12.4</v>
      </c>
      <c r="AT2553" s="1">
        <v>31.7</v>
      </c>
      <c r="AU2553" s="1">
        <v>13.0</v>
      </c>
      <c r="AV2553" s="1">
        <v>90.3</v>
      </c>
      <c r="AW2553" s="1">
        <v>17.4</v>
      </c>
      <c r="AX2553" s="1">
        <v>0.979</v>
      </c>
      <c r="AY2553" s="1">
        <v>25.5</v>
      </c>
      <c r="AZ2553" s="1">
        <v>17.8</v>
      </c>
      <c r="BA2553" s="1">
        <v>27.3</v>
      </c>
      <c r="BB2553" s="1">
        <v>2.34</v>
      </c>
      <c r="BC2553" s="1" t="s">
        <v>4123</v>
      </c>
      <c r="BD2553" s="1">
        <v>32.1</v>
      </c>
      <c r="BE2553" s="1">
        <v>26.4</v>
      </c>
      <c r="BF2553" s="1">
        <v>24.2</v>
      </c>
      <c r="BG2553" s="1">
        <v>17.3</v>
      </c>
      <c r="BH2553" s="1" t="s">
        <v>4176</v>
      </c>
    </row>
    <row r="2554">
      <c r="A2554" s="1">
        <v>48063.0</v>
      </c>
      <c r="B2554" s="2" t="str">
        <f>IFERROR(__xludf.DUMMYFUNCTION("TO_TEXT(A2554)"),"48063")</f>
        <v>48063</v>
      </c>
      <c r="C2554" s="1">
        <v>12631.0</v>
      </c>
      <c r="D2554" s="1">
        <v>195.82505213603</v>
      </c>
      <c r="E2554" s="1" t="s">
        <v>4177</v>
      </c>
      <c r="F2554" s="1" t="s">
        <v>4178</v>
      </c>
      <c r="G2554" s="1">
        <v>64.5014509748521</v>
      </c>
      <c r="H2554" s="1">
        <v>20.616382553</v>
      </c>
      <c r="I2554" s="1">
        <v>4.3139796418</v>
      </c>
      <c r="J2554" s="1">
        <v>7.4581430746</v>
      </c>
      <c r="K2554" s="1">
        <v>16.051539618</v>
      </c>
      <c r="L2554" s="1">
        <v>27.9</v>
      </c>
      <c r="M2554" s="1">
        <v>6.8</v>
      </c>
      <c r="N2554" s="1">
        <v>25.4</v>
      </c>
      <c r="O2554" s="1">
        <v>60.140311265</v>
      </c>
      <c r="P2554" s="1">
        <v>21.241485177</v>
      </c>
      <c r="Q2554" s="1">
        <v>85.5698199999999</v>
      </c>
      <c r="R2554" s="1">
        <v>98.3</v>
      </c>
      <c r="S2554" s="1">
        <v>30.5</v>
      </c>
      <c r="T2554" s="1">
        <v>3388.0</v>
      </c>
      <c r="U2554" s="1">
        <v>31.78866588</v>
      </c>
      <c r="V2554" s="1">
        <v>337.24805586</v>
      </c>
      <c r="W2554" s="1">
        <v>13.201320132</v>
      </c>
      <c r="X2554" s="1">
        <v>9.1192865106</v>
      </c>
      <c r="Y2554" s="1">
        <v>75.537633963</v>
      </c>
      <c r="Z2554" s="1">
        <v>16.0</v>
      </c>
      <c r="AA2554" s="1">
        <v>5.8786268998</v>
      </c>
      <c r="AB2554" s="1">
        <v>43714.0</v>
      </c>
      <c r="AC2554" s="1">
        <v>74.57337884</v>
      </c>
      <c r="AD2554" s="1">
        <v>71.739130435</v>
      </c>
      <c r="AE2554" s="1">
        <v>14.4397974909999</v>
      </c>
      <c r="AF2554" s="1">
        <v>15.9057776409999</v>
      </c>
      <c r="AG2554" s="1">
        <v>0.9591038134</v>
      </c>
      <c r="AH2554" s="1">
        <v>0.9591038134</v>
      </c>
      <c r="AI2554" s="1">
        <v>0.1688022712</v>
      </c>
      <c r="AJ2554" s="1">
        <v>25.665618046</v>
      </c>
      <c r="AK2554" s="1">
        <v>55.152305686</v>
      </c>
      <c r="AL2554" s="1">
        <v>3.8279932546</v>
      </c>
      <c r="AM2554" s="1">
        <v>51.43865572</v>
      </c>
      <c r="AN2554" s="1">
        <v>61.478912991</v>
      </c>
      <c r="AO2554" s="1">
        <v>20034.0</v>
      </c>
      <c r="AP2554" s="1">
        <v>19.3</v>
      </c>
      <c r="AQ2554" s="1">
        <v>6.6</v>
      </c>
      <c r="AR2554" s="1">
        <v>18.8</v>
      </c>
      <c r="AS2554" s="1">
        <v>17.4</v>
      </c>
      <c r="AT2554" s="1">
        <v>26.2</v>
      </c>
      <c r="AU2554" s="1">
        <v>16.6</v>
      </c>
      <c r="AV2554" s="1">
        <v>43.6</v>
      </c>
      <c r="AW2554" s="1">
        <v>3.8</v>
      </c>
      <c r="AX2554" s="1">
        <v>0.8494</v>
      </c>
      <c r="AY2554" s="1">
        <v>16.6</v>
      </c>
      <c r="AZ2554" s="1">
        <v>17.5</v>
      </c>
      <c r="BA2554" s="1">
        <v>26.5</v>
      </c>
      <c r="BB2554" s="1">
        <v>2.97</v>
      </c>
      <c r="BC2554" s="1" t="s">
        <v>4123</v>
      </c>
      <c r="BD2554" s="1">
        <v>12.8</v>
      </c>
      <c r="BE2554" s="1">
        <v>35.3</v>
      </c>
      <c r="BF2554" s="1">
        <v>32.5</v>
      </c>
      <c r="BG2554" s="1">
        <v>19.4</v>
      </c>
      <c r="BH2554" s="1" t="s">
        <v>4178</v>
      </c>
    </row>
    <row r="2555">
      <c r="A2555" s="1">
        <v>48065.0</v>
      </c>
      <c r="B2555" s="2" t="str">
        <f>IFERROR(__xludf.DUMMYFUNCTION("TO_TEXT(A2555)"),"48065")</f>
        <v>48065</v>
      </c>
      <c r="C2555" s="1">
        <v>6027.0</v>
      </c>
      <c r="D2555" s="1">
        <v>920.219965808398</v>
      </c>
      <c r="E2555" s="1" t="s">
        <v>4179</v>
      </c>
      <c r="F2555" s="1" t="s">
        <v>4180</v>
      </c>
      <c r="G2555" s="1">
        <v>6.54952101012651</v>
      </c>
      <c r="H2555" s="1">
        <v>13.092575899</v>
      </c>
      <c r="I2555" s="1">
        <v>3.6524532039</v>
      </c>
      <c r="J2555" s="1">
        <v>5.6265984655</v>
      </c>
      <c r="K2555" s="1">
        <v>12.556451868</v>
      </c>
      <c r="L2555" s="1">
        <v>27.6</v>
      </c>
      <c r="M2555" s="1">
        <v>7.8</v>
      </c>
      <c r="N2555" s="1">
        <v>23.5</v>
      </c>
      <c r="O2555" s="1">
        <v>72.403752831</v>
      </c>
      <c r="P2555" s="1">
        <v>17.026037429</v>
      </c>
      <c r="Q2555" s="1">
        <v>48.31939</v>
      </c>
      <c r="R2555" s="1">
        <v>98.8</v>
      </c>
      <c r="S2555" s="1">
        <v>12.2</v>
      </c>
      <c r="T2555" s="1">
        <v>1511.0</v>
      </c>
      <c r="U2555" s="1">
        <v>25.6121773659999</v>
      </c>
      <c r="V2555" s="1">
        <v>377.23195574</v>
      </c>
      <c r="W2555" s="1">
        <v>4.0430107527</v>
      </c>
      <c r="X2555" s="1">
        <v>3.360977739</v>
      </c>
      <c r="Y2555" s="1">
        <v>78.121735565</v>
      </c>
      <c r="Z2555" s="1">
        <v>8.0</v>
      </c>
      <c r="AA2555" s="1">
        <v>6.0164578559</v>
      </c>
      <c r="AB2555" s="1">
        <v>64799.0</v>
      </c>
      <c r="AC2555" s="1">
        <v>32.747603834</v>
      </c>
      <c r="AD2555" s="1">
        <v>83.44459279</v>
      </c>
      <c r="AE2555" s="1">
        <v>3.733084461</v>
      </c>
      <c r="AF2555" s="1">
        <v>0.8159866778</v>
      </c>
      <c r="AG2555" s="1">
        <v>1.7651956703</v>
      </c>
      <c r="AH2555" s="1">
        <v>0.4662781016</v>
      </c>
      <c r="AI2555" s="1">
        <v>0.049958368</v>
      </c>
      <c r="AJ2555" s="1">
        <v>10.491257286</v>
      </c>
      <c r="AK2555" s="1">
        <v>84.962531224</v>
      </c>
      <c r="AL2555" s="1">
        <v>0.5470266455</v>
      </c>
      <c r="AM2555" s="1">
        <v>49.87510408</v>
      </c>
      <c r="AN2555" s="1">
        <v>95.195729537</v>
      </c>
      <c r="AO2555" s="1">
        <v>28943.0</v>
      </c>
      <c r="AP2555" s="1">
        <v>5.9</v>
      </c>
      <c r="AQ2555" s="1">
        <v>2.2</v>
      </c>
      <c r="AR2555" s="1">
        <v>7.8</v>
      </c>
      <c r="AS2555" s="1">
        <v>16.8</v>
      </c>
      <c r="AT2555" s="1">
        <v>25.9</v>
      </c>
      <c r="AU2555" s="1">
        <v>11.6</v>
      </c>
      <c r="AV2555" s="1">
        <v>13.2</v>
      </c>
      <c r="AW2555" s="1">
        <v>0.2</v>
      </c>
      <c r="AX2555" s="1">
        <v>0.071</v>
      </c>
      <c r="AY2555" s="1">
        <v>8.5</v>
      </c>
      <c r="AZ2555" s="1">
        <v>11.2</v>
      </c>
      <c r="BA2555" s="1">
        <v>18.2</v>
      </c>
      <c r="BB2555" s="1">
        <v>3.06</v>
      </c>
      <c r="BC2555" s="1" t="s">
        <v>4123</v>
      </c>
      <c r="BD2555" s="1">
        <v>6.7</v>
      </c>
      <c r="BE2555" s="1">
        <v>32.0</v>
      </c>
      <c r="BF2555" s="1">
        <v>32.9</v>
      </c>
      <c r="BG2555" s="1">
        <v>28.4</v>
      </c>
      <c r="BH2555" s="1" t="s">
        <v>4180</v>
      </c>
    </row>
    <row r="2556">
      <c r="A2556" s="1">
        <v>48067.0</v>
      </c>
      <c r="B2556" s="2" t="str">
        <f>IFERROR(__xludf.DUMMYFUNCTION("TO_TEXT(A2556)"),"48067")</f>
        <v>48067</v>
      </c>
      <c r="C2556" s="1">
        <v>30346.0</v>
      </c>
      <c r="D2556" s="1">
        <v>936.963177879674</v>
      </c>
      <c r="E2556" s="1" t="s">
        <v>1164</v>
      </c>
      <c r="F2556" s="1" t="s">
        <v>4181</v>
      </c>
      <c r="G2556" s="1">
        <v>32.3876121457326</v>
      </c>
      <c r="H2556" s="1">
        <v>17.74558908</v>
      </c>
      <c r="I2556" s="1">
        <v>4.2202339531</v>
      </c>
      <c r="J2556" s="1">
        <v>7.810552555</v>
      </c>
      <c r="K2556" s="1">
        <v>15.487323412</v>
      </c>
      <c r="L2556" s="1">
        <v>37.3</v>
      </c>
      <c r="M2556" s="1">
        <v>6.5</v>
      </c>
      <c r="N2556" s="1">
        <v>33.5</v>
      </c>
      <c r="O2556" s="1">
        <v>36.314994748</v>
      </c>
      <c r="P2556" s="1">
        <v>16.021957286</v>
      </c>
      <c r="Q2556" s="1">
        <v>26.656</v>
      </c>
      <c r="R2556" s="1">
        <v>96.9</v>
      </c>
      <c r="S2556" s="1">
        <v>32.0</v>
      </c>
      <c r="T2556" s="1">
        <v>6798.0</v>
      </c>
      <c r="U2556" s="1">
        <v>35.319211533</v>
      </c>
      <c r="V2556" s="1">
        <v>377.11291695</v>
      </c>
      <c r="W2556" s="1">
        <v>11.597281223</v>
      </c>
      <c r="X2556" s="1">
        <v>7.9385964912</v>
      </c>
      <c r="Y2556" s="1">
        <v>75.969035904</v>
      </c>
      <c r="Z2556" s="1">
        <v>20.3</v>
      </c>
      <c r="AA2556" s="1">
        <v>3.4361408554</v>
      </c>
      <c r="AB2556" s="1">
        <v>44154.0</v>
      </c>
      <c r="AC2556" s="1">
        <v>62.828467153</v>
      </c>
      <c r="AD2556" s="1">
        <v>78.089744677</v>
      </c>
      <c r="AE2556" s="1">
        <v>9.1685193419</v>
      </c>
      <c r="AF2556" s="1">
        <v>16.677180517</v>
      </c>
      <c r="AG2556" s="1">
        <v>0.6673528338</v>
      </c>
      <c r="AH2556" s="1">
        <v>0.4747833593</v>
      </c>
      <c r="AI2556" s="1">
        <v>0.0531226136</v>
      </c>
      <c r="AJ2556" s="1">
        <v>4.70135130649999</v>
      </c>
      <c r="AK2556" s="1">
        <v>76.27743285</v>
      </c>
      <c r="AL2556" s="1">
        <v>0.3985317252</v>
      </c>
      <c r="AM2556" s="1">
        <v>51.5886981639999</v>
      </c>
      <c r="AN2556" s="1">
        <v>74.011948529</v>
      </c>
      <c r="AO2556" s="1">
        <v>21608.0</v>
      </c>
      <c r="AP2556" s="1">
        <v>19.2</v>
      </c>
      <c r="AQ2556" s="1">
        <v>8.8</v>
      </c>
      <c r="AR2556" s="1">
        <v>14.1</v>
      </c>
      <c r="AS2556" s="1">
        <v>21.3</v>
      </c>
      <c r="AT2556" s="1">
        <v>22.6</v>
      </c>
      <c r="AU2556" s="1">
        <v>16.6</v>
      </c>
      <c r="AV2556" s="1">
        <v>23.4</v>
      </c>
      <c r="AW2556" s="1">
        <v>0.3</v>
      </c>
      <c r="AX2556" s="1">
        <v>0.7157</v>
      </c>
      <c r="AY2556" s="1">
        <v>17.3</v>
      </c>
      <c r="AZ2556" s="1">
        <v>18.8</v>
      </c>
      <c r="BA2556" s="1">
        <v>31.2</v>
      </c>
      <c r="BB2556" s="1">
        <v>2.94</v>
      </c>
      <c r="BC2556" s="1" t="s">
        <v>4123</v>
      </c>
      <c r="BD2556" s="1">
        <v>14.1</v>
      </c>
      <c r="BE2556" s="1">
        <v>43.3</v>
      </c>
      <c r="BF2556" s="1">
        <v>26.3</v>
      </c>
      <c r="BG2556" s="1">
        <v>16.4</v>
      </c>
      <c r="BH2556" s="1" t="s">
        <v>4181</v>
      </c>
    </row>
    <row r="2557">
      <c r="A2557" s="1">
        <v>48069.0</v>
      </c>
      <c r="B2557" s="2" t="str">
        <f>IFERROR(__xludf.DUMMYFUNCTION("TO_TEXT(A2557)"),"48069")</f>
        <v>48069</v>
      </c>
      <c r="C2557" s="1">
        <v>7875.0</v>
      </c>
      <c r="D2557" s="1">
        <v>894.433628292227</v>
      </c>
      <c r="E2557" s="1" t="s">
        <v>4182</v>
      </c>
      <c r="F2557" s="1" t="s">
        <v>4183</v>
      </c>
      <c r="G2557" s="1">
        <v>8.80445429476527</v>
      </c>
      <c r="H2557" s="1">
        <v>24.165192397</v>
      </c>
      <c r="I2557" s="1">
        <v>3.9800949712</v>
      </c>
      <c r="J2557" s="1">
        <v>6.9135802469</v>
      </c>
      <c r="K2557" s="1">
        <v>14.093096116</v>
      </c>
      <c r="L2557" s="1">
        <v>27.3</v>
      </c>
      <c r="M2557" s="1">
        <v>8.6</v>
      </c>
      <c r="N2557" s="1">
        <v>21.5</v>
      </c>
      <c r="O2557" s="1">
        <v>48.920863309</v>
      </c>
      <c r="P2557" s="1">
        <v>28.880426504</v>
      </c>
      <c r="Q2557" s="1">
        <v>12.75022</v>
      </c>
      <c r="R2557" s="1">
        <v>97.2</v>
      </c>
      <c r="S2557" s="1">
        <v>24.2</v>
      </c>
      <c r="T2557" s="1">
        <v>2274.0</v>
      </c>
      <c r="U2557" s="1">
        <v>23.966578716</v>
      </c>
      <c r="V2557" s="1">
        <v>108.86967659</v>
      </c>
      <c r="W2557" s="1">
        <v>13.2530120479999</v>
      </c>
      <c r="X2557" s="1">
        <v>5.8343533252</v>
      </c>
      <c r="Y2557" s="1">
        <v>79.753076205</v>
      </c>
      <c r="Z2557" s="1">
        <v>18.0</v>
      </c>
      <c r="AA2557" s="1">
        <v>4.0646570727</v>
      </c>
      <c r="AB2557" s="1">
        <v>45689.0</v>
      </c>
      <c r="AC2557" s="1">
        <v>74.154025671</v>
      </c>
      <c r="AD2557" s="1">
        <v>59.044233807</v>
      </c>
      <c r="AE2557" s="1">
        <v>7.4977817214</v>
      </c>
      <c r="AF2557" s="1">
        <v>2.0874103066</v>
      </c>
      <c r="AG2557" s="1">
        <v>1.8134377038</v>
      </c>
      <c r="AH2557" s="1">
        <v>0.704500978499999</v>
      </c>
      <c r="AI2557" s="1">
        <v>0.0130463144</v>
      </c>
      <c r="AJ2557" s="1">
        <v>65.4924983689999</v>
      </c>
      <c r="AK2557" s="1">
        <v>30.880626223</v>
      </c>
      <c r="AL2557" s="1">
        <v>12.863705972</v>
      </c>
      <c r="AM2557" s="1">
        <v>48.532289628</v>
      </c>
      <c r="AN2557" s="1">
        <v>45.7578764569999</v>
      </c>
      <c r="AO2557" s="1">
        <v>21230.0</v>
      </c>
      <c r="AP2557" s="1">
        <v>16.2</v>
      </c>
      <c r="AQ2557" s="1">
        <v>4.8</v>
      </c>
      <c r="AR2557" s="1">
        <v>29.5</v>
      </c>
      <c r="AS2557" s="1">
        <v>13.9</v>
      </c>
      <c r="AT2557" s="1">
        <v>30.2</v>
      </c>
      <c r="AU2557" s="1">
        <v>10.2</v>
      </c>
      <c r="AV2557" s="1">
        <v>66.0</v>
      </c>
      <c r="AW2557" s="1">
        <v>13.7</v>
      </c>
      <c r="AX2557" s="1">
        <v>0.672999999999999</v>
      </c>
      <c r="AY2557" s="1">
        <v>15.3</v>
      </c>
      <c r="AZ2557" s="1">
        <v>12.9</v>
      </c>
      <c r="BA2557" s="1">
        <v>19.6</v>
      </c>
      <c r="BB2557" s="1">
        <v>3.13</v>
      </c>
      <c r="BC2557" s="1" t="s">
        <v>4123</v>
      </c>
      <c r="BD2557" s="1">
        <v>25.9</v>
      </c>
      <c r="BE2557" s="1">
        <v>32.2</v>
      </c>
      <c r="BF2557" s="1">
        <v>26.3</v>
      </c>
      <c r="BG2557" s="1">
        <v>15.6</v>
      </c>
      <c r="BH2557" s="1" t="s">
        <v>4183</v>
      </c>
    </row>
    <row r="2558">
      <c r="A2558" s="1">
        <v>48071.0</v>
      </c>
      <c r="B2558" s="2" t="str">
        <f>IFERROR(__xludf.DUMMYFUNCTION("TO_TEXT(A2558)"),"48071")</f>
        <v>48071</v>
      </c>
      <c r="C2558" s="1">
        <v>38072.0</v>
      </c>
      <c r="D2558" s="1">
        <v>597.14666980782</v>
      </c>
      <c r="E2558" s="1" t="s">
        <v>76</v>
      </c>
      <c r="F2558" s="1" t="s">
        <v>4184</v>
      </c>
      <c r="G2558" s="1">
        <v>63.7565307234363</v>
      </c>
      <c r="H2558" s="1">
        <v>17.112090658</v>
      </c>
      <c r="I2558" s="1">
        <v>3.9289884116</v>
      </c>
      <c r="J2558" s="1">
        <v>8.2658475286</v>
      </c>
      <c r="K2558" s="1">
        <v>14.996608427</v>
      </c>
      <c r="L2558" s="1">
        <v>28.0</v>
      </c>
      <c r="M2558" s="1">
        <v>7.4</v>
      </c>
      <c r="N2558" s="1">
        <v>26.3</v>
      </c>
      <c r="O2558" s="1">
        <v>70.332801459</v>
      </c>
      <c r="P2558" s="1">
        <v>16.388206388</v>
      </c>
      <c r="Q2558" s="1">
        <v>9.65228</v>
      </c>
      <c r="R2558" s="1">
        <v>97.7</v>
      </c>
      <c r="S2558" s="1">
        <v>10.9</v>
      </c>
      <c r="T2558" s="1">
        <v>11282.0</v>
      </c>
      <c r="U2558" s="1">
        <v>29.055132069</v>
      </c>
      <c r="V2558" s="1">
        <v>348.25999948</v>
      </c>
      <c r="W2558" s="1">
        <v>11.415349017</v>
      </c>
      <c r="X2558" s="1">
        <v>9.1376582278</v>
      </c>
      <c r="Y2558" s="1">
        <v>77.906776704</v>
      </c>
      <c r="Z2558" s="1">
        <v>7.9</v>
      </c>
      <c r="AA2558" s="1">
        <v>5.1583231651</v>
      </c>
      <c r="AB2558" s="1">
        <v>89513.0</v>
      </c>
      <c r="AC2558" s="1">
        <v>36.772457104</v>
      </c>
      <c r="AD2558" s="1">
        <v>83.923423756</v>
      </c>
      <c r="AE2558" s="1">
        <v>11.8631062</v>
      </c>
      <c r="AF2558" s="1">
        <v>7.9827578085</v>
      </c>
      <c r="AG2558" s="1">
        <v>1.0317049041</v>
      </c>
      <c r="AH2558" s="1">
        <v>1.2837424035</v>
      </c>
      <c r="AI2558" s="1">
        <v>0.1154190418</v>
      </c>
      <c r="AJ2558" s="1">
        <v>22.845903802</v>
      </c>
      <c r="AK2558" s="1">
        <v>66.3376831389999</v>
      </c>
      <c r="AL2558" s="1">
        <v>4.01088058029999</v>
      </c>
      <c r="AM2558" s="1">
        <v>49.3451736</v>
      </c>
      <c r="AN2558" s="1">
        <v>45.7203100069999</v>
      </c>
      <c r="AO2558" s="1">
        <v>29729.0</v>
      </c>
      <c r="AP2558" s="1">
        <v>11.7</v>
      </c>
      <c r="AQ2558" s="1">
        <v>6.4</v>
      </c>
      <c r="AR2558" s="1">
        <v>16.2</v>
      </c>
      <c r="AS2558" s="1">
        <v>10.5</v>
      </c>
      <c r="AT2558" s="1">
        <v>27.8</v>
      </c>
      <c r="AU2558" s="1">
        <v>13.0</v>
      </c>
      <c r="AV2558" s="1">
        <v>31.9</v>
      </c>
      <c r="AW2558" s="1">
        <v>5.6</v>
      </c>
      <c r="AX2558" s="1">
        <v>0.2907</v>
      </c>
      <c r="AY2558" s="1">
        <v>8.6</v>
      </c>
      <c r="AZ2558" s="1">
        <v>13.9</v>
      </c>
      <c r="BA2558" s="1">
        <v>21.2</v>
      </c>
      <c r="BB2558" s="1">
        <v>2.85</v>
      </c>
      <c r="BC2558" s="1" t="s">
        <v>4123</v>
      </c>
      <c r="BD2558" s="1">
        <v>11.5</v>
      </c>
      <c r="BE2558" s="1">
        <v>27.0</v>
      </c>
      <c r="BF2558" s="1">
        <v>38.8</v>
      </c>
      <c r="BG2558" s="1">
        <v>22.7</v>
      </c>
      <c r="BH2558" s="1" t="s">
        <v>4184</v>
      </c>
    </row>
    <row r="2559">
      <c r="A2559" s="1">
        <v>48073.0</v>
      </c>
      <c r="B2559" s="2" t="str">
        <f>IFERROR(__xludf.DUMMYFUNCTION("TO_TEXT(A2559)"),"48073")</f>
        <v>48073</v>
      </c>
      <c r="C2559" s="1">
        <v>51257.0</v>
      </c>
      <c r="D2559" s="1">
        <v>1052.97354967359</v>
      </c>
      <c r="E2559" s="1" t="s">
        <v>78</v>
      </c>
      <c r="F2559" s="1" t="s">
        <v>4185</v>
      </c>
      <c r="G2559" s="1">
        <v>48.6783357624597</v>
      </c>
      <c r="H2559" s="1">
        <v>21.390740094</v>
      </c>
      <c r="I2559" s="1">
        <v>4.2204696311</v>
      </c>
      <c r="J2559" s="1">
        <v>7.2273073989</v>
      </c>
      <c r="K2559" s="1">
        <v>16.207934139</v>
      </c>
      <c r="L2559" s="1">
        <v>42.8</v>
      </c>
      <c r="M2559" s="1">
        <v>6.6</v>
      </c>
      <c r="N2559" s="1">
        <v>33.7</v>
      </c>
      <c r="O2559" s="1">
        <v>47.455993706</v>
      </c>
      <c r="P2559" s="1">
        <v>21.632108346</v>
      </c>
      <c r="Q2559" s="1">
        <v>40.19908</v>
      </c>
      <c r="R2559" s="1">
        <v>90.8</v>
      </c>
      <c r="S2559" s="1">
        <v>24.6</v>
      </c>
      <c r="T2559" s="1">
        <v>13073.0</v>
      </c>
      <c r="U2559" s="1">
        <v>33.924883347</v>
      </c>
      <c r="V2559" s="1">
        <v>394.90551214</v>
      </c>
      <c r="W2559" s="1">
        <v>18.037885213</v>
      </c>
      <c r="X2559" s="1">
        <v>12.427745665</v>
      </c>
      <c r="Y2559" s="1">
        <v>75.677026975</v>
      </c>
      <c r="Z2559" s="1">
        <v>14.1</v>
      </c>
      <c r="AA2559" s="1">
        <v>8.5589252248</v>
      </c>
      <c r="AB2559" s="1">
        <v>43483.0</v>
      </c>
      <c r="AC2559" s="1">
        <v>63.0465949819999</v>
      </c>
      <c r="AD2559" s="1">
        <v>71.850613155</v>
      </c>
      <c r="AE2559" s="1">
        <v>10.676114556</v>
      </c>
      <c r="AF2559" s="1">
        <v>13.918466687</v>
      </c>
      <c r="AG2559" s="1">
        <v>1.6523425616</v>
      </c>
      <c r="AH2559" s="1">
        <v>0.5514146638</v>
      </c>
      <c r="AI2559" s="1">
        <v>0.060845756</v>
      </c>
      <c r="AJ2559" s="1">
        <v>23.598646182</v>
      </c>
      <c r="AK2559" s="1">
        <v>60.174551263</v>
      </c>
      <c r="AL2559" s="1">
        <v>5.5168697671</v>
      </c>
      <c r="AM2559" s="1">
        <v>48.999847886</v>
      </c>
      <c r="AN2559" s="1">
        <v>63.048480677</v>
      </c>
      <c r="AO2559" s="1">
        <v>19871.0</v>
      </c>
      <c r="AP2559" s="1">
        <v>21.9</v>
      </c>
      <c r="AQ2559" s="1">
        <v>6.0</v>
      </c>
      <c r="AR2559" s="1">
        <v>20.4</v>
      </c>
      <c r="AS2559" s="1">
        <v>16.4</v>
      </c>
      <c r="AT2559" s="1">
        <v>25.5</v>
      </c>
      <c r="AU2559" s="1">
        <v>14.1</v>
      </c>
      <c r="AV2559" s="1">
        <v>38.5</v>
      </c>
      <c r="AW2559" s="1">
        <v>4.8</v>
      </c>
      <c r="AX2559" s="1">
        <v>0.9268</v>
      </c>
      <c r="AY2559" s="1">
        <v>16.5</v>
      </c>
      <c r="AZ2559" s="1">
        <v>16.1</v>
      </c>
      <c r="BA2559" s="1">
        <v>24.2</v>
      </c>
      <c r="BB2559" s="1">
        <v>2.92</v>
      </c>
      <c r="BC2559" s="1" t="s">
        <v>4123</v>
      </c>
      <c r="BD2559" s="1">
        <v>21.0</v>
      </c>
      <c r="BE2559" s="1">
        <v>30.5</v>
      </c>
      <c r="BF2559" s="1">
        <v>31.3</v>
      </c>
      <c r="BG2559" s="1">
        <v>17.2</v>
      </c>
      <c r="BH2559" s="1" t="s">
        <v>4185</v>
      </c>
    </row>
    <row r="2560">
      <c r="A2560" s="1">
        <v>48075.0</v>
      </c>
      <c r="B2560" s="2" t="str">
        <f>IFERROR(__xludf.DUMMYFUNCTION("TO_TEXT(A2560)"),"48075")</f>
        <v>48075</v>
      </c>
      <c r="C2560" s="1">
        <v>7059.0</v>
      </c>
      <c r="D2560" s="1">
        <v>696.404544549562</v>
      </c>
      <c r="E2560" s="1" t="s">
        <v>4186</v>
      </c>
      <c r="F2560" s="1" t="s">
        <v>4187</v>
      </c>
      <c r="G2560" s="1">
        <v>10.1363497054226</v>
      </c>
      <c r="H2560" s="1">
        <v>20.100915579</v>
      </c>
      <c r="I2560" s="1">
        <v>3.991710039</v>
      </c>
      <c r="J2560" s="1">
        <v>9.86193293889999</v>
      </c>
      <c r="K2560" s="1">
        <v>15.981398695</v>
      </c>
      <c r="L2560" s="1">
        <v>24.3</v>
      </c>
      <c r="M2560" s="1">
        <v>5.8</v>
      </c>
      <c r="N2560" s="1">
        <v>27.1</v>
      </c>
      <c r="O2560" s="1">
        <v>74.194006533</v>
      </c>
      <c r="P2560" s="1">
        <v>20.426561126</v>
      </c>
      <c r="Q2560" s="1">
        <v>141.50276</v>
      </c>
      <c r="R2560" s="1">
        <v>93.8</v>
      </c>
      <c r="S2560" s="1">
        <v>25.4</v>
      </c>
      <c r="T2560" s="1">
        <v>1348.0</v>
      </c>
      <c r="U2560" s="1">
        <v>28.931750742</v>
      </c>
      <c r="V2560" s="1">
        <v>204.509002055</v>
      </c>
      <c r="W2560" s="1">
        <v>16.985138004</v>
      </c>
      <c r="X2560" s="1">
        <v>14.4298245609999</v>
      </c>
      <c r="Y2560" s="1">
        <v>76.013639129</v>
      </c>
      <c r="Z2560" s="1">
        <v>12.8</v>
      </c>
      <c r="AA2560" s="1">
        <v>16.8583940059999</v>
      </c>
      <c r="AB2560" s="1">
        <v>42291.0</v>
      </c>
      <c r="AC2560" s="1">
        <v>54.398563734</v>
      </c>
      <c r="AD2560" s="1">
        <v>58.657718121</v>
      </c>
      <c r="AE2560" s="1">
        <v>10.960187354</v>
      </c>
      <c r="AF2560" s="1">
        <v>10.30037032</v>
      </c>
      <c r="AG2560" s="1">
        <v>0.9738033192</v>
      </c>
      <c r="AH2560" s="1">
        <v>0.6583459059</v>
      </c>
      <c r="AI2560" s="1">
        <v>0.0274310794</v>
      </c>
      <c r="AJ2560" s="1">
        <v>31.970923056</v>
      </c>
      <c r="AK2560" s="1">
        <v>55.314771636</v>
      </c>
      <c r="AL2560" s="1">
        <v>2.0781863101</v>
      </c>
      <c r="AM2560" s="1">
        <v>39.185296941</v>
      </c>
      <c r="AN2560" s="1">
        <v>33.148700469</v>
      </c>
      <c r="AO2560" s="1">
        <v>18745.0</v>
      </c>
      <c r="AP2560" s="1">
        <v>22.8</v>
      </c>
      <c r="AQ2560" s="1">
        <v>6.3</v>
      </c>
      <c r="AR2560" s="1">
        <v>14.7</v>
      </c>
      <c r="AS2560" s="1">
        <v>15.2</v>
      </c>
      <c r="AT2560" s="1">
        <v>20.2</v>
      </c>
      <c r="AU2560" s="1">
        <v>18.3</v>
      </c>
      <c r="AV2560" s="1">
        <v>34.8</v>
      </c>
      <c r="AW2560" s="1">
        <v>1.1</v>
      </c>
      <c r="AX2560" s="1">
        <v>0.7736</v>
      </c>
      <c r="AY2560" s="1">
        <v>21.9</v>
      </c>
      <c r="AZ2560" s="1">
        <v>15.7</v>
      </c>
      <c r="BA2560" s="1">
        <v>17.9</v>
      </c>
      <c r="BB2560" s="1">
        <v>3.0</v>
      </c>
      <c r="BC2560" s="1" t="s">
        <v>4123</v>
      </c>
      <c r="BD2560" s="1">
        <v>18.0</v>
      </c>
      <c r="BE2560" s="1">
        <v>34.9</v>
      </c>
      <c r="BF2560" s="1">
        <v>28.9</v>
      </c>
      <c r="BG2560" s="1">
        <v>18.3</v>
      </c>
      <c r="BH2560" s="1" t="s">
        <v>4187</v>
      </c>
    </row>
    <row r="2561">
      <c r="A2561" s="1">
        <v>48077.0</v>
      </c>
      <c r="B2561" s="2" t="str">
        <f>IFERROR(__xludf.DUMMYFUNCTION("TO_TEXT(A2561)"),"48077")</f>
        <v>48077</v>
      </c>
      <c r="C2561" s="1">
        <v>10367.0</v>
      </c>
      <c r="D2561" s="1">
        <v>1088.72561610502</v>
      </c>
      <c r="E2561" s="1" t="s">
        <v>86</v>
      </c>
      <c r="F2561" s="1" t="s">
        <v>4188</v>
      </c>
      <c r="G2561" s="1">
        <v>9.52214207753148</v>
      </c>
      <c r="H2561" s="1">
        <v>16.382639106</v>
      </c>
      <c r="I2561" s="1">
        <v>4.016182059</v>
      </c>
      <c r="J2561" s="1">
        <v>5.0243111831</v>
      </c>
      <c r="K2561" s="1">
        <v>14.894115404</v>
      </c>
      <c r="L2561" s="1">
        <v>31.8</v>
      </c>
      <c r="M2561" s="1">
        <v>6.2</v>
      </c>
      <c r="N2561" s="1">
        <v>33.0</v>
      </c>
      <c r="O2561" s="1">
        <v>18.526785714</v>
      </c>
      <c r="P2561" s="1">
        <v>18.482892975</v>
      </c>
      <c r="Q2561" s="1">
        <v>38.38403</v>
      </c>
      <c r="R2561" s="1">
        <v>97.3</v>
      </c>
      <c r="S2561" s="1">
        <v>16.9</v>
      </c>
      <c r="T2561" s="1">
        <v>2150.0</v>
      </c>
      <c r="U2561" s="1">
        <v>25.11627907</v>
      </c>
      <c r="V2561" s="1">
        <v>130.17694422</v>
      </c>
      <c r="W2561" s="1">
        <v>12.3020706459999</v>
      </c>
      <c r="X2561" s="1">
        <v>8.4975369458</v>
      </c>
      <c r="Y2561" s="1">
        <v>78.037937403</v>
      </c>
      <c r="Z2561" s="1">
        <v>15.6</v>
      </c>
      <c r="AA2561" s="1">
        <v>16.715823969</v>
      </c>
      <c r="AB2561" s="1">
        <v>58356.0</v>
      </c>
      <c r="AC2561" s="1">
        <v>46.344271733</v>
      </c>
      <c r="AD2561" s="1">
        <v>84.944375773</v>
      </c>
      <c r="AE2561" s="1">
        <v>8.2575954298</v>
      </c>
      <c r="AF2561" s="1">
        <v>0.784238714599999</v>
      </c>
      <c r="AG2561" s="1">
        <v>1.3580719204</v>
      </c>
      <c r="AH2561" s="1">
        <v>0.5164498852</v>
      </c>
      <c r="AI2561" s="1">
        <v>0.0095638868</v>
      </c>
      <c r="AJ2561" s="1">
        <v>6.5416985463</v>
      </c>
      <c r="AK2561" s="1">
        <v>89.403213466</v>
      </c>
      <c r="AL2561" s="1">
        <v>1.54187241759999</v>
      </c>
      <c r="AM2561" s="1">
        <v>50.181713849</v>
      </c>
      <c r="AN2561" s="1">
        <v>74.600074405</v>
      </c>
      <c r="AO2561" s="1">
        <v>26696.0</v>
      </c>
      <c r="AP2561" s="1">
        <v>15.4</v>
      </c>
      <c r="AQ2561" s="1">
        <v>6.7</v>
      </c>
      <c r="AR2561" s="1">
        <v>10.7</v>
      </c>
      <c r="AS2561" s="1">
        <v>20.7</v>
      </c>
      <c r="AT2561" s="1">
        <v>21.5</v>
      </c>
      <c r="AU2561" s="1">
        <v>19.0</v>
      </c>
      <c r="AV2561" s="1">
        <v>9.3</v>
      </c>
      <c r="AW2561" s="1">
        <v>1.0</v>
      </c>
      <c r="AX2561" s="1">
        <v>0.3009</v>
      </c>
      <c r="AY2561" s="1">
        <v>11.5</v>
      </c>
      <c r="AZ2561" s="1">
        <v>15.4</v>
      </c>
      <c r="BA2561" s="1">
        <v>24.9</v>
      </c>
      <c r="BB2561" s="1">
        <v>2.86</v>
      </c>
      <c r="BC2561" s="1" t="s">
        <v>4123</v>
      </c>
      <c r="BD2561" s="1">
        <v>9.5</v>
      </c>
      <c r="BE2561" s="1">
        <v>36.9</v>
      </c>
      <c r="BF2561" s="1">
        <v>32.2</v>
      </c>
      <c r="BG2561" s="1">
        <v>21.4</v>
      </c>
      <c r="BH2561" s="1" t="s">
        <v>4188</v>
      </c>
    </row>
    <row r="2562">
      <c r="A2562" s="1">
        <v>48079.0</v>
      </c>
      <c r="B2562" s="2" t="str">
        <f>IFERROR(__xludf.DUMMYFUNCTION("TO_TEXT(A2562)"),"48079")</f>
        <v>48079</v>
      </c>
      <c r="C2562" s="1">
        <v>2955.0</v>
      </c>
      <c r="D2562" s="1">
        <v>775.081938284558</v>
      </c>
      <c r="E2562" s="1" t="s">
        <v>4189</v>
      </c>
      <c r="F2562" s="1" t="s">
        <v>4190</v>
      </c>
      <c r="G2562" s="1">
        <v>3.81250014229479</v>
      </c>
      <c r="H2562" s="1">
        <v>29.513779769</v>
      </c>
      <c r="I2562" s="1">
        <v>4.5718245967</v>
      </c>
      <c r="J2562" s="1">
        <v>8.4175084175</v>
      </c>
      <c r="K2562" s="1">
        <v>17.98533803</v>
      </c>
      <c r="L2562" s="1">
        <v>25.2</v>
      </c>
      <c r="M2562" s="1">
        <v>7.5</v>
      </c>
      <c r="N2562" s="1">
        <v>22.2</v>
      </c>
      <c r="O2562" s="1">
        <v>47.521586185</v>
      </c>
      <c r="P2562" s="1">
        <v>28.50407201</v>
      </c>
      <c r="Q2562" s="1">
        <v>35.07541</v>
      </c>
      <c r="R2562" s="1">
        <v>98.2</v>
      </c>
      <c r="S2562" s="1">
        <v>31.8</v>
      </c>
      <c r="T2562" s="1">
        <v>791.0</v>
      </c>
      <c r="U2562" s="1">
        <v>32.869785082</v>
      </c>
      <c r="V2562" s="1">
        <v>202.80547575</v>
      </c>
      <c r="W2562" s="1">
        <v>14.925373134</v>
      </c>
      <c r="X2562" s="1">
        <v>4.9746192893</v>
      </c>
      <c r="Y2562" s="1">
        <v>75.704002684</v>
      </c>
      <c r="Z2562" s="1">
        <v>16.7</v>
      </c>
      <c r="AA2562" s="1">
        <v>7.8845632098</v>
      </c>
      <c r="AB2562" s="1">
        <v>42873.0</v>
      </c>
      <c r="AC2562" s="1">
        <v>77.793493635</v>
      </c>
      <c r="AD2562" s="1">
        <v>78.212851406</v>
      </c>
      <c r="AE2562" s="1">
        <v>4.972972973</v>
      </c>
      <c r="AF2562" s="1">
        <v>3.3850493653</v>
      </c>
      <c r="AG2562" s="1">
        <v>2.9619181946</v>
      </c>
      <c r="AH2562" s="1">
        <v>0.4583921016</v>
      </c>
      <c r="AI2562" s="1">
        <v>0.2468265162</v>
      </c>
      <c r="AJ2562" s="1">
        <v>59.8730606489999</v>
      </c>
      <c r="AK2562" s="1">
        <v>34.873060649</v>
      </c>
      <c r="AL2562" s="1">
        <v>11.491260692</v>
      </c>
      <c r="AM2562" s="1">
        <v>49.823695346</v>
      </c>
      <c r="AN2562" s="1">
        <v>100.0</v>
      </c>
      <c r="AO2562" s="1">
        <v>20408.0</v>
      </c>
      <c r="AP2562" s="1">
        <v>19.6</v>
      </c>
      <c r="AQ2562" s="1">
        <v>7.0</v>
      </c>
      <c r="AR2562" s="1">
        <v>30.0</v>
      </c>
      <c r="AS2562" s="1">
        <v>14.3</v>
      </c>
      <c r="AT2562" s="1">
        <v>28.8</v>
      </c>
      <c r="AU2562" s="1">
        <v>16.6</v>
      </c>
      <c r="AV2562" s="1">
        <v>62.1</v>
      </c>
      <c r="AW2562" s="1">
        <v>12.3</v>
      </c>
      <c r="AX2562" s="1">
        <v>0.9245</v>
      </c>
      <c r="AY2562" s="1">
        <v>19.5</v>
      </c>
      <c r="AZ2562" s="1">
        <v>16.5</v>
      </c>
      <c r="BA2562" s="1">
        <v>24.5</v>
      </c>
      <c r="BB2562" s="1">
        <v>3.06</v>
      </c>
      <c r="BC2562" s="1" t="s">
        <v>4123</v>
      </c>
      <c r="BD2562" s="1">
        <v>32.3</v>
      </c>
      <c r="BE2562" s="1">
        <v>30.7</v>
      </c>
      <c r="BF2562" s="1">
        <v>28.9</v>
      </c>
      <c r="BG2562" s="1">
        <v>8.0</v>
      </c>
      <c r="BH2562" s="1" t="s">
        <v>4190</v>
      </c>
    </row>
    <row r="2563">
      <c r="A2563" s="1">
        <v>48081.0</v>
      </c>
      <c r="B2563" s="2" t="str">
        <f>IFERROR(__xludf.DUMMYFUNCTION("TO_TEXT(A2563)"),"48081")</f>
        <v>48081</v>
      </c>
      <c r="C2563" s="1">
        <v>3228.0</v>
      </c>
      <c r="D2563" s="1">
        <v>911.469551239539</v>
      </c>
      <c r="E2563" s="1" t="s">
        <v>4191</v>
      </c>
      <c r="F2563" s="1" t="s">
        <v>4192</v>
      </c>
      <c r="G2563" s="1">
        <v>3.54153355491703</v>
      </c>
      <c r="H2563" s="1">
        <v>18.49138997</v>
      </c>
      <c r="I2563" s="1">
        <v>4.1186098446</v>
      </c>
      <c r="J2563" s="1">
        <v>6.0344827586</v>
      </c>
      <c r="K2563" s="1">
        <v>14.2824705879999</v>
      </c>
      <c r="L2563" s="1">
        <v>28.8</v>
      </c>
      <c r="M2563" s="1">
        <v>4.6</v>
      </c>
      <c r="N2563" s="1">
        <v>29.9</v>
      </c>
      <c r="O2563" s="1">
        <v>72.34939759</v>
      </c>
      <c r="P2563" s="1">
        <v>19.950535862</v>
      </c>
      <c r="Q2563" s="1">
        <v>48.31939</v>
      </c>
      <c r="R2563" s="1">
        <v>98.0</v>
      </c>
      <c r="S2563" s="1">
        <v>21.4</v>
      </c>
      <c r="T2563" s="1">
        <v>616.0</v>
      </c>
      <c r="U2563" s="1">
        <v>34.74025974</v>
      </c>
      <c r="V2563" s="1">
        <v>31.167212093</v>
      </c>
      <c r="W2563" s="1">
        <v>10.54313099</v>
      </c>
      <c r="X2563" s="1">
        <v>8.8178913738</v>
      </c>
      <c r="Y2563" s="1">
        <v>76.692762542</v>
      </c>
      <c r="Z2563" s="1">
        <v>9.8</v>
      </c>
      <c r="AA2563" s="1">
        <v>36.041294688</v>
      </c>
      <c r="AB2563" s="1">
        <v>44804.0</v>
      </c>
      <c r="AC2563" s="1">
        <v>53.537284895</v>
      </c>
      <c r="AD2563" s="1">
        <v>74.829931973</v>
      </c>
      <c r="AE2563" s="1">
        <v>7.6871657754</v>
      </c>
      <c r="AF2563" s="1">
        <v>0.593471810099999</v>
      </c>
      <c r="AG2563" s="1">
        <v>2.5222551929</v>
      </c>
      <c r="AH2563" s="1">
        <v>0.1483679525</v>
      </c>
      <c r="AI2563" s="1">
        <v>0.0296735905</v>
      </c>
      <c r="AJ2563" s="1">
        <v>21.483679525</v>
      </c>
      <c r="AK2563" s="1">
        <v>75.074183976</v>
      </c>
      <c r="AL2563" s="1">
        <v>2.2698612863</v>
      </c>
      <c r="AM2563" s="1">
        <v>50.56379822</v>
      </c>
      <c r="AN2563" s="1">
        <v>100.0</v>
      </c>
      <c r="AO2563" s="1">
        <v>27755.0</v>
      </c>
      <c r="AP2563" s="1">
        <v>17.2</v>
      </c>
      <c r="AQ2563" s="1">
        <v>4.3</v>
      </c>
      <c r="AR2563" s="1">
        <v>14.7</v>
      </c>
      <c r="AS2563" s="1">
        <v>26.6</v>
      </c>
      <c r="AT2563" s="1">
        <v>20.2</v>
      </c>
      <c r="AU2563" s="1">
        <v>18.2</v>
      </c>
      <c r="AV2563" s="1">
        <v>23.0</v>
      </c>
      <c r="AW2563" s="1">
        <v>1.8</v>
      </c>
      <c r="AX2563" s="1">
        <v>0.5218</v>
      </c>
      <c r="AY2563" s="1">
        <v>13.1</v>
      </c>
      <c r="AZ2563" s="1">
        <v>15.8</v>
      </c>
      <c r="BA2563" s="1">
        <v>23.3</v>
      </c>
      <c r="BB2563" s="1">
        <v>2.85</v>
      </c>
      <c r="BC2563" s="1" t="s">
        <v>4123</v>
      </c>
      <c r="BD2563" s="1">
        <v>16.3</v>
      </c>
      <c r="BE2563" s="1">
        <v>34.1</v>
      </c>
      <c r="BF2563" s="1">
        <v>31.8</v>
      </c>
      <c r="BG2563" s="1">
        <v>17.8</v>
      </c>
      <c r="BH2563" s="1" t="s">
        <v>4192</v>
      </c>
    </row>
    <row r="2564">
      <c r="A2564" s="1">
        <v>48083.0</v>
      </c>
      <c r="B2564" s="2" t="str">
        <f>IFERROR(__xludf.DUMMYFUNCTION("TO_TEXT(A2564)"),"48083")</f>
        <v>48083</v>
      </c>
      <c r="C2564" s="1">
        <v>8476.0</v>
      </c>
      <c r="D2564" s="1">
        <v>1261.94520270813</v>
      </c>
      <c r="E2564" s="1" t="s">
        <v>4193</v>
      </c>
      <c r="F2564" s="1" t="s">
        <v>4194</v>
      </c>
      <c r="G2564" s="1">
        <v>6.71661493843832</v>
      </c>
      <c r="H2564" s="1">
        <v>20.247357914</v>
      </c>
      <c r="I2564" s="1">
        <v>4.3928559839</v>
      </c>
      <c r="J2564" s="1">
        <v>11.265164645</v>
      </c>
      <c r="K2564" s="1">
        <v>15.737412413</v>
      </c>
      <c r="L2564" s="1">
        <v>25.1</v>
      </c>
      <c r="M2564" s="1">
        <v>6.6</v>
      </c>
      <c r="N2564" s="1">
        <v>26.6</v>
      </c>
      <c r="O2564" s="1">
        <v>69.050028106</v>
      </c>
      <c r="P2564" s="1">
        <v>22.97979798</v>
      </c>
      <c r="Q2564" s="1">
        <v>59.31198</v>
      </c>
      <c r="R2564" s="1">
        <v>90.6</v>
      </c>
      <c r="S2564" s="1">
        <v>30.6</v>
      </c>
      <c r="T2564" s="1">
        <v>1817.0</v>
      </c>
      <c r="U2564" s="1">
        <v>33.626857457</v>
      </c>
      <c r="V2564" s="1">
        <v>211.47480691</v>
      </c>
      <c r="W2564" s="1">
        <v>11.306901615</v>
      </c>
      <c r="X2564" s="1">
        <v>9.4436090226</v>
      </c>
      <c r="Y2564" s="1">
        <v>74.739502921</v>
      </c>
      <c r="Z2564" s="1">
        <v>17.8</v>
      </c>
      <c r="AA2564" s="1">
        <v>8.4750102677</v>
      </c>
      <c r="AB2564" s="1">
        <v>39484.0</v>
      </c>
      <c r="AC2564" s="1">
        <v>64.323507181</v>
      </c>
      <c r="AD2564" s="1">
        <v>71.242774566</v>
      </c>
      <c r="AE2564" s="1">
        <v>10.911384421</v>
      </c>
      <c r="AF2564" s="1">
        <v>2.9057996904</v>
      </c>
      <c r="AG2564" s="1">
        <v>1.44099083009999</v>
      </c>
      <c r="AH2564" s="1">
        <v>1.1075384066</v>
      </c>
      <c r="AI2564" s="1">
        <v>0.0357270454</v>
      </c>
      <c r="AJ2564" s="1">
        <v>17.5062522329999</v>
      </c>
      <c r="AK2564" s="1">
        <v>76.4320590689999</v>
      </c>
      <c r="AL2564" s="1">
        <v>1.9399011031</v>
      </c>
      <c r="AM2564" s="1">
        <v>49.505775872</v>
      </c>
      <c r="AN2564" s="1">
        <v>51.545812254</v>
      </c>
      <c r="AO2564" s="1">
        <v>25178.0</v>
      </c>
      <c r="AP2564" s="1">
        <v>18.3</v>
      </c>
      <c r="AQ2564" s="1">
        <v>6.0</v>
      </c>
      <c r="AR2564" s="1">
        <v>17.4</v>
      </c>
      <c r="AS2564" s="1">
        <v>22.3</v>
      </c>
      <c r="AT2564" s="1">
        <v>21.9</v>
      </c>
      <c r="AU2564" s="1">
        <v>13.0</v>
      </c>
      <c r="AV2564" s="1">
        <v>22.3</v>
      </c>
      <c r="AW2564" s="1">
        <v>1.3</v>
      </c>
      <c r="AX2564" s="1">
        <v>0.4429</v>
      </c>
      <c r="AY2564" s="1">
        <v>17.7</v>
      </c>
      <c r="AZ2564" s="1">
        <v>17.0</v>
      </c>
      <c r="BA2564" s="1">
        <v>26.0</v>
      </c>
      <c r="BB2564" s="1">
        <v>2.86</v>
      </c>
      <c r="BC2564" s="1" t="s">
        <v>4123</v>
      </c>
      <c r="BD2564" s="1">
        <v>13.5</v>
      </c>
      <c r="BE2564" s="1">
        <v>36.7</v>
      </c>
      <c r="BF2564" s="1">
        <v>34.1</v>
      </c>
      <c r="BG2564" s="1">
        <v>15.8</v>
      </c>
      <c r="BH2564" s="1" t="s">
        <v>4194</v>
      </c>
    </row>
    <row r="2565">
      <c r="A2565" s="1">
        <v>48085.0</v>
      </c>
      <c r="B2565" s="2" t="str">
        <f>IFERROR(__xludf.DUMMYFUNCTION("TO_TEXT(A2565)"),"48085")</f>
        <v>48085</v>
      </c>
      <c r="C2565" s="1">
        <v>886633.0</v>
      </c>
      <c r="D2565" s="1">
        <v>841.334910973721</v>
      </c>
      <c r="E2565" s="1" t="s">
        <v>4195</v>
      </c>
      <c r="F2565" s="1" t="s">
        <v>4196</v>
      </c>
      <c r="G2565" s="1">
        <v>1053.84073385693</v>
      </c>
      <c r="H2565" s="1">
        <v>12.532515096</v>
      </c>
      <c r="I2565" s="1">
        <v>3.1861770898</v>
      </c>
      <c r="J2565" s="1">
        <v>7.77231442539999</v>
      </c>
      <c r="K2565" s="1">
        <v>11.502614335</v>
      </c>
      <c r="L2565" s="1">
        <v>27.9</v>
      </c>
      <c r="M2565" s="1">
        <v>7.8</v>
      </c>
      <c r="N2565" s="1">
        <v>19.7</v>
      </c>
      <c r="O2565" s="1">
        <v>90.128984675</v>
      </c>
      <c r="P2565" s="1">
        <v>12.074848372</v>
      </c>
      <c r="Q2565" s="1">
        <v>94.67792</v>
      </c>
      <c r="R2565" s="1">
        <v>96.8</v>
      </c>
      <c r="S2565" s="1">
        <v>6.7</v>
      </c>
      <c r="T2565" s="1">
        <v>250018.0</v>
      </c>
      <c r="U2565" s="1">
        <v>18.764248974</v>
      </c>
      <c r="V2565" s="1">
        <v>156.70945363</v>
      </c>
      <c r="W2565" s="1">
        <v>12.80007621</v>
      </c>
      <c r="X2565" s="1">
        <v>10.608276416</v>
      </c>
      <c r="Y2565" s="1">
        <v>82.649827214</v>
      </c>
      <c r="Z2565" s="1">
        <v>8.8</v>
      </c>
      <c r="AA2565" s="1">
        <v>2.2531458778</v>
      </c>
      <c r="AB2565" s="1">
        <v>96936.0</v>
      </c>
      <c r="AC2565" s="1">
        <v>23.07329027</v>
      </c>
      <c r="AD2565" s="1">
        <v>65.602288915</v>
      </c>
      <c r="AE2565" s="1">
        <v>11.061530513</v>
      </c>
      <c r="AF2565" s="1">
        <v>10.091867251</v>
      </c>
      <c r="AG2565" s="1">
        <v>0.6981075386</v>
      </c>
      <c r="AH2565" s="1">
        <v>15.8801805909999</v>
      </c>
      <c r="AI2565" s="1">
        <v>0.0961054414</v>
      </c>
      <c r="AJ2565" s="1">
        <v>15.420744847</v>
      </c>
      <c r="AK2565" s="1">
        <v>55.949583444</v>
      </c>
      <c r="AL2565" s="1">
        <v>4.0382502046</v>
      </c>
      <c r="AM2565" s="1">
        <v>50.773121517</v>
      </c>
      <c r="AN2565" s="1">
        <v>5.2427266371</v>
      </c>
      <c r="AO2565" s="1">
        <v>39933.0</v>
      </c>
      <c r="AP2565" s="1">
        <v>7.1</v>
      </c>
      <c r="AQ2565" s="1">
        <v>4.5</v>
      </c>
      <c r="AR2565" s="1">
        <v>6.4</v>
      </c>
      <c r="AS2565" s="1">
        <v>9.7</v>
      </c>
      <c r="AT2565" s="1">
        <v>27.2</v>
      </c>
      <c r="AU2565" s="1">
        <v>6.7</v>
      </c>
      <c r="AV2565" s="1">
        <v>39.9</v>
      </c>
      <c r="AW2565" s="1">
        <v>3.9</v>
      </c>
      <c r="AX2565" s="1">
        <v>0.1433</v>
      </c>
      <c r="AY2565" s="1">
        <v>6.1</v>
      </c>
      <c r="AZ2565" s="1">
        <v>11.1</v>
      </c>
      <c r="BA2565" s="1">
        <v>15.5</v>
      </c>
      <c r="BB2565" s="1">
        <v>3.18</v>
      </c>
      <c r="BC2565" s="1" t="s">
        <v>4123</v>
      </c>
      <c r="BD2565" s="1">
        <v>6.2</v>
      </c>
      <c r="BE2565" s="1">
        <v>15.0</v>
      </c>
      <c r="BF2565" s="1">
        <v>26.5</v>
      </c>
      <c r="BG2565" s="1">
        <v>52.3</v>
      </c>
      <c r="BH2565" s="1" t="s">
        <v>4196</v>
      </c>
    </row>
    <row r="2566">
      <c r="A2566" s="1">
        <v>48087.0</v>
      </c>
      <c r="B2566" s="2" t="str">
        <f>IFERROR(__xludf.DUMMYFUNCTION("TO_TEXT(A2566)"),"48087")</f>
        <v>48087</v>
      </c>
      <c r="C2566" s="1">
        <v>3032.0</v>
      </c>
      <c r="D2566" s="1">
        <v>918.440106245063</v>
      </c>
      <c r="E2566" s="1" t="s">
        <v>4197</v>
      </c>
      <c r="F2566" s="1" t="s">
        <v>4198</v>
      </c>
      <c r="G2566" s="1">
        <v>3.30124956367158</v>
      </c>
      <c r="H2566" s="1">
        <v>20.261562409</v>
      </c>
      <c r="I2566" s="1">
        <v>4.1262920326</v>
      </c>
      <c r="J2566" s="1">
        <v>7.6923076923</v>
      </c>
      <c r="K2566" s="1">
        <v>14.8866802809999</v>
      </c>
      <c r="L2566" s="1">
        <v>29.1</v>
      </c>
      <c r="M2566" s="1">
        <v>8.0</v>
      </c>
      <c r="N2566" s="1">
        <v>20.4</v>
      </c>
      <c r="O2566" s="1">
        <v>70.526660124</v>
      </c>
      <c r="P2566" s="1">
        <v>32.725766363</v>
      </c>
      <c r="Q2566" s="1">
        <v>48.31939</v>
      </c>
      <c r="R2566" s="1">
        <v>100.0</v>
      </c>
      <c r="S2566" s="1">
        <v>26.7</v>
      </c>
      <c r="T2566" s="1">
        <v>726.0</v>
      </c>
      <c r="U2566" s="1">
        <v>32.093663912</v>
      </c>
      <c r="V2566" s="1">
        <v>162.12710765</v>
      </c>
      <c r="W2566" s="1">
        <v>10.0456621</v>
      </c>
      <c r="X2566" s="1">
        <v>8.0365296804</v>
      </c>
      <c r="Y2566" s="1">
        <v>74.7657715289999</v>
      </c>
      <c r="Z2566" s="1">
        <v>7.7</v>
      </c>
      <c r="AA2566" s="1">
        <v>2.6453015966</v>
      </c>
      <c r="AB2566" s="1">
        <v>39536.0</v>
      </c>
      <c r="AC2566" s="1">
        <v>61.0544217689999</v>
      </c>
      <c r="AD2566" s="1">
        <v>77.061611374</v>
      </c>
      <c r="AE2566" s="1">
        <v>12.552301255</v>
      </c>
      <c r="AF2566" s="1">
        <v>4.9966239028</v>
      </c>
      <c r="AG2566" s="1">
        <v>3.2748143147</v>
      </c>
      <c r="AH2566" s="1">
        <v>0.5064145847</v>
      </c>
      <c r="AI2566" s="1">
        <v>0.0</v>
      </c>
      <c r="AJ2566" s="1">
        <v>33.862255233</v>
      </c>
      <c r="AK2566" s="1">
        <v>57.798784605</v>
      </c>
      <c r="AL2566" s="1">
        <v>5.5852009961</v>
      </c>
      <c r="AM2566" s="1">
        <v>51.0803511139999</v>
      </c>
      <c r="AN2566" s="1">
        <v>100.0</v>
      </c>
      <c r="AO2566" s="1">
        <v>21116.0</v>
      </c>
      <c r="AP2566" s="1">
        <v>19.7</v>
      </c>
      <c r="AQ2566" s="1">
        <v>4.9</v>
      </c>
      <c r="AR2566" s="1">
        <v>23.0</v>
      </c>
      <c r="AS2566" s="1">
        <v>17.6</v>
      </c>
      <c r="AT2566" s="1">
        <v>26.0</v>
      </c>
      <c r="AU2566" s="1">
        <v>16.4</v>
      </c>
      <c r="AV2566" s="1">
        <v>41.7</v>
      </c>
      <c r="AW2566" s="1">
        <v>7.7</v>
      </c>
      <c r="AX2566" s="1">
        <v>0.8329</v>
      </c>
      <c r="AY2566" s="1">
        <v>19.8</v>
      </c>
      <c r="AZ2566" s="1">
        <v>14.5</v>
      </c>
      <c r="BA2566" s="1">
        <v>22.8</v>
      </c>
      <c r="BB2566" s="1">
        <v>3.04</v>
      </c>
      <c r="BC2566" s="1" t="s">
        <v>4123</v>
      </c>
      <c r="BD2566" s="1">
        <v>26.1</v>
      </c>
      <c r="BE2566" s="1">
        <v>25.9</v>
      </c>
      <c r="BF2566" s="1">
        <v>27.7</v>
      </c>
      <c r="BG2566" s="1">
        <v>20.2</v>
      </c>
      <c r="BH2566" s="1" t="s">
        <v>4198</v>
      </c>
    </row>
    <row r="2567">
      <c r="A2567" s="1">
        <v>48089.0</v>
      </c>
      <c r="B2567" s="2" t="str">
        <f>IFERROR(__xludf.DUMMYFUNCTION("TO_TEXT(A2567)"),"48089")</f>
        <v>48089</v>
      </c>
      <c r="C2567" s="1">
        <v>20792.0</v>
      </c>
      <c r="D2567" s="1">
        <v>960.294217874055</v>
      </c>
      <c r="E2567" s="1" t="s">
        <v>4199</v>
      </c>
      <c r="F2567" s="1" t="s">
        <v>4200</v>
      </c>
      <c r="G2567" s="1">
        <v>21.6516975870482</v>
      </c>
      <c r="H2567" s="1">
        <v>18.711823852</v>
      </c>
      <c r="I2567" s="1">
        <v>3.8794406391</v>
      </c>
      <c r="J2567" s="1">
        <v>8.6714841579</v>
      </c>
      <c r="K2567" s="1">
        <v>13.387590158</v>
      </c>
      <c r="L2567" s="1">
        <v>26.8</v>
      </c>
      <c r="M2567" s="1">
        <v>7.6</v>
      </c>
      <c r="N2567" s="1">
        <v>32.5</v>
      </c>
      <c r="O2567" s="1">
        <v>57.492574495</v>
      </c>
      <c r="P2567" s="1">
        <v>22.1933063</v>
      </c>
      <c r="Q2567" s="1">
        <v>47.09872</v>
      </c>
      <c r="R2567" s="1">
        <v>80.2</v>
      </c>
      <c r="S2567" s="1">
        <v>21.9</v>
      </c>
      <c r="T2567" s="1">
        <v>4887.0</v>
      </c>
      <c r="U2567" s="1">
        <v>35.76836505</v>
      </c>
      <c r="V2567" s="1">
        <v>220.73466254</v>
      </c>
      <c r="W2567" s="1">
        <v>10.950819672</v>
      </c>
      <c r="X2567" s="1">
        <v>5.6894243641</v>
      </c>
      <c r="Y2567" s="1">
        <v>77.934481986</v>
      </c>
      <c r="Z2567" s="1">
        <v>10.3</v>
      </c>
      <c r="AA2567" s="1">
        <v>6.28485649049999</v>
      </c>
      <c r="AB2567" s="1">
        <v>48258.0</v>
      </c>
      <c r="AC2567" s="1">
        <v>64.609286523</v>
      </c>
      <c r="AD2567" s="1">
        <v>81.760085208</v>
      </c>
      <c r="AE2567" s="1">
        <v>3.9421440726</v>
      </c>
      <c r="AF2567" s="1">
        <v>11.806570203</v>
      </c>
      <c r="AG2567" s="1">
        <v>1.112315596</v>
      </c>
      <c r="AH2567" s="1">
        <v>0.7305462601</v>
      </c>
      <c r="AI2567" s="1">
        <v>0.0706980252</v>
      </c>
      <c r="AJ2567" s="1">
        <v>30.607531696</v>
      </c>
      <c r="AK2567" s="1">
        <v>55.860866286</v>
      </c>
      <c r="AL2567" s="1">
        <v>4.7408311715</v>
      </c>
      <c r="AM2567" s="1">
        <v>49.733704105</v>
      </c>
      <c r="AN2567" s="1">
        <v>62.613777906</v>
      </c>
      <c r="AO2567" s="1">
        <v>26161.0</v>
      </c>
      <c r="AP2567" s="1">
        <v>14.0</v>
      </c>
      <c r="AQ2567" s="1">
        <v>3.3</v>
      </c>
      <c r="AR2567" s="1">
        <v>18.2</v>
      </c>
      <c r="AS2567" s="1">
        <v>20.4</v>
      </c>
      <c r="AT2567" s="1">
        <v>23.1</v>
      </c>
      <c r="AU2567" s="1">
        <v>14.7</v>
      </c>
      <c r="AV2567" s="1">
        <v>42.3</v>
      </c>
      <c r="AW2567" s="1">
        <v>3.9</v>
      </c>
      <c r="AX2567" s="1">
        <v>0.6218</v>
      </c>
      <c r="AY2567" s="1">
        <v>13.6</v>
      </c>
      <c r="AZ2567" s="1">
        <v>13.0</v>
      </c>
      <c r="BA2567" s="1">
        <v>19.9</v>
      </c>
      <c r="BB2567" s="1">
        <v>2.66</v>
      </c>
      <c r="BC2567" s="1" t="s">
        <v>4123</v>
      </c>
      <c r="BD2567" s="1">
        <v>16.9</v>
      </c>
      <c r="BE2567" s="1">
        <v>34.3</v>
      </c>
      <c r="BF2567" s="1">
        <v>27.8</v>
      </c>
      <c r="BG2567" s="1">
        <v>21.0</v>
      </c>
      <c r="BH2567" s="1" t="s">
        <v>4200</v>
      </c>
    </row>
    <row r="2568">
      <c r="A2568" s="1">
        <v>48091.0</v>
      </c>
      <c r="B2568" s="2" t="str">
        <f>IFERROR(__xludf.DUMMYFUNCTION("TO_TEXT(A2568)"),"48091")</f>
        <v>48091</v>
      </c>
      <c r="C2568" s="1">
        <v>124234.0</v>
      </c>
      <c r="D2568" s="1">
        <v>559.51095843715</v>
      </c>
      <c r="E2568" s="1" t="s">
        <v>4201</v>
      </c>
      <c r="F2568" s="1" t="s">
        <v>4202</v>
      </c>
      <c r="G2568" s="1">
        <v>222.04033384264</v>
      </c>
      <c r="H2568" s="1">
        <v>15.1885347929999</v>
      </c>
      <c r="I2568" s="1">
        <v>3.7490426544</v>
      </c>
      <c r="J2568" s="1">
        <v>7.8039215686</v>
      </c>
      <c r="K2568" s="1">
        <v>12.558235487</v>
      </c>
      <c r="L2568" s="1">
        <v>30.3</v>
      </c>
      <c r="M2568" s="1">
        <v>8.0</v>
      </c>
      <c r="N2568" s="1">
        <v>20.9</v>
      </c>
      <c r="O2568" s="1">
        <v>83.905524006</v>
      </c>
      <c r="P2568" s="1">
        <v>14.37621663</v>
      </c>
      <c r="Q2568" s="1">
        <v>69.49911</v>
      </c>
      <c r="R2568" s="1">
        <v>93.8</v>
      </c>
      <c r="S2568" s="1">
        <v>10.2</v>
      </c>
      <c r="T2568" s="1">
        <v>30760.0</v>
      </c>
      <c r="U2568" s="1">
        <v>24.401820546</v>
      </c>
      <c r="V2568" s="1">
        <v>274.37265223</v>
      </c>
      <c r="W2568" s="1">
        <v>13.564181738</v>
      </c>
      <c r="X2568" s="1">
        <v>10.154943708</v>
      </c>
      <c r="Y2568" s="1">
        <v>79.855932056</v>
      </c>
      <c r="Z2568" s="1">
        <v>5.4</v>
      </c>
      <c r="AA2568" s="1">
        <v>5.912427192</v>
      </c>
      <c r="AB2568" s="1">
        <v>76523.0</v>
      </c>
      <c r="AC2568" s="1">
        <v>31.555606095</v>
      </c>
      <c r="AD2568" s="1">
        <v>75.0751487639999</v>
      </c>
      <c r="AE2568" s="1">
        <v>10.135318846</v>
      </c>
      <c r="AF2568" s="1">
        <v>2.1904254817</v>
      </c>
      <c r="AG2568" s="1">
        <v>0.8680824678</v>
      </c>
      <c r="AH2568" s="1">
        <v>1.3958065147</v>
      </c>
      <c r="AI2568" s="1">
        <v>0.0923348588</v>
      </c>
      <c r="AJ2568" s="1">
        <v>27.759093636</v>
      </c>
      <c r="AK2568" s="1">
        <v>67.0148881539999</v>
      </c>
      <c r="AL2568" s="1">
        <v>2.0237028654</v>
      </c>
      <c r="AM2568" s="1">
        <v>50.57523943</v>
      </c>
      <c r="AN2568" s="1">
        <v>46.1455490819999</v>
      </c>
      <c r="AO2568" s="1">
        <v>33872.0</v>
      </c>
      <c r="AP2568" s="1">
        <v>9.2</v>
      </c>
      <c r="AQ2568" s="1">
        <v>4.5</v>
      </c>
      <c r="AR2568" s="1">
        <v>8.5</v>
      </c>
      <c r="AS2568" s="1">
        <v>17.3</v>
      </c>
      <c r="AT2568" s="1">
        <v>23.0</v>
      </c>
      <c r="AU2568" s="1">
        <v>13.6</v>
      </c>
      <c r="AV2568" s="1">
        <v>30.8</v>
      </c>
      <c r="AW2568" s="1">
        <v>2.5</v>
      </c>
      <c r="AX2568" s="1">
        <v>0.2802</v>
      </c>
      <c r="AY2568" s="1">
        <v>6.7</v>
      </c>
      <c r="AZ2568" s="1">
        <v>12.2</v>
      </c>
      <c r="BA2568" s="1">
        <v>18.4</v>
      </c>
      <c r="BB2568" s="1">
        <v>3.04</v>
      </c>
      <c r="BC2568" s="1" t="s">
        <v>4123</v>
      </c>
      <c r="BD2568" s="1">
        <v>7.4</v>
      </c>
      <c r="BE2568" s="1">
        <v>25.0</v>
      </c>
      <c r="BF2568" s="1">
        <v>30.8</v>
      </c>
      <c r="BG2568" s="1">
        <v>36.8</v>
      </c>
      <c r="BH2568" s="1" t="s">
        <v>4202</v>
      </c>
    </row>
    <row r="2569">
      <c r="A2569" s="1">
        <v>48093.0</v>
      </c>
      <c r="B2569" s="2" t="str">
        <f>IFERROR(__xludf.DUMMYFUNCTION("TO_TEXT(A2569)"),"48093")</f>
        <v>48093</v>
      </c>
      <c r="C2569" s="1">
        <v>13506.0</v>
      </c>
      <c r="D2569" s="1">
        <v>937.753129058103</v>
      </c>
      <c r="E2569" s="1" t="s">
        <v>1613</v>
      </c>
      <c r="F2569" s="1" t="s">
        <v>4203</v>
      </c>
      <c r="G2569" s="1">
        <v>14.4025112596165</v>
      </c>
      <c r="H2569" s="1">
        <v>19.61412806</v>
      </c>
      <c r="I2569" s="1">
        <v>4.16459757529999</v>
      </c>
      <c r="J2569" s="1">
        <v>6.7619047619</v>
      </c>
      <c r="K2569" s="1">
        <v>14.522763417</v>
      </c>
      <c r="L2569" s="1">
        <v>26.4</v>
      </c>
      <c r="M2569" s="1">
        <v>7.3</v>
      </c>
      <c r="N2569" s="1">
        <v>25.4</v>
      </c>
      <c r="O2569" s="1">
        <v>15.178188064</v>
      </c>
      <c r="P2569" s="1">
        <v>25.2002344209999</v>
      </c>
      <c r="Q2569" s="1">
        <v>44.20541</v>
      </c>
      <c r="R2569" s="1">
        <v>99.3</v>
      </c>
      <c r="S2569" s="1">
        <v>25.0</v>
      </c>
      <c r="T2569" s="1">
        <v>2998.0</v>
      </c>
      <c r="U2569" s="1">
        <v>26.9513008669999</v>
      </c>
      <c r="V2569" s="1">
        <v>230.31203566</v>
      </c>
      <c r="W2569" s="1">
        <v>13.779527559</v>
      </c>
      <c r="X2569" s="1">
        <v>8.72579001019999</v>
      </c>
      <c r="Y2569" s="1">
        <v>77.333218362</v>
      </c>
      <c r="Z2569" s="1">
        <v>15.4</v>
      </c>
      <c r="AA2569" s="1">
        <v>7.7714448223</v>
      </c>
      <c r="AB2569" s="1">
        <v>52251.0</v>
      </c>
      <c r="AC2569" s="1">
        <v>63.597246127</v>
      </c>
      <c r="AD2569" s="1">
        <v>79.296577947</v>
      </c>
      <c r="AE2569" s="1">
        <v>9.0871878837</v>
      </c>
      <c r="AF2569" s="1">
        <v>0.4876607064</v>
      </c>
      <c r="AG2569" s="1">
        <v>1.3152061475</v>
      </c>
      <c r="AH2569" s="1">
        <v>0.5763262893</v>
      </c>
      <c r="AI2569" s="1">
        <v>0.0517215901</v>
      </c>
      <c r="AJ2569" s="1">
        <v>28.2695433719999</v>
      </c>
      <c r="AK2569" s="1">
        <v>69.11482193</v>
      </c>
      <c r="AL2569" s="1">
        <v>4.4137281081</v>
      </c>
      <c r="AM2569" s="1">
        <v>50.2142751589999</v>
      </c>
      <c r="AN2569" s="1">
        <v>71.461285244</v>
      </c>
      <c r="AO2569" s="1">
        <v>21681.0</v>
      </c>
      <c r="AP2569" s="1">
        <v>21.3</v>
      </c>
      <c r="AQ2569" s="1">
        <v>5.2</v>
      </c>
      <c r="AR2569" s="1">
        <v>20.1</v>
      </c>
      <c r="AS2569" s="1">
        <v>23.5</v>
      </c>
      <c r="AT2569" s="1">
        <v>22.7</v>
      </c>
      <c r="AU2569" s="1">
        <v>19.0</v>
      </c>
      <c r="AV2569" s="1">
        <v>29.1</v>
      </c>
      <c r="AW2569" s="1">
        <v>4.3</v>
      </c>
      <c r="AX2569" s="1">
        <v>0.8383</v>
      </c>
      <c r="AY2569" s="1">
        <v>13.5</v>
      </c>
      <c r="AZ2569" s="1">
        <v>15.8</v>
      </c>
      <c r="BA2569" s="1">
        <v>25.1</v>
      </c>
      <c r="BB2569" s="1">
        <v>2.84</v>
      </c>
      <c r="BC2569" s="1" t="s">
        <v>4123</v>
      </c>
      <c r="BD2569" s="1">
        <v>15.5</v>
      </c>
      <c r="BE2569" s="1">
        <v>34.9</v>
      </c>
      <c r="BF2569" s="1">
        <v>29.3</v>
      </c>
      <c r="BG2569" s="1">
        <v>20.3</v>
      </c>
      <c r="BH2569" s="1" t="s">
        <v>4203</v>
      </c>
    </row>
    <row r="2570">
      <c r="A2570" s="1">
        <v>48095.0</v>
      </c>
      <c r="B2570" s="2" t="str">
        <f>IFERROR(__xludf.DUMMYFUNCTION("TO_TEXT(A2570)"),"48095")</f>
        <v>48095</v>
      </c>
      <c r="C2570" s="1">
        <v>4142.0</v>
      </c>
      <c r="D2570" s="1">
        <v>983.754690841898</v>
      </c>
      <c r="E2570" s="1" t="s">
        <v>4204</v>
      </c>
      <c r="F2570" s="1" t="s">
        <v>4205</v>
      </c>
      <c r="G2570" s="1">
        <v>4.21039923728879</v>
      </c>
      <c r="H2570" s="1">
        <v>18.961250515</v>
      </c>
      <c r="I2570" s="1">
        <v>3.8192266308</v>
      </c>
      <c r="J2570" s="1">
        <v>8.0459770115</v>
      </c>
      <c r="K2570" s="1">
        <v>12.965006404</v>
      </c>
      <c r="L2570" s="1">
        <v>28.0</v>
      </c>
      <c r="M2570" s="1">
        <v>8.1</v>
      </c>
      <c r="N2570" s="1">
        <v>24.9</v>
      </c>
      <c r="O2570" s="1">
        <v>70.124785907</v>
      </c>
      <c r="P2570" s="1">
        <v>21.102284012</v>
      </c>
      <c r="Q2570" s="1">
        <v>36.8053</v>
      </c>
      <c r="R2570" s="1">
        <v>92.9</v>
      </c>
      <c r="S2570" s="1">
        <v>25.7</v>
      </c>
      <c r="T2570" s="1">
        <v>541.0</v>
      </c>
      <c r="U2570" s="1">
        <v>25.8780036969999</v>
      </c>
      <c r="V2570" s="1">
        <v>12.307692308</v>
      </c>
      <c r="W2570" s="1">
        <v>7.5949367089</v>
      </c>
      <c r="X2570" s="1">
        <v>7.5063613232</v>
      </c>
      <c r="Y2570" s="1">
        <v>81.348763922</v>
      </c>
      <c r="Z2570" s="1">
        <v>5.3</v>
      </c>
      <c r="AA2570" s="1">
        <v>10.611985579</v>
      </c>
      <c r="AB2570" s="1">
        <v>40987.0</v>
      </c>
      <c r="AC2570" s="1">
        <v>65.384615385</v>
      </c>
      <c r="AD2570" s="1">
        <v>70.561282932</v>
      </c>
      <c r="AE2570" s="1">
        <v>9.9740932642</v>
      </c>
      <c r="AF2570" s="1">
        <v>1.9410664172</v>
      </c>
      <c r="AG2570" s="1">
        <v>0.6314312442</v>
      </c>
      <c r="AH2570" s="1">
        <v>1.3564078578</v>
      </c>
      <c r="AI2570" s="1">
        <v>0.1637043966</v>
      </c>
      <c r="AJ2570" s="1">
        <v>55.3320860619999</v>
      </c>
      <c r="AK2570" s="1">
        <v>40.364826941</v>
      </c>
      <c r="AL2570" s="1">
        <v>16.050583658</v>
      </c>
      <c r="AM2570" s="1">
        <v>29.373246024</v>
      </c>
      <c r="AN2570" s="1">
        <v>100.0</v>
      </c>
      <c r="AO2570" s="1">
        <v>16599.0</v>
      </c>
      <c r="AP2570" s="1">
        <v>10.6</v>
      </c>
      <c r="AQ2570" s="1">
        <v>1.9</v>
      </c>
      <c r="AR2570" s="1">
        <v>38.6</v>
      </c>
      <c r="AS2570" s="1">
        <v>15.9</v>
      </c>
      <c r="AT2570" s="1">
        <v>13.2</v>
      </c>
      <c r="AU2570" s="1">
        <v>8.5</v>
      </c>
      <c r="AV2570" s="1">
        <v>57.2</v>
      </c>
      <c r="AW2570" s="1">
        <v>18.5</v>
      </c>
      <c r="AX2570" s="1">
        <v>0.3375</v>
      </c>
      <c r="AY2570" s="1">
        <v>15.1</v>
      </c>
      <c r="AZ2570" s="1">
        <v>10.3</v>
      </c>
      <c r="BA2570" s="1">
        <v>18.2</v>
      </c>
      <c r="BB2570" s="1">
        <v>2.77</v>
      </c>
      <c r="BC2570" s="1" t="s">
        <v>4123</v>
      </c>
      <c r="BD2570" s="1">
        <v>32.1</v>
      </c>
      <c r="BE2570" s="1">
        <v>30.8</v>
      </c>
      <c r="BF2570" s="1">
        <v>24.1</v>
      </c>
      <c r="BG2570" s="1">
        <v>13.0</v>
      </c>
      <c r="BH2570" s="1" t="s">
        <v>4205</v>
      </c>
    </row>
    <row r="2571">
      <c r="A2571" s="1">
        <v>48097.0</v>
      </c>
      <c r="B2571" s="2" t="str">
        <f>IFERROR(__xludf.DUMMYFUNCTION("TO_TEXT(A2571)"),"48097")</f>
        <v>48097</v>
      </c>
      <c r="C2571" s="1">
        <v>38878.0</v>
      </c>
      <c r="D2571" s="1">
        <v>874.820364841947</v>
      </c>
      <c r="E2571" s="1" t="s">
        <v>4206</v>
      </c>
      <c r="F2571" s="1" t="s">
        <v>4207</v>
      </c>
      <c r="G2571" s="1">
        <v>44.4411236437368</v>
      </c>
      <c r="H2571" s="1">
        <v>16.168022976</v>
      </c>
      <c r="I2571" s="1">
        <v>3.9334892317</v>
      </c>
      <c r="J2571" s="1">
        <v>6.2695109261</v>
      </c>
      <c r="K2571" s="1">
        <v>14.555913397</v>
      </c>
      <c r="L2571" s="1">
        <v>24.1</v>
      </c>
      <c r="M2571" s="1">
        <v>7.6</v>
      </c>
      <c r="N2571" s="1">
        <v>27.4</v>
      </c>
      <c r="O2571" s="1">
        <v>52.0384005</v>
      </c>
      <c r="P2571" s="1">
        <v>20.705407085</v>
      </c>
      <c r="Q2571" s="1">
        <v>32.58554</v>
      </c>
      <c r="R2571" s="1">
        <v>95.1</v>
      </c>
      <c r="S2571" s="1">
        <v>24.9</v>
      </c>
      <c r="T2571" s="1">
        <v>9105.0</v>
      </c>
      <c r="U2571" s="1">
        <v>30.565623284</v>
      </c>
      <c r="V2571" s="1">
        <v>342.86604847</v>
      </c>
      <c r="W2571" s="1">
        <v>13.360187983</v>
      </c>
      <c r="X2571" s="1">
        <v>9.87854251009999</v>
      </c>
      <c r="Y2571" s="1">
        <v>77.648238841</v>
      </c>
      <c r="Z2571" s="1">
        <v>7.7</v>
      </c>
      <c r="AA2571" s="1">
        <v>2.3634718082</v>
      </c>
      <c r="AB2571" s="1">
        <v>52047.0</v>
      </c>
      <c r="AC2571" s="1">
        <v>56.768115942</v>
      </c>
      <c r="AD2571" s="1">
        <v>67.542946382</v>
      </c>
      <c r="AE2571" s="1">
        <v>7.78533635679999</v>
      </c>
      <c r="AF2571" s="1">
        <v>3.0857199192</v>
      </c>
      <c r="AG2571" s="1">
        <v>1.380194213</v>
      </c>
      <c r="AH2571" s="1">
        <v>1.1435894908</v>
      </c>
      <c r="AI2571" s="1">
        <v>0.051757283</v>
      </c>
      <c r="AJ2571" s="1">
        <v>18.765712032</v>
      </c>
      <c r="AK2571" s="1">
        <v>74.656183763</v>
      </c>
      <c r="AL2571" s="1">
        <v>3.989808641</v>
      </c>
      <c r="AM2571" s="1">
        <v>50.061615813</v>
      </c>
      <c r="AN2571" s="1">
        <v>59.03426386</v>
      </c>
      <c r="AO2571" s="1">
        <v>28045.0</v>
      </c>
      <c r="AP2571" s="1">
        <v>15.0</v>
      </c>
      <c r="AQ2571" s="1">
        <v>6.5</v>
      </c>
      <c r="AR2571" s="1">
        <v>13.9</v>
      </c>
      <c r="AS2571" s="1">
        <v>17.3</v>
      </c>
      <c r="AT2571" s="1">
        <v>24.2</v>
      </c>
      <c r="AU2571" s="1">
        <v>14.7</v>
      </c>
      <c r="AV2571" s="1">
        <v>23.1</v>
      </c>
      <c r="AW2571" s="1">
        <v>3.3</v>
      </c>
      <c r="AX2571" s="1">
        <v>0.5912</v>
      </c>
      <c r="AY2571" s="1">
        <v>12.7</v>
      </c>
      <c r="AZ2571" s="1">
        <v>14.8</v>
      </c>
      <c r="BA2571" s="1">
        <v>23.7</v>
      </c>
      <c r="BB2571" s="1">
        <v>3.03</v>
      </c>
      <c r="BC2571" s="1" t="s">
        <v>4123</v>
      </c>
      <c r="BD2571" s="1">
        <v>13.9</v>
      </c>
      <c r="BE2571" s="1">
        <v>31.5</v>
      </c>
      <c r="BF2571" s="1">
        <v>33.7</v>
      </c>
      <c r="BG2571" s="1">
        <v>20.9</v>
      </c>
      <c r="BH2571" s="1" t="s">
        <v>4207</v>
      </c>
    </row>
    <row r="2572">
      <c r="A2572" s="1">
        <v>48099.0</v>
      </c>
      <c r="B2572" s="2" t="str">
        <f>IFERROR(__xludf.DUMMYFUNCTION("TO_TEXT(A2572)"),"48099")</f>
        <v>48099</v>
      </c>
      <c r="C2572" s="1">
        <v>75710.0</v>
      </c>
      <c r="D2572" s="1">
        <v>1052.20487001264</v>
      </c>
      <c r="E2572" s="1" t="s">
        <v>4208</v>
      </c>
      <c r="F2572" s="1" t="s">
        <v>4209</v>
      </c>
      <c r="G2572" s="1">
        <v>71.9536681094152</v>
      </c>
      <c r="H2572" s="1">
        <v>18.427497168</v>
      </c>
      <c r="I2572" s="1">
        <v>4.0635575752</v>
      </c>
      <c r="J2572" s="1">
        <v>8.2834185537</v>
      </c>
      <c r="K2572" s="1">
        <v>16.216101313</v>
      </c>
      <c r="L2572" s="1">
        <v>42.2</v>
      </c>
      <c r="M2572" s="1">
        <v>5.8</v>
      </c>
      <c r="N2572" s="1">
        <v>24.4</v>
      </c>
      <c r="O2572" s="1">
        <v>63.847031358</v>
      </c>
      <c r="P2572" s="1">
        <v>15.136748602</v>
      </c>
      <c r="Q2572" s="1">
        <v>22.69299</v>
      </c>
      <c r="R2572" s="1">
        <v>95.3</v>
      </c>
      <c r="S2572" s="1">
        <v>20.1</v>
      </c>
      <c r="T2572" s="1">
        <v>17549.0</v>
      </c>
      <c r="U2572" s="1">
        <v>27.08416434</v>
      </c>
      <c r="V2572" s="1">
        <v>229.36081282</v>
      </c>
      <c r="W2572" s="1">
        <v>11.781483107</v>
      </c>
      <c r="X2572" s="1">
        <v>9.3276936776</v>
      </c>
      <c r="Y2572" s="1">
        <v>77.4972549439999</v>
      </c>
      <c r="Z2572" s="1">
        <v>10.1</v>
      </c>
      <c r="AA2572" s="1">
        <v>17.105487442</v>
      </c>
      <c r="AB2572" s="1">
        <v>48099.0</v>
      </c>
      <c r="AC2572" s="1">
        <v>52.8321724269999</v>
      </c>
      <c r="AD2572" s="1">
        <v>58.115980998</v>
      </c>
      <c r="AE2572" s="1">
        <v>10.414447789</v>
      </c>
      <c r="AF2572" s="1">
        <v>16.376590739</v>
      </c>
      <c r="AG2572" s="1">
        <v>1.1442626457</v>
      </c>
      <c r="AH2572" s="1">
        <v>2.149502727</v>
      </c>
      <c r="AI2572" s="1">
        <v>0.9691476847</v>
      </c>
      <c r="AJ2572" s="1">
        <v>18.715912737</v>
      </c>
      <c r="AK2572" s="1">
        <v>57.912255374</v>
      </c>
      <c r="AL2572" s="1">
        <v>1.4007082072</v>
      </c>
      <c r="AM2572" s="1">
        <v>50.348893167</v>
      </c>
      <c r="AN2572" s="1">
        <v>19.423515679</v>
      </c>
      <c r="AO2572" s="1">
        <v>20555.0</v>
      </c>
      <c r="AP2572" s="1">
        <v>14.1</v>
      </c>
      <c r="AQ2572" s="1">
        <v>9.2</v>
      </c>
      <c r="AR2572" s="1">
        <v>12.4</v>
      </c>
      <c r="AS2572" s="1">
        <v>8.9</v>
      </c>
      <c r="AT2572" s="1">
        <v>25.1</v>
      </c>
      <c r="AU2572" s="1">
        <v>15.6</v>
      </c>
      <c r="AV2572" s="1">
        <v>40.1</v>
      </c>
      <c r="AW2572" s="1">
        <v>1.8</v>
      </c>
      <c r="AX2572" s="1">
        <v>0.7469</v>
      </c>
      <c r="AY2572" s="1">
        <v>11.8</v>
      </c>
      <c r="AZ2572" s="1">
        <v>16.6</v>
      </c>
      <c r="BA2572" s="1">
        <v>24.3</v>
      </c>
      <c r="BB2572" s="1">
        <v>2.68</v>
      </c>
      <c r="BC2572" s="1" t="s">
        <v>4123</v>
      </c>
      <c r="BD2572" s="1">
        <v>12.0</v>
      </c>
      <c r="BE2572" s="1">
        <v>28.1</v>
      </c>
      <c r="BF2572" s="1">
        <v>43.8</v>
      </c>
      <c r="BG2572" s="1">
        <v>16.1</v>
      </c>
      <c r="BH2572" s="1" t="s">
        <v>4209</v>
      </c>
    </row>
    <row r="2573">
      <c r="A2573" s="1">
        <v>48101.0</v>
      </c>
      <c r="B2573" s="2" t="str">
        <f>IFERROR(__xludf.DUMMYFUNCTION("TO_TEXT(A2573)"),"48101")</f>
        <v>48101</v>
      </c>
      <c r="C2573" s="1">
        <v>1560.0</v>
      </c>
      <c r="D2573" s="1">
        <v>900.563123025378</v>
      </c>
      <c r="E2573" s="1" t="s">
        <v>4210</v>
      </c>
      <c r="F2573" s="1" t="s">
        <v>4211</v>
      </c>
      <c r="G2573" s="1">
        <v>1.73224947825899</v>
      </c>
      <c r="H2573" s="1">
        <v>21.870811919</v>
      </c>
      <c r="I2573" s="1">
        <v>4.4133444944</v>
      </c>
      <c r="J2573" s="1">
        <v>7.80443539465</v>
      </c>
      <c r="K2573" s="1">
        <v>15.759202139</v>
      </c>
      <c r="L2573" s="1">
        <v>21.6</v>
      </c>
      <c r="M2573" s="1">
        <v>3.2</v>
      </c>
      <c r="N2573" s="1">
        <v>22.8</v>
      </c>
      <c r="O2573" s="1">
        <v>84.186046512</v>
      </c>
      <c r="P2573" s="1">
        <v>27.4302213669999</v>
      </c>
      <c r="Q2573" s="1">
        <v>0.0</v>
      </c>
      <c r="R2573" s="1">
        <v>80.0</v>
      </c>
      <c r="S2573" s="1">
        <v>40.1</v>
      </c>
      <c r="T2573" s="1">
        <v>545.0</v>
      </c>
      <c r="U2573" s="1">
        <v>48.623853211</v>
      </c>
      <c r="V2573" s="1">
        <v>280.0140007</v>
      </c>
      <c r="W2573" s="1">
        <v>7.3529411765</v>
      </c>
      <c r="X2573" s="1">
        <v>5.5639097744</v>
      </c>
      <c r="Y2573" s="1">
        <v>77.482572377</v>
      </c>
      <c r="Z2573" s="1">
        <v>15.3</v>
      </c>
      <c r="AA2573" s="1">
        <v>46.027616446</v>
      </c>
      <c r="AB2573" s="1">
        <v>38304.0</v>
      </c>
      <c r="AC2573" s="1">
        <v>66.822429907</v>
      </c>
      <c r="AD2573" s="1">
        <v>64.72303207</v>
      </c>
      <c r="AE2573" s="1">
        <v>6.33693972179999</v>
      </c>
      <c r="AF2573" s="1">
        <v>10.151187905</v>
      </c>
      <c r="AG2573" s="1">
        <v>0.4319654428</v>
      </c>
      <c r="AH2573" s="1">
        <v>0.0719942405</v>
      </c>
      <c r="AI2573" s="1">
        <v>0.1439884809</v>
      </c>
      <c r="AJ2573" s="1">
        <v>24.550035997</v>
      </c>
      <c r="AK2573" s="1">
        <v>63.642908567</v>
      </c>
      <c r="AL2573" s="1">
        <v>1.2354152368</v>
      </c>
      <c r="AM2573" s="1">
        <v>51.4758819289999</v>
      </c>
      <c r="AN2573" s="1">
        <v>100.0</v>
      </c>
      <c r="AO2573" s="1">
        <v>20397.0</v>
      </c>
      <c r="AP2573" s="1">
        <v>25.0</v>
      </c>
      <c r="AQ2573" s="1">
        <v>11.6</v>
      </c>
      <c r="AR2573" s="1">
        <v>27.8</v>
      </c>
      <c r="AS2573" s="1">
        <v>28.7</v>
      </c>
      <c r="AT2573" s="1">
        <v>23.6</v>
      </c>
      <c r="AU2573" s="1">
        <v>20.1</v>
      </c>
      <c r="AV2573" s="1">
        <v>45.2</v>
      </c>
      <c r="AW2573" s="1">
        <v>3.1</v>
      </c>
      <c r="AX2573" s="1">
        <v>0.8701</v>
      </c>
      <c r="AY2573" s="1">
        <v>18.9</v>
      </c>
      <c r="AZ2573" s="1">
        <v>21.8</v>
      </c>
      <c r="BA2573" s="1">
        <v>36.0</v>
      </c>
      <c r="BB2573" s="1">
        <v>3.02</v>
      </c>
      <c r="BC2573" s="1" t="s">
        <v>4123</v>
      </c>
      <c r="BD2573" s="1">
        <v>23.8</v>
      </c>
      <c r="BE2573" s="1">
        <v>26.9</v>
      </c>
      <c r="BF2573" s="1">
        <v>32.5</v>
      </c>
      <c r="BG2573" s="1">
        <v>16.8</v>
      </c>
      <c r="BH2573" s="1" t="s">
        <v>4211</v>
      </c>
    </row>
    <row r="2574">
      <c r="A2574" s="1">
        <v>48103.0</v>
      </c>
      <c r="B2574" s="2" t="str">
        <f>IFERROR(__xludf.DUMMYFUNCTION("TO_TEXT(A2574)"),"48103")</f>
        <v>48103</v>
      </c>
      <c r="C2574" s="1">
        <v>4823.0</v>
      </c>
      <c r="D2574" s="1">
        <v>785.068807828726</v>
      </c>
      <c r="E2574" s="1" t="s">
        <v>4212</v>
      </c>
      <c r="F2574" s="1" t="s">
        <v>4213</v>
      </c>
      <c r="G2574" s="1">
        <v>6.14341055446978</v>
      </c>
      <c r="H2574" s="1">
        <v>20.186260486</v>
      </c>
      <c r="I2574" s="1">
        <v>3.7132471654</v>
      </c>
      <c r="J2574" s="1">
        <v>7.7519379845</v>
      </c>
      <c r="K2574" s="1">
        <v>13.096422992</v>
      </c>
      <c r="L2574" s="1">
        <v>25.4</v>
      </c>
      <c r="M2574" s="1">
        <v>8.9</v>
      </c>
      <c r="N2574" s="1">
        <v>19.5</v>
      </c>
      <c r="O2574" s="1">
        <v>92.137142857</v>
      </c>
      <c r="P2574" s="1">
        <v>20.197400096</v>
      </c>
      <c r="Q2574" s="1">
        <v>21.09705</v>
      </c>
      <c r="R2574" s="1">
        <v>95.1</v>
      </c>
      <c r="S2574" s="1">
        <v>13.6</v>
      </c>
      <c r="T2574" s="1">
        <v>1506.0</v>
      </c>
      <c r="U2574" s="1">
        <v>26.4276228419999</v>
      </c>
      <c r="V2574" s="1">
        <v>108.97562909</v>
      </c>
      <c r="W2574" s="1">
        <v>14.886731392</v>
      </c>
      <c r="X2574" s="1">
        <v>8.1327260898</v>
      </c>
      <c r="Y2574" s="1">
        <v>79.015165461</v>
      </c>
      <c r="Z2574" s="1">
        <v>8.1</v>
      </c>
      <c r="AA2574" s="1">
        <v>2.6133036346</v>
      </c>
      <c r="AB2574" s="1">
        <v>61987.0</v>
      </c>
      <c r="AC2574" s="1">
        <v>53.027681661</v>
      </c>
      <c r="AD2574" s="1">
        <v>86.2165963429999</v>
      </c>
      <c r="AE2574" s="1">
        <v>5.9334298119</v>
      </c>
      <c r="AF2574" s="1">
        <v>2.5657071339</v>
      </c>
      <c r="AG2574" s="1">
        <v>1.4601585315</v>
      </c>
      <c r="AH2574" s="1">
        <v>0.9178139341</v>
      </c>
      <c r="AI2574" s="1">
        <v>0.1460158531</v>
      </c>
      <c r="AJ2574" s="1">
        <v>65.16478932</v>
      </c>
      <c r="AK2574" s="1">
        <v>30.392156863</v>
      </c>
      <c r="AL2574" s="1">
        <v>9.78017048</v>
      </c>
      <c r="AM2574" s="1">
        <v>49.624530663</v>
      </c>
      <c r="AN2574" s="1">
        <v>10.697142857</v>
      </c>
      <c r="AO2574" s="1">
        <v>25367.0</v>
      </c>
      <c r="AP2574" s="1">
        <v>11.7</v>
      </c>
      <c r="AQ2574" s="1">
        <v>3.3</v>
      </c>
      <c r="AR2574" s="1">
        <v>27.2</v>
      </c>
      <c r="AS2574" s="1">
        <v>12.2</v>
      </c>
      <c r="AT2574" s="1">
        <v>30.5</v>
      </c>
      <c r="AU2574" s="1">
        <v>7.6</v>
      </c>
      <c r="AV2574" s="1">
        <v>65.7</v>
      </c>
      <c r="AW2574" s="1">
        <v>13.5</v>
      </c>
      <c r="AX2574" s="1">
        <v>0.5973</v>
      </c>
      <c r="AY2574" s="1">
        <v>9.6</v>
      </c>
      <c r="AZ2574" s="1">
        <v>8.6</v>
      </c>
      <c r="BA2574" s="1">
        <v>14.7</v>
      </c>
      <c r="BB2574" s="1">
        <v>2.93</v>
      </c>
      <c r="BC2574" s="1" t="s">
        <v>4123</v>
      </c>
      <c r="BD2574" s="1">
        <v>20.5</v>
      </c>
      <c r="BE2574" s="1">
        <v>32.8</v>
      </c>
      <c r="BF2574" s="1">
        <v>32.0</v>
      </c>
      <c r="BG2574" s="1">
        <v>14.7</v>
      </c>
      <c r="BH2574" s="1" t="s">
        <v>4213</v>
      </c>
    </row>
    <row r="2575">
      <c r="A2575" s="1">
        <v>48105.0</v>
      </c>
      <c r="B2575" s="2" t="str">
        <f>IFERROR(__xludf.DUMMYFUNCTION("TO_TEXT(A2575)"),"48105")</f>
        <v>48105</v>
      </c>
      <c r="C2575" s="1">
        <v>3836.0</v>
      </c>
      <c r="D2575" s="1">
        <v>2807.32257046663</v>
      </c>
      <c r="E2575" s="1" t="s">
        <v>4021</v>
      </c>
      <c r="F2575" s="1" t="s">
        <v>4214</v>
      </c>
      <c r="G2575" s="1">
        <v>1.36642651626684</v>
      </c>
      <c r="H2575" s="1">
        <v>21.746863984</v>
      </c>
      <c r="I2575" s="1">
        <v>3.7770093857</v>
      </c>
      <c r="J2575" s="1">
        <v>8.3832335329</v>
      </c>
      <c r="K2575" s="1">
        <v>12.9319401909999</v>
      </c>
      <c r="L2575" s="1">
        <v>27.1</v>
      </c>
      <c r="M2575" s="1">
        <v>8.6</v>
      </c>
      <c r="N2575" s="1">
        <v>21.7</v>
      </c>
      <c r="O2575" s="1">
        <v>18.311374025</v>
      </c>
      <c r="P2575" s="1">
        <v>22.2297988409999</v>
      </c>
      <c r="Q2575" s="1">
        <v>28.05836</v>
      </c>
      <c r="R2575" s="1">
        <v>95.0</v>
      </c>
      <c r="S2575" s="1">
        <v>23.4</v>
      </c>
      <c r="T2575" s="1">
        <v>984.0</v>
      </c>
      <c r="U2575" s="1">
        <v>37.195121951</v>
      </c>
      <c r="V2575" s="1">
        <v>132.2926313</v>
      </c>
      <c r="W2575" s="1">
        <v>17.1328671329999</v>
      </c>
      <c r="X2575" s="1">
        <v>13.6363636359999</v>
      </c>
      <c r="Y2575" s="1">
        <v>75.398449536</v>
      </c>
      <c r="Z2575" s="1">
        <v>5.1</v>
      </c>
      <c r="AA2575" s="1">
        <v>2.5064111906</v>
      </c>
      <c r="AB2575" s="1">
        <v>49117.0</v>
      </c>
      <c r="AC2575" s="1">
        <v>51.055408971</v>
      </c>
      <c r="AD2575" s="1">
        <v>71.253602305</v>
      </c>
      <c r="AE2575" s="1">
        <v>10.3117506</v>
      </c>
      <c r="AF2575" s="1">
        <v>0.5715918834</v>
      </c>
      <c r="AG2575" s="1">
        <v>2.2863675336</v>
      </c>
      <c r="AH2575" s="1">
        <v>0.7430694484</v>
      </c>
      <c r="AI2575" s="1">
        <v>0.0857387825</v>
      </c>
      <c r="AJ2575" s="1">
        <v>66.304658474</v>
      </c>
      <c r="AK2575" s="1">
        <v>31.294655616</v>
      </c>
      <c r="AL2575" s="1">
        <v>3.1531531532</v>
      </c>
      <c r="AM2575" s="1">
        <v>50.071448985</v>
      </c>
      <c r="AN2575" s="1">
        <v>22.748050551</v>
      </c>
      <c r="AO2575" s="1">
        <v>23861.0</v>
      </c>
      <c r="AP2575" s="1">
        <v>22.7</v>
      </c>
      <c r="AQ2575" s="1">
        <v>2.8</v>
      </c>
      <c r="AR2575" s="1">
        <v>26.3</v>
      </c>
      <c r="AS2575" s="1">
        <v>13.9</v>
      </c>
      <c r="AT2575" s="1">
        <v>24.9</v>
      </c>
      <c r="AU2575" s="1">
        <v>11.4</v>
      </c>
      <c r="AV2575" s="1">
        <v>64.6</v>
      </c>
      <c r="AW2575" s="1">
        <v>6.2</v>
      </c>
      <c r="AX2575" s="1">
        <v>0.5782</v>
      </c>
      <c r="AY2575" s="1">
        <v>13.8</v>
      </c>
      <c r="AZ2575" s="1">
        <v>13.2</v>
      </c>
      <c r="BA2575" s="1">
        <v>22.0</v>
      </c>
      <c r="BB2575" s="1">
        <v>2.56</v>
      </c>
      <c r="BC2575" s="1" t="s">
        <v>4123</v>
      </c>
      <c r="BD2575" s="1">
        <v>23.0</v>
      </c>
      <c r="BE2575" s="1">
        <v>33.5</v>
      </c>
      <c r="BF2575" s="1">
        <v>29.5</v>
      </c>
      <c r="BG2575" s="1">
        <v>14.0</v>
      </c>
      <c r="BH2575" s="1" t="s">
        <v>4214</v>
      </c>
    </row>
    <row r="2576">
      <c r="A2576" s="1">
        <v>48107.0</v>
      </c>
      <c r="B2576" s="2" t="str">
        <f>IFERROR(__xludf.DUMMYFUNCTION("TO_TEXT(A2576)"),"48107")</f>
        <v>48107</v>
      </c>
      <c r="C2576" s="1">
        <v>5987.0</v>
      </c>
      <c r="D2576" s="1">
        <v>900.198140032574</v>
      </c>
      <c r="E2576" s="1" t="s">
        <v>4215</v>
      </c>
      <c r="F2576" s="1" t="s">
        <v>4216</v>
      </c>
      <c r="G2576" s="1">
        <v>6.65075802065461</v>
      </c>
      <c r="H2576" s="1">
        <v>25.491516215</v>
      </c>
      <c r="I2576" s="1">
        <v>4.3104259951</v>
      </c>
      <c r="J2576" s="1">
        <v>7.9696394687</v>
      </c>
      <c r="K2576" s="1">
        <v>15.568249799</v>
      </c>
      <c r="L2576" s="1">
        <v>28.6</v>
      </c>
      <c r="M2576" s="1">
        <v>8.1</v>
      </c>
      <c r="N2576" s="1">
        <v>23.5</v>
      </c>
      <c r="O2576" s="1">
        <v>32.414589866</v>
      </c>
      <c r="P2576" s="1">
        <v>22.145401215</v>
      </c>
      <c r="Q2576" s="1">
        <v>33.90405</v>
      </c>
      <c r="R2576" s="1">
        <v>94.0</v>
      </c>
      <c r="S2576" s="1">
        <v>37.1</v>
      </c>
      <c r="T2576" s="1">
        <v>1591.0</v>
      </c>
      <c r="U2576" s="1">
        <v>47.265870522</v>
      </c>
      <c r="V2576" s="1">
        <v>83.0737279339999</v>
      </c>
      <c r="W2576" s="1">
        <v>13.033175355</v>
      </c>
      <c r="X2576" s="1">
        <v>7.0301291248</v>
      </c>
      <c r="Y2576" s="1">
        <v>75.072135199</v>
      </c>
      <c r="Z2576" s="1">
        <v>4.9</v>
      </c>
      <c r="AA2576" s="1">
        <v>2.3094985784</v>
      </c>
      <c r="AB2576" s="1">
        <v>37911.0</v>
      </c>
      <c r="AC2576" s="1">
        <v>81.381118881</v>
      </c>
      <c r="AD2576" s="1">
        <v>70.988258317</v>
      </c>
      <c r="AE2576" s="1">
        <v>7.7005347594</v>
      </c>
      <c r="AF2576" s="1">
        <v>3.0282055719</v>
      </c>
      <c r="AG2576" s="1">
        <v>1.1593701332</v>
      </c>
      <c r="AH2576" s="1">
        <v>0.2595604776</v>
      </c>
      <c r="AI2576" s="1">
        <v>0.0692161274</v>
      </c>
      <c r="AJ2576" s="1">
        <v>55.753590587</v>
      </c>
      <c r="AK2576" s="1">
        <v>39.574320817</v>
      </c>
      <c r="AL2576" s="1">
        <v>2.7101263505</v>
      </c>
      <c r="AM2576" s="1">
        <v>50.562381035</v>
      </c>
      <c r="AN2576" s="1">
        <v>100.0</v>
      </c>
      <c r="AO2576" s="1">
        <v>19651.0</v>
      </c>
      <c r="AP2576" s="1">
        <v>20.0</v>
      </c>
      <c r="AQ2576" s="1">
        <v>9.5</v>
      </c>
      <c r="AR2576" s="1">
        <v>27.7</v>
      </c>
      <c r="AS2576" s="1">
        <v>18.6</v>
      </c>
      <c r="AT2576" s="1">
        <v>27.5</v>
      </c>
      <c r="AU2576" s="1">
        <v>17.2</v>
      </c>
      <c r="AV2576" s="1">
        <v>59.0</v>
      </c>
      <c r="AW2576" s="1">
        <v>3.4</v>
      </c>
      <c r="AX2576" s="1">
        <v>0.9112</v>
      </c>
      <c r="AY2576" s="1">
        <v>22.1</v>
      </c>
      <c r="AZ2576" s="1">
        <v>16.8</v>
      </c>
      <c r="BA2576" s="1">
        <v>25.4</v>
      </c>
      <c r="BB2576" s="1">
        <v>3.05</v>
      </c>
      <c r="BC2576" s="1" t="s">
        <v>4123</v>
      </c>
      <c r="BD2576" s="1">
        <v>24.0</v>
      </c>
      <c r="BE2576" s="1">
        <v>35.9</v>
      </c>
      <c r="BF2576" s="1">
        <v>27.0</v>
      </c>
      <c r="BG2576" s="1">
        <v>13.2</v>
      </c>
      <c r="BH2576" s="1" t="s">
        <v>4216</v>
      </c>
    </row>
    <row r="2577">
      <c r="A2577" s="1">
        <v>48109.0</v>
      </c>
      <c r="B2577" s="2" t="str">
        <f>IFERROR(__xludf.DUMMYFUNCTION("TO_TEXT(A2577)"),"48109")</f>
        <v>48109</v>
      </c>
      <c r="C2577" s="1">
        <v>2259.0</v>
      </c>
      <c r="D2577" s="1">
        <v>3812.15475867851</v>
      </c>
      <c r="E2577" s="1" t="s">
        <v>4217</v>
      </c>
      <c r="F2577" s="1" t="s">
        <v>4218</v>
      </c>
      <c r="G2577" s="1">
        <v>0.592578251147151</v>
      </c>
      <c r="H2577" s="1">
        <v>35.180833929</v>
      </c>
      <c r="I2577" s="1">
        <v>4.629569201</v>
      </c>
      <c r="J2577" s="1">
        <v>8.4112149533</v>
      </c>
      <c r="K2577" s="1">
        <v>18.542606778</v>
      </c>
      <c r="L2577" s="1">
        <v>35.0</v>
      </c>
      <c r="M2577" s="1">
        <v>8.3</v>
      </c>
      <c r="N2577" s="1">
        <v>25.1</v>
      </c>
      <c r="O2577" s="1">
        <v>93.077564637</v>
      </c>
      <c r="P2577" s="1">
        <v>26.114285714</v>
      </c>
      <c r="Q2577" s="1">
        <v>48.31939</v>
      </c>
      <c r="R2577" s="1">
        <v>96.4</v>
      </c>
      <c r="S2577" s="1">
        <v>32.7</v>
      </c>
      <c r="T2577" s="1">
        <v>536.0</v>
      </c>
      <c r="U2577" s="1">
        <v>57.649253731</v>
      </c>
      <c r="V2577" s="1">
        <v>0.0</v>
      </c>
      <c r="W2577" s="1">
        <v>15.789473684</v>
      </c>
      <c r="X2577" s="1">
        <v>12.236842105</v>
      </c>
      <c r="Y2577" s="1">
        <v>81.0081446969999</v>
      </c>
      <c r="Z2577" s="1">
        <v>15.4</v>
      </c>
      <c r="AA2577" s="1">
        <v>5.1695558677</v>
      </c>
      <c r="AB2577" s="1">
        <v>42164.0</v>
      </c>
      <c r="AC2577" s="1">
        <v>75.703324808</v>
      </c>
      <c r="AD2577" s="1">
        <v>67.547723935</v>
      </c>
      <c r="AE2577" s="1">
        <v>11.912225705</v>
      </c>
      <c r="AF2577" s="1">
        <v>0.816696914699999</v>
      </c>
      <c r="AG2577" s="1">
        <v>2.2686025408</v>
      </c>
      <c r="AH2577" s="1">
        <v>1.9963702359</v>
      </c>
      <c r="AI2577" s="1">
        <v>0.0453720508</v>
      </c>
      <c r="AJ2577" s="1">
        <v>72.096188748</v>
      </c>
      <c r="AK2577" s="1">
        <v>23.0943738659999</v>
      </c>
      <c r="AL2577" s="1">
        <v>8.0156402737</v>
      </c>
      <c r="AM2577" s="1">
        <v>50.589836661</v>
      </c>
      <c r="AN2577" s="1">
        <v>100.0</v>
      </c>
      <c r="AO2577" s="1">
        <v>18862.0</v>
      </c>
      <c r="AP2577" s="1">
        <v>23.8</v>
      </c>
      <c r="AQ2577" s="1">
        <v>4.6</v>
      </c>
      <c r="AR2577" s="1">
        <v>35.1</v>
      </c>
      <c r="AS2577" s="1">
        <v>17.6</v>
      </c>
      <c r="AT2577" s="1">
        <v>23.2</v>
      </c>
      <c r="AU2577" s="1">
        <v>24.6</v>
      </c>
      <c r="AV2577" s="1">
        <v>83.1</v>
      </c>
      <c r="AW2577" s="1">
        <v>11.3</v>
      </c>
      <c r="AX2577" s="1">
        <v>0.9526</v>
      </c>
      <c r="AY2577" s="1">
        <v>19.7</v>
      </c>
      <c r="AZ2577" s="1">
        <v>19.3</v>
      </c>
      <c r="BA2577" s="1">
        <v>35.0</v>
      </c>
      <c r="BB2577" s="1">
        <v>2.95</v>
      </c>
      <c r="BC2577" s="1" t="s">
        <v>4123</v>
      </c>
      <c r="BD2577" s="1">
        <v>33.7</v>
      </c>
      <c r="BE2577" s="1">
        <v>35.0</v>
      </c>
      <c r="BF2577" s="1">
        <v>21.1</v>
      </c>
      <c r="BG2577" s="1">
        <v>10.2</v>
      </c>
      <c r="BH2577" s="1" t="s">
        <v>4218</v>
      </c>
    </row>
    <row r="2578">
      <c r="A2578" s="1">
        <v>48111.0</v>
      </c>
      <c r="B2578" s="2" t="str">
        <f>IFERROR(__xludf.DUMMYFUNCTION("TO_TEXT(A2578)"),"48111")</f>
        <v>48111</v>
      </c>
      <c r="C2578" s="1">
        <v>7052.0</v>
      </c>
      <c r="D2578" s="1">
        <v>1503.1311680041</v>
      </c>
      <c r="E2578" s="1" t="s">
        <v>4219</v>
      </c>
      <c r="F2578" s="1" t="s">
        <v>4220</v>
      </c>
      <c r="G2578" s="1">
        <v>4.69154000004128</v>
      </c>
      <c r="H2578" s="1">
        <v>21.242602359</v>
      </c>
      <c r="I2578" s="1">
        <v>4.0643040184</v>
      </c>
      <c r="J2578" s="1">
        <v>6.7049808429</v>
      </c>
      <c r="K2578" s="1">
        <v>15.7843350859999</v>
      </c>
      <c r="L2578" s="1">
        <v>35.8</v>
      </c>
      <c r="M2578" s="1">
        <v>6.8</v>
      </c>
      <c r="N2578" s="1">
        <v>24.2</v>
      </c>
      <c r="O2578" s="1">
        <v>92.660002984</v>
      </c>
      <c r="P2578" s="1">
        <v>30.4567725619999</v>
      </c>
      <c r="Q2578" s="1">
        <v>69.36737</v>
      </c>
      <c r="R2578" s="1">
        <v>98.5</v>
      </c>
      <c r="S2578" s="1">
        <v>18.1</v>
      </c>
      <c r="T2578" s="1">
        <v>2281.0</v>
      </c>
      <c r="U2578" s="1">
        <v>12.494519947</v>
      </c>
      <c r="V2578" s="1">
        <v>640.53470723</v>
      </c>
      <c r="W2578" s="1">
        <v>14.194915254</v>
      </c>
      <c r="X2578" s="1">
        <v>10.66098081</v>
      </c>
      <c r="Y2578" s="1">
        <v>78.735005434</v>
      </c>
      <c r="Z2578" s="1">
        <v>8.3</v>
      </c>
      <c r="AA2578" s="1">
        <v>17.849257299</v>
      </c>
      <c r="AB2578" s="1">
        <v>50587.0</v>
      </c>
      <c r="AC2578" s="1">
        <v>66.017699115</v>
      </c>
      <c r="AD2578" s="1">
        <v>62.978369384</v>
      </c>
      <c r="AE2578" s="1">
        <v>8.3113456464</v>
      </c>
      <c r="AF2578" s="1">
        <v>1.75</v>
      </c>
      <c r="AG2578" s="1">
        <v>2.3055555556</v>
      </c>
      <c r="AH2578" s="1">
        <v>1.1527777778</v>
      </c>
      <c r="AI2578" s="1">
        <v>0.1666666667</v>
      </c>
      <c r="AJ2578" s="1">
        <v>47.375</v>
      </c>
      <c r="AK2578" s="1">
        <v>47.972222222</v>
      </c>
      <c r="AL2578" s="1">
        <v>16.928713174</v>
      </c>
      <c r="AM2578" s="1">
        <v>47.861111111</v>
      </c>
      <c r="AN2578" s="1">
        <v>23.5416977469999</v>
      </c>
      <c r="AO2578" s="1">
        <v>19908.0</v>
      </c>
      <c r="AP2578" s="1">
        <v>16.2</v>
      </c>
      <c r="AQ2578" s="1">
        <v>4.8</v>
      </c>
      <c r="AR2578" s="1">
        <v>27.3</v>
      </c>
      <c r="AS2578" s="1">
        <v>8.5</v>
      </c>
      <c r="AT2578" s="1">
        <v>31.3</v>
      </c>
      <c r="AU2578" s="1">
        <v>13.9</v>
      </c>
      <c r="AV2578" s="1">
        <v>47.9</v>
      </c>
      <c r="AW2578" s="1">
        <v>7.1</v>
      </c>
      <c r="AX2578" s="1">
        <v>0.7574</v>
      </c>
      <c r="AY2578" s="1">
        <v>11.4</v>
      </c>
      <c r="AZ2578" s="1">
        <v>13.0</v>
      </c>
      <c r="BA2578" s="1">
        <v>19.1</v>
      </c>
      <c r="BB2578" s="1">
        <v>2.89</v>
      </c>
      <c r="BC2578" s="1" t="s">
        <v>4123</v>
      </c>
      <c r="BD2578" s="1">
        <v>29.6</v>
      </c>
      <c r="BE2578" s="1">
        <v>28.0</v>
      </c>
      <c r="BF2578" s="1">
        <v>26.6</v>
      </c>
      <c r="BG2578" s="1">
        <v>15.8</v>
      </c>
      <c r="BH2578" s="1" t="s">
        <v>4220</v>
      </c>
    </row>
    <row r="2579">
      <c r="A2579" s="1">
        <v>48113.0</v>
      </c>
      <c r="B2579" s="2" t="str">
        <f>IFERROR(__xludf.DUMMYFUNCTION("TO_TEXT(A2579)"),"48113")</f>
        <v>48113</v>
      </c>
      <c r="C2579" s="1">
        <v>2513054.0</v>
      </c>
      <c r="D2579" s="1">
        <v>873.066186853144</v>
      </c>
      <c r="E2579" s="1" t="s">
        <v>106</v>
      </c>
      <c r="F2579" s="1" t="s">
        <v>4221</v>
      </c>
      <c r="G2579" s="1">
        <v>2878.42323736988</v>
      </c>
      <c r="H2579" s="1">
        <v>19.308991615</v>
      </c>
      <c r="I2579" s="1">
        <v>3.9191011016</v>
      </c>
      <c r="J2579" s="1">
        <v>8.5024997727</v>
      </c>
      <c r="K2579" s="1">
        <v>14.893746644</v>
      </c>
      <c r="L2579" s="1">
        <v>30.0</v>
      </c>
      <c r="M2579" s="1">
        <v>6.9</v>
      </c>
      <c r="N2579" s="1">
        <v>24.3</v>
      </c>
      <c r="O2579" s="1">
        <v>96.274627461</v>
      </c>
      <c r="P2579" s="1">
        <v>23.0427379219999</v>
      </c>
      <c r="Q2579" s="1">
        <v>69.4384</v>
      </c>
      <c r="R2579" s="1">
        <v>84.0</v>
      </c>
      <c r="S2579" s="1">
        <v>20.7</v>
      </c>
      <c r="T2579" s="1">
        <v>683810.0</v>
      </c>
      <c r="U2579" s="1">
        <v>39.157222035</v>
      </c>
      <c r="V2579" s="1">
        <v>479.58138792</v>
      </c>
      <c r="W2579" s="1">
        <v>21.561920093</v>
      </c>
      <c r="X2579" s="1">
        <v>15.569253865</v>
      </c>
      <c r="Y2579" s="1">
        <v>78.948529208</v>
      </c>
      <c r="Z2579" s="1">
        <v>8.1</v>
      </c>
      <c r="AA2579" s="1">
        <v>6.9698517967</v>
      </c>
      <c r="AB2579" s="1">
        <v>59838.0</v>
      </c>
      <c r="AC2579" s="1">
        <v>71.613253358</v>
      </c>
      <c r="AD2579" s="1">
        <v>50.145648638</v>
      </c>
      <c r="AE2579" s="1">
        <v>15.6697514359999</v>
      </c>
      <c r="AF2579" s="1">
        <v>22.585576009</v>
      </c>
      <c r="AG2579" s="1">
        <v>1.0845895703</v>
      </c>
      <c r="AH2579" s="1">
        <v>6.73856572899999</v>
      </c>
      <c r="AI2579" s="1">
        <v>0.1116472538</v>
      </c>
      <c r="AJ2579" s="1">
        <v>40.502401269</v>
      </c>
      <c r="AK2579" s="1">
        <v>28.642202586</v>
      </c>
      <c r="AL2579" s="1">
        <v>11.5987786</v>
      </c>
      <c r="AM2579" s="1">
        <v>50.648198555</v>
      </c>
      <c r="AN2579" s="1">
        <v>0.6883041916</v>
      </c>
      <c r="AO2579" s="1">
        <v>28552.0</v>
      </c>
      <c r="AP2579" s="1">
        <v>18.6</v>
      </c>
      <c r="AQ2579" s="1">
        <v>6.7</v>
      </c>
      <c r="AR2579" s="1">
        <v>22.0</v>
      </c>
      <c r="AS2579" s="1">
        <v>9.7</v>
      </c>
      <c r="AT2579" s="1">
        <v>26.9</v>
      </c>
      <c r="AU2579" s="1">
        <v>9.6</v>
      </c>
      <c r="AV2579" s="1">
        <v>69.2</v>
      </c>
      <c r="AW2579" s="1">
        <v>11.5</v>
      </c>
      <c r="AX2579" s="1">
        <v>0.767</v>
      </c>
      <c r="AY2579" s="1">
        <v>14.0</v>
      </c>
      <c r="AZ2579" s="1">
        <v>15.1</v>
      </c>
      <c r="BA2579" s="1">
        <v>21.1</v>
      </c>
      <c r="BB2579" s="1">
        <v>2.89</v>
      </c>
      <c r="BC2579" s="1" t="s">
        <v>4123</v>
      </c>
      <c r="BD2579" s="1">
        <v>20.7</v>
      </c>
      <c r="BE2579" s="1">
        <v>22.6</v>
      </c>
      <c r="BF2579" s="1">
        <v>25.3</v>
      </c>
      <c r="BG2579" s="1">
        <v>31.5</v>
      </c>
      <c r="BH2579" s="1" t="s">
        <v>4221</v>
      </c>
    </row>
    <row r="2580">
      <c r="A2580" s="1">
        <v>48115.0</v>
      </c>
      <c r="B2580" s="2" t="str">
        <f>IFERROR(__xludf.DUMMYFUNCTION("TO_TEXT(A2580)"),"48115")</f>
        <v>48115</v>
      </c>
      <c r="C2580" s="1">
        <v>13317.0</v>
      </c>
      <c r="D2580" s="1">
        <v>900.305522720814</v>
      </c>
      <c r="E2580" s="1" t="s">
        <v>868</v>
      </c>
      <c r="F2580" s="1" t="s">
        <v>4222</v>
      </c>
      <c r="G2580" s="1">
        <v>14.7916453514077</v>
      </c>
      <c r="H2580" s="1">
        <v>25.453169093</v>
      </c>
      <c r="I2580" s="1">
        <v>4.1338817764</v>
      </c>
      <c r="J2580" s="1">
        <v>9.3486590038</v>
      </c>
      <c r="K2580" s="1">
        <v>16.164550294</v>
      </c>
      <c r="L2580" s="1">
        <v>29.2</v>
      </c>
      <c r="M2580" s="1">
        <v>7.2</v>
      </c>
      <c r="N2580" s="1">
        <v>28.1</v>
      </c>
      <c r="O2580" s="1">
        <v>68.3076700639999</v>
      </c>
      <c r="P2580" s="1">
        <v>21.163301601</v>
      </c>
      <c r="Q2580" s="1">
        <v>23.41372</v>
      </c>
      <c r="R2580" s="1">
        <v>98.8</v>
      </c>
      <c r="S2580" s="1">
        <v>29.9</v>
      </c>
      <c r="T2580" s="1">
        <v>2965.0</v>
      </c>
      <c r="U2580" s="1">
        <v>34.772344013</v>
      </c>
      <c r="V2580" s="1">
        <v>433.75974121</v>
      </c>
      <c r="W2580" s="1">
        <v>9.9307159353</v>
      </c>
      <c r="X2580" s="1">
        <v>6.94117647059999</v>
      </c>
      <c r="Y2580" s="1">
        <v>75.686872936</v>
      </c>
      <c r="Z2580" s="1">
        <v>16.7</v>
      </c>
      <c r="AA2580" s="1">
        <v>13.9094520109999</v>
      </c>
      <c r="AB2580" s="1">
        <v>43726.0</v>
      </c>
      <c r="AC2580" s="1">
        <v>68.489378442</v>
      </c>
      <c r="AD2580" s="1">
        <v>71.263304026</v>
      </c>
      <c r="AE2580" s="1">
        <v>12.024390244</v>
      </c>
      <c r="AF2580" s="1">
        <v>5.1430382756</v>
      </c>
      <c r="AG2580" s="1">
        <v>1.2283065219</v>
      </c>
      <c r="AH2580" s="1">
        <v>1.0698153578</v>
      </c>
      <c r="AI2580" s="1">
        <v>0.134717489499999</v>
      </c>
      <c r="AJ2580" s="1">
        <v>58.0949362069999</v>
      </c>
      <c r="AK2580" s="1">
        <v>34.860131548</v>
      </c>
      <c r="AL2580" s="1">
        <v>4.3593130779</v>
      </c>
      <c r="AM2580" s="1">
        <v>45.146208099</v>
      </c>
      <c r="AN2580" s="1">
        <v>16.294368539</v>
      </c>
      <c r="AO2580" s="1">
        <v>21193.0</v>
      </c>
      <c r="AP2580" s="1">
        <v>16.3</v>
      </c>
      <c r="AQ2580" s="1">
        <v>7.4</v>
      </c>
      <c r="AR2580" s="1">
        <v>25.9</v>
      </c>
      <c r="AS2580" s="1">
        <v>14.4</v>
      </c>
      <c r="AT2580" s="1">
        <v>24.3</v>
      </c>
      <c r="AU2580" s="1">
        <v>16.3</v>
      </c>
      <c r="AV2580" s="1">
        <v>62.7</v>
      </c>
      <c r="AW2580" s="1">
        <v>6.4</v>
      </c>
      <c r="AX2580" s="1">
        <v>0.7978</v>
      </c>
      <c r="AY2580" s="1">
        <v>20.6</v>
      </c>
      <c r="AZ2580" s="1">
        <v>17.1</v>
      </c>
      <c r="BA2580" s="1">
        <v>25.4</v>
      </c>
      <c r="BB2580" s="1">
        <v>3.04</v>
      </c>
      <c r="BC2580" s="1" t="s">
        <v>4123</v>
      </c>
      <c r="BD2580" s="1">
        <v>30.1</v>
      </c>
      <c r="BE2580" s="1">
        <v>32.3</v>
      </c>
      <c r="BF2580" s="1">
        <v>23.4</v>
      </c>
      <c r="BG2580" s="1">
        <v>14.2</v>
      </c>
      <c r="BH2580" s="1" t="s">
        <v>4222</v>
      </c>
    </row>
    <row r="2581">
      <c r="A2581" s="1">
        <v>48117.0</v>
      </c>
      <c r="B2581" s="2" t="str">
        <f>IFERROR(__xludf.DUMMYFUNCTION("TO_TEXT(A2581)"),"48117")</f>
        <v>48117</v>
      </c>
      <c r="C2581" s="1">
        <v>19039.0</v>
      </c>
      <c r="D2581" s="1">
        <v>1496.82114935034</v>
      </c>
      <c r="E2581" s="1" t="s">
        <v>4223</v>
      </c>
      <c r="F2581" s="1" t="s">
        <v>4224</v>
      </c>
      <c r="G2581" s="1">
        <v>12.7196225202079</v>
      </c>
      <c r="H2581" s="1">
        <v>25.437416955</v>
      </c>
      <c r="I2581" s="1">
        <v>4.039663398</v>
      </c>
      <c r="J2581" s="1">
        <v>7.7872340426</v>
      </c>
      <c r="K2581" s="1">
        <v>14.667277633</v>
      </c>
      <c r="L2581" s="1">
        <v>26.7</v>
      </c>
      <c r="M2581" s="1">
        <v>8.3</v>
      </c>
      <c r="N2581" s="1">
        <v>20.0</v>
      </c>
      <c r="O2581" s="1">
        <v>80.817674995</v>
      </c>
      <c r="P2581" s="1">
        <v>25.17211704</v>
      </c>
      <c r="Q2581" s="1">
        <v>10.61797</v>
      </c>
      <c r="R2581" s="1">
        <v>88.1</v>
      </c>
      <c r="S2581" s="1">
        <v>25.3</v>
      </c>
      <c r="T2581" s="1">
        <v>5865.0</v>
      </c>
      <c r="U2581" s="1">
        <v>31.662404092</v>
      </c>
      <c r="V2581" s="1">
        <v>310.11826544</v>
      </c>
      <c r="W2581" s="1">
        <v>11.513157895</v>
      </c>
      <c r="X2581" s="1">
        <v>7.6974231089</v>
      </c>
      <c r="Y2581" s="1">
        <v>77.758395365</v>
      </c>
      <c r="Z2581" s="1">
        <v>5.9</v>
      </c>
      <c r="AA2581" s="1">
        <v>9.0963770103</v>
      </c>
      <c r="AB2581" s="1">
        <v>44230.0</v>
      </c>
      <c r="AC2581" s="1">
        <v>79.064381658</v>
      </c>
      <c r="AD2581" s="1">
        <v>63.283922463</v>
      </c>
      <c r="AE2581" s="1">
        <v>8.1639865701</v>
      </c>
      <c r="AF2581" s="1">
        <v>1.012793177</v>
      </c>
      <c r="AG2581" s="1">
        <v>1.7430703625</v>
      </c>
      <c r="AH2581" s="1">
        <v>0.6343283582</v>
      </c>
      <c r="AI2581" s="1">
        <v>0.0692963753</v>
      </c>
      <c r="AJ2581" s="1">
        <v>73.496801706</v>
      </c>
      <c r="AK2581" s="1">
        <v>24.131130064</v>
      </c>
      <c r="AL2581" s="1">
        <v>10.164771409</v>
      </c>
      <c r="AM2581" s="1">
        <v>50.058635394</v>
      </c>
      <c r="AN2581" s="1">
        <v>17.711129465</v>
      </c>
      <c r="AO2581" s="1">
        <v>19823.0</v>
      </c>
      <c r="AP2581" s="1">
        <v>17.2</v>
      </c>
      <c r="AQ2581" s="1">
        <v>4.9</v>
      </c>
      <c r="AR2581" s="1">
        <v>28.2</v>
      </c>
      <c r="AS2581" s="1">
        <v>11.7</v>
      </c>
      <c r="AT2581" s="1">
        <v>31.8</v>
      </c>
      <c r="AU2581" s="1">
        <v>9.9</v>
      </c>
      <c r="AV2581" s="1">
        <v>73.1</v>
      </c>
      <c r="AW2581" s="1">
        <v>10.2</v>
      </c>
      <c r="AX2581" s="1">
        <v>0.8274</v>
      </c>
      <c r="AY2581" s="1">
        <v>17.0</v>
      </c>
      <c r="AZ2581" s="1">
        <v>12.8</v>
      </c>
      <c r="BA2581" s="1">
        <v>18.2</v>
      </c>
      <c r="BB2581" s="1">
        <v>3.04</v>
      </c>
      <c r="BC2581" s="1" t="s">
        <v>4123</v>
      </c>
      <c r="BD2581" s="1">
        <v>26.2</v>
      </c>
      <c r="BE2581" s="1">
        <v>36.6</v>
      </c>
      <c r="BF2581" s="1">
        <v>25.3</v>
      </c>
      <c r="BG2581" s="1">
        <v>12.0</v>
      </c>
      <c r="BH2581" s="1" t="s">
        <v>4224</v>
      </c>
    </row>
    <row r="2582">
      <c r="A2582" s="1">
        <v>48119.0</v>
      </c>
      <c r="B2582" s="2" t="str">
        <f>IFERROR(__xludf.DUMMYFUNCTION("TO_TEXT(A2582)"),"48119")</f>
        <v>48119</v>
      </c>
      <c r="C2582" s="1">
        <v>5226.0</v>
      </c>
      <c r="D2582" s="1">
        <v>256.825127192498</v>
      </c>
      <c r="E2582" s="1" t="s">
        <v>563</v>
      </c>
      <c r="F2582" s="1" t="s">
        <v>4225</v>
      </c>
      <c r="G2582" s="1">
        <v>20.3484762457957</v>
      </c>
      <c r="H2582" s="1">
        <v>18.009879663</v>
      </c>
      <c r="I2582" s="1">
        <v>4.336011291</v>
      </c>
      <c r="J2582" s="1">
        <v>6.5934065934</v>
      </c>
      <c r="K2582" s="1">
        <v>16.167868908</v>
      </c>
      <c r="L2582" s="1">
        <v>33.7</v>
      </c>
      <c r="M2582" s="1">
        <v>6.8</v>
      </c>
      <c r="N2582" s="1">
        <v>25.1</v>
      </c>
      <c r="O2582" s="1">
        <v>69.336646913</v>
      </c>
      <c r="P2582" s="1">
        <v>18.099331423</v>
      </c>
      <c r="Q2582" s="1">
        <v>18.87505</v>
      </c>
      <c r="R2582" s="1">
        <v>98.4</v>
      </c>
      <c r="S2582" s="1">
        <v>26.0</v>
      </c>
      <c r="T2582" s="1">
        <v>1218.0</v>
      </c>
      <c r="U2582" s="1">
        <v>33.087027915</v>
      </c>
      <c r="V2582" s="1">
        <v>19.0949016609999</v>
      </c>
      <c r="W2582" s="1">
        <v>14.467005076</v>
      </c>
      <c r="X2582" s="1">
        <v>11.707566462</v>
      </c>
      <c r="Y2582" s="1">
        <v>72.951564052</v>
      </c>
      <c r="Z2582" s="1">
        <v>10.6</v>
      </c>
      <c r="AA2582" s="1">
        <v>2.7010888382</v>
      </c>
      <c r="AB2582" s="1">
        <v>44410.0</v>
      </c>
      <c r="AC2582" s="1">
        <v>63.476347635</v>
      </c>
      <c r="AD2582" s="1">
        <v>74.342431762</v>
      </c>
      <c r="AE2582" s="1">
        <v>13.03451829</v>
      </c>
      <c r="AF2582" s="1">
        <v>6.31893811929999</v>
      </c>
      <c r="AG2582" s="1">
        <v>2.3181903159</v>
      </c>
      <c r="AH2582" s="1">
        <v>0.6543279118</v>
      </c>
      <c r="AI2582" s="1">
        <v>0.0560852496</v>
      </c>
      <c r="AJ2582" s="1">
        <v>8.4501776033</v>
      </c>
      <c r="AK2582" s="1">
        <v>80.145821649</v>
      </c>
      <c r="AL2582" s="1">
        <v>0.306122449</v>
      </c>
      <c r="AM2582" s="1">
        <v>50.252383623</v>
      </c>
      <c r="AN2582" s="1">
        <v>100.0</v>
      </c>
      <c r="AO2582" s="1">
        <v>20822.0</v>
      </c>
      <c r="AP2582" s="1">
        <v>21.5</v>
      </c>
      <c r="AQ2582" s="1">
        <v>9.4</v>
      </c>
      <c r="AR2582" s="1">
        <v>13.7</v>
      </c>
      <c r="AS2582" s="1">
        <v>21.1</v>
      </c>
      <c r="AT2582" s="1">
        <v>22.2</v>
      </c>
      <c r="AU2582" s="1">
        <v>17.8</v>
      </c>
      <c r="AV2582" s="1">
        <v>18.6</v>
      </c>
      <c r="AW2582" s="1">
        <v>0.2</v>
      </c>
      <c r="AX2582" s="1">
        <v>0.6549</v>
      </c>
      <c r="AY2582" s="1">
        <v>16.0</v>
      </c>
      <c r="AZ2582" s="1">
        <v>19.2</v>
      </c>
      <c r="BA2582" s="1">
        <v>30.6</v>
      </c>
      <c r="BB2582" s="1">
        <v>2.76</v>
      </c>
      <c r="BC2582" s="1" t="s">
        <v>4123</v>
      </c>
      <c r="BD2582" s="1">
        <v>12.2</v>
      </c>
      <c r="BE2582" s="1">
        <v>32.0</v>
      </c>
      <c r="BF2582" s="1">
        <v>30.6</v>
      </c>
      <c r="BG2582" s="1">
        <v>25.1</v>
      </c>
      <c r="BH2582" s="1" t="s">
        <v>4225</v>
      </c>
    </row>
    <row r="2583">
      <c r="A2583" s="1">
        <v>48121.0</v>
      </c>
      <c r="B2583" s="2" t="str">
        <f>IFERROR(__xludf.DUMMYFUNCTION("TO_TEXT(A2583)"),"48121")</f>
        <v>48121</v>
      </c>
      <c r="C2583" s="1">
        <v>754650.0</v>
      </c>
      <c r="D2583" s="1">
        <v>878.532978430106</v>
      </c>
      <c r="E2583" s="1" t="s">
        <v>4226</v>
      </c>
      <c r="F2583" s="1" t="s">
        <v>4227</v>
      </c>
      <c r="G2583" s="1">
        <v>858.988812632306</v>
      </c>
      <c r="H2583" s="1">
        <v>14.428852499</v>
      </c>
      <c r="I2583" s="1">
        <v>3.6134368066</v>
      </c>
      <c r="J2583" s="1">
        <v>7.4274277199</v>
      </c>
      <c r="K2583" s="1">
        <v>13.069650279</v>
      </c>
      <c r="L2583" s="1">
        <v>25.2</v>
      </c>
      <c r="M2583" s="1">
        <v>7.6</v>
      </c>
      <c r="N2583" s="1">
        <v>20.2</v>
      </c>
      <c r="O2583" s="1">
        <v>94.47642217</v>
      </c>
      <c r="P2583" s="1">
        <v>12.945109521</v>
      </c>
      <c r="Q2583" s="1">
        <v>63.38121</v>
      </c>
      <c r="R2583" s="1">
        <v>94.5</v>
      </c>
      <c r="S2583" s="1">
        <v>8.1</v>
      </c>
      <c r="T2583" s="1">
        <v>203085.0</v>
      </c>
      <c r="U2583" s="1">
        <v>22.215328557</v>
      </c>
      <c r="V2583" s="1">
        <v>170.03344034</v>
      </c>
      <c r="W2583" s="1">
        <v>14.313932052</v>
      </c>
      <c r="X2583" s="1">
        <v>11.642873415</v>
      </c>
      <c r="Y2583" s="1">
        <v>81.82897515</v>
      </c>
      <c r="Z2583" s="1">
        <v>8.7</v>
      </c>
      <c r="AA2583" s="1">
        <v>4.3475784252</v>
      </c>
      <c r="AB2583" s="1">
        <v>88384.0</v>
      </c>
      <c r="AC2583" s="1">
        <v>32.209285683</v>
      </c>
      <c r="AD2583" s="1">
        <v>64.482259488</v>
      </c>
      <c r="AE2583" s="1">
        <v>11.676482108</v>
      </c>
      <c r="AF2583" s="1">
        <v>10.096453815</v>
      </c>
      <c r="AG2583" s="1">
        <v>0.8387035192</v>
      </c>
      <c r="AH2583" s="1">
        <v>9.5002234991</v>
      </c>
      <c r="AI2583" s="1">
        <v>0.1109346917</v>
      </c>
      <c r="AJ2583" s="1">
        <v>19.524389335</v>
      </c>
      <c r="AK2583" s="1">
        <v>58.335583845</v>
      </c>
      <c r="AL2583" s="1">
        <v>3.48797608339999</v>
      </c>
      <c r="AM2583" s="1">
        <v>50.792374026</v>
      </c>
      <c r="AN2583" s="1">
        <v>6.9058305439</v>
      </c>
      <c r="AO2583" s="1">
        <v>36238.0</v>
      </c>
      <c r="AP2583" s="1">
        <v>8.7</v>
      </c>
      <c r="AQ2583" s="1">
        <v>5.1</v>
      </c>
      <c r="AR2583" s="1">
        <v>8.0</v>
      </c>
      <c r="AS2583" s="1">
        <v>8.7</v>
      </c>
      <c r="AT2583" s="1">
        <v>26.1</v>
      </c>
      <c r="AU2583" s="1">
        <v>8.0</v>
      </c>
      <c r="AV2583" s="1">
        <v>38.4</v>
      </c>
      <c r="AW2583" s="1">
        <v>3.8</v>
      </c>
      <c r="AX2583" s="1">
        <v>0.2576</v>
      </c>
      <c r="AY2583" s="1">
        <v>6.5</v>
      </c>
      <c r="AZ2583" s="1">
        <v>11.5</v>
      </c>
      <c r="BA2583" s="1">
        <v>15.9</v>
      </c>
      <c r="BB2583" s="1">
        <v>3.01</v>
      </c>
      <c r="BC2583" s="1" t="s">
        <v>4123</v>
      </c>
      <c r="BD2583" s="1">
        <v>7.5</v>
      </c>
      <c r="BE2583" s="1">
        <v>17.8</v>
      </c>
      <c r="BF2583" s="1">
        <v>29.6</v>
      </c>
      <c r="BG2583" s="1">
        <v>45.1</v>
      </c>
      <c r="BH2583" s="1" t="s">
        <v>4227</v>
      </c>
    </row>
    <row r="2584">
      <c r="A2584" s="1">
        <v>48123.0</v>
      </c>
      <c r="B2584" s="2" t="str">
        <f>IFERROR(__xludf.DUMMYFUNCTION("TO_TEXT(A2584)"),"48123")</f>
        <v>48123</v>
      </c>
      <c r="C2584" s="1">
        <v>20660.0</v>
      </c>
      <c r="D2584" s="1">
        <v>908.975980584798</v>
      </c>
      <c r="E2584" s="1" t="s">
        <v>4228</v>
      </c>
      <c r="F2584" s="1" t="s">
        <v>4229</v>
      </c>
      <c r="G2584" s="1">
        <v>22.7288734150139</v>
      </c>
      <c r="H2584" s="1">
        <v>21.8486247319999</v>
      </c>
      <c r="I2584" s="1">
        <v>4.1209715139</v>
      </c>
      <c r="J2584" s="1">
        <v>8.5047248471</v>
      </c>
      <c r="K2584" s="1">
        <v>15.261431491</v>
      </c>
      <c r="L2584" s="1">
        <v>26.6</v>
      </c>
      <c r="M2584" s="1">
        <v>7.3</v>
      </c>
      <c r="N2584" s="1">
        <v>34.2</v>
      </c>
      <c r="O2584" s="1">
        <v>60.113449769</v>
      </c>
      <c r="P2584" s="1">
        <v>17.878272696</v>
      </c>
      <c r="Q2584" s="1">
        <v>54.38544</v>
      </c>
      <c r="R2584" s="1">
        <v>96.5</v>
      </c>
      <c r="S2584" s="1">
        <v>25.2</v>
      </c>
      <c r="T2584" s="1">
        <v>4513.0</v>
      </c>
      <c r="U2584" s="1">
        <v>28.91646355</v>
      </c>
      <c r="V2584" s="1">
        <v>537.75057016</v>
      </c>
      <c r="W2584" s="1">
        <v>13.230119634</v>
      </c>
      <c r="X2584" s="1">
        <v>9.9502487562</v>
      </c>
      <c r="Y2584" s="1">
        <v>76.490465847</v>
      </c>
      <c r="Z2584" s="1">
        <v>15.3</v>
      </c>
      <c r="AA2584" s="1">
        <v>7.9000412421</v>
      </c>
      <c r="AB2584" s="1">
        <v>49208.0</v>
      </c>
      <c r="AC2584" s="1">
        <v>72.827041264</v>
      </c>
      <c r="AD2584" s="1">
        <v>75.183408578</v>
      </c>
      <c r="AE2584" s="1">
        <v>9.5060993752</v>
      </c>
      <c r="AF2584" s="1">
        <v>8.4212612077</v>
      </c>
      <c r="AG2584" s="1">
        <v>0.9511071482</v>
      </c>
      <c r="AH2584" s="1">
        <v>0.3566651806</v>
      </c>
      <c r="AI2584" s="1">
        <v>0.0396294645</v>
      </c>
      <c r="AJ2584" s="1">
        <v>35.5377222969999</v>
      </c>
      <c r="AK2584" s="1">
        <v>54.678753653</v>
      </c>
      <c r="AL2584" s="1">
        <v>1.8188470182</v>
      </c>
      <c r="AM2584" s="1">
        <v>47.481052162</v>
      </c>
      <c r="AN2584" s="1">
        <v>49.624322038</v>
      </c>
      <c r="AO2584" s="1">
        <v>27370.0</v>
      </c>
      <c r="AP2584" s="1">
        <v>16.2</v>
      </c>
      <c r="AQ2584" s="1">
        <v>6.7</v>
      </c>
      <c r="AR2584" s="1">
        <v>20.1</v>
      </c>
      <c r="AS2584" s="1">
        <v>19.2</v>
      </c>
      <c r="AT2584" s="1">
        <v>22.4</v>
      </c>
      <c r="AU2584" s="1">
        <v>17.1</v>
      </c>
      <c r="AV2584" s="1">
        <v>43.8</v>
      </c>
      <c r="AW2584" s="1">
        <v>1.3</v>
      </c>
      <c r="AX2584" s="1">
        <v>0.7988</v>
      </c>
      <c r="AY2584" s="1">
        <v>17.1</v>
      </c>
      <c r="AZ2584" s="1">
        <v>15.0</v>
      </c>
      <c r="BA2584" s="1">
        <v>20.7</v>
      </c>
      <c r="BB2584" s="1">
        <v>2.61</v>
      </c>
      <c r="BC2584" s="1" t="s">
        <v>4123</v>
      </c>
      <c r="BD2584" s="1">
        <v>19.2</v>
      </c>
      <c r="BE2584" s="1">
        <v>39.1</v>
      </c>
      <c r="BF2584" s="1">
        <v>29.1</v>
      </c>
      <c r="BG2584" s="1">
        <v>12.6</v>
      </c>
      <c r="BH2584" s="1" t="s">
        <v>4229</v>
      </c>
    </row>
    <row r="2585">
      <c r="A2585" s="1">
        <v>48125.0</v>
      </c>
      <c r="B2585" s="2" t="str">
        <f>IFERROR(__xludf.DUMMYFUNCTION("TO_TEXT(A2585)"),"48125")</f>
        <v>48125</v>
      </c>
      <c r="C2585" s="1">
        <v>2237.0</v>
      </c>
      <c r="D2585" s="1">
        <v>901.72372671838</v>
      </c>
      <c r="E2585" s="1" t="s">
        <v>4230</v>
      </c>
      <c r="F2585" s="1" t="s">
        <v>4231</v>
      </c>
      <c r="G2585" s="1">
        <v>2.4808041905929</v>
      </c>
      <c r="H2585" s="1">
        <v>20.818204655</v>
      </c>
      <c r="I2585" s="1">
        <v>4.0302281397</v>
      </c>
      <c r="J2585" s="1">
        <v>15.9420289859999</v>
      </c>
      <c r="K2585" s="1">
        <v>15.3985316459999</v>
      </c>
      <c r="L2585" s="1">
        <v>23.7</v>
      </c>
      <c r="M2585" s="1">
        <v>7.3</v>
      </c>
      <c r="N2585" s="1">
        <v>23.6</v>
      </c>
      <c r="O2585" s="1">
        <v>37.234042553</v>
      </c>
      <c r="P2585" s="1">
        <v>24.497126437</v>
      </c>
      <c r="Q2585" s="1">
        <v>45.26935</v>
      </c>
      <c r="R2585" s="1">
        <v>96.0</v>
      </c>
      <c r="S2585" s="1">
        <v>27.5</v>
      </c>
      <c r="T2585" s="1">
        <v>475.0</v>
      </c>
      <c r="U2585" s="1">
        <v>22.736842105</v>
      </c>
      <c r="V2585" s="1">
        <v>316.52724395</v>
      </c>
      <c r="W2585" s="1">
        <v>9.7701149425</v>
      </c>
      <c r="X2585" s="1">
        <v>6.7757009346</v>
      </c>
      <c r="Y2585" s="1">
        <v>78.068661575</v>
      </c>
      <c r="Z2585" s="1">
        <v>5.5</v>
      </c>
      <c r="AA2585" s="1">
        <v>5.5551053107</v>
      </c>
      <c r="AB2585" s="1">
        <v>39627.0</v>
      </c>
      <c r="AC2585" s="1">
        <v>64.985994398</v>
      </c>
      <c r="AD2585" s="1">
        <v>72.921615202</v>
      </c>
      <c r="AE2585" s="1">
        <v>9.6774193548</v>
      </c>
      <c r="AF2585" s="1">
        <v>4.668741663</v>
      </c>
      <c r="AG2585" s="1">
        <v>2.2232103157</v>
      </c>
      <c r="AH2585" s="1">
        <v>1.2894619831</v>
      </c>
      <c r="AI2585" s="1">
        <v>0.0889284125999999</v>
      </c>
      <c r="AJ2585" s="1">
        <v>31.569586483</v>
      </c>
      <c r="AK2585" s="1">
        <v>60.782570031</v>
      </c>
      <c r="AL2585" s="1">
        <v>0.9492168961</v>
      </c>
      <c r="AM2585" s="1">
        <v>44.6420631389999</v>
      </c>
      <c r="AN2585" s="1">
        <v>100.0</v>
      </c>
      <c r="AO2585" s="1">
        <v>22526.0</v>
      </c>
      <c r="AP2585" s="1">
        <v>19.0</v>
      </c>
      <c r="AQ2585" s="1">
        <v>11.8</v>
      </c>
      <c r="AR2585" s="1">
        <v>21.5</v>
      </c>
      <c r="AS2585" s="1">
        <v>22.4</v>
      </c>
      <c r="AT2585" s="1">
        <v>20.7</v>
      </c>
      <c r="AU2585" s="1">
        <v>24.0</v>
      </c>
      <c r="AV2585" s="1">
        <v>32.5</v>
      </c>
      <c r="AW2585" s="1">
        <v>2.9</v>
      </c>
      <c r="AX2585" s="1">
        <v>0.8612</v>
      </c>
      <c r="AY2585" s="1">
        <v>19.4</v>
      </c>
      <c r="AZ2585" s="1">
        <v>17.3</v>
      </c>
      <c r="BA2585" s="1">
        <v>24.7</v>
      </c>
      <c r="BB2585" s="1">
        <v>3.07</v>
      </c>
      <c r="BC2585" s="1" t="s">
        <v>4123</v>
      </c>
      <c r="BD2585" s="1">
        <v>15.6</v>
      </c>
      <c r="BE2585" s="1">
        <v>35.8</v>
      </c>
      <c r="BF2585" s="1">
        <v>30.1</v>
      </c>
      <c r="BG2585" s="1">
        <v>18.5</v>
      </c>
      <c r="BH2585" s="1" t="s">
        <v>4231</v>
      </c>
    </row>
    <row r="2586">
      <c r="A2586" s="1">
        <v>48127.0</v>
      </c>
      <c r="B2586" s="2" t="str">
        <f>IFERROR(__xludf.DUMMYFUNCTION("TO_TEXT(A2586)"),"48127")</f>
        <v>48127</v>
      </c>
      <c r="C2586" s="1">
        <v>10842.0</v>
      </c>
      <c r="D2586" s="1">
        <v>1328.88407401723</v>
      </c>
      <c r="E2586" s="1" t="s">
        <v>4232</v>
      </c>
      <c r="F2586" s="1" t="s">
        <v>4233</v>
      </c>
      <c r="G2586" s="1">
        <v>8.15872521312151</v>
      </c>
      <c r="H2586" s="1">
        <v>34.340910676</v>
      </c>
      <c r="I2586" s="1">
        <v>4.49478680279999</v>
      </c>
      <c r="J2586" s="1">
        <v>8.3832335329</v>
      </c>
      <c r="K2586" s="1">
        <v>17.068464543</v>
      </c>
      <c r="L2586" s="1">
        <v>32.5</v>
      </c>
      <c r="M2586" s="1">
        <v>7.2</v>
      </c>
      <c r="N2586" s="1">
        <v>30.2</v>
      </c>
      <c r="O2586" s="1">
        <v>67.647058824</v>
      </c>
      <c r="P2586" s="1">
        <v>19.271500058</v>
      </c>
      <c r="Q2586" s="1">
        <v>38.39509</v>
      </c>
      <c r="R2586" s="1">
        <v>78.9</v>
      </c>
      <c r="S2586" s="1">
        <v>35.8</v>
      </c>
      <c r="T2586" s="1">
        <v>3195.0</v>
      </c>
      <c r="U2586" s="1">
        <v>42.535211268</v>
      </c>
      <c r="V2586" s="1">
        <v>84.992171774</v>
      </c>
      <c r="W2586" s="1">
        <v>19.681620839</v>
      </c>
      <c r="X2586" s="1">
        <v>5.6213017751</v>
      </c>
      <c r="Y2586" s="1">
        <v>79.556194299</v>
      </c>
      <c r="Z2586" s="1">
        <v>5.4</v>
      </c>
      <c r="AA2586" s="1">
        <v>17.962665364</v>
      </c>
      <c r="AB2586" s="1">
        <v>37177.0</v>
      </c>
      <c r="AC2586" s="1">
        <v>76.97874265</v>
      </c>
      <c r="AD2586" s="1">
        <v>72.3481414319999</v>
      </c>
      <c r="AE2586" s="1">
        <v>12.222946545</v>
      </c>
      <c r="AF2586" s="1">
        <v>1.0865347303</v>
      </c>
      <c r="AG2586" s="1">
        <v>0.766395033</v>
      </c>
      <c r="AH2586" s="1">
        <v>0.737291424099999</v>
      </c>
      <c r="AI2586" s="1">
        <v>0.0194024059</v>
      </c>
      <c r="AJ2586" s="1">
        <v>87.388436166</v>
      </c>
      <c r="AK2586" s="1">
        <v>10.545207606</v>
      </c>
      <c r="AL2586" s="1">
        <v>7.9912935323</v>
      </c>
      <c r="AM2586" s="1">
        <v>50.805199845</v>
      </c>
      <c r="AN2586" s="1">
        <v>39.475790316</v>
      </c>
      <c r="AO2586" s="1">
        <v>19528.0</v>
      </c>
      <c r="AP2586" s="1">
        <v>23.3</v>
      </c>
      <c r="AQ2586" s="1">
        <v>12.8</v>
      </c>
      <c r="AR2586" s="1">
        <v>33.4</v>
      </c>
      <c r="AS2586" s="1">
        <v>14.4</v>
      </c>
      <c r="AT2586" s="1">
        <v>29.9</v>
      </c>
      <c r="AU2586" s="1">
        <v>24.1</v>
      </c>
      <c r="AV2586" s="1">
        <v>86.5</v>
      </c>
      <c r="AW2586" s="1">
        <v>7.4</v>
      </c>
      <c r="AX2586" s="1">
        <v>0.9799</v>
      </c>
      <c r="AY2586" s="1">
        <v>25.3</v>
      </c>
      <c r="AZ2586" s="1">
        <v>18.3</v>
      </c>
      <c r="BA2586" s="1">
        <v>27.0</v>
      </c>
      <c r="BB2586" s="1">
        <v>2.43</v>
      </c>
      <c r="BC2586" s="1" t="s">
        <v>4123</v>
      </c>
      <c r="BD2586" s="1">
        <v>33.6</v>
      </c>
      <c r="BE2586" s="1">
        <v>36.2</v>
      </c>
      <c r="BF2586" s="1">
        <v>16.6</v>
      </c>
      <c r="BG2586" s="1">
        <v>13.6</v>
      </c>
      <c r="BH2586" s="1" t="s">
        <v>4233</v>
      </c>
    </row>
    <row r="2587">
      <c r="A2587" s="1">
        <v>48129.0</v>
      </c>
      <c r="B2587" s="2" t="str">
        <f>IFERROR(__xludf.DUMMYFUNCTION("TO_TEXT(A2587)"),"48129")</f>
        <v>48129</v>
      </c>
      <c r="C2587" s="1">
        <v>3506.0</v>
      </c>
      <c r="D2587" s="1">
        <v>926.885716837144</v>
      </c>
      <c r="E2587" s="1" t="s">
        <v>4234</v>
      </c>
      <c r="F2587" s="1" t="s">
        <v>4235</v>
      </c>
      <c r="G2587" s="1">
        <v>3.78255909689027</v>
      </c>
      <c r="H2587" s="1">
        <v>16.672821332</v>
      </c>
      <c r="I2587" s="1">
        <v>4.0627230181</v>
      </c>
      <c r="J2587" s="1">
        <v>9.3220338983</v>
      </c>
      <c r="K2587" s="1">
        <v>13.943192478</v>
      </c>
      <c r="L2587" s="1">
        <v>28.4</v>
      </c>
      <c r="M2587" s="1">
        <v>7.0</v>
      </c>
      <c r="N2587" s="1">
        <v>22.6</v>
      </c>
      <c r="O2587" s="1">
        <v>77.8895839</v>
      </c>
      <c r="P2587" s="1">
        <v>20.4125483459999</v>
      </c>
      <c r="Q2587" s="1">
        <v>30.20236</v>
      </c>
      <c r="R2587" s="1">
        <v>97.8</v>
      </c>
      <c r="S2587" s="1">
        <v>27.8</v>
      </c>
      <c r="T2587" s="1">
        <v>686.0</v>
      </c>
      <c r="U2587" s="1">
        <v>39.067055394</v>
      </c>
      <c r="V2587" s="1">
        <v>316.364682199999</v>
      </c>
      <c r="W2587" s="1">
        <v>11.2840466929999</v>
      </c>
      <c r="X2587" s="1">
        <v>9.0196078431</v>
      </c>
      <c r="Y2587" s="1">
        <v>75.153805475</v>
      </c>
      <c r="Z2587" s="1">
        <v>11.5</v>
      </c>
      <c r="AA2587" s="1">
        <v>5.8118944506</v>
      </c>
      <c r="AB2587" s="1">
        <v>40945.0</v>
      </c>
      <c r="AC2587" s="1">
        <v>55.208333333</v>
      </c>
      <c r="AD2587" s="1">
        <v>74.88372093</v>
      </c>
      <c r="AE2587" s="1">
        <v>11.541565779</v>
      </c>
      <c r="AF2587" s="1">
        <v>5.664356734</v>
      </c>
      <c r="AG2587" s="1">
        <v>0.8737571558</v>
      </c>
      <c r="AH2587" s="1">
        <v>0.7833684845</v>
      </c>
      <c r="AI2587" s="1">
        <v>0.0602591142</v>
      </c>
      <c r="AJ2587" s="1">
        <v>11.901175053</v>
      </c>
      <c r="AK2587" s="1">
        <v>79.722808075</v>
      </c>
      <c r="AL2587" s="1">
        <v>0.6511627907</v>
      </c>
      <c r="AM2587" s="1">
        <v>50.888821934</v>
      </c>
      <c r="AN2587" s="1">
        <v>100.0</v>
      </c>
      <c r="AO2587" s="1">
        <v>22454.0</v>
      </c>
      <c r="AP2587" s="1">
        <v>15.0</v>
      </c>
      <c r="AQ2587" s="1">
        <v>4.9</v>
      </c>
      <c r="AR2587" s="1">
        <v>12.7</v>
      </c>
      <c r="AS2587" s="1">
        <v>22.7</v>
      </c>
      <c r="AT2587" s="1">
        <v>19.8</v>
      </c>
      <c r="AU2587" s="1">
        <v>18.0</v>
      </c>
      <c r="AV2587" s="1">
        <v>17.9</v>
      </c>
      <c r="AW2587" s="1">
        <v>0.8</v>
      </c>
      <c r="AX2587" s="1">
        <v>0.5129</v>
      </c>
      <c r="AY2587" s="1">
        <v>16.4</v>
      </c>
      <c r="AZ2587" s="1">
        <v>15.4</v>
      </c>
      <c r="BA2587" s="1">
        <v>25.8</v>
      </c>
      <c r="BB2587" s="1">
        <v>3.11</v>
      </c>
      <c r="BC2587" s="1" t="s">
        <v>4123</v>
      </c>
      <c r="BD2587" s="1">
        <v>11.3</v>
      </c>
      <c r="BE2587" s="1">
        <v>34.0</v>
      </c>
      <c r="BF2587" s="1">
        <v>36.8</v>
      </c>
      <c r="BG2587" s="1">
        <v>17.9</v>
      </c>
      <c r="BH2587" s="1" t="s">
        <v>4235</v>
      </c>
    </row>
    <row r="2588">
      <c r="A2588" s="1">
        <v>48131.0</v>
      </c>
      <c r="B2588" s="2" t="str">
        <f>IFERROR(__xludf.DUMMYFUNCTION("TO_TEXT(A2588)"),"48131")</f>
        <v>48131</v>
      </c>
      <c r="C2588" s="1">
        <v>11510.0</v>
      </c>
      <c r="D2588" s="1">
        <v>1793.47692334313</v>
      </c>
      <c r="E2588" s="1" t="s">
        <v>705</v>
      </c>
      <c r="F2588" s="1" t="s">
        <v>4236</v>
      </c>
      <c r="G2588" s="1">
        <v>6.41770175584127</v>
      </c>
      <c r="H2588" s="1">
        <v>32.804554898</v>
      </c>
      <c r="I2588" s="1">
        <v>4.2771340634</v>
      </c>
      <c r="J2588" s="1">
        <v>8.7108013937</v>
      </c>
      <c r="K2588" s="1">
        <v>15.741370984</v>
      </c>
      <c r="L2588" s="1">
        <v>25.9</v>
      </c>
      <c r="M2588" s="1">
        <v>7.0</v>
      </c>
      <c r="N2588" s="1">
        <v>23.2</v>
      </c>
      <c r="O2588" s="1">
        <v>57.7406212869999</v>
      </c>
      <c r="P2588" s="1">
        <v>20.044309701</v>
      </c>
      <c r="Q2588" s="1">
        <v>48.31939</v>
      </c>
      <c r="R2588" s="1">
        <v>86.1</v>
      </c>
      <c r="S2588" s="1">
        <v>36.1</v>
      </c>
      <c r="T2588" s="1">
        <v>2866.0</v>
      </c>
      <c r="U2588" s="1">
        <v>50.0</v>
      </c>
      <c r="V2588" s="1">
        <v>611.41653394</v>
      </c>
      <c r="W2588" s="1">
        <v>21.079691517</v>
      </c>
      <c r="X2588" s="1">
        <v>7.0866141732</v>
      </c>
      <c r="Y2588" s="1">
        <v>74.880192041</v>
      </c>
      <c r="Z2588" s="1">
        <v>11.4</v>
      </c>
      <c r="AA2588" s="1">
        <v>19.628773353</v>
      </c>
      <c r="AB2588" s="1">
        <v>35156.0</v>
      </c>
      <c r="AC2588" s="1">
        <v>73.712121212</v>
      </c>
      <c r="AD2588" s="1">
        <v>63.457704358</v>
      </c>
      <c r="AE2588" s="1">
        <v>8.8867805187</v>
      </c>
      <c r="AF2588" s="1">
        <v>1.0881198716</v>
      </c>
      <c r="AG2588" s="1">
        <v>0.8829825187</v>
      </c>
      <c r="AH2588" s="1">
        <v>0.4637887977</v>
      </c>
      <c r="AI2588" s="1">
        <v>0.1159471994</v>
      </c>
      <c r="AJ2588" s="1">
        <v>89.1277203</v>
      </c>
      <c r="AK2588" s="1">
        <v>8.9725294328</v>
      </c>
      <c r="AL2588" s="1">
        <v>5.7484348321</v>
      </c>
      <c r="AM2588" s="1">
        <v>48.448091331</v>
      </c>
      <c r="AN2588" s="1">
        <v>67.042946868</v>
      </c>
      <c r="AO2588" s="1">
        <v>19853.0</v>
      </c>
      <c r="AP2588" s="1">
        <v>24.5</v>
      </c>
      <c r="AQ2588" s="1">
        <v>11.5</v>
      </c>
      <c r="AR2588" s="1">
        <v>32.9</v>
      </c>
      <c r="AS2588" s="1">
        <v>17.6</v>
      </c>
      <c r="AT2588" s="1">
        <v>24.4</v>
      </c>
      <c r="AU2588" s="1">
        <v>27.1</v>
      </c>
      <c r="AV2588" s="1">
        <v>91.0</v>
      </c>
      <c r="AW2588" s="1">
        <v>4.9</v>
      </c>
      <c r="AX2588" s="1">
        <v>0.9981</v>
      </c>
      <c r="AY2588" s="1">
        <v>23.9</v>
      </c>
      <c r="AZ2588" s="1">
        <v>19.0</v>
      </c>
      <c r="BA2588" s="1">
        <v>29.4</v>
      </c>
      <c r="BB2588" s="1">
        <v>2.74</v>
      </c>
      <c r="BC2588" s="1" t="s">
        <v>4123</v>
      </c>
      <c r="BD2588" s="1">
        <v>31.4</v>
      </c>
      <c r="BE2588" s="1">
        <v>30.7</v>
      </c>
      <c r="BF2588" s="1">
        <v>28.9</v>
      </c>
      <c r="BG2588" s="1">
        <v>9.0</v>
      </c>
      <c r="BH2588" s="1" t="s">
        <v>4236</v>
      </c>
    </row>
    <row r="2589">
      <c r="A2589" s="1">
        <v>48133.0</v>
      </c>
      <c r="B2589" s="2" t="str">
        <f>IFERROR(__xludf.DUMMYFUNCTION("TO_TEXT(A2589)"),"48133")</f>
        <v>48133</v>
      </c>
      <c r="C2589" s="1">
        <v>18252.0</v>
      </c>
      <c r="D2589" s="1">
        <v>926.490091631313</v>
      </c>
      <c r="E2589" s="1" t="s">
        <v>4237</v>
      </c>
      <c r="F2589" s="1" t="s">
        <v>4238</v>
      </c>
      <c r="G2589" s="1">
        <v>19.7001567149659</v>
      </c>
      <c r="H2589" s="1">
        <v>18.54509811</v>
      </c>
      <c r="I2589" s="1">
        <v>4.2209009168</v>
      </c>
      <c r="J2589" s="1">
        <v>7.9285714286</v>
      </c>
      <c r="K2589" s="1">
        <v>15.1304640259999</v>
      </c>
      <c r="L2589" s="1">
        <v>34.6</v>
      </c>
      <c r="M2589" s="1">
        <v>6.6</v>
      </c>
      <c r="N2589" s="1">
        <v>29.4</v>
      </c>
      <c r="O2589" s="1">
        <v>53.010816338</v>
      </c>
      <c r="P2589" s="1">
        <v>22.11810852</v>
      </c>
      <c r="Q2589" s="1">
        <v>32.5892099999999</v>
      </c>
      <c r="R2589" s="1">
        <v>95.6</v>
      </c>
      <c r="S2589" s="1">
        <v>26.1</v>
      </c>
      <c r="T2589" s="1">
        <v>3731.0</v>
      </c>
      <c r="U2589" s="1">
        <v>23.2377378719999</v>
      </c>
      <c r="V2589" s="1">
        <v>213.21347279</v>
      </c>
      <c r="W2589" s="1">
        <v>9.2592592593</v>
      </c>
      <c r="X2589" s="1">
        <v>6.4</v>
      </c>
      <c r="Y2589" s="1">
        <v>76.476278</v>
      </c>
      <c r="Z2589" s="1">
        <v>5.8</v>
      </c>
      <c r="AA2589" s="1">
        <v>10.101311745</v>
      </c>
      <c r="AB2589" s="1">
        <v>44773.0</v>
      </c>
      <c r="AC2589" s="1">
        <v>62.262156448</v>
      </c>
      <c r="AD2589" s="1">
        <v>75.696594427</v>
      </c>
      <c r="AE2589" s="1">
        <v>6.3935550223</v>
      </c>
      <c r="AF2589" s="1">
        <v>1.79019757669999</v>
      </c>
      <c r="AG2589" s="1">
        <v>1.2171160354</v>
      </c>
      <c r="AH2589" s="1">
        <v>0.7095295273</v>
      </c>
      <c r="AI2589" s="1">
        <v>0.0764108722</v>
      </c>
      <c r="AJ2589" s="1">
        <v>16.832223556</v>
      </c>
      <c r="AK2589" s="1">
        <v>78.735945857</v>
      </c>
      <c r="AL2589" s="1">
        <v>3.0304782835</v>
      </c>
      <c r="AM2589" s="1">
        <v>50.065495033</v>
      </c>
      <c r="AN2589" s="1">
        <v>60.3454770489999</v>
      </c>
      <c r="AO2589" s="1">
        <v>21577.0</v>
      </c>
      <c r="AP2589" s="1">
        <v>17.6</v>
      </c>
      <c r="AQ2589" s="1">
        <v>5.0</v>
      </c>
      <c r="AR2589" s="1">
        <v>17.2</v>
      </c>
      <c r="AS2589" s="1">
        <v>21.2</v>
      </c>
      <c r="AT2589" s="1">
        <v>21.3</v>
      </c>
      <c r="AU2589" s="1">
        <v>20.7</v>
      </c>
      <c r="AV2589" s="1">
        <v>19.8</v>
      </c>
      <c r="AW2589" s="1">
        <v>2.1</v>
      </c>
      <c r="AX2589" s="1">
        <v>0.6947</v>
      </c>
      <c r="AY2589" s="1">
        <v>16.7</v>
      </c>
      <c r="AZ2589" s="1">
        <v>18.4</v>
      </c>
      <c r="BA2589" s="1">
        <v>28.5</v>
      </c>
      <c r="BB2589" s="1">
        <v>2.84</v>
      </c>
      <c r="BC2589" s="1" t="s">
        <v>4123</v>
      </c>
      <c r="BD2589" s="1">
        <v>15.6</v>
      </c>
      <c r="BE2589" s="1">
        <v>31.6</v>
      </c>
      <c r="BF2589" s="1">
        <v>36.8</v>
      </c>
      <c r="BG2589" s="1">
        <v>16.0</v>
      </c>
      <c r="BH2589" s="1" t="s">
        <v>4238</v>
      </c>
    </row>
    <row r="2590">
      <c r="A2590" s="1">
        <v>48135.0</v>
      </c>
      <c r="B2590" s="2" t="str">
        <f>IFERROR(__xludf.DUMMYFUNCTION("TO_TEXT(A2590)"),"48135")</f>
        <v>48135</v>
      </c>
      <c r="C2590" s="1">
        <v>153177.0</v>
      </c>
      <c r="D2590" s="1">
        <v>897.725946687266</v>
      </c>
      <c r="E2590" s="1" t="s">
        <v>4239</v>
      </c>
      <c r="F2590" s="1" t="s">
        <v>4240</v>
      </c>
      <c r="G2590" s="1">
        <v>170.627796339456</v>
      </c>
      <c r="H2590" s="1">
        <v>20.904542569</v>
      </c>
      <c r="I2590" s="1">
        <v>3.8207623101</v>
      </c>
      <c r="J2590" s="1">
        <v>9.0494408476</v>
      </c>
      <c r="K2590" s="1">
        <v>14.225831664</v>
      </c>
      <c r="L2590" s="1">
        <v>32.3</v>
      </c>
      <c r="M2590" s="1">
        <v>8.3</v>
      </c>
      <c r="N2590" s="1">
        <v>30.3</v>
      </c>
      <c r="O2590" s="1">
        <v>71.059578502</v>
      </c>
      <c r="P2590" s="1">
        <v>21.127023975</v>
      </c>
      <c r="Q2590" s="1">
        <v>59.20286</v>
      </c>
      <c r="R2590" s="1">
        <v>80.8</v>
      </c>
      <c r="S2590" s="1">
        <v>17.9</v>
      </c>
      <c r="T2590" s="1">
        <v>47186.0</v>
      </c>
      <c r="U2590" s="1">
        <v>34.113932099</v>
      </c>
      <c r="V2590" s="1">
        <v>809.23472215</v>
      </c>
      <c r="W2590" s="1">
        <v>16.192345437</v>
      </c>
      <c r="X2590" s="1">
        <v>9.5402867029</v>
      </c>
      <c r="Y2590" s="1">
        <v>75.263913032</v>
      </c>
      <c r="Z2590" s="1">
        <v>7.7</v>
      </c>
      <c r="AA2590" s="1">
        <v>6.3974734416</v>
      </c>
      <c r="AB2590" s="1">
        <v>60431.0</v>
      </c>
      <c r="AC2590" s="1">
        <v>49.1714449539999</v>
      </c>
      <c r="AD2590" s="1">
        <v>65.633060015</v>
      </c>
      <c r="AE2590" s="1">
        <v>10.368376652</v>
      </c>
      <c r="AF2590" s="1">
        <v>4.3879993092</v>
      </c>
      <c r="AG2590" s="1">
        <v>1.4495077842</v>
      </c>
      <c r="AH2590" s="1">
        <v>1.2323900225</v>
      </c>
      <c r="AI2590" s="1">
        <v>0.2436406701</v>
      </c>
      <c r="AJ2590" s="1">
        <v>61.338234931</v>
      </c>
      <c r="AK2590" s="1">
        <v>31.750388591</v>
      </c>
      <c r="AL2590" s="1">
        <v>7.8989820326</v>
      </c>
      <c r="AM2590" s="1">
        <v>49.122276776</v>
      </c>
      <c r="AN2590" s="1">
        <v>9.4552614308</v>
      </c>
      <c r="AO2590" s="1">
        <v>27295.0</v>
      </c>
      <c r="AP2590" s="1">
        <v>12.4</v>
      </c>
      <c r="AQ2590" s="1">
        <v>6.4</v>
      </c>
      <c r="AR2590" s="1">
        <v>24.9</v>
      </c>
      <c r="AS2590" s="1">
        <v>9.7</v>
      </c>
      <c r="AT2590" s="1">
        <v>29.8</v>
      </c>
      <c r="AU2590" s="1">
        <v>12.9</v>
      </c>
      <c r="AV2590" s="1">
        <v>64.3</v>
      </c>
      <c r="AW2590" s="1">
        <v>8.3</v>
      </c>
      <c r="AX2590" s="1">
        <v>0.7628</v>
      </c>
      <c r="AY2590" s="1">
        <v>12.1</v>
      </c>
      <c r="AZ2590" s="1">
        <v>11.7</v>
      </c>
      <c r="BA2590" s="1">
        <v>16.1</v>
      </c>
      <c r="BB2590" s="1">
        <v>2.81</v>
      </c>
      <c r="BC2590" s="1" t="s">
        <v>4123</v>
      </c>
      <c r="BD2590" s="1">
        <v>24.0</v>
      </c>
      <c r="BE2590" s="1">
        <v>30.3</v>
      </c>
      <c r="BF2590" s="1">
        <v>30.2</v>
      </c>
      <c r="BG2590" s="1">
        <v>15.4</v>
      </c>
      <c r="BH2590" s="1" t="s">
        <v>4240</v>
      </c>
    </row>
    <row r="2591">
      <c r="A2591" s="1">
        <v>48137.0</v>
      </c>
      <c r="B2591" s="2" t="str">
        <f>IFERROR(__xludf.DUMMYFUNCTION("TO_TEXT(A2591)"),"48137")</f>
        <v>48137</v>
      </c>
      <c r="C2591" s="1">
        <v>2028.0</v>
      </c>
      <c r="D2591" s="1">
        <v>2117.86979049656</v>
      </c>
      <c r="E2591" s="1" t="s">
        <v>1188</v>
      </c>
      <c r="F2591" s="1" t="s">
        <v>4241</v>
      </c>
      <c r="G2591" s="1">
        <v>0.957565950985358</v>
      </c>
      <c r="H2591" s="1">
        <v>21.473344892</v>
      </c>
      <c r="I2591" s="1">
        <v>3.8347850169</v>
      </c>
      <c r="J2591" s="1">
        <v>7.80443539465</v>
      </c>
      <c r="K2591" s="1">
        <v>12.522689092</v>
      </c>
      <c r="L2591" s="1">
        <v>27.1</v>
      </c>
      <c r="M2591" s="1">
        <v>8.7</v>
      </c>
      <c r="N2591" s="1">
        <v>28.2</v>
      </c>
      <c r="O2591" s="1">
        <v>2.8471528472</v>
      </c>
      <c r="P2591" s="1">
        <v>24.607703281</v>
      </c>
      <c r="Q2591" s="1">
        <v>0.0</v>
      </c>
      <c r="R2591" s="1">
        <v>97.6</v>
      </c>
      <c r="S2591" s="1">
        <v>37.3</v>
      </c>
      <c r="T2591" s="1">
        <v>347.0</v>
      </c>
      <c r="U2591" s="1">
        <v>48.126801153</v>
      </c>
      <c r="V2591" s="1">
        <v>160.42780749</v>
      </c>
      <c r="W2591" s="1">
        <v>13.888888889</v>
      </c>
      <c r="X2591" s="1">
        <v>8.3333333333</v>
      </c>
      <c r="Y2591" s="1">
        <v>76.882894147</v>
      </c>
      <c r="Z2591" s="1">
        <v>11.8</v>
      </c>
      <c r="AA2591" s="1">
        <v>9.5432148062</v>
      </c>
      <c r="AB2591" s="1">
        <v>37812.0</v>
      </c>
      <c r="AC2591" s="1">
        <v>71.428571429</v>
      </c>
      <c r="AD2591" s="1">
        <v>81.632653061</v>
      </c>
      <c r="AE2591" s="1">
        <v>9.4855305466</v>
      </c>
      <c r="AF2591" s="1">
        <v>0.4668049793</v>
      </c>
      <c r="AG2591" s="1">
        <v>2.1784232365</v>
      </c>
      <c r="AH2591" s="1">
        <v>0.7261410788</v>
      </c>
      <c r="AI2591" s="1">
        <v>0.0</v>
      </c>
      <c r="AJ2591" s="1">
        <v>55.342323651</v>
      </c>
      <c r="AK2591" s="1">
        <v>42.4792531119999</v>
      </c>
      <c r="AL2591" s="1">
        <v>3.4108527132</v>
      </c>
      <c r="AM2591" s="1">
        <v>47.147302905</v>
      </c>
      <c r="AN2591" s="1">
        <v>100.0</v>
      </c>
      <c r="AO2591" s="1">
        <v>27333.0</v>
      </c>
      <c r="AP2591" s="1">
        <v>7.7</v>
      </c>
      <c r="AQ2591" s="1">
        <v>3.9</v>
      </c>
      <c r="AR2591" s="1">
        <v>24.9</v>
      </c>
      <c r="AS2591" s="1">
        <v>27.1</v>
      </c>
      <c r="AT2591" s="1">
        <v>16.4</v>
      </c>
      <c r="AU2591" s="1">
        <v>22.1</v>
      </c>
      <c r="AV2591" s="1">
        <v>54.4</v>
      </c>
      <c r="AW2591" s="1">
        <v>7.4</v>
      </c>
      <c r="AX2591" s="1">
        <v>0.4932</v>
      </c>
      <c r="AY2591" s="1">
        <v>20.7</v>
      </c>
      <c r="AZ2591" s="1">
        <v>12.8</v>
      </c>
      <c r="BA2591" s="1">
        <v>19.6</v>
      </c>
      <c r="BB2591" s="1">
        <v>2.46</v>
      </c>
      <c r="BC2591" s="1" t="s">
        <v>4123</v>
      </c>
      <c r="BD2591" s="1">
        <v>27.9</v>
      </c>
      <c r="BE2591" s="1">
        <v>22.7</v>
      </c>
      <c r="BF2591" s="1">
        <v>31.3</v>
      </c>
      <c r="BG2591" s="1">
        <v>18.2</v>
      </c>
      <c r="BH2591" s="1" t="s">
        <v>4241</v>
      </c>
    </row>
    <row r="2592">
      <c r="A2592" s="1">
        <v>48139.0</v>
      </c>
      <c r="B2592" s="2" t="str">
        <f>IFERROR(__xludf.DUMMYFUNCTION("TO_TEXT(A2592)"),"48139")</f>
        <v>48139</v>
      </c>
      <c r="C2592" s="1">
        <v>160225.0</v>
      </c>
      <c r="D2592" s="1">
        <v>935.658670110252</v>
      </c>
      <c r="E2592" s="1" t="s">
        <v>1626</v>
      </c>
      <c r="F2592" s="1" t="s">
        <v>4242</v>
      </c>
      <c r="G2592" s="1">
        <v>171.243002516206</v>
      </c>
      <c r="H2592" s="1">
        <v>15.928453688</v>
      </c>
      <c r="I2592" s="1">
        <v>3.6367351015</v>
      </c>
      <c r="J2592" s="1">
        <v>7.21844038549999</v>
      </c>
      <c r="K2592" s="1">
        <v>13.138732445</v>
      </c>
      <c r="L2592" s="1">
        <v>38.0</v>
      </c>
      <c r="M2592" s="1">
        <v>7.6</v>
      </c>
      <c r="N2592" s="1">
        <v>26.9</v>
      </c>
      <c r="O2592" s="1">
        <v>65.958826282</v>
      </c>
      <c r="P2592" s="1">
        <v>18.206710911</v>
      </c>
      <c r="Q2592" s="1">
        <v>40.31794</v>
      </c>
      <c r="R2592" s="1">
        <v>93.1</v>
      </c>
      <c r="S2592" s="1">
        <v>14.0</v>
      </c>
      <c r="T2592" s="1">
        <v>45177.0</v>
      </c>
      <c r="U2592" s="1">
        <v>22.321092591</v>
      </c>
      <c r="V2592" s="1">
        <v>141.78306882</v>
      </c>
      <c r="W2592" s="1">
        <v>14.4410370779999</v>
      </c>
      <c r="X2592" s="1">
        <v>10.495327103</v>
      </c>
      <c r="Y2592" s="1">
        <v>78.29904788</v>
      </c>
      <c r="Z2592" s="1">
        <v>12.5</v>
      </c>
      <c r="AA2592" s="1">
        <v>6.3332788103</v>
      </c>
      <c r="AB2592" s="1">
        <v>76792.0</v>
      </c>
      <c r="AC2592" s="1">
        <v>47.272012579</v>
      </c>
      <c r="AD2592" s="1">
        <v>72.994269341</v>
      </c>
      <c r="AE2592" s="1">
        <v>10.054646813</v>
      </c>
      <c r="AF2592" s="1">
        <v>10.815555407</v>
      </c>
      <c r="AG2592" s="1">
        <v>0.8621458347</v>
      </c>
      <c r="AH2592" s="1">
        <v>0.8175616933</v>
      </c>
      <c r="AI2592" s="1">
        <v>0.1471276667</v>
      </c>
      <c r="AJ2592" s="1">
        <v>26.644040215</v>
      </c>
      <c r="AK2592" s="1">
        <v>59.882632248</v>
      </c>
      <c r="AL2592" s="1">
        <v>4.5691856255</v>
      </c>
      <c r="AM2592" s="1">
        <v>50.67154863</v>
      </c>
      <c r="AN2592" s="1">
        <v>31.975135352</v>
      </c>
      <c r="AO2592" s="1">
        <v>27313.0</v>
      </c>
      <c r="AP2592" s="1">
        <v>11.0</v>
      </c>
      <c r="AQ2592" s="1">
        <v>5.5</v>
      </c>
      <c r="AR2592" s="1">
        <v>15.4</v>
      </c>
      <c r="AS2592" s="1">
        <v>11.8</v>
      </c>
      <c r="AT2592" s="1">
        <v>27.2</v>
      </c>
      <c r="AU2592" s="1">
        <v>11.9</v>
      </c>
      <c r="AV2592" s="1">
        <v>36.6</v>
      </c>
      <c r="AW2592" s="1">
        <v>4.5</v>
      </c>
      <c r="AX2592" s="1">
        <v>0.4632</v>
      </c>
      <c r="AY2592" s="1">
        <v>8.7</v>
      </c>
      <c r="AZ2592" s="1">
        <v>12.3</v>
      </c>
      <c r="BA2592" s="1">
        <v>18.7</v>
      </c>
      <c r="BB2592" s="1">
        <v>2.88</v>
      </c>
      <c r="BC2592" s="1" t="s">
        <v>4123</v>
      </c>
      <c r="BD2592" s="1">
        <v>13.8</v>
      </c>
      <c r="BE2592" s="1">
        <v>27.7</v>
      </c>
      <c r="BF2592" s="1">
        <v>34.2</v>
      </c>
      <c r="BG2592" s="1">
        <v>24.3</v>
      </c>
      <c r="BH2592" s="1" t="s">
        <v>4242</v>
      </c>
    </row>
    <row r="2593">
      <c r="A2593" s="1">
        <v>48141.0</v>
      </c>
      <c r="B2593" s="2" t="str">
        <f>IFERROR(__xludf.DUMMYFUNCTION("TO_TEXT(A2593)"),"48141")</f>
        <v>48141</v>
      </c>
      <c r="C2593" s="1">
        <v>833592.0</v>
      </c>
      <c r="D2593" s="1">
        <v>1013.18743471966</v>
      </c>
      <c r="E2593" s="1" t="s">
        <v>575</v>
      </c>
      <c r="F2593" s="1" t="s">
        <v>4243</v>
      </c>
      <c r="G2593" s="1">
        <v>822.742141715012</v>
      </c>
      <c r="H2593" s="1">
        <v>26.8041804469999</v>
      </c>
      <c r="I2593" s="1">
        <v>3.9338203054</v>
      </c>
      <c r="J2593" s="1">
        <v>8.5598896769</v>
      </c>
      <c r="K2593" s="1">
        <v>13.836055884</v>
      </c>
      <c r="L2593" s="1">
        <v>28.6</v>
      </c>
      <c r="M2593" s="1">
        <v>8.1</v>
      </c>
      <c r="N2593" s="1">
        <v>20.9</v>
      </c>
      <c r="O2593" s="1">
        <v>81.761375488</v>
      </c>
      <c r="P2593" s="1">
        <v>22.615213331</v>
      </c>
      <c r="Q2593" s="1">
        <v>48.19076</v>
      </c>
      <c r="R2593" s="1">
        <v>86.5</v>
      </c>
      <c r="S2593" s="1">
        <v>28.9</v>
      </c>
      <c r="T2593" s="1">
        <v>231416.0</v>
      </c>
      <c r="U2593" s="1">
        <v>37.502592733</v>
      </c>
      <c r="V2593" s="1">
        <v>364.08938332</v>
      </c>
      <c r="W2593" s="1">
        <v>18.267888224</v>
      </c>
      <c r="X2593" s="1">
        <v>12.7968363429999</v>
      </c>
      <c r="Y2593" s="1">
        <v>80.479273227</v>
      </c>
      <c r="Z2593" s="1">
        <v>9.6</v>
      </c>
      <c r="AA2593" s="1">
        <v>9.5742072715</v>
      </c>
      <c r="AB2593" s="1">
        <v>43948.0</v>
      </c>
      <c r="AC2593" s="1">
        <v>73.780691097</v>
      </c>
      <c r="AD2593" s="1">
        <v>61.423883428</v>
      </c>
      <c r="AE2593" s="1">
        <v>13.89564483</v>
      </c>
      <c r="AF2593" s="1">
        <v>3.0509373684</v>
      </c>
      <c r="AG2593" s="1">
        <v>1.0445336232</v>
      </c>
      <c r="AH2593" s="1">
        <v>1.34806924229999</v>
      </c>
      <c r="AI2593" s="1">
        <v>0.2215857595</v>
      </c>
      <c r="AJ2593" s="1">
        <v>82.9502663069999</v>
      </c>
      <c r="AK2593" s="1">
        <v>11.642470247</v>
      </c>
      <c r="AL2593" s="1">
        <v>14.846104454</v>
      </c>
      <c r="AM2593" s="1">
        <v>50.733266885</v>
      </c>
      <c r="AN2593" s="1">
        <v>2.1743664811</v>
      </c>
      <c r="AO2593" s="1">
        <v>19145.0</v>
      </c>
      <c r="AP2593" s="1">
        <v>22.5</v>
      </c>
      <c r="AQ2593" s="1">
        <v>7.9</v>
      </c>
      <c r="AR2593" s="1">
        <v>23.5</v>
      </c>
      <c r="AS2593" s="1">
        <v>11.2</v>
      </c>
      <c r="AT2593" s="1">
        <v>28.4</v>
      </c>
      <c r="AU2593" s="1">
        <v>13.9</v>
      </c>
      <c r="AV2593" s="1">
        <v>87.1</v>
      </c>
      <c r="AW2593" s="1">
        <v>15.3</v>
      </c>
      <c r="AX2593" s="1">
        <v>0.9567</v>
      </c>
      <c r="AY2593" s="1">
        <v>18.8</v>
      </c>
      <c r="AZ2593" s="1">
        <v>15.0</v>
      </c>
      <c r="BA2593" s="1">
        <v>22.0</v>
      </c>
      <c r="BB2593" s="1">
        <v>2.92</v>
      </c>
      <c r="BC2593" s="1" t="s">
        <v>4123</v>
      </c>
      <c r="BD2593" s="1">
        <v>21.5</v>
      </c>
      <c r="BE2593" s="1">
        <v>23.7</v>
      </c>
      <c r="BF2593" s="1">
        <v>31.4</v>
      </c>
      <c r="BG2593" s="1">
        <v>23.3</v>
      </c>
      <c r="BH2593" s="1" t="s">
        <v>4243</v>
      </c>
    </row>
    <row r="2594">
      <c r="A2594" s="1">
        <v>48143.0</v>
      </c>
      <c r="B2594" s="2" t="str">
        <f>IFERROR(__xludf.DUMMYFUNCTION("TO_TEXT(A2594)"),"48143")</f>
        <v>48143</v>
      </c>
      <c r="C2594" s="1">
        <v>40641.0</v>
      </c>
      <c r="D2594" s="1">
        <v>1083.09011417034</v>
      </c>
      <c r="E2594" s="1" t="s">
        <v>4244</v>
      </c>
      <c r="F2594" s="1" t="s">
        <v>4245</v>
      </c>
      <c r="G2594" s="1">
        <v>37.5231935628288</v>
      </c>
      <c r="H2594" s="1">
        <v>19.0891070379999</v>
      </c>
      <c r="I2594" s="1">
        <v>4.2731167648</v>
      </c>
      <c r="J2594" s="1">
        <v>6.8255369226</v>
      </c>
      <c r="K2594" s="1">
        <v>15.636347626</v>
      </c>
      <c r="L2594" s="1">
        <v>25.8</v>
      </c>
      <c r="M2594" s="1">
        <v>5.9</v>
      </c>
      <c r="N2594" s="1">
        <v>27.8</v>
      </c>
      <c r="O2594" s="1">
        <v>64.534177883</v>
      </c>
      <c r="P2594" s="1">
        <v>23.418850744</v>
      </c>
      <c r="Q2594" s="1">
        <v>54.80235</v>
      </c>
      <c r="R2594" s="1">
        <v>61.8</v>
      </c>
      <c r="S2594" s="1">
        <v>20.1</v>
      </c>
      <c r="T2594" s="1">
        <v>8625.0</v>
      </c>
      <c r="U2594" s="1">
        <v>26.469565217</v>
      </c>
      <c r="V2594" s="1">
        <v>151.06476293</v>
      </c>
      <c r="W2594" s="1">
        <v>22.437477985</v>
      </c>
      <c r="X2594" s="1">
        <v>18.479447072</v>
      </c>
      <c r="Y2594" s="1">
        <v>78.2709247069999</v>
      </c>
      <c r="Z2594" s="1">
        <v>16.4</v>
      </c>
      <c r="AA2594" s="1">
        <v>16.414885344</v>
      </c>
      <c r="AB2594" s="1">
        <v>47087.0</v>
      </c>
      <c r="AC2594" s="1">
        <v>52.61574461</v>
      </c>
      <c r="AD2594" s="1">
        <v>64.400830886</v>
      </c>
      <c r="AE2594" s="1">
        <v>16.911541957</v>
      </c>
      <c r="AF2594" s="1">
        <v>1.7669509494</v>
      </c>
      <c r="AG2594" s="1">
        <v>1.2957640296</v>
      </c>
      <c r="AH2594" s="1">
        <v>0.8528483249</v>
      </c>
      <c r="AI2594" s="1">
        <v>0.094237384</v>
      </c>
      <c r="AJ2594" s="1">
        <v>21.684022052</v>
      </c>
      <c r="AK2594" s="1">
        <v>74.087075343</v>
      </c>
      <c r="AL2594" s="1">
        <v>2.6413547511</v>
      </c>
      <c r="AM2594" s="1">
        <v>51.0342552889999</v>
      </c>
      <c r="AN2594" s="1">
        <v>46.320929005</v>
      </c>
      <c r="AO2594" s="1">
        <v>22781.0</v>
      </c>
      <c r="AP2594" s="1">
        <v>24.5</v>
      </c>
      <c r="AQ2594" s="1">
        <v>4.1</v>
      </c>
      <c r="AR2594" s="1">
        <v>16.1</v>
      </c>
      <c r="AS2594" s="1">
        <v>13.6</v>
      </c>
      <c r="AT2594" s="1">
        <v>21.2</v>
      </c>
      <c r="AU2594" s="1">
        <v>10.3</v>
      </c>
      <c r="AV2594" s="1">
        <v>24.1</v>
      </c>
      <c r="AW2594" s="1">
        <v>3.7</v>
      </c>
      <c r="AX2594" s="1">
        <v>0.6304</v>
      </c>
      <c r="AY2594" s="1">
        <v>15.2</v>
      </c>
      <c r="AZ2594" s="1">
        <v>14.7</v>
      </c>
      <c r="BA2594" s="1">
        <v>20.9</v>
      </c>
      <c r="BB2594" s="1">
        <v>2.92</v>
      </c>
      <c r="BC2594" s="1" t="s">
        <v>4123</v>
      </c>
      <c r="BD2594" s="1">
        <v>11.7</v>
      </c>
      <c r="BE2594" s="1">
        <v>26.3</v>
      </c>
      <c r="BF2594" s="1">
        <v>30.5</v>
      </c>
      <c r="BG2594" s="1">
        <v>31.5</v>
      </c>
      <c r="BH2594" s="1" t="s">
        <v>4245</v>
      </c>
    </row>
    <row r="2595">
      <c r="A2595" s="1">
        <v>48145.0</v>
      </c>
      <c r="B2595" s="2" t="str">
        <f>IFERROR(__xludf.DUMMYFUNCTION("TO_TEXT(A2595)"),"48145")</f>
        <v>48145</v>
      </c>
      <c r="C2595" s="1">
        <v>17265.0</v>
      </c>
      <c r="D2595" s="1">
        <v>765.484123262384</v>
      </c>
      <c r="E2595" s="1" t="s">
        <v>4246</v>
      </c>
      <c r="F2595" s="1" t="s">
        <v>4247</v>
      </c>
      <c r="G2595" s="1">
        <v>22.5543541339813</v>
      </c>
      <c r="H2595" s="1">
        <v>23.1299135</v>
      </c>
      <c r="I2595" s="1">
        <v>4.4934782315</v>
      </c>
      <c r="J2595" s="1">
        <v>9.6153846154</v>
      </c>
      <c r="K2595" s="1">
        <v>17.621546435</v>
      </c>
      <c r="L2595" s="1">
        <v>39.6</v>
      </c>
      <c r="M2595" s="1">
        <v>6.3</v>
      </c>
      <c r="N2595" s="1">
        <v>35.4</v>
      </c>
      <c r="O2595" s="1">
        <v>44.688234636</v>
      </c>
      <c r="P2595" s="1">
        <v>22.133333333</v>
      </c>
      <c r="Q2595" s="1">
        <v>11.46986</v>
      </c>
      <c r="R2595" s="1">
        <v>96.6</v>
      </c>
      <c r="S2595" s="1">
        <v>27.7</v>
      </c>
      <c r="T2595" s="1">
        <v>3671.0</v>
      </c>
      <c r="U2595" s="1">
        <v>32.007627349</v>
      </c>
      <c r="V2595" s="1">
        <v>161.95670137</v>
      </c>
      <c r="W2595" s="1">
        <v>14.049586777</v>
      </c>
      <c r="X2595" s="1">
        <v>10.852858482</v>
      </c>
      <c r="Y2595" s="1">
        <v>76.982952276</v>
      </c>
      <c r="Z2595" s="1">
        <v>15.5</v>
      </c>
      <c r="AA2595" s="1">
        <v>6.52075005139999</v>
      </c>
      <c r="AB2595" s="1">
        <v>37428.0</v>
      </c>
      <c r="AC2595" s="1">
        <v>82.107728337</v>
      </c>
      <c r="AD2595" s="1">
        <v>73.7827000189999</v>
      </c>
      <c r="AE2595" s="1">
        <v>14.234949833</v>
      </c>
      <c r="AF2595" s="1">
        <v>23.051629651</v>
      </c>
      <c r="AG2595" s="1">
        <v>1.1479665417</v>
      </c>
      <c r="AH2595" s="1">
        <v>0.6345543698</v>
      </c>
      <c r="AI2595" s="1">
        <v>0.2076723392</v>
      </c>
      <c r="AJ2595" s="1">
        <v>23.697721373</v>
      </c>
      <c r="AK2595" s="1">
        <v>50.75281223</v>
      </c>
      <c r="AL2595" s="1">
        <v>2.2082795104</v>
      </c>
      <c r="AM2595" s="1">
        <v>52.523795789</v>
      </c>
      <c r="AN2595" s="1">
        <v>67.356990932</v>
      </c>
      <c r="AO2595" s="1">
        <v>17257.0</v>
      </c>
      <c r="AP2595" s="1">
        <v>24.3</v>
      </c>
      <c r="AQ2595" s="1">
        <v>6.2</v>
      </c>
      <c r="AR2595" s="1">
        <v>24.3</v>
      </c>
      <c r="AS2595" s="1">
        <v>16.6</v>
      </c>
      <c r="AT2595" s="1">
        <v>21.3</v>
      </c>
      <c r="AU2595" s="1">
        <v>20.3</v>
      </c>
      <c r="AV2595" s="1">
        <v>48.3</v>
      </c>
      <c r="AW2595" s="1">
        <v>3.4</v>
      </c>
      <c r="AX2595" s="1">
        <v>0.9554</v>
      </c>
      <c r="AY2595" s="1">
        <v>21.6</v>
      </c>
      <c r="AZ2595" s="1">
        <v>19.6</v>
      </c>
      <c r="BA2595" s="1">
        <v>30.6</v>
      </c>
      <c r="BB2595" s="1">
        <v>2.59</v>
      </c>
      <c r="BC2595" s="1" t="s">
        <v>4123</v>
      </c>
      <c r="BD2595" s="1">
        <v>23.1</v>
      </c>
      <c r="BE2595" s="1">
        <v>38.4</v>
      </c>
      <c r="BF2595" s="1">
        <v>26.0</v>
      </c>
      <c r="BG2595" s="1">
        <v>12.4</v>
      </c>
      <c r="BH2595" s="1" t="s">
        <v>4247</v>
      </c>
    </row>
    <row r="2596">
      <c r="A2596" s="1">
        <v>48147.0</v>
      </c>
      <c r="B2596" s="2" t="str">
        <f>IFERROR(__xludf.DUMMYFUNCTION("TO_TEXT(A2596)"),"48147")</f>
        <v>48147</v>
      </c>
      <c r="C2596" s="1">
        <v>33757.0</v>
      </c>
      <c r="D2596" s="1">
        <v>890.831882348961</v>
      </c>
      <c r="E2596" s="1" t="s">
        <v>891</v>
      </c>
      <c r="F2596" s="1" t="s">
        <v>4248</v>
      </c>
      <c r="G2596" s="1">
        <v>37.8937941814441</v>
      </c>
      <c r="H2596" s="1">
        <v>17.2612212</v>
      </c>
      <c r="I2596" s="1">
        <v>4.0504508268</v>
      </c>
      <c r="J2596" s="1">
        <v>7.41534504929999</v>
      </c>
      <c r="K2596" s="1">
        <v>15.582923899</v>
      </c>
      <c r="L2596" s="1">
        <v>30.2</v>
      </c>
      <c r="M2596" s="1">
        <v>6.4</v>
      </c>
      <c r="N2596" s="1">
        <v>30.7</v>
      </c>
      <c r="O2596" s="1">
        <v>39.324782545</v>
      </c>
      <c r="P2596" s="1">
        <v>21.914810473</v>
      </c>
      <c r="Q2596" s="1">
        <v>20.32166</v>
      </c>
      <c r="R2596" s="1">
        <v>97.7</v>
      </c>
      <c r="S2596" s="1">
        <v>19.5</v>
      </c>
      <c r="T2596" s="1">
        <v>7197.0</v>
      </c>
      <c r="U2596" s="1">
        <v>24.91315826</v>
      </c>
      <c r="V2596" s="1">
        <v>144.69220752</v>
      </c>
      <c r="W2596" s="1">
        <v>13.643926789</v>
      </c>
      <c r="X2596" s="1">
        <v>10.442477876</v>
      </c>
      <c r="Y2596" s="1">
        <v>74.389220043</v>
      </c>
      <c r="Z2596" s="1">
        <v>6.8</v>
      </c>
      <c r="AA2596" s="1">
        <v>13.465792762</v>
      </c>
      <c r="AB2596" s="1">
        <v>53111.0</v>
      </c>
      <c r="AC2596" s="1">
        <v>58.0289330919999</v>
      </c>
      <c r="AD2596" s="1">
        <v>73.231951598</v>
      </c>
      <c r="AE2596" s="1">
        <v>9.6125636379</v>
      </c>
      <c r="AF2596" s="1">
        <v>6.3679646319</v>
      </c>
      <c r="AG2596" s="1">
        <v>1.3773167829</v>
      </c>
      <c r="AH2596" s="1">
        <v>0.7651759905</v>
      </c>
      <c r="AI2596" s="1">
        <v>0.0736836139</v>
      </c>
      <c r="AJ2596" s="1">
        <v>11.585331293</v>
      </c>
      <c r="AK2596" s="1">
        <v>78.495720682</v>
      </c>
      <c r="AL2596" s="1">
        <v>2.2494068345</v>
      </c>
      <c r="AM2596" s="1">
        <v>46.916624157</v>
      </c>
      <c r="AN2596" s="1">
        <v>70.529264337</v>
      </c>
      <c r="AO2596" s="1">
        <v>21429.0</v>
      </c>
      <c r="AP2596" s="1">
        <v>16.5</v>
      </c>
      <c r="AQ2596" s="1">
        <v>6.4</v>
      </c>
      <c r="AR2596" s="1">
        <v>17.0</v>
      </c>
      <c r="AS2596" s="1">
        <v>18.6</v>
      </c>
      <c r="AT2596" s="1">
        <v>21.1</v>
      </c>
      <c r="AU2596" s="1">
        <v>16.5</v>
      </c>
      <c r="AV2596" s="1">
        <v>20.3</v>
      </c>
      <c r="AW2596" s="1">
        <v>2.5</v>
      </c>
      <c r="AX2596" s="1">
        <v>0.6603</v>
      </c>
      <c r="AY2596" s="1">
        <v>13.2</v>
      </c>
      <c r="AZ2596" s="1">
        <v>14.9</v>
      </c>
      <c r="BA2596" s="1">
        <v>21.9</v>
      </c>
      <c r="BB2596" s="1">
        <v>2.93</v>
      </c>
      <c r="BC2596" s="1" t="s">
        <v>4123</v>
      </c>
      <c r="BD2596" s="1">
        <v>14.5</v>
      </c>
      <c r="BE2596" s="1">
        <v>35.2</v>
      </c>
      <c r="BF2596" s="1">
        <v>32.8</v>
      </c>
      <c r="BG2596" s="1">
        <v>17.4</v>
      </c>
      <c r="BH2596" s="1" t="s">
        <v>4248</v>
      </c>
    </row>
    <row r="2597">
      <c r="A2597" s="1">
        <v>48149.0</v>
      </c>
      <c r="B2597" s="2" t="str">
        <f>IFERROR(__xludf.DUMMYFUNCTION("TO_TEXT(A2597)"),"48149")</f>
        <v>48149</v>
      </c>
      <c r="C2597" s="1">
        <v>24909.0</v>
      </c>
      <c r="D2597" s="1">
        <v>950.00773356399</v>
      </c>
      <c r="E2597" s="1" t="s">
        <v>116</v>
      </c>
      <c r="F2597" s="1" t="s">
        <v>4249</v>
      </c>
      <c r="G2597" s="1">
        <v>26.2197865553714</v>
      </c>
      <c r="H2597" s="1">
        <v>16.298472054</v>
      </c>
      <c r="I2597" s="1">
        <v>3.8420936566</v>
      </c>
      <c r="J2597" s="1">
        <v>6.53983353149999</v>
      </c>
      <c r="K2597" s="1">
        <v>13.018046752</v>
      </c>
      <c r="L2597" s="1">
        <v>21.9</v>
      </c>
      <c r="M2597" s="1">
        <v>7.6</v>
      </c>
      <c r="N2597" s="1">
        <v>23.4</v>
      </c>
      <c r="O2597" s="1">
        <v>57.538486601</v>
      </c>
      <c r="P2597" s="1">
        <v>20.610727282</v>
      </c>
      <c r="Q2597" s="1">
        <v>35.61254</v>
      </c>
      <c r="R2597" s="1">
        <v>96.5</v>
      </c>
      <c r="S2597" s="1">
        <v>19.4</v>
      </c>
      <c r="T2597" s="1">
        <v>5162.0</v>
      </c>
      <c r="U2597" s="1">
        <v>22.743122821</v>
      </c>
      <c r="V2597" s="1">
        <v>260.83147499</v>
      </c>
      <c r="W2597" s="1">
        <v>10.936682365</v>
      </c>
      <c r="X2597" s="1">
        <v>8.512</v>
      </c>
      <c r="Y2597" s="1">
        <v>79.46034441</v>
      </c>
      <c r="Z2597" s="1">
        <v>16.1</v>
      </c>
      <c r="AA2597" s="1">
        <v>7.5938802758</v>
      </c>
      <c r="AB2597" s="1">
        <v>55776.0</v>
      </c>
      <c r="AC2597" s="1">
        <v>54.7401410289999</v>
      </c>
      <c r="AD2597" s="1">
        <v>80.544832911</v>
      </c>
      <c r="AE2597" s="1">
        <v>8.2622414398</v>
      </c>
      <c r="AF2597" s="1">
        <v>6.1501439899</v>
      </c>
      <c r="AG2597" s="1">
        <v>1.2229279262</v>
      </c>
      <c r="AH2597" s="1">
        <v>0.4694465265</v>
      </c>
      <c r="AI2597" s="1">
        <v>0.0631188607</v>
      </c>
      <c r="AJ2597" s="1">
        <v>21.551146002</v>
      </c>
      <c r="AK2597" s="1">
        <v>70.673399345</v>
      </c>
      <c r="AL2597" s="1">
        <v>2.0033599328</v>
      </c>
      <c r="AM2597" s="1">
        <v>50.861966941</v>
      </c>
      <c r="AN2597" s="1">
        <v>67.1377372319999</v>
      </c>
      <c r="AO2597" s="1">
        <v>28665.0</v>
      </c>
      <c r="AP2597" s="1">
        <v>10.8</v>
      </c>
      <c r="AQ2597" s="1">
        <v>1.7</v>
      </c>
      <c r="AR2597" s="1">
        <v>18.3</v>
      </c>
      <c r="AS2597" s="1">
        <v>23.7</v>
      </c>
      <c r="AT2597" s="1">
        <v>21.1</v>
      </c>
      <c r="AU2597" s="1">
        <v>14.0</v>
      </c>
      <c r="AV2597" s="1">
        <v>27.6</v>
      </c>
      <c r="AW2597" s="1">
        <v>2.3</v>
      </c>
      <c r="AX2597" s="1">
        <v>0.3095</v>
      </c>
      <c r="AY2597" s="1">
        <v>10.9</v>
      </c>
      <c r="AZ2597" s="1">
        <v>13.4</v>
      </c>
      <c r="BA2597" s="1">
        <v>19.3</v>
      </c>
      <c r="BB2597" s="1">
        <v>3.05</v>
      </c>
      <c r="BC2597" s="1" t="s">
        <v>4123</v>
      </c>
      <c r="BD2597" s="1">
        <v>13.9</v>
      </c>
      <c r="BE2597" s="1">
        <v>39.1</v>
      </c>
      <c r="BF2597" s="1">
        <v>27.3</v>
      </c>
      <c r="BG2597" s="1">
        <v>19.7</v>
      </c>
      <c r="BH2597" s="1" t="s">
        <v>4249</v>
      </c>
    </row>
    <row r="2598">
      <c r="A2598" s="1">
        <v>48151.0</v>
      </c>
      <c r="B2598" s="2" t="str">
        <f>IFERROR(__xludf.DUMMYFUNCTION("TO_TEXT(A2598)"),"48151")</f>
        <v>48151</v>
      </c>
      <c r="C2598" s="1">
        <v>3847.0</v>
      </c>
      <c r="D2598" s="1">
        <v>898.940706977298</v>
      </c>
      <c r="E2598" s="1" t="s">
        <v>4250</v>
      </c>
      <c r="F2598" s="1" t="s">
        <v>4251</v>
      </c>
      <c r="G2598" s="1">
        <v>4.27948136082923</v>
      </c>
      <c r="H2598" s="1">
        <v>18.609441203</v>
      </c>
      <c r="I2598" s="1">
        <v>4.0226120622</v>
      </c>
      <c r="J2598" s="1">
        <v>10.0</v>
      </c>
      <c r="K2598" s="1">
        <v>13.4463346009999</v>
      </c>
      <c r="L2598" s="1">
        <v>23.3</v>
      </c>
      <c r="M2598" s="1">
        <v>7.7</v>
      </c>
      <c r="N2598" s="1">
        <v>21.6</v>
      </c>
      <c r="O2598" s="1">
        <v>3.6487166583</v>
      </c>
      <c r="P2598" s="1">
        <v>20.823409323</v>
      </c>
      <c r="Q2598" s="1">
        <v>25.7732</v>
      </c>
      <c r="R2598" s="1">
        <v>100.0</v>
      </c>
      <c r="S2598" s="1">
        <v>21.3</v>
      </c>
      <c r="T2598" s="1">
        <v>807.0</v>
      </c>
      <c r="U2598" s="1">
        <v>23.296158612</v>
      </c>
      <c r="V2598" s="1">
        <v>313.6434919</v>
      </c>
      <c r="W2598" s="1">
        <v>8.4848484848</v>
      </c>
      <c r="X2598" s="1">
        <v>3.5802469136</v>
      </c>
      <c r="Y2598" s="1">
        <v>81.184541494</v>
      </c>
      <c r="Z2598" s="1">
        <v>7.6</v>
      </c>
      <c r="AA2598" s="1">
        <v>3.1046101313</v>
      </c>
      <c r="AB2598" s="1">
        <v>45261.0</v>
      </c>
      <c r="AC2598" s="1">
        <v>52.142857143</v>
      </c>
      <c r="AD2598" s="1">
        <v>74.105518496</v>
      </c>
      <c r="AE2598" s="1">
        <v>5.7011795544</v>
      </c>
      <c r="AF2598" s="1">
        <v>3.5425892159</v>
      </c>
      <c r="AG2598" s="1">
        <v>1.1982287054</v>
      </c>
      <c r="AH2598" s="1">
        <v>0.5470174525</v>
      </c>
      <c r="AI2598" s="1">
        <v>0.1562907007</v>
      </c>
      <c r="AJ2598" s="1">
        <v>28.601198229</v>
      </c>
      <c r="AK2598" s="1">
        <v>65.668142746</v>
      </c>
      <c r="AL2598" s="1">
        <v>2.9826014913</v>
      </c>
      <c r="AM2598" s="1">
        <v>50.429799427</v>
      </c>
      <c r="AN2598" s="1">
        <v>100.0</v>
      </c>
      <c r="AO2598" s="1">
        <v>26796.0</v>
      </c>
      <c r="AP2598" s="1">
        <v>19.8</v>
      </c>
      <c r="AQ2598" s="1">
        <v>6.8</v>
      </c>
      <c r="AR2598" s="1">
        <v>17.2</v>
      </c>
      <c r="AS2598" s="1">
        <v>23.2</v>
      </c>
      <c r="AT2598" s="1">
        <v>20.6</v>
      </c>
      <c r="AU2598" s="1">
        <v>16.1</v>
      </c>
      <c r="AV2598" s="1">
        <v>35.7</v>
      </c>
      <c r="AW2598" s="1">
        <v>2.9</v>
      </c>
      <c r="AX2598" s="1">
        <v>0.5008</v>
      </c>
      <c r="AY2598" s="1">
        <v>13.3</v>
      </c>
      <c r="AZ2598" s="1">
        <v>15.7</v>
      </c>
      <c r="BA2598" s="1">
        <v>24.1</v>
      </c>
      <c r="BB2598" s="1">
        <v>2.91</v>
      </c>
      <c r="BC2598" s="1" t="s">
        <v>4123</v>
      </c>
      <c r="BD2598" s="1">
        <v>13.9</v>
      </c>
      <c r="BE2598" s="1">
        <v>34.7</v>
      </c>
      <c r="BF2598" s="1">
        <v>32.8</v>
      </c>
      <c r="BG2598" s="1">
        <v>18.6</v>
      </c>
      <c r="BH2598" s="1" t="s">
        <v>4251</v>
      </c>
    </row>
    <row r="2599">
      <c r="A2599" s="1">
        <v>48153.0</v>
      </c>
      <c r="B2599" s="2" t="str">
        <f>IFERROR(__xludf.DUMMYFUNCTION("TO_TEXT(A2599)"),"48153")</f>
        <v>48153</v>
      </c>
      <c r="C2599" s="1">
        <v>6088.0</v>
      </c>
      <c r="D2599" s="1">
        <v>992.142091538152</v>
      </c>
      <c r="E2599" s="1" t="s">
        <v>894</v>
      </c>
      <c r="F2599" s="1" t="s">
        <v>4252</v>
      </c>
      <c r="G2599" s="1">
        <v>6.13621783807354</v>
      </c>
      <c r="H2599" s="1">
        <v>25.3133935619999</v>
      </c>
      <c r="I2599" s="1">
        <v>4.2188199855</v>
      </c>
      <c r="J2599" s="1">
        <v>9.51492537309999</v>
      </c>
      <c r="K2599" s="1">
        <v>15.1057425509999</v>
      </c>
      <c r="L2599" s="1">
        <v>34.6</v>
      </c>
      <c r="M2599" s="1">
        <v>8.4</v>
      </c>
      <c r="N2599" s="1">
        <v>22.3</v>
      </c>
      <c r="O2599" s="1">
        <v>82.842072603</v>
      </c>
      <c r="P2599" s="1">
        <v>23.580508475</v>
      </c>
      <c r="Q2599" s="1">
        <v>68.31768</v>
      </c>
      <c r="R2599" s="1">
        <v>95.2</v>
      </c>
      <c r="S2599" s="1">
        <v>33.3</v>
      </c>
      <c r="T2599" s="1">
        <v>1579.0</v>
      </c>
      <c r="U2599" s="1">
        <v>32.235592147</v>
      </c>
      <c r="V2599" s="1">
        <v>467.65393609</v>
      </c>
      <c r="W2599" s="1">
        <v>15.950920245</v>
      </c>
      <c r="X2599" s="1">
        <v>8.7100788055</v>
      </c>
      <c r="Y2599" s="1">
        <v>79.074497614</v>
      </c>
      <c r="Z2599" s="1">
        <v>9.3</v>
      </c>
      <c r="AA2599" s="1">
        <v>1.6891500267</v>
      </c>
      <c r="AB2599" s="1">
        <v>39891.0</v>
      </c>
      <c r="AC2599" s="1">
        <v>76.661129568</v>
      </c>
      <c r="AD2599" s="1">
        <v>71.778350515</v>
      </c>
      <c r="AE2599" s="1">
        <v>8.4500466853</v>
      </c>
      <c r="AF2599" s="1">
        <v>3.2208326195</v>
      </c>
      <c r="AG2599" s="1">
        <v>1.4562275141</v>
      </c>
      <c r="AH2599" s="1">
        <v>0.4625663868</v>
      </c>
      <c r="AI2599" s="1">
        <v>0.0171320884</v>
      </c>
      <c r="AJ2599" s="1">
        <v>59.516875107</v>
      </c>
      <c r="AK2599" s="1">
        <v>35.925989378</v>
      </c>
      <c r="AL2599" s="1">
        <v>5.1720997997</v>
      </c>
      <c r="AM2599" s="1">
        <v>49.597395923</v>
      </c>
      <c r="AN2599" s="1">
        <v>53.319888303</v>
      </c>
      <c r="AO2599" s="1">
        <v>23133.0</v>
      </c>
      <c r="AP2599" s="1">
        <v>22.0</v>
      </c>
      <c r="AQ2599" s="1">
        <v>7.6</v>
      </c>
      <c r="AR2599" s="1">
        <v>26.8</v>
      </c>
      <c r="AS2599" s="1">
        <v>18.4</v>
      </c>
      <c r="AT2599" s="1">
        <v>27.3</v>
      </c>
      <c r="AU2599" s="1">
        <v>13.9</v>
      </c>
      <c r="AV2599" s="1">
        <v>61.3</v>
      </c>
      <c r="AW2599" s="1">
        <v>4.5</v>
      </c>
      <c r="AX2599" s="1">
        <v>0.8819</v>
      </c>
      <c r="AY2599" s="1">
        <v>17.3</v>
      </c>
      <c r="AZ2599" s="1">
        <v>15.1</v>
      </c>
      <c r="BA2599" s="1">
        <v>23.3</v>
      </c>
      <c r="BB2599" s="1">
        <v>3.05</v>
      </c>
      <c r="BC2599" s="1" t="s">
        <v>4123</v>
      </c>
      <c r="BD2599" s="1">
        <v>25.8</v>
      </c>
      <c r="BE2599" s="1">
        <v>27.7</v>
      </c>
      <c r="BF2599" s="1">
        <v>30.6</v>
      </c>
      <c r="BG2599" s="1">
        <v>15.9</v>
      </c>
      <c r="BH2599" s="1" t="s">
        <v>4252</v>
      </c>
    </row>
    <row r="2600">
      <c r="A2600" s="1">
        <v>48155.0</v>
      </c>
      <c r="B2600" s="2" t="str">
        <f>IFERROR(__xludf.DUMMYFUNCTION("TO_TEXT(A2600)"),"48155")</f>
        <v>48155</v>
      </c>
      <c r="C2600" s="1">
        <v>1320.0</v>
      </c>
      <c r="D2600" s="1">
        <v>704.396238958566</v>
      </c>
      <c r="E2600" s="1" t="s">
        <v>4253</v>
      </c>
      <c r="F2600" s="1" t="s">
        <v>4254</v>
      </c>
      <c r="G2600" s="1">
        <v>1.87394526971295</v>
      </c>
      <c r="H2600" s="1">
        <v>16.076238472</v>
      </c>
      <c r="I2600" s="1">
        <v>3.9167616503</v>
      </c>
      <c r="J2600" s="1">
        <v>7.80443539465</v>
      </c>
      <c r="K2600" s="1">
        <v>12.589098433</v>
      </c>
      <c r="L2600" s="1">
        <v>28.4</v>
      </c>
      <c r="M2600" s="1">
        <v>4.4</v>
      </c>
      <c r="N2600" s="1">
        <v>23.0</v>
      </c>
      <c r="O2600" s="1">
        <v>41.392215569</v>
      </c>
      <c r="P2600" s="1">
        <v>24.4943820219999</v>
      </c>
      <c r="Q2600" s="1">
        <v>0.0</v>
      </c>
      <c r="R2600" s="1">
        <v>100.0</v>
      </c>
      <c r="S2600" s="1">
        <v>31.0</v>
      </c>
      <c r="T2600" s="1">
        <v>262.0</v>
      </c>
      <c r="U2600" s="1">
        <v>26.335877863</v>
      </c>
      <c r="V2600" s="1">
        <v>0.0</v>
      </c>
      <c r="W2600" s="1">
        <v>3.619047619</v>
      </c>
      <c r="X2600" s="1">
        <v>2.6666666667</v>
      </c>
      <c r="Y2600" s="1">
        <v>77.482572377</v>
      </c>
      <c r="Z2600" s="1">
        <v>7.6</v>
      </c>
      <c r="AA2600" s="1">
        <v>45.770258524</v>
      </c>
      <c r="AB2600" s="1">
        <v>37648.0</v>
      </c>
      <c r="AC2600" s="1">
        <v>74.88372093</v>
      </c>
      <c r="AD2600" s="1">
        <v>83.662477558</v>
      </c>
      <c r="AE2600" s="1">
        <v>3.5916824197</v>
      </c>
      <c r="AF2600" s="1">
        <v>4.8333333333</v>
      </c>
      <c r="AG2600" s="1">
        <v>0.6666666667</v>
      </c>
      <c r="AH2600" s="1">
        <v>0.8333333333</v>
      </c>
      <c r="AI2600" s="1">
        <v>0.0</v>
      </c>
      <c r="AJ2600" s="1">
        <v>18.833333333</v>
      </c>
      <c r="AK2600" s="1">
        <v>74.333333333</v>
      </c>
      <c r="AL2600" s="1">
        <v>2.3031203566</v>
      </c>
      <c r="AM2600" s="1">
        <v>51.416666667</v>
      </c>
      <c r="AN2600" s="1">
        <v>100.0</v>
      </c>
      <c r="AO2600" s="1">
        <v>23323.0</v>
      </c>
      <c r="AP2600" s="1">
        <v>6.9</v>
      </c>
      <c r="AQ2600" s="1">
        <v>9.3</v>
      </c>
      <c r="AR2600" s="1">
        <v>19.2</v>
      </c>
      <c r="AS2600" s="1">
        <v>29.1</v>
      </c>
      <c r="AT2600" s="1">
        <v>19.9</v>
      </c>
      <c r="AU2600" s="1">
        <v>24.1</v>
      </c>
      <c r="AV2600" s="1">
        <v>18.3</v>
      </c>
      <c r="AW2600" s="1">
        <v>2.0</v>
      </c>
      <c r="AX2600" s="1">
        <v>0.412</v>
      </c>
      <c r="AY2600" s="1">
        <v>17.0</v>
      </c>
      <c r="AZ2600" s="1">
        <v>13.3</v>
      </c>
      <c r="BA2600" s="1">
        <v>19.8</v>
      </c>
      <c r="BB2600" s="1">
        <v>2.93</v>
      </c>
      <c r="BC2600" s="1" t="s">
        <v>4123</v>
      </c>
      <c r="BD2600" s="1">
        <v>18.1</v>
      </c>
      <c r="BE2600" s="1">
        <v>32.0</v>
      </c>
      <c r="BF2600" s="1">
        <v>33.6</v>
      </c>
      <c r="BG2600" s="1">
        <v>16.2</v>
      </c>
      <c r="BH2600" s="1" t="s">
        <v>4254</v>
      </c>
    </row>
    <row r="2601">
      <c r="A2601" s="1">
        <v>48157.0</v>
      </c>
      <c r="B2601" s="2" t="str">
        <f>IFERROR(__xludf.DUMMYFUNCTION("TO_TEXT(A2601)"),"48157")</f>
        <v>48157</v>
      </c>
      <c r="C2601" s="1">
        <v>683756.0</v>
      </c>
      <c r="D2601" s="1">
        <v>861.86957750325</v>
      </c>
      <c r="E2601" s="1" t="s">
        <v>4255</v>
      </c>
      <c r="F2601" s="1" t="s">
        <v>4256</v>
      </c>
      <c r="G2601" s="1">
        <v>793.340451789438</v>
      </c>
      <c r="H2601" s="1">
        <v>15.373437012</v>
      </c>
      <c r="I2601" s="1">
        <v>3.3447686257</v>
      </c>
      <c r="J2601" s="1">
        <v>8.76971024779999</v>
      </c>
      <c r="K2601" s="1">
        <v>11.728355735</v>
      </c>
      <c r="L2601" s="1">
        <v>29.1</v>
      </c>
      <c r="M2601" s="1">
        <v>7.5</v>
      </c>
      <c r="N2601" s="1">
        <v>21.3</v>
      </c>
      <c r="O2601" s="1">
        <v>89.254067905</v>
      </c>
      <c r="P2601" s="1">
        <v>13.518509274</v>
      </c>
      <c r="Q2601" s="1">
        <v>84.98643</v>
      </c>
      <c r="R2601" s="1">
        <v>93.6</v>
      </c>
      <c r="S2601" s="1">
        <v>10.4</v>
      </c>
      <c r="T2601" s="1">
        <v>204770.0</v>
      </c>
      <c r="U2601" s="1">
        <v>21.181813742</v>
      </c>
      <c r="V2601" s="1">
        <v>245.5656844</v>
      </c>
      <c r="W2601" s="1">
        <v>13.702276708</v>
      </c>
      <c r="X2601" s="1">
        <v>10.536990307</v>
      </c>
      <c r="Y2601" s="1">
        <v>82.984029424</v>
      </c>
      <c r="Z2601" s="1">
        <v>7.6</v>
      </c>
      <c r="AA2601" s="1">
        <v>7.0545057664</v>
      </c>
      <c r="AB2601" s="1">
        <v>92310.0</v>
      </c>
      <c r="AC2601" s="1">
        <v>33.722314837</v>
      </c>
      <c r="AD2601" s="1">
        <v>77.690434541</v>
      </c>
      <c r="AE2601" s="1">
        <v>11.137273055</v>
      </c>
      <c r="AF2601" s="1">
        <v>20.23943401</v>
      </c>
      <c r="AG2601" s="1">
        <v>0.602646669799999</v>
      </c>
      <c r="AH2601" s="1">
        <v>20.794737123</v>
      </c>
      <c r="AI2601" s="1">
        <v>0.0917678059</v>
      </c>
      <c r="AJ2601" s="1">
        <v>24.679193459</v>
      </c>
      <c r="AK2601" s="1">
        <v>32.530227528</v>
      </c>
      <c r="AL2601" s="1">
        <v>5.3889342099</v>
      </c>
      <c r="AM2601" s="1">
        <v>50.930370701</v>
      </c>
      <c r="AN2601" s="1">
        <v>5.53576767029999</v>
      </c>
      <c r="AO2601" s="1">
        <v>37134.0</v>
      </c>
      <c r="AP2601" s="1">
        <v>8.2</v>
      </c>
      <c r="AQ2601" s="1">
        <v>5.4</v>
      </c>
      <c r="AR2601" s="1">
        <v>10.8</v>
      </c>
      <c r="AS2601" s="1">
        <v>9.5</v>
      </c>
      <c r="AT2601" s="1">
        <v>28.1</v>
      </c>
      <c r="AU2601" s="1">
        <v>7.9</v>
      </c>
      <c r="AV2601" s="1">
        <v>65.1</v>
      </c>
      <c r="AW2601" s="1">
        <v>5.5</v>
      </c>
      <c r="AX2601" s="1">
        <v>0.2725</v>
      </c>
      <c r="AY2601" s="1">
        <v>6.6</v>
      </c>
      <c r="AZ2601" s="1">
        <v>11.0</v>
      </c>
      <c r="BA2601" s="1">
        <v>16.6</v>
      </c>
      <c r="BB2601" s="1">
        <v>2.99</v>
      </c>
      <c r="BC2601" s="1" t="s">
        <v>4123</v>
      </c>
      <c r="BD2601" s="1">
        <v>9.4</v>
      </c>
      <c r="BE2601" s="1">
        <v>17.9</v>
      </c>
      <c r="BF2601" s="1">
        <v>26.5</v>
      </c>
      <c r="BG2601" s="1">
        <v>46.2</v>
      </c>
      <c r="BH2601" s="1" t="s">
        <v>4256</v>
      </c>
    </row>
    <row r="2602">
      <c r="A2602" s="1">
        <v>48159.0</v>
      </c>
      <c r="B2602" s="2" t="str">
        <f>IFERROR(__xludf.DUMMYFUNCTION("TO_TEXT(A2602)"),"48159")</f>
        <v>48159</v>
      </c>
      <c r="C2602" s="1">
        <v>10571.0</v>
      </c>
      <c r="D2602" s="1">
        <v>284.391268673314</v>
      </c>
      <c r="E2602" s="1" t="s">
        <v>118</v>
      </c>
      <c r="F2602" s="1" t="s">
        <v>4257</v>
      </c>
      <c r="G2602" s="1">
        <v>37.1706207764878</v>
      </c>
      <c r="H2602" s="1">
        <v>16.630940258</v>
      </c>
      <c r="I2602" s="1">
        <v>4.0236945575</v>
      </c>
      <c r="J2602" s="1">
        <v>7.0603337612</v>
      </c>
      <c r="K2602" s="1">
        <v>14.262096896</v>
      </c>
      <c r="L2602" s="1">
        <v>36.9</v>
      </c>
      <c r="M2602" s="1">
        <v>7.3</v>
      </c>
      <c r="N2602" s="1">
        <v>34.3</v>
      </c>
      <c r="O2602" s="1">
        <v>7.5153229609</v>
      </c>
      <c r="P2602" s="1">
        <v>19.0923131759999</v>
      </c>
      <c r="Q2602" s="1">
        <v>27.86291</v>
      </c>
      <c r="R2602" s="1">
        <v>97.3</v>
      </c>
      <c r="S2602" s="1">
        <v>23.9</v>
      </c>
      <c r="T2602" s="1">
        <v>2603.0</v>
      </c>
      <c r="U2602" s="1">
        <v>24.663849405</v>
      </c>
      <c r="V2602" s="1">
        <v>252.57249766</v>
      </c>
      <c r="W2602" s="1">
        <v>16.52490887</v>
      </c>
      <c r="X2602" s="1">
        <v>12.807881773</v>
      </c>
      <c r="Y2602" s="1">
        <v>77.446279196</v>
      </c>
      <c r="Z2602" s="1">
        <v>13.7</v>
      </c>
      <c r="AA2602" s="1">
        <v>2.4446541849</v>
      </c>
      <c r="AB2602" s="1">
        <v>48222.0</v>
      </c>
      <c r="AC2602" s="1">
        <v>54.523076923</v>
      </c>
      <c r="AD2602" s="1">
        <v>76.983709932</v>
      </c>
      <c r="AE2602" s="1">
        <v>10.210293304</v>
      </c>
      <c r="AF2602" s="1">
        <v>3.6596693294</v>
      </c>
      <c r="AG2602" s="1">
        <v>1.0681775961</v>
      </c>
      <c r="AH2602" s="1">
        <v>0.9845810886</v>
      </c>
      <c r="AI2602" s="1">
        <v>0.0278655025</v>
      </c>
      <c r="AJ2602" s="1">
        <v>14.824447334</v>
      </c>
      <c r="AK2602" s="1">
        <v>78.478543563</v>
      </c>
      <c r="AL2602" s="1">
        <v>2.5168450258</v>
      </c>
      <c r="AM2602" s="1">
        <v>50.306520528</v>
      </c>
      <c r="AN2602" s="1">
        <v>69.12776992</v>
      </c>
      <c r="AO2602" s="1">
        <v>25250.0</v>
      </c>
      <c r="AP2602" s="1">
        <v>16.8</v>
      </c>
      <c r="AQ2602" s="1">
        <v>6.5</v>
      </c>
      <c r="AR2602" s="1">
        <v>14.5</v>
      </c>
      <c r="AS2602" s="1">
        <v>19.5</v>
      </c>
      <c r="AT2602" s="1">
        <v>24.4</v>
      </c>
      <c r="AU2602" s="1">
        <v>21.8</v>
      </c>
      <c r="AV2602" s="1">
        <v>20.2</v>
      </c>
      <c r="AW2602" s="1">
        <v>3.5</v>
      </c>
      <c r="AX2602" s="1">
        <v>0.5874</v>
      </c>
      <c r="AY2602" s="1">
        <v>14.4</v>
      </c>
      <c r="AZ2602" s="1">
        <v>14.4</v>
      </c>
      <c r="BA2602" s="1">
        <v>21.6</v>
      </c>
      <c r="BB2602" s="1">
        <v>2.84</v>
      </c>
      <c r="BC2602" s="1" t="s">
        <v>4123</v>
      </c>
      <c r="BD2602" s="1">
        <v>8.7</v>
      </c>
      <c r="BE2602" s="1">
        <v>27.9</v>
      </c>
      <c r="BF2602" s="1">
        <v>36.8</v>
      </c>
      <c r="BG2602" s="1">
        <v>26.6</v>
      </c>
      <c r="BH2602" s="1" t="s">
        <v>4257</v>
      </c>
    </row>
    <row r="2603">
      <c r="A2603" s="1">
        <v>48161.0</v>
      </c>
      <c r="B2603" s="2" t="str">
        <f>IFERROR(__xludf.DUMMYFUNCTION("TO_TEXT(A2603)"),"48161")</f>
        <v>48161</v>
      </c>
      <c r="C2603" s="1">
        <v>19585.0</v>
      </c>
      <c r="D2603" s="1">
        <v>877.730263105658</v>
      </c>
      <c r="E2603" s="1" t="s">
        <v>4258</v>
      </c>
      <c r="F2603" s="1" t="s">
        <v>4259</v>
      </c>
      <c r="G2603" s="1">
        <v>22.3132331460268</v>
      </c>
      <c r="H2603" s="1">
        <v>19.499611292</v>
      </c>
      <c r="I2603" s="1">
        <v>4.2147554246</v>
      </c>
      <c r="J2603" s="1">
        <v>8.1686429513</v>
      </c>
      <c r="K2603" s="1">
        <v>16.225948267</v>
      </c>
      <c r="L2603" s="1">
        <v>34.9</v>
      </c>
      <c r="M2603" s="1">
        <v>6.5</v>
      </c>
      <c r="N2603" s="1">
        <v>39.5</v>
      </c>
      <c r="O2603" s="1">
        <v>34.7194186519999</v>
      </c>
      <c r="P2603" s="1">
        <v>19.879770726</v>
      </c>
      <c r="Q2603" s="1">
        <v>30.57325</v>
      </c>
      <c r="R2603" s="1">
        <v>96.1</v>
      </c>
      <c r="S2603" s="1">
        <v>19.3</v>
      </c>
      <c r="T2603" s="1">
        <v>4534.0</v>
      </c>
      <c r="U2603" s="1">
        <v>29.4221438019999</v>
      </c>
      <c r="V2603" s="1">
        <v>154.98361239</v>
      </c>
      <c r="W2603" s="1">
        <v>12.8746594009999</v>
      </c>
      <c r="X2603" s="1">
        <v>8.9910775566</v>
      </c>
      <c r="Y2603" s="1">
        <v>77.67134487</v>
      </c>
      <c r="Z2603" s="1">
        <v>18.8</v>
      </c>
      <c r="AA2603" s="1">
        <v>5.8721031112</v>
      </c>
      <c r="AB2603" s="1">
        <v>49317.0</v>
      </c>
      <c r="AC2603" s="1">
        <v>54.2664872139999</v>
      </c>
      <c r="AD2603" s="1">
        <v>75.207574654</v>
      </c>
      <c r="AE2603" s="1">
        <v>10.177958164</v>
      </c>
      <c r="AF2603" s="1">
        <v>15.226171244</v>
      </c>
      <c r="AG2603" s="1">
        <v>1.4539579968</v>
      </c>
      <c r="AH2603" s="1">
        <v>0.7724151858</v>
      </c>
      <c r="AI2603" s="1">
        <v>0.0252423263</v>
      </c>
      <c r="AJ2603" s="1">
        <v>15.8420840059999</v>
      </c>
      <c r="AK2603" s="1">
        <v>66.629644588</v>
      </c>
      <c r="AL2603" s="1">
        <v>3.2172882087</v>
      </c>
      <c r="AM2603" s="1">
        <v>48.096728595</v>
      </c>
      <c r="AN2603" s="1">
        <v>66.476584578</v>
      </c>
      <c r="AO2603" s="1">
        <v>23370.0</v>
      </c>
      <c r="AP2603" s="1">
        <v>16.6</v>
      </c>
      <c r="AQ2603" s="1">
        <v>5.5</v>
      </c>
      <c r="AR2603" s="1">
        <v>18.9</v>
      </c>
      <c r="AS2603" s="1">
        <v>18.5</v>
      </c>
      <c r="AT2603" s="1">
        <v>22.8</v>
      </c>
      <c r="AU2603" s="1">
        <v>17.4</v>
      </c>
      <c r="AV2603" s="1">
        <v>32.2</v>
      </c>
      <c r="AW2603" s="1">
        <v>3.5</v>
      </c>
      <c r="AX2603" s="1">
        <v>0.7899</v>
      </c>
      <c r="AY2603" s="1">
        <v>15.5</v>
      </c>
      <c r="AZ2603" s="1">
        <v>18.3</v>
      </c>
      <c r="BA2603" s="1">
        <v>27.3</v>
      </c>
      <c r="BB2603" s="1">
        <v>2.81</v>
      </c>
      <c r="BC2603" s="1" t="s">
        <v>4123</v>
      </c>
      <c r="BD2603" s="1">
        <v>17.4</v>
      </c>
      <c r="BE2603" s="1">
        <v>33.2</v>
      </c>
      <c r="BF2603" s="1">
        <v>34.2</v>
      </c>
      <c r="BG2603" s="1">
        <v>15.3</v>
      </c>
      <c r="BH2603" s="1" t="s">
        <v>4259</v>
      </c>
    </row>
    <row r="2604">
      <c r="A2604" s="1">
        <v>48163.0</v>
      </c>
      <c r="B2604" s="2" t="str">
        <f>IFERROR(__xludf.DUMMYFUNCTION("TO_TEXT(A2604)"),"48163")</f>
        <v>48163</v>
      </c>
      <c r="C2604" s="1">
        <v>18542.0</v>
      </c>
      <c r="D2604" s="1">
        <v>1133.50030094581</v>
      </c>
      <c r="E2604" s="1" t="s">
        <v>4260</v>
      </c>
      <c r="F2604" s="1" t="s">
        <v>4261</v>
      </c>
      <c r="G2604" s="1">
        <v>16.3581782770839</v>
      </c>
      <c r="H2604" s="1">
        <v>28.3512851819999</v>
      </c>
      <c r="I2604" s="1">
        <v>3.9455377852</v>
      </c>
      <c r="J2604" s="1">
        <v>10.49382716</v>
      </c>
      <c r="K2604" s="1">
        <v>15.792629049</v>
      </c>
      <c r="L2604" s="1">
        <v>24.5</v>
      </c>
      <c r="M2604" s="1">
        <v>8.6</v>
      </c>
      <c r="N2604" s="1">
        <v>24.0</v>
      </c>
      <c r="O2604" s="1">
        <v>40.5877911369999</v>
      </c>
      <c r="P2604" s="1">
        <v>22.220612733</v>
      </c>
      <c r="Q2604" s="1">
        <v>20.40816</v>
      </c>
      <c r="R2604" s="1">
        <v>86.8</v>
      </c>
      <c r="S2604" s="1">
        <v>33.9</v>
      </c>
      <c r="T2604" s="1">
        <v>4181.0</v>
      </c>
      <c r="U2604" s="1">
        <v>44.7500597939999</v>
      </c>
      <c r="V2604" s="1">
        <v>237.49166111</v>
      </c>
      <c r="W2604" s="1">
        <v>19.849785408</v>
      </c>
      <c r="X2604" s="1">
        <v>10.753880266</v>
      </c>
      <c r="Y2604" s="1">
        <v>78.004188792</v>
      </c>
      <c r="Z2604" s="1">
        <v>4.2</v>
      </c>
      <c r="AA2604" s="1">
        <v>5.0224340239</v>
      </c>
      <c r="AB2604" s="1">
        <v>41038.0</v>
      </c>
      <c r="AC2604" s="1">
        <v>75.711226675</v>
      </c>
      <c r="AD2604" s="1">
        <v>68.187716263</v>
      </c>
      <c r="AE2604" s="1">
        <v>9.5742178311</v>
      </c>
      <c r="AF2604" s="1">
        <v>2.9925312878</v>
      </c>
      <c r="AG2604" s="1">
        <v>1.0294711344</v>
      </c>
      <c r="AH2604" s="1">
        <v>2.5484457004</v>
      </c>
      <c r="AI2604" s="1">
        <v>0.040371417</v>
      </c>
      <c r="AJ2604" s="1">
        <v>79.314695196</v>
      </c>
      <c r="AK2604" s="1">
        <v>14.629592249</v>
      </c>
      <c r="AL2604" s="1">
        <v>11.383585692</v>
      </c>
      <c r="AM2604" s="1">
        <v>40.689341946</v>
      </c>
      <c r="AN2604" s="1">
        <v>22.181564733</v>
      </c>
      <c r="AO2604" s="1">
        <v>17547.0</v>
      </c>
      <c r="AP2604" s="1">
        <v>21.3</v>
      </c>
      <c r="AQ2604" s="1">
        <v>6.9</v>
      </c>
      <c r="AR2604" s="1">
        <v>37.2</v>
      </c>
      <c r="AS2604" s="1">
        <v>12.2</v>
      </c>
      <c r="AT2604" s="1">
        <v>24.4</v>
      </c>
      <c r="AU2604" s="1">
        <v>17.8</v>
      </c>
      <c r="AV2604" s="1">
        <v>83.2</v>
      </c>
      <c r="AW2604" s="1">
        <v>10.4</v>
      </c>
      <c r="AX2604" s="1">
        <v>0.9838</v>
      </c>
      <c r="AY2604" s="1">
        <v>27.7</v>
      </c>
      <c r="AZ2604" s="1">
        <v>14.3</v>
      </c>
      <c r="BA2604" s="1">
        <v>21.6</v>
      </c>
      <c r="BB2604" s="1">
        <v>2.71</v>
      </c>
      <c r="BC2604" s="1" t="s">
        <v>4123</v>
      </c>
      <c r="BD2604" s="1">
        <v>33.8</v>
      </c>
      <c r="BE2604" s="1">
        <v>34.2</v>
      </c>
      <c r="BF2604" s="1">
        <v>24.7</v>
      </c>
      <c r="BG2604" s="1">
        <v>7.3</v>
      </c>
      <c r="BH2604" s="1" t="s">
        <v>4261</v>
      </c>
    </row>
    <row r="2605">
      <c r="A2605" s="1">
        <v>48165.0</v>
      </c>
      <c r="B2605" s="2" t="str">
        <f>IFERROR(__xludf.DUMMYFUNCTION("TO_TEXT(A2605)"),"48165")</f>
        <v>48165</v>
      </c>
      <c r="C2605" s="1">
        <v>19485.0</v>
      </c>
      <c r="D2605" s="1">
        <v>1502.36352966025</v>
      </c>
      <c r="E2605" s="1" t="s">
        <v>4262</v>
      </c>
      <c r="F2605" s="1" t="s">
        <v>4263</v>
      </c>
      <c r="G2605" s="1">
        <v>12.969564033817</v>
      </c>
      <c r="H2605" s="1">
        <v>20.003245194</v>
      </c>
      <c r="I2605" s="1">
        <v>3.9941278495</v>
      </c>
      <c r="J2605" s="1">
        <v>5.806010929</v>
      </c>
      <c r="K2605" s="1">
        <v>14.909157578</v>
      </c>
      <c r="L2605" s="1">
        <v>34.0</v>
      </c>
      <c r="M2605" s="1">
        <v>8.7</v>
      </c>
      <c r="N2605" s="1">
        <v>27.9</v>
      </c>
      <c r="O2605" s="1">
        <v>36.003651717</v>
      </c>
      <c r="P2605" s="1">
        <v>33.749599744</v>
      </c>
      <c r="Q2605" s="1">
        <v>24.22715</v>
      </c>
      <c r="R2605" s="1">
        <v>96.5</v>
      </c>
      <c r="S2605" s="1">
        <v>22.0</v>
      </c>
      <c r="T2605" s="1">
        <v>7238.0</v>
      </c>
      <c r="U2605" s="1">
        <v>25.9463940319999</v>
      </c>
      <c r="V2605" s="1">
        <v>72.607095466</v>
      </c>
      <c r="W2605" s="1">
        <v>11.012433393</v>
      </c>
      <c r="X2605" s="1">
        <v>4.7920433996</v>
      </c>
      <c r="Y2605" s="1">
        <v>79.148717073</v>
      </c>
      <c r="Z2605" s="1">
        <v>5.5</v>
      </c>
      <c r="AA2605" s="1">
        <v>1.1329250721</v>
      </c>
      <c r="AB2605" s="1">
        <v>56321.0</v>
      </c>
      <c r="AC2605" s="1">
        <v>55.731775181</v>
      </c>
      <c r="AD2605" s="1">
        <v>77.392365348</v>
      </c>
      <c r="AE2605" s="1">
        <v>9.1323333966</v>
      </c>
      <c r="AF2605" s="1">
        <v>1.6123630448</v>
      </c>
      <c r="AG2605" s="1">
        <v>1.0430122961</v>
      </c>
      <c r="AH2605" s="1">
        <v>0.4114635663</v>
      </c>
      <c r="AI2605" s="1">
        <v>0.0717669011</v>
      </c>
      <c r="AJ2605" s="1">
        <v>42.3568250319999</v>
      </c>
      <c r="AK2605" s="1">
        <v>54.652887422</v>
      </c>
      <c r="AL2605" s="1">
        <v>10.8874303679999</v>
      </c>
      <c r="AM2605" s="1">
        <v>49.294292139</v>
      </c>
      <c r="AN2605" s="1">
        <v>63.043478261</v>
      </c>
      <c r="AO2605" s="1">
        <v>22837.0</v>
      </c>
      <c r="AP2605" s="1">
        <v>10.7</v>
      </c>
      <c r="AQ2605" s="1">
        <v>4.5</v>
      </c>
      <c r="AR2605" s="1">
        <v>39.6</v>
      </c>
      <c r="AS2605" s="1">
        <v>9.2</v>
      </c>
      <c r="AT2605" s="1">
        <v>35.2</v>
      </c>
      <c r="AU2605" s="1">
        <v>12.1</v>
      </c>
      <c r="AV2605" s="1">
        <v>43.0</v>
      </c>
      <c r="AW2605" s="1">
        <v>10.1</v>
      </c>
      <c r="AX2605" s="1">
        <v>0.4718</v>
      </c>
      <c r="AY2605" s="1">
        <v>13.2</v>
      </c>
      <c r="AZ2605" s="1">
        <v>12.5</v>
      </c>
      <c r="BA2605" s="1">
        <v>18.6</v>
      </c>
      <c r="BB2605" s="1">
        <v>3.17</v>
      </c>
      <c r="BC2605" s="1" t="s">
        <v>4123</v>
      </c>
      <c r="BD2605" s="1">
        <v>38.2</v>
      </c>
      <c r="BE2605" s="1">
        <v>29.8</v>
      </c>
      <c r="BF2605" s="1">
        <v>20.5</v>
      </c>
      <c r="BG2605" s="1">
        <v>11.4</v>
      </c>
      <c r="BH2605" s="1" t="s">
        <v>4263</v>
      </c>
    </row>
    <row r="2606">
      <c r="A2606" s="1">
        <v>48167.0</v>
      </c>
      <c r="B2606" s="2" t="str">
        <f>IFERROR(__xludf.DUMMYFUNCTION("TO_TEXT(A2606)"),"48167")</f>
        <v>48167</v>
      </c>
      <c r="C2606" s="1">
        <v>314485.0</v>
      </c>
      <c r="D2606" s="1">
        <v>378.945016029878</v>
      </c>
      <c r="E2606" s="1" t="s">
        <v>4264</v>
      </c>
      <c r="F2606" s="1" t="s">
        <v>4265</v>
      </c>
      <c r="G2606" s="1">
        <v>829.896123967505</v>
      </c>
      <c r="H2606" s="1">
        <v>20.413934547</v>
      </c>
      <c r="I2606" s="1">
        <v>4.2514983006</v>
      </c>
      <c r="J2606" s="1">
        <v>8.540460387</v>
      </c>
      <c r="K2606" s="1">
        <v>18.731028807</v>
      </c>
      <c r="L2606" s="1">
        <v>33.7</v>
      </c>
      <c r="M2606" s="1">
        <v>6.9</v>
      </c>
      <c r="N2606" s="1">
        <v>27.5</v>
      </c>
      <c r="O2606" s="1">
        <v>84.454651247</v>
      </c>
      <c r="P2606" s="1">
        <v>15.40080016</v>
      </c>
      <c r="Q2606" s="1">
        <v>73.12647</v>
      </c>
      <c r="R2606" s="1">
        <v>92.3</v>
      </c>
      <c r="S2606" s="1">
        <v>16.6</v>
      </c>
      <c r="T2606" s="1">
        <v>79494.0</v>
      </c>
      <c r="U2606" s="1">
        <v>29.509145344</v>
      </c>
      <c r="V2606" s="1">
        <v>289.42407265</v>
      </c>
      <c r="W2606" s="1">
        <v>15.1705061159999</v>
      </c>
      <c r="X2606" s="1">
        <v>12.2911642179999</v>
      </c>
      <c r="Y2606" s="1">
        <v>77.690199314</v>
      </c>
      <c r="Z2606" s="1">
        <v>11.6</v>
      </c>
      <c r="AA2606" s="1">
        <v>7.8152058094</v>
      </c>
      <c r="AB2606" s="1">
        <v>71959.0</v>
      </c>
      <c r="AC2606" s="1">
        <v>46.062483038</v>
      </c>
      <c r="AD2606" s="1">
        <v>66.258883547</v>
      </c>
      <c r="AE2606" s="1">
        <v>12.674742099</v>
      </c>
      <c r="AF2606" s="1">
        <v>12.641688123</v>
      </c>
      <c r="AG2606" s="1">
        <v>0.8032199828</v>
      </c>
      <c r="AH2606" s="1">
        <v>3.4674006333</v>
      </c>
      <c r="AI2606" s="1">
        <v>0.1080233212</v>
      </c>
      <c r="AJ2606" s="1">
        <v>25.0022196569999</v>
      </c>
      <c r="AK2606" s="1">
        <v>57.028026873</v>
      </c>
      <c r="AL2606" s="1">
        <v>3.6196210725</v>
      </c>
      <c r="AM2606" s="1">
        <v>50.832519459</v>
      </c>
      <c r="AN2606" s="1">
        <v>6.1498271595</v>
      </c>
      <c r="AO2606" s="1">
        <v>32756.0</v>
      </c>
      <c r="AP2606" s="1">
        <v>13.6</v>
      </c>
      <c r="AQ2606" s="1">
        <v>7.2</v>
      </c>
      <c r="AR2606" s="1">
        <v>12.4</v>
      </c>
      <c r="AS2606" s="1">
        <v>12.8</v>
      </c>
      <c r="AT2606" s="1">
        <v>24.7</v>
      </c>
      <c r="AU2606" s="1">
        <v>13.3</v>
      </c>
      <c r="AV2606" s="1">
        <v>41.7</v>
      </c>
      <c r="AW2606" s="1">
        <v>3.4</v>
      </c>
      <c r="AX2606" s="1">
        <v>0.5696</v>
      </c>
      <c r="AY2606" s="1">
        <v>11.3</v>
      </c>
      <c r="AZ2606" s="1">
        <v>15.0</v>
      </c>
      <c r="BA2606" s="1">
        <v>21.9</v>
      </c>
      <c r="BB2606" s="1">
        <v>2.93</v>
      </c>
      <c r="BC2606" s="1" t="s">
        <v>4123</v>
      </c>
      <c r="BD2606" s="1">
        <v>11.0</v>
      </c>
      <c r="BE2606" s="1">
        <v>24.9</v>
      </c>
      <c r="BF2606" s="1">
        <v>33.0</v>
      </c>
      <c r="BG2606" s="1">
        <v>31.1</v>
      </c>
      <c r="BH2606" s="1" t="s">
        <v>4265</v>
      </c>
    </row>
    <row r="2607">
      <c r="A2607" s="1">
        <v>48169.0</v>
      </c>
      <c r="B2607" s="2" t="str">
        <f>IFERROR(__xludf.DUMMYFUNCTION("TO_TEXT(A2607)"),"48169")</f>
        <v>48169</v>
      </c>
      <c r="C2607" s="1">
        <v>6614.0</v>
      </c>
      <c r="D2607" s="1">
        <v>893.41332518568</v>
      </c>
      <c r="E2607" s="1" t="s">
        <v>4266</v>
      </c>
      <c r="F2607" s="1" t="s">
        <v>4267</v>
      </c>
      <c r="G2607" s="1">
        <v>7.40306844944963</v>
      </c>
      <c r="H2607" s="1">
        <v>19.920813034</v>
      </c>
      <c r="I2607" s="1">
        <v>3.6155924287</v>
      </c>
      <c r="J2607" s="1">
        <v>9.4562647754</v>
      </c>
      <c r="K2607" s="1">
        <v>14.325170938</v>
      </c>
      <c r="L2607" s="1">
        <v>22.6</v>
      </c>
      <c r="M2607" s="1">
        <v>8.6</v>
      </c>
      <c r="N2607" s="1">
        <v>21.7</v>
      </c>
      <c r="O2607" s="1">
        <v>12.753443739</v>
      </c>
      <c r="P2607" s="1">
        <v>24.8918918919999</v>
      </c>
      <c r="Q2607" s="1">
        <v>15.31863</v>
      </c>
      <c r="R2607" s="1">
        <v>84.0</v>
      </c>
      <c r="S2607" s="1">
        <v>26.4</v>
      </c>
      <c r="T2607" s="1">
        <v>988.0</v>
      </c>
      <c r="U2607" s="1">
        <v>24.79757085</v>
      </c>
      <c r="V2607" s="1">
        <v>117.97090051</v>
      </c>
      <c r="W2607" s="1">
        <v>8.6153846154</v>
      </c>
      <c r="X2607" s="1">
        <v>5.8204334365</v>
      </c>
      <c r="Y2607" s="1">
        <v>79.5580591619999</v>
      </c>
      <c r="Z2607" s="1">
        <v>5.2</v>
      </c>
      <c r="AA2607" s="1">
        <v>1.8259758017</v>
      </c>
      <c r="AB2607" s="1">
        <v>46490.0</v>
      </c>
      <c r="AC2607" s="1">
        <v>75.274177468</v>
      </c>
      <c r="AD2607" s="1">
        <v>64.127764128</v>
      </c>
      <c r="AE2607" s="1">
        <v>5.3727333781</v>
      </c>
      <c r="AF2607" s="1">
        <v>6.3545150502</v>
      </c>
      <c r="AG2607" s="1">
        <v>0.8969291578</v>
      </c>
      <c r="AH2607" s="1">
        <v>0.5624809973</v>
      </c>
      <c r="AI2607" s="1">
        <v>0.1064153238</v>
      </c>
      <c r="AJ2607" s="1">
        <v>52.371541502</v>
      </c>
      <c r="AK2607" s="1">
        <v>39.556096078</v>
      </c>
      <c r="AL2607" s="1">
        <v>20.601428809</v>
      </c>
      <c r="AM2607" s="1">
        <v>33.794466403</v>
      </c>
      <c r="AN2607" s="1">
        <v>22.334004024</v>
      </c>
      <c r="AO2607" s="1">
        <v>19043.0</v>
      </c>
      <c r="AP2607" s="1">
        <v>13.4</v>
      </c>
      <c r="AQ2607" s="1">
        <v>2.9</v>
      </c>
      <c r="AR2607" s="1">
        <v>43.0</v>
      </c>
      <c r="AS2607" s="1">
        <v>10.6</v>
      </c>
      <c r="AT2607" s="1">
        <v>18.4</v>
      </c>
      <c r="AU2607" s="1">
        <v>13.3</v>
      </c>
      <c r="AV2607" s="1">
        <v>59.6</v>
      </c>
      <c r="AW2607" s="1">
        <v>25.2</v>
      </c>
      <c r="AX2607" s="1">
        <v>0.6746</v>
      </c>
      <c r="AY2607" s="1">
        <v>24.2</v>
      </c>
      <c r="AZ2607" s="1">
        <v>14.5</v>
      </c>
      <c r="BA2607" s="1">
        <v>22.4</v>
      </c>
      <c r="BB2607" s="1">
        <v>3.07</v>
      </c>
      <c r="BC2607" s="1" t="s">
        <v>4123</v>
      </c>
      <c r="BD2607" s="1">
        <v>38.4</v>
      </c>
      <c r="BE2607" s="1">
        <v>28.6</v>
      </c>
      <c r="BF2607" s="1">
        <v>19.1</v>
      </c>
      <c r="BG2607" s="1">
        <v>13.9</v>
      </c>
      <c r="BH2607" s="1" t="s">
        <v>4267</v>
      </c>
    </row>
    <row r="2608">
      <c r="A2608" s="1">
        <v>48171.0</v>
      </c>
      <c r="B2608" s="2" t="str">
        <f>IFERROR(__xludf.DUMMYFUNCTION("TO_TEXT(A2608)"),"48171")</f>
        <v>48171</v>
      </c>
      <c r="C2608" s="1">
        <v>25732.0</v>
      </c>
      <c r="D2608" s="1">
        <v>1058.21141635542</v>
      </c>
      <c r="E2608" s="1" t="s">
        <v>4268</v>
      </c>
      <c r="F2608" s="1" t="s">
        <v>4269</v>
      </c>
      <c r="G2608" s="1">
        <v>24.3165019789933</v>
      </c>
      <c r="H2608" s="1">
        <v>16.826731912</v>
      </c>
      <c r="I2608" s="1">
        <v>3.9241230852</v>
      </c>
      <c r="J2608" s="1">
        <v>7.42009132419999</v>
      </c>
      <c r="K2608" s="1">
        <v>12.446428243</v>
      </c>
      <c r="L2608" s="1">
        <v>28.9</v>
      </c>
      <c r="M2608" s="1">
        <v>7.8</v>
      </c>
      <c r="N2608" s="1">
        <v>29.7</v>
      </c>
      <c r="O2608" s="1">
        <v>70.902282884</v>
      </c>
      <c r="P2608" s="1">
        <v>23.841940116</v>
      </c>
      <c r="Q2608" s="1">
        <v>116.34016</v>
      </c>
      <c r="R2608" s="1">
        <v>92.4</v>
      </c>
      <c r="S2608" s="1">
        <v>15.7</v>
      </c>
      <c r="T2608" s="1">
        <v>5142.0</v>
      </c>
      <c r="U2608" s="1">
        <v>24.542979385</v>
      </c>
      <c r="V2608" s="1">
        <v>50.219226238</v>
      </c>
      <c r="W2608" s="1">
        <v>17.142857143</v>
      </c>
      <c r="X2608" s="1">
        <v>12.976362759</v>
      </c>
      <c r="Y2608" s="1">
        <v>79.948533925</v>
      </c>
      <c r="Z2608" s="1">
        <v>3.9</v>
      </c>
      <c r="AA2608" s="1">
        <v>5.5063068432</v>
      </c>
      <c r="AB2608" s="1">
        <v>61433.0</v>
      </c>
      <c r="AC2608" s="1">
        <v>48.050248626</v>
      </c>
      <c r="AD2608" s="1">
        <v>73.285434357</v>
      </c>
      <c r="AE2608" s="1">
        <v>12.0640534429999</v>
      </c>
      <c r="AF2608" s="1">
        <v>0.4178480824</v>
      </c>
      <c r="AG2608" s="1">
        <v>1.1565437994</v>
      </c>
      <c r="AH2608" s="1">
        <v>0.4738098791</v>
      </c>
      <c r="AI2608" s="1">
        <v>0.167885390199999</v>
      </c>
      <c r="AJ2608" s="1">
        <v>23.660647665</v>
      </c>
      <c r="AK2608" s="1">
        <v>74.30607372</v>
      </c>
      <c r="AL2608" s="1">
        <v>4.8823576648</v>
      </c>
      <c r="AM2608" s="1">
        <v>51.298313685</v>
      </c>
      <c r="AN2608" s="1">
        <v>53.653822925</v>
      </c>
      <c r="AO2608" s="1">
        <v>30939.0</v>
      </c>
      <c r="AP2608" s="1">
        <v>10.8</v>
      </c>
      <c r="AQ2608" s="1">
        <v>5.9</v>
      </c>
      <c r="AR2608" s="1">
        <v>10.7</v>
      </c>
      <c r="AS2608" s="1">
        <v>28.4</v>
      </c>
      <c r="AT2608" s="1">
        <v>19.8</v>
      </c>
      <c r="AU2608" s="1">
        <v>14.9</v>
      </c>
      <c r="AV2608" s="1">
        <v>23.7</v>
      </c>
      <c r="AW2608" s="1">
        <v>3.8</v>
      </c>
      <c r="AX2608" s="1">
        <v>0.3782</v>
      </c>
      <c r="AY2608" s="1">
        <v>8.5</v>
      </c>
      <c r="AZ2608" s="1">
        <v>13.1</v>
      </c>
      <c r="BA2608" s="1">
        <v>20.1</v>
      </c>
      <c r="BB2608" s="1">
        <v>2.4</v>
      </c>
      <c r="BC2608" s="1" t="s">
        <v>4123</v>
      </c>
      <c r="BD2608" s="1">
        <v>11.0</v>
      </c>
      <c r="BE2608" s="1">
        <v>29.9</v>
      </c>
      <c r="BF2608" s="1">
        <v>26.8</v>
      </c>
      <c r="BG2608" s="1">
        <v>32.2</v>
      </c>
      <c r="BH2608" s="1" t="s">
        <v>4269</v>
      </c>
    </row>
    <row r="2609">
      <c r="A2609" s="1">
        <v>48173.0</v>
      </c>
      <c r="B2609" s="2" t="str">
        <f>IFERROR(__xludf.DUMMYFUNCTION("TO_TEXT(A2609)"),"48173")</f>
        <v>48173</v>
      </c>
      <c r="C2609" s="1">
        <v>1253.0</v>
      </c>
      <c r="D2609" s="1">
        <v>900.217265981246</v>
      </c>
      <c r="E2609" s="1" t="s">
        <v>4270</v>
      </c>
      <c r="F2609" s="1" t="s">
        <v>4271</v>
      </c>
      <c r="G2609" s="1">
        <v>1.39188621164049</v>
      </c>
      <c r="H2609" s="1">
        <v>20.0987695609999</v>
      </c>
      <c r="I2609" s="1">
        <v>4.03339281779999</v>
      </c>
      <c r="J2609" s="1">
        <v>7.80443539465</v>
      </c>
      <c r="K2609" s="1">
        <v>15.073828412</v>
      </c>
      <c r="L2609" s="1">
        <v>23.9</v>
      </c>
      <c r="M2609" s="1">
        <v>6.8</v>
      </c>
      <c r="N2609" s="1">
        <v>21.9</v>
      </c>
      <c r="O2609" s="1">
        <v>0.0</v>
      </c>
      <c r="P2609" s="1">
        <v>21.932114883</v>
      </c>
      <c r="Q2609" s="1">
        <v>0.0</v>
      </c>
      <c r="R2609" s="1">
        <v>100.0</v>
      </c>
      <c r="S2609" s="1">
        <v>13.3</v>
      </c>
      <c r="T2609" s="1">
        <v>338.0</v>
      </c>
      <c r="U2609" s="1">
        <v>15.384615385</v>
      </c>
      <c r="V2609" s="1">
        <v>0.0</v>
      </c>
      <c r="W2609" s="1">
        <v>6.8181818182</v>
      </c>
      <c r="X2609" s="1">
        <v>4.128440367</v>
      </c>
      <c r="Y2609" s="1">
        <v>77.482572377</v>
      </c>
      <c r="Z2609" s="1">
        <v>10.9</v>
      </c>
      <c r="AA2609" s="1">
        <v>22.5421071169999</v>
      </c>
      <c r="AB2609" s="1">
        <v>83330.0</v>
      </c>
      <c r="AC2609" s="1">
        <v>36.102236422</v>
      </c>
      <c r="AD2609" s="1">
        <v>68.055555556</v>
      </c>
      <c r="AE2609" s="1">
        <v>3.8235294118</v>
      </c>
      <c r="AF2609" s="1">
        <v>1.5129682997</v>
      </c>
      <c r="AG2609" s="1">
        <v>0.4322766571</v>
      </c>
      <c r="AH2609" s="1">
        <v>0.144092219</v>
      </c>
      <c r="AI2609" s="1">
        <v>0.144092219</v>
      </c>
      <c r="AJ2609" s="1">
        <v>38.472622478</v>
      </c>
      <c r="AK2609" s="1">
        <v>59.221902017</v>
      </c>
      <c r="AL2609" s="1">
        <v>15.198237885</v>
      </c>
      <c r="AM2609" s="1">
        <v>44.884726225</v>
      </c>
      <c r="AN2609" s="1">
        <v>100.0</v>
      </c>
      <c r="AO2609" s="1">
        <v>34834.0</v>
      </c>
      <c r="AP2609" s="1">
        <v>5.3</v>
      </c>
      <c r="AQ2609" s="1">
        <v>2.7</v>
      </c>
      <c r="AR2609" s="1">
        <v>24.8</v>
      </c>
      <c r="AS2609" s="1">
        <v>13.2</v>
      </c>
      <c r="AT2609" s="1">
        <v>28.2</v>
      </c>
      <c r="AU2609" s="1">
        <v>5.1</v>
      </c>
      <c r="AV2609" s="1">
        <v>37.3</v>
      </c>
      <c r="AW2609" s="1">
        <v>11.4</v>
      </c>
      <c r="AX2609" s="1">
        <v>0.1181</v>
      </c>
      <c r="AY2609" s="1">
        <v>7.9</v>
      </c>
      <c r="AZ2609" s="1">
        <v>9.9</v>
      </c>
      <c r="BA2609" s="1">
        <v>12.2</v>
      </c>
      <c r="BB2609" s="1">
        <v>2.91</v>
      </c>
      <c r="BC2609" s="1" t="s">
        <v>4123</v>
      </c>
      <c r="BD2609" s="1">
        <v>30.6</v>
      </c>
      <c r="BE2609" s="1">
        <v>18.7</v>
      </c>
      <c r="BF2609" s="1">
        <v>23.6</v>
      </c>
      <c r="BG2609" s="1">
        <v>27.2</v>
      </c>
      <c r="BH2609" s="1" t="s">
        <v>4271</v>
      </c>
    </row>
    <row r="2610">
      <c r="A2610" s="1">
        <v>48175.0</v>
      </c>
      <c r="B2610" s="2" t="str">
        <f>IFERROR(__xludf.DUMMYFUNCTION("TO_TEXT(A2610)"),"48175")</f>
        <v>48175</v>
      </c>
      <c r="C2610" s="1">
        <v>7463.0</v>
      </c>
      <c r="D2610" s="1">
        <v>852.010737451772</v>
      </c>
      <c r="E2610" s="1" t="s">
        <v>4272</v>
      </c>
      <c r="F2610" s="1" t="s">
        <v>4273</v>
      </c>
      <c r="G2610" s="1">
        <v>8.75927928129244</v>
      </c>
      <c r="H2610" s="1">
        <v>19.147914104</v>
      </c>
      <c r="I2610" s="1">
        <v>3.9780556561</v>
      </c>
      <c r="J2610" s="1">
        <v>6.6929133858</v>
      </c>
      <c r="K2610" s="1">
        <v>14.2733271309999</v>
      </c>
      <c r="L2610" s="1">
        <v>28.0</v>
      </c>
      <c r="M2610" s="1">
        <v>7.4</v>
      </c>
      <c r="N2610" s="1">
        <v>29.9</v>
      </c>
      <c r="O2610" s="1">
        <v>58.418862691</v>
      </c>
      <c r="P2610" s="1">
        <v>15.61751625</v>
      </c>
      <c r="Q2610" s="1">
        <v>48.31939</v>
      </c>
      <c r="R2610" s="1">
        <v>98.1</v>
      </c>
      <c r="S2610" s="1">
        <v>22.6</v>
      </c>
      <c r="T2610" s="1">
        <v>1607.0</v>
      </c>
      <c r="U2610" s="1">
        <v>34.100808961</v>
      </c>
      <c r="V2610" s="1">
        <v>211.16536888</v>
      </c>
      <c r="W2610" s="1">
        <v>8.39285714289999</v>
      </c>
      <c r="X2610" s="1">
        <v>5.0619082302</v>
      </c>
      <c r="Y2610" s="1">
        <v>77.196259214</v>
      </c>
      <c r="Z2610" s="1">
        <v>8.0</v>
      </c>
      <c r="AA2610" s="1">
        <v>9.6450198273</v>
      </c>
      <c r="AB2610" s="1">
        <v>55008.0</v>
      </c>
      <c r="AC2610" s="1">
        <v>53.765846383</v>
      </c>
      <c r="AD2610" s="1">
        <v>84.259604625</v>
      </c>
      <c r="AE2610" s="1">
        <v>6.0032894737</v>
      </c>
      <c r="AF2610" s="1">
        <v>4.1666666667</v>
      </c>
      <c r="AG2610" s="1">
        <v>0.9757383966</v>
      </c>
      <c r="AH2610" s="1">
        <v>0.5142405063</v>
      </c>
      <c r="AI2610" s="1">
        <v>0.026371308</v>
      </c>
      <c r="AJ2610" s="1">
        <v>36.379219409</v>
      </c>
      <c r="AK2610" s="1">
        <v>57.581751055</v>
      </c>
      <c r="AL2610" s="1">
        <v>1.052777393</v>
      </c>
      <c r="AM2610" s="1">
        <v>50.4746835439999</v>
      </c>
      <c r="AN2610" s="1">
        <v>100.0</v>
      </c>
      <c r="AO2610" s="1">
        <v>30581.0</v>
      </c>
      <c r="AP2610" s="1">
        <v>16.9</v>
      </c>
      <c r="AQ2610" s="1">
        <v>9.8</v>
      </c>
      <c r="AR2610" s="1">
        <v>11.2</v>
      </c>
      <c r="AS2610" s="1">
        <v>20.3</v>
      </c>
      <c r="AT2610" s="1">
        <v>21.7</v>
      </c>
      <c r="AU2610" s="1">
        <v>20.2</v>
      </c>
      <c r="AV2610" s="1">
        <v>41.2</v>
      </c>
      <c r="AW2610" s="1">
        <v>1.2</v>
      </c>
      <c r="AX2610" s="1">
        <v>0.6568</v>
      </c>
      <c r="AY2610" s="1">
        <v>13.4</v>
      </c>
      <c r="AZ2610" s="1">
        <v>14.9</v>
      </c>
      <c r="BA2610" s="1">
        <v>25.1</v>
      </c>
      <c r="BB2610" s="1">
        <v>2.65</v>
      </c>
      <c r="BC2610" s="1" t="s">
        <v>4123</v>
      </c>
      <c r="BD2610" s="1">
        <v>17.0</v>
      </c>
      <c r="BE2610" s="1">
        <v>26.5</v>
      </c>
      <c r="BF2610" s="1">
        <v>39.2</v>
      </c>
      <c r="BG2610" s="1">
        <v>17.3</v>
      </c>
      <c r="BH2610" s="1" t="s">
        <v>4273</v>
      </c>
    </row>
    <row r="2611">
      <c r="A2611" s="1">
        <v>48177.0</v>
      </c>
      <c r="B2611" s="2" t="str">
        <f>IFERROR(__xludf.DUMMYFUNCTION("TO_TEXT(A2611)"),"48177")</f>
        <v>48177</v>
      </c>
      <c r="C2611" s="1">
        <v>20370.0</v>
      </c>
      <c r="D2611" s="1">
        <v>1066.68587533064</v>
      </c>
      <c r="E2611" s="1" t="s">
        <v>4274</v>
      </c>
      <c r="F2611" s="1" t="s">
        <v>4275</v>
      </c>
      <c r="G2611" s="1">
        <v>19.096531107329</v>
      </c>
      <c r="H2611" s="1">
        <v>24.074197011</v>
      </c>
      <c r="I2611" s="1">
        <v>4.2497836111</v>
      </c>
      <c r="J2611" s="1">
        <v>8.63482875059999</v>
      </c>
      <c r="K2611" s="1">
        <v>15.775322512</v>
      </c>
      <c r="L2611" s="1">
        <v>30.5</v>
      </c>
      <c r="M2611" s="1">
        <v>7.4</v>
      </c>
      <c r="N2611" s="1">
        <v>26.4</v>
      </c>
      <c r="O2611" s="1">
        <v>40.268591912</v>
      </c>
      <c r="P2611" s="1">
        <v>25.046436034</v>
      </c>
      <c r="Q2611" s="1">
        <v>38.29034</v>
      </c>
      <c r="R2611" s="1">
        <v>90.8</v>
      </c>
      <c r="S2611" s="1">
        <v>25.3</v>
      </c>
      <c r="T2611" s="1">
        <v>5547.0</v>
      </c>
      <c r="U2611" s="1">
        <v>30.557057869</v>
      </c>
      <c r="V2611" s="1">
        <v>652.04217671</v>
      </c>
      <c r="W2611" s="1">
        <v>19.742813918</v>
      </c>
      <c r="X2611" s="1">
        <v>9.3153589821</v>
      </c>
      <c r="Y2611" s="1">
        <v>77.194684112</v>
      </c>
      <c r="Z2611" s="1">
        <v>23.5</v>
      </c>
      <c r="AA2611" s="1">
        <v>11.17578406</v>
      </c>
      <c r="AB2611" s="1">
        <v>49829.0</v>
      </c>
      <c r="AC2611" s="1">
        <v>78.431372549</v>
      </c>
      <c r="AD2611" s="1">
        <v>68.242306626</v>
      </c>
      <c r="AE2611" s="1">
        <v>7.4149759159</v>
      </c>
      <c r="AF2611" s="1">
        <v>5.934889081</v>
      </c>
      <c r="AG2611" s="1">
        <v>1.73341016039999</v>
      </c>
      <c r="AH2611" s="1">
        <v>0.5089791607</v>
      </c>
      <c r="AI2611" s="1">
        <v>0.1392490157</v>
      </c>
      <c r="AJ2611" s="1">
        <v>51.4597138189999</v>
      </c>
      <c r="AK2611" s="1">
        <v>41.064054547</v>
      </c>
      <c r="AL2611" s="1">
        <v>8.5908141962</v>
      </c>
      <c r="AM2611" s="1">
        <v>49.50062422</v>
      </c>
      <c r="AN2611" s="1">
        <v>65.279951532</v>
      </c>
      <c r="AO2611" s="1">
        <v>22631.0</v>
      </c>
      <c r="AP2611" s="1">
        <v>17.2</v>
      </c>
      <c r="AQ2611" s="1">
        <v>6.5</v>
      </c>
      <c r="AR2611" s="1">
        <v>27.5</v>
      </c>
      <c r="AS2611" s="1">
        <v>16.1</v>
      </c>
      <c r="AT2611" s="1">
        <v>26.9</v>
      </c>
      <c r="AU2611" s="1">
        <v>19.5</v>
      </c>
      <c r="AV2611" s="1">
        <v>57.2</v>
      </c>
      <c r="AW2611" s="1">
        <v>8.7</v>
      </c>
      <c r="AX2611" s="1">
        <v>0.9634</v>
      </c>
      <c r="AY2611" s="1">
        <v>16.2</v>
      </c>
      <c r="AZ2611" s="1">
        <v>14.5</v>
      </c>
      <c r="BA2611" s="1">
        <v>21.4</v>
      </c>
      <c r="BB2611" s="1">
        <v>2.69</v>
      </c>
      <c r="BC2611" s="1" t="s">
        <v>4123</v>
      </c>
      <c r="BD2611" s="1">
        <v>23.3</v>
      </c>
      <c r="BE2611" s="1">
        <v>44.1</v>
      </c>
      <c r="BF2611" s="1">
        <v>19.6</v>
      </c>
      <c r="BG2611" s="1">
        <v>13.1</v>
      </c>
      <c r="BH2611" s="1" t="s">
        <v>4275</v>
      </c>
    </row>
    <row r="2612">
      <c r="A2612" s="1">
        <v>48179.0</v>
      </c>
      <c r="B2612" s="2" t="str">
        <f>IFERROR(__xludf.DUMMYFUNCTION("TO_TEXT(A2612)"),"48179")</f>
        <v>48179</v>
      </c>
      <c r="C2612" s="1">
        <v>23028.0</v>
      </c>
      <c r="D2612" s="1">
        <v>925.973627696442</v>
      </c>
      <c r="E2612" s="1" t="s">
        <v>1640</v>
      </c>
      <c r="F2612" s="1" t="s">
        <v>4276</v>
      </c>
      <c r="G2612" s="1">
        <v>24.8689588031648</v>
      </c>
      <c r="H2612" s="1">
        <v>19.447557638</v>
      </c>
      <c r="I2612" s="1">
        <v>4.0507731243</v>
      </c>
      <c r="J2612" s="1">
        <v>6.67886550779999</v>
      </c>
      <c r="K2612" s="1">
        <v>15.7359517559999</v>
      </c>
      <c r="L2612" s="1">
        <v>33.8</v>
      </c>
      <c r="M2612" s="1">
        <v>7.3</v>
      </c>
      <c r="N2612" s="1">
        <v>29.5</v>
      </c>
      <c r="O2612" s="1">
        <v>92.367428445</v>
      </c>
      <c r="P2612" s="1">
        <v>23.89621136</v>
      </c>
      <c r="Q2612" s="1">
        <v>40.1714</v>
      </c>
      <c r="R2612" s="1">
        <v>95.0</v>
      </c>
      <c r="S2612" s="1">
        <v>21.9</v>
      </c>
      <c r="T2612" s="1">
        <v>5753.0</v>
      </c>
      <c r="U2612" s="1">
        <v>28.141839041</v>
      </c>
      <c r="V2612" s="1">
        <v>497.27783255</v>
      </c>
      <c r="W2612" s="1">
        <v>13.780487805</v>
      </c>
      <c r="X2612" s="1">
        <v>9.6734442391</v>
      </c>
      <c r="Y2612" s="1">
        <v>74.642547421</v>
      </c>
      <c r="Z2612" s="1">
        <v>10.9</v>
      </c>
      <c r="AA2612" s="1">
        <v>6.7343170734</v>
      </c>
      <c r="AB2612" s="1">
        <v>49121.0</v>
      </c>
      <c r="AC2612" s="1">
        <v>60.178527151</v>
      </c>
      <c r="AD2612" s="1">
        <v>74.5375</v>
      </c>
      <c r="AE2612" s="1">
        <v>10.795078714</v>
      </c>
      <c r="AF2612" s="1">
        <v>4.6403288422</v>
      </c>
      <c r="AG2612" s="1">
        <v>1.6853162823</v>
      </c>
      <c r="AH2612" s="1">
        <v>0.7033569308</v>
      </c>
      <c r="AI2612" s="1">
        <v>0.0045672528</v>
      </c>
      <c r="AJ2612" s="1">
        <v>29.20758164</v>
      </c>
      <c r="AK2612" s="1">
        <v>63.165106189</v>
      </c>
      <c r="AL2612" s="1">
        <v>3.6685040867</v>
      </c>
      <c r="AM2612" s="1">
        <v>46.951358758</v>
      </c>
      <c r="AN2612" s="1">
        <v>19.387619259</v>
      </c>
      <c r="AO2612" s="1">
        <v>22409.0</v>
      </c>
      <c r="AP2612" s="1">
        <v>15.7</v>
      </c>
      <c r="AQ2612" s="1">
        <v>5.3</v>
      </c>
      <c r="AR2612" s="1">
        <v>19.7</v>
      </c>
      <c r="AS2612" s="1">
        <v>15.6</v>
      </c>
      <c r="AT2612" s="1">
        <v>25.3</v>
      </c>
      <c r="AU2612" s="1">
        <v>15.7</v>
      </c>
      <c r="AV2612" s="1">
        <v>35.0</v>
      </c>
      <c r="AW2612" s="1">
        <v>4.3</v>
      </c>
      <c r="AX2612" s="1">
        <v>0.7561</v>
      </c>
      <c r="AY2612" s="1">
        <v>14.5</v>
      </c>
      <c r="AZ2612" s="1">
        <v>15.7</v>
      </c>
      <c r="BA2612" s="1">
        <v>24.0</v>
      </c>
      <c r="BB2612" s="1">
        <v>3.17</v>
      </c>
      <c r="BC2612" s="1" t="s">
        <v>4123</v>
      </c>
      <c r="BD2612" s="1">
        <v>19.8</v>
      </c>
      <c r="BE2612" s="1">
        <v>32.7</v>
      </c>
      <c r="BF2612" s="1">
        <v>33.5</v>
      </c>
      <c r="BG2612" s="1">
        <v>13.9</v>
      </c>
      <c r="BH2612" s="1" t="s">
        <v>4276</v>
      </c>
    </row>
    <row r="2613">
      <c r="A2613" s="1">
        <v>48181.0</v>
      </c>
      <c r="B2613" s="2" t="str">
        <f>IFERROR(__xludf.DUMMYFUNCTION("TO_TEXT(A2613)"),"48181")</f>
        <v>48181</v>
      </c>
      <c r="C2613" s="1">
        <v>124231.0</v>
      </c>
      <c r="D2613" s="1">
        <v>932.820983345296</v>
      </c>
      <c r="E2613" s="1" t="s">
        <v>1825</v>
      </c>
      <c r="F2613" s="1" t="s">
        <v>4277</v>
      </c>
      <c r="G2613" s="1">
        <v>133.17775030583</v>
      </c>
      <c r="H2613" s="1">
        <v>16.860260315</v>
      </c>
      <c r="I2613" s="1">
        <v>4.1521034334</v>
      </c>
      <c r="J2613" s="1">
        <v>7.79208915679999</v>
      </c>
      <c r="K2613" s="1">
        <v>14.841121999</v>
      </c>
      <c r="L2613" s="1">
        <v>30.4</v>
      </c>
      <c r="M2613" s="1">
        <v>6.8</v>
      </c>
      <c r="N2613" s="1">
        <v>33.8</v>
      </c>
      <c r="O2613" s="1">
        <v>66.638814663</v>
      </c>
      <c r="P2613" s="1">
        <v>19.53349215</v>
      </c>
      <c r="Q2613" s="1">
        <v>47.27772</v>
      </c>
      <c r="R2613" s="1">
        <v>92.6</v>
      </c>
      <c r="S2613" s="1">
        <v>16.6</v>
      </c>
      <c r="T2613" s="1">
        <v>30256.0</v>
      </c>
      <c r="U2613" s="1">
        <v>32.350608144</v>
      </c>
      <c r="V2613" s="1">
        <v>272.67968658</v>
      </c>
      <c r="W2613" s="1">
        <v>14.705258694</v>
      </c>
      <c r="X2613" s="1">
        <v>11.118265722</v>
      </c>
      <c r="Y2613" s="1">
        <v>76.19290752</v>
      </c>
      <c r="Z2613" s="1">
        <v>13.0</v>
      </c>
      <c r="AA2613" s="1">
        <v>7.8895567822</v>
      </c>
      <c r="AB2613" s="1">
        <v>51403.0</v>
      </c>
      <c r="AC2613" s="1">
        <v>53.677607836</v>
      </c>
      <c r="AD2613" s="1">
        <v>67.416644077</v>
      </c>
      <c r="AE2613" s="1">
        <v>11.253650622</v>
      </c>
      <c r="AF2613" s="1">
        <v>5.939204872</v>
      </c>
      <c r="AG2613" s="1">
        <v>1.7837018904</v>
      </c>
      <c r="AH2613" s="1">
        <v>1.53293877949999</v>
      </c>
      <c r="AI2613" s="1">
        <v>0.0835877037</v>
      </c>
      <c r="AJ2613" s="1">
        <v>13.8374965479999</v>
      </c>
      <c r="AK2613" s="1">
        <v>74.9751849</v>
      </c>
      <c r="AL2613" s="1">
        <v>2.3669228343</v>
      </c>
      <c r="AM2613" s="1">
        <v>51.214633819</v>
      </c>
      <c r="AN2613" s="1">
        <v>43.150475277</v>
      </c>
      <c r="AO2613" s="1">
        <v>25541.0</v>
      </c>
      <c r="AP2613" s="1">
        <v>15.6</v>
      </c>
      <c r="AQ2613" s="1">
        <v>7.5</v>
      </c>
      <c r="AR2613" s="1">
        <v>12.4</v>
      </c>
      <c r="AS2613" s="1">
        <v>16.9</v>
      </c>
      <c r="AT2613" s="1">
        <v>23.8</v>
      </c>
      <c r="AU2613" s="1">
        <v>16.5</v>
      </c>
      <c r="AV2613" s="1">
        <v>23.1</v>
      </c>
      <c r="AW2613" s="1">
        <v>2.6</v>
      </c>
      <c r="AX2613" s="1">
        <v>0.7431</v>
      </c>
      <c r="AY2613" s="1">
        <v>11.6</v>
      </c>
      <c r="AZ2613" s="1">
        <v>15.7</v>
      </c>
      <c r="BA2613" s="1">
        <v>23.5</v>
      </c>
      <c r="BB2613" s="1">
        <v>2.76</v>
      </c>
      <c r="BC2613" s="1" t="s">
        <v>4123</v>
      </c>
      <c r="BD2613" s="1">
        <v>11.3</v>
      </c>
      <c r="BE2613" s="1">
        <v>30.1</v>
      </c>
      <c r="BF2613" s="1">
        <v>38.2</v>
      </c>
      <c r="BG2613" s="1">
        <v>20.4</v>
      </c>
      <c r="BH2613" s="1" t="s">
        <v>4277</v>
      </c>
    </row>
    <row r="2614">
      <c r="A2614" s="1">
        <v>48183.0</v>
      </c>
      <c r="B2614" s="2" t="str">
        <f>IFERROR(__xludf.DUMMYFUNCTION("TO_TEXT(A2614)"),"48183")</f>
        <v>48183</v>
      </c>
      <c r="C2614" s="1">
        <v>123283.0</v>
      </c>
      <c r="D2614" s="1">
        <v>273.372031107302</v>
      </c>
      <c r="E2614" s="1" t="s">
        <v>4278</v>
      </c>
      <c r="F2614" s="1" t="s">
        <v>4279</v>
      </c>
      <c r="G2614" s="1">
        <v>450.971518558934</v>
      </c>
      <c r="H2614" s="1">
        <v>19.589410124</v>
      </c>
      <c r="I2614" s="1">
        <v>4.2383701944</v>
      </c>
      <c r="J2614" s="1">
        <v>7.9222011385</v>
      </c>
      <c r="K2614" s="1">
        <v>16.1096104479999</v>
      </c>
      <c r="L2614" s="1">
        <v>30.3</v>
      </c>
      <c r="M2614" s="1">
        <v>6.0</v>
      </c>
      <c r="N2614" s="1">
        <v>27.7</v>
      </c>
      <c r="O2614" s="1">
        <v>81.591226485</v>
      </c>
      <c r="P2614" s="1">
        <v>21.327168405</v>
      </c>
      <c r="Q2614" s="1">
        <v>86.73308</v>
      </c>
      <c r="R2614" s="1">
        <v>93.3</v>
      </c>
      <c r="S2614" s="1">
        <v>20.9</v>
      </c>
      <c r="T2614" s="1">
        <v>31671.0</v>
      </c>
      <c r="U2614" s="1">
        <v>38.442107922</v>
      </c>
      <c r="V2614" s="1">
        <v>454.1739309</v>
      </c>
      <c r="W2614" s="1">
        <v>17.284629772</v>
      </c>
      <c r="X2614" s="1">
        <v>13.587076787</v>
      </c>
      <c r="Y2614" s="1">
        <v>75.663986346</v>
      </c>
      <c r="Z2614" s="1">
        <v>10.4</v>
      </c>
      <c r="AA2614" s="1">
        <v>10.344403193</v>
      </c>
      <c r="AB2614" s="1">
        <v>50610.0</v>
      </c>
      <c r="AC2614" s="1">
        <v>59.709385422</v>
      </c>
      <c r="AD2614" s="1">
        <v>59.312132127</v>
      </c>
      <c r="AE2614" s="1">
        <v>13.715999727</v>
      </c>
      <c r="AF2614" s="1">
        <v>20.2308681</v>
      </c>
      <c r="AG2614" s="1">
        <v>1.0128772018</v>
      </c>
      <c r="AH2614" s="1">
        <v>1.4057409847</v>
      </c>
      <c r="AI2614" s="1">
        <v>0.1050870201</v>
      </c>
      <c r="AJ2614" s="1">
        <v>19.188889877</v>
      </c>
      <c r="AK2614" s="1">
        <v>57.090544593</v>
      </c>
      <c r="AL2614" s="1">
        <v>3.9405458431</v>
      </c>
      <c r="AM2614" s="1">
        <v>51.407761889</v>
      </c>
      <c r="AN2614" s="1">
        <v>13.36235932</v>
      </c>
      <c r="AO2614" s="1">
        <v>24386.0</v>
      </c>
      <c r="AP2614" s="1">
        <v>18.2</v>
      </c>
      <c r="AQ2614" s="1">
        <v>5.8</v>
      </c>
      <c r="AR2614" s="1">
        <v>16.3</v>
      </c>
      <c r="AS2614" s="1">
        <v>14.1</v>
      </c>
      <c r="AT2614" s="1">
        <v>25.8</v>
      </c>
      <c r="AU2614" s="1">
        <v>14.8</v>
      </c>
      <c r="AV2614" s="1">
        <v>41.1</v>
      </c>
      <c r="AW2614" s="1">
        <v>4.3</v>
      </c>
      <c r="AX2614" s="1">
        <v>0.8561</v>
      </c>
      <c r="AY2614" s="1">
        <v>16.5</v>
      </c>
      <c r="AZ2614" s="1">
        <v>17.2</v>
      </c>
      <c r="BA2614" s="1">
        <v>24.7</v>
      </c>
      <c r="BB2614" s="1">
        <v>2.82</v>
      </c>
      <c r="BC2614" s="1" t="s">
        <v>4123</v>
      </c>
      <c r="BD2614" s="1">
        <v>15.9</v>
      </c>
      <c r="BE2614" s="1">
        <v>28.2</v>
      </c>
      <c r="BF2614" s="1">
        <v>34.6</v>
      </c>
      <c r="BG2614" s="1">
        <v>21.3</v>
      </c>
      <c r="BH2614" s="1" t="s">
        <v>4279</v>
      </c>
    </row>
    <row r="2615">
      <c r="A2615" s="1">
        <v>48185.0</v>
      </c>
      <c r="B2615" s="2" t="str">
        <f>IFERROR(__xludf.DUMMYFUNCTION("TO_TEXT(A2615)"),"48185")</f>
        <v>48185</v>
      </c>
      <c r="C2615" s="1">
        <v>27140.0</v>
      </c>
      <c r="D2615" s="1">
        <v>787.470097016652</v>
      </c>
      <c r="E2615" s="1" t="s">
        <v>4280</v>
      </c>
      <c r="F2615" s="1" t="s">
        <v>4281</v>
      </c>
      <c r="G2615" s="1">
        <v>34.464800762366</v>
      </c>
      <c r="H2615" s="1">
        <v>20.6089060009999</v>
      </c>
      <c r="I2615" s="1">
        <v>4.0834763749</v>
      </c>
      <c r="J2615" s="1">
        <v>9.1192170819</v>
      </c>
      <c r="K2615" s="1">
        <v>16.58932446</v>
      </c>
      <c r="L2615" s="1">
        <v>36.9</v>
      </c>
      <c r="M2615" s="1">
        <v>6.0</v>
      </c>
      <c r="N2615" s="1">
        <v>35.7</v>
      </c>
      <c r="O2615" s="1">
        <v>39.715832206</v>
      </c>
      <c r="P2615" s="1">
        <v>22.845139794</v>
      </c>
      <c r="Q2615" s="1">
        <v>21.366</v>
      </c>
      <c r="R2615" s="1">
        <v>94.8</v>
      </c>
      <c r="S2615" s="1">
        <v>25.3</v>
      </c>
      <c r="T2615" s="1">
        <v>6194.0</v>
      </c>
      <c r="U2615" s="1">
        <v>39.909589926</v>
      </c>
      <c r="V2615" s="1">
        <v>392.79450453</v>
      </c>
      <c r="W2615" s="1">
        <v>14.888888889</v>
      </c>
      <c r="X2615" s="1">
        <v>9.337860781</v>
      </c>
      <c r="Y2615" s="1">
        <v>76.73781774</v>
      </c>
      <c r="Z2615" s="1">
        <v>14.6</v>
      </c>
      <c r="AA2615" s="1">
        <v>16.210169537</v>
      </c>
      <c r="AB2615" s="1">
        <v>49498.0</v>
      </c>
      <c r="AC2615" s="1">
        <v>66.8416447939999</v>
      </c>
      <c r="AD2615" s="1">
        <v>77.266007051</v>
      </c>
      <c r="AE2615" s="1">
        <v>8.4047619048</v>
      </c>
      <c r="AF2615" s="1">
        <v>14.9788434409999</v>
      </c>
      <c r="AG2615" s="1">
        <v>0.9837799718</v>
      </c>
      <c r="AH2615" s="1">
        <v>0.4019746121</v>
      </c>
      <c r="AI2615" s="1">
        <v>0.119887165</v>
      </c>
      <c r="AJ2615" s="1">
        <v>24.56629055</v>
      </c>
      <c r="AK2615" s="1">
        <v>58.300423131</v>
      </c>
      <c r="AL2615" s="1">
        <v>3.6059166156</v>
      </c>
      <c r="AM2615" s="1">
        <v>45.585331453</v>
      </c>
      <c r="AN2615" s="1">
        <v>68.903172455</v>
      </c>
      <c r="AO2615" s="1">
        <v>21173.0</v>
      </c>
      <c r="AP2615" s="1">
        <v>20.3</v>
      </c>
      <c r="AQ2615" s="1">
        <v>5.9</v>
      </c>
      <c r="AR2615" s="1">
        <v>22.2</v>
      </c>
      <c r="AS2615" s="1">
        <v>16.2</v>
      </c>
      <c r="AT2615" s="1">
        <v>22.3</v>
      </c>
      <c r="AU2615" s="1">
        <v>13.5</v>
      </c>
      <c r="AV2615" s="1">
        <v>40.8</v>
      </c>
      <c r="AW2615" s="1">
        <v>4.3</v>
      </c>
      <c r="AX2615" s="1">
        <v>0.8672</v>
      </c>
      <c r="AY2615" s="1">
        <v>15.9</v>
      </c>
      <c r="AZ2615" s="1">
        <v>16.3</v>
      </c>
      <c r="BA2615" s="1">
        <v>26.6</v>
      </c>
      <c r="BB2615" s="1">
        <v>3.2</v>
      </c>
      <c r="BC2615" s="1" t="s">
        <v>4123</v>
      </c>
      <c r="BD2615" s="1">
        <v>19.4</v>
      </c>
      <c r="BE2615" s="1">
        <v>34.8</v>
      </c>
      <c r="BF2615" s="1">
        <v>30.0</v>
      </c>
      <c r="BG2615" s="1">
        <v>15.7</v>
      </c>
      <c r="BH2615" s="1" t="s">
        <v>4281</v>
      </c>
    </row>
    <row r="2616">
      <c r="A2616" s="1">
        <v>48187.0</v>
      </c>
      <c r="B2616" s="2" t="str">
        <f>IFERROR(__xludf.DUMMYFUNCTION("TO_TEXT(A2616)"),"48187")</f>
        <v>48187</v>
      </c>
      <c r="C2616" s="1">
        <v>147313.0</v>
      </c>
      <c r="D2616" s="1">
        <v>711.274450334852</v>
      </c>
      <c r="E2616" s="1" t="s">
        <v>3034</v>
      </c>
      <c r="F2616" s="1" t="s">
        <v>4282</v>
      </c>
      <c r="G2616" s="1">
        <v>207.111333649969</v>
      </c>
      <c r="H2616" s="1">
        <v>17.781775292</v>
      </c>
      <c r="I2616" s="1">
        <v>3.627378867</v>
      </c>
      <c r="J2616" s="1">
        <v>7.9980919065</v>
      </c>
      <c r="K2616" s="1">
        <v>13.430684793</v>
      </c>
      <c r="L2616" s="1">
        <v>33.8</v>
      </c>
      <c r="M2616" s="1">
        <v>7.6</v>
      </c>
      <c r="N2616" s="1">
        <v>23.1</v>
      </c>
      <c r="O2616" s="1">
        <v>65.312126995</v>
      </c>
      <c r="P2616" s="1">
        <v>13.800865422</v>
      </c>
      <c r="Q2616" s="1">
        <v>35.07475</v>
      </c>
      <c r="R2616" s="1">
        <v>95.0</v>
      </c>
      <c r="S2616" s="1">
        <v>12.0</v>
      </c>
      <c r="T2616" s="1">
        <v>39678.0</v>
      </c>
      <c r="U2616" s="1">
        <v>28.58006956</v>
      </c>
      <c r="V2616" s="1">
        <v>195.42377148</v>
      </c>
      <c r="W2616" s="1">
        <v>12.046865612</v>
      </c>
      <c r="X2616" s="1">
        <v>8.8378214213</v>
      </c>
      <c r="Y2616" s="1">
        <v>79.740002089</v>
      </c>
      <c r="Z2616" s="1">
        <v>10.1</v>
      </c>
      <c r="AA2616" s="1">
        <v>10.344849991</v>
      </c>
      <c r="AB2616" s="1">
        <v>73864.0</v>
      </c>
      <c r="AC2616" s="1">
        <v>40.711264071</v>
      </c>
      <c r="AD2616" s="1">
        <v>76.6509123089999</v>
      </c>
      <c r="AE2616" s="1">
        <v>8.8439428604</v>
      </c>
      <c r="AF2616" s="1">
        <v>7.6386428336</v>
      </c>
      <c r="AG2616" s="1">
        <v>0.9688809608</v>
      </c>
      <c r="AH2616" s="1">
        <v>1.974415678</v>
      </c>
      <c r="AI2616" s="1">
        <v>0.2217552262</v>
      </c>
      <c r="AJ2616" s="1">
        <v>38.342272777</v>
      </c>
      <c r="AK2616" s="1">
        <v>49.81489853</v>
      </c>
      <c r="AL2616" s="1">
        <v>2.6041989437</v>
      </c>
      <c r="AM2616" s="1">
        <v>50.5064327339999</v>
      </c>
      <c r="AN2616" s="1">
        <v>26.16225586</v>
      </c>
      <c r="AO2616" s="1">
        <v>28310.0</v>
      </c>
      <c r="AP2616" s="1">
        <v>10.5</v>
      </c>
      <c r="AQ2616" s="1">
        <v>5.2</v>
      </c>
      <c r="AR2616" s="1">
        <v>11.8</v>
      </c>
      <c r="AS2616" s="1">
        <v>13.0</v>
      </c>
      <c r="AT2616" s="1">
        <v>26.2</v>
      </c>
      <c r="AU2616" s="1">
        <v>12.3</v>
      </c>
      <c r="AV2616" s="1">
        <v>47.9</v>
      </c>
      <c r="AW2616" s="1">
        <v>3.0</v>
      </c>
      <c r="AX2616" s="1">
        <v>0.4374</v>
      </c>
      <c r="AY2616" s="1">
        <v>7.4</v>
      </c>
      <c r="AZ2616" s="1">
        <v>11.6</v>
      </c>
      <c r="BA2616" s="1">
        <v>17.5</v>
      </c>
      <c r="BB2616" s="1">
        <v>3.05</v>
      </c>
      <c r="BC2616" s="1" t="s">
        <v>4123</v>
      </c>
      <c r="BD2616" s="1">
        <v>11.3</v>
      </c>
      <c r="BE2616" s="1">
        <v>30.5</v>
      </c>
      <c r="BF2616" s="1">
        <v>30.1</v>
      </c>
      <c r="BG2616" s="1">
        <v>28.2</v>
      </c>
      <c r="BH2616" s="1" t="s">
        <v>4282</v>
      </c>
    </row>
    <row r="2617">
      <c r="A2617" s="1">
        <v>48189.0</v>
      </c>
      <c r="B2617" s="2" t="str">
        <f>IFERROR(__xludf.DUMMYFUNCTION("TO_TEXT(A2617)"),"48189")</f>
        <v>48189</v>
      </c>
      <c r="C2617" s="1">
        <v>35007.0</v>
      </c>
      <c r="D2617" s="1">
        <v>1004.68195515147</v>
      </c>
      <c r="E2617" s="1" t="s">
        <v>124</v>
      </c>
      <c r="F2617" s="1" t="s">
        <v>4283</v>
      </c>
      <c r="G2617" s="1">
        <v>34.8438625980121</v>
      </c>
      <c r="H2617" s="1">
        <v>25.690532463</v>
      </c>
      <c r="I2617" s="1">
        <v>4.171142262</v>
      </c>
      <c r="J2617" s="1">
        <v>9.6685922773</v>
      </c>
      <c r="K2617" s="1">
        <v>15.692036876</v>
      </c>
      <c r="L2617" s="1">
        <v>32.4</v>
      </c>
      <c r="M2617" s="1">
        <v>7.4</v>
      </c>
      <c r="N2617" s="1">
        <v>30.8</v>
      </c>
      <c r="O2617" s="1">
        <v>74.04956855</v>
      </c>
      <c r="P2617" s="1">
        <v>23.1368311219999</v>
      </c>
      <c r="Q2617" s="1">
        <v>29.2963</v>
      </c>
      <c r="R2617" s="1">
        <v>90.6</v>
      </c>
      <c r="S2617" s="1">
        <v>26.2</v>
      </c>
      <c r="T2617" s="1">
        <v>9215.0</v>
      </c>
      <c r="U2617" s="1">
        <v>32.859468258</v>
      </c>
      <c r="V2617" s="1">
        <v>221.58864284</v>
      </c>
      <c r="W2617" s="1">
        <v>15.483017203</v>
      </c>
      <c r="X2617" s="1">
        <v>8.5089285714</v>
      </c>
      <c r="Y2617" s="1">
        <v>77.22692071</v>
      </c>
      <c r="Z2617" s="1">
        <v>8.1</v>
      </c>
      <c r="AA2617" s="1">
        <v>9.42938734919999</v>
      </c>
      <c r="AB2617" s="1">
        <v>42782.0</v>
      </c>
      <c r="AC2617" s="1">
        <v>73.134942403</v>
      </c>
      <c r="AD2617" s="1">
        <v>60.523954782</v>
      </c>
      <c r="AE2617" s="1">
        <v>10.793375698</v>
      </c>
      <c r="AF2617" s="1">
        <v>4.9275790718</v>
      </c>
      <c r="AG2617" s="1">
        <v>1.7499261011</v>
      </c>
      <c r="AH2617" s="1">
        <v>0.6916937629</v>
      </c>
      <c r="AI2617" s="1">
        <v>0.1271061188</v>
      </c>
      <c r="AJ2617" s="1">
        <v>59.748743719</v>
      </c>
      <c r="AK2617" s="1">
        <v>33.479160508</v>
      </c>
      <c r="AL2617" s="1">
        <v>5.9329781533</v>
      </c>
      <c r="AM2617" s="1">
        <v>47.803724505</v>
      </c>
      <c r="AN2617" s="1">
        <v>23.0998263169999</v>
      </c>
      <c r="AO2617" s="1">
        <v>18888.0</v>
      </c>
      <c r="AP2617" s="1">
        <v>20.7</v>
      </c>
      <c r="AQ2617" s="1">
        <v>6.5</v>
      </c>
      <c r="AR2617" s="1">
        <v>24.6</v>
      </c>
      <c r="AS2617" s="1">
        <v>12.7</v>
      </c>
      <c r="AT2617" s="1">
        <v>28.0</v>
      </c>
      <c r="AU2617" s="1">
        <v>10.8</v>
      </c>
      <c r="AV2617" s="1">
        <v>64.9</v>
      </c>
      <c r="AW2617" s="1">
        <v>6.3</v>
      </c>
      <c r="AX2617" s="1">
        <v>0.8975</v>
      </c>
      <c r="AY2617" s="1">
        <v>17.9</v>
      </c>
      <c r="AZ2617" s="1">
        <v>14.9</v>
      </c>
      <c r="BA2617" s="1">
        <v>21.6</v>
      </c>
      <c r="BB2617" s="1">
        <v>2.83</v>
      </c>
      <c r="BC2617" s="1" t="s">
        <v>4123</v>
      </c>
      <c r="BD2617" s="1">
        <v>23.4</v>
      </c>
      <c r="BE2617" s="1">
        <v>34.7</v>
      </c>
      <c r="BF2617" s="1">
        <v>24.7</v>
      </c>
      <c r="BG2617" s="1">
        <v>17.1</v>
      </c>
      <c r="BH2617" s="1" t="s">
        <v>4283</v>
      </c>
    </row>
    <row r="2618">
      <c r="A2618" s="1">
        <v>48191.0</v>
      </c>
      <c r="B2618" s="2" t="str">
        <f>IFERROR(__xludf.DUMMYFUNCTION("TO_TEXT(A2618)"),"48191")</f>
        <v>48191</v>
      </c>
      <c r="C2618" s="1">
        <v>3162.0</v>
      </c>
      <c r="D2618" s="1">
        <v>883.491577921444</v>
      </c>
      <c r="E2618" s="1" t="s">
        <v>915</v>
      </c>
      <c r="F2618" s="1" t="s">
        <v>4284</v>
      </c>
      <c r="G2618" s="1">
        <v>3.57898148552713</v>
      </c>
      <c r="H2618" s="1">
        <v>28.068875163</v>
      </c>
      <c r="I2618" s="1">
        <v>4.8296508218</v>
      </c>
      <c r="J2618" s="1">
        <v>13.0890052359999</v>
      </c>
      <c r="K2618" s="1">
        <v>18.762493013</v>
      </c>
      <c r="L2618" s="1">
        <v>26.1</v>
      </c>
      <c r="M2618" s="1">
        <v>6.2</v>
      </c>
      <c r="N2618" s="1">
        <v>26.9</v>
      </c>
      <c r="O2618" s="1">
        <v>42.6185505519999</v>
      </c>
      <c r="P2618" s="1">
        <v>27.048114434</v>
      </c>
      <c r="Q2618" s="1">
        <v>32.56268</v>
      </c>
      <c r="R2618" s="1">
        <v>96.7</v>
      </c>
      <c r="S2618" s="1">
        <v>38.8</v>
      </c>
      <c r="T2618" s="1">
        <v>712.0</v>
      </c>
      <c r="U2618" s="1">
        <v>43.117977528</v>
      </c>
      <c r="V2618" s="1">
        <v>268.90224612</v>
      </c>
      <c r="W2618" s="1">
        <v>12.955465587</v>
      </c>
      <c r="X2618" s="1">
        <v>11.7598684209999</v>
      </c>
      <c r="Y2618" s="1">
        <v>78.033373728</v>
      </c>
      <c r="Z2618" s="1">
        <v>11.9</v>
      </c>
      <c r="AA2618" s="1">
        <v>12.30164675</v>
      </c>
      <c r="AB2618" s="1">
        <v>32597.0</v>
      </c>
      <c r="AC2618" s="1">
        <v>71.769383698</v>
      </c>
      <c r="AD2618" s="1">
        <v>61.029976941</v>
      </c>
      <c r="AE2618" s="1">
        <v>8.8060965284</v>
      </c>
      <c r="AF2618" s="1">
        <v>8.28929986789999</v>
      </c>
      <c r="AG2618" s="1">
        <v>1.5521796565</v>
      </c>
      <c r="AH2618" s="1">
        <v>0.429326288</v>
      </c>
      <c r="AI2618" s="1">
        <v>0.0660501982</v>
      </c>
      <c r="AJ2618" s="1">
        <v>34.214002642</v>
      </c>
      <c r="AK2618" s="1">
        <v>55.680317041</v>
      </c>
      <c r="AL2618" s="1">
        <v>7.0169491525</v>
      </c>
      <c r="AM2618" s="1">
        <v>50.495376486</v>
      </c>
      <c r="AN2618" s="1">
        <v>100.0</v>
      </c>
      <c r="AO2618" s="1">
        <v>18453.0</v>
      </c>
      <c r="AP2618" s="1">
        <v>28.7</v>
      </c>
      <c r="AQ2618" s="1">
        <v>9.1</v>
      </c>
      <c r="AR2618" s="1">
        <v>27.9</v>
      </c>
      <c r="AS2618" s="1">
        <v>22.9</v>
      </c>
      <c r="AT2618" s="1">
        <v>23.9</v>
      </c>
      <c r="AU2618" s="1">
        <v>20.7</v>
      </c>
      <c r="AV2618" s="1">
        <v>42.6</v>
      </c>
      <c r="AW2618" s="1">
        <v>6.4</v>
      </c>
      <c r="AX2618" s="1">
        <v>0.9436</v>
      </c>
      <c r="AY2618" s="1">
        <v>25.4</v>
      </c>
      <c r="AZ2618" s="1">
        <v>19.3</v>
      </c>
      <c r="BA2618" s="1">
        <v>27.3</v>
      </c>
      <c r="BB2618" s="1">
        <v>3.01</v>
      </c>
      <c r="BC2618" s="1" t="s">
        <v>4123</v>
      </c>
      <c r="BD2618" s="1">
        <v>20.4</v>
      </c>
      <c r="BE2618" s="1">
        <v>30.0</v>
      </c>
      <c r="BF2618" s="1">
        <v>33.8</v>
      </c>
      <c r="BG2618" s="1">
        <v>15.9</v>
      </c>
      <c r="BH2618" s="1" t="s">
        <v>4284</v>
      </c>
    </row>
    <row r="2619">
      <c r="A2619" s="1">
        <v>48193.0</v>
      </c>
      <c r="B2619" s="2" t="str">
        <f>IFERROR(__xludf.DUMMYFUNCTION("TO_TEXT(A2619)"),"48193")</f>
        <v>48193</v>
      </c>
      <c r="C2619" s="1">
        <v>8232.0</v>
      </c>
      <c r="D2619" s="1">
        <v>835.914049704577</v>
      </c>
      <c r="E2619" s="1" t="s">
        <v>719</v>
      </c>
      <c r="F2619" s="1" t="s">
        <v>4285</v>
      </c>
      <c r="G2619" s="1">
        <v>9.8479024283768</v>
      </c>
      <c r="H2619" s="1">
        <v>17.370285117</v>
      </c>
      <c r="I2619" s="1">
        <v>4.1538725123</v>
      </c>
      <c r="J2619" s="1">
        <v>5.9390048154</v>
      </c>
      <c r="K2619" s="1">
        <v>14.493903626</v>
      </c>
      <c r="L2619" s="1">
        <v>25.1</v>
      </c>
      <c r="M2619" s="1">
        <v>7.0</v>
      </c>
      <c r="N2619" s="1">
        <v>28.2</v>
      </c>
      <c r="O2619" s="1">
        <v>46.178231772</v>
      </c>
      <c r="P2619" s="1">
        <v>24.282067645</v>
      </c>
      <c r="Q2619" s="1">
        <v>94.98931</v>
      </c>
      <c r="R2619" s="1">
        <v>92.9</v>
      </c>
      <c r="S2619" s="1">
        <v>23.4</v>
      </c>
      <c r="T2619" s="1">
        <v>1703.0</v>
      </c>
      <c r="U2619" s="1">
        <v>33.118027011</v>
      </c>
      <c r="V2619" s="1">
        <v>128.82908674</v>
      </c>
      <c r="W2619" s="1">
        <v>14.705882353</v>
      </c>
      <c r="X2619" s="1">
        <v>8.8050314465</v>
      </c>
      <c r="Y2619" s="1">
        <v>75.613016147</v>
      </c>
      <c r="Z2619" s="1">
        <v>15.9</v>
      </c>
      <c r="AA2619" s="1">
        <v>7.4511201646</v>
      </c>
      <c r="AB2619" s="1">
        <v>49210.0</v>
      </c>
      <c r="AC2619" s="1">
        <v>53.117913832</v>
      </c>
      <c r="AD2619" s="1">
        <v>80.984555985</v>
      </c>
      <c r="AE2619" s="1">
        <v>9.3086926762</v>
      </c>
      <c r="AF2619" s="1">
        <v>0.671852899599999</v>
      </c>
      <c r="AG2619" s="1">
        <v>1.8623290901</v>
      </c>
      <c r="AH2619" s="1">
        <v>0.7779349364</v>
      </c>
      <c r="AI2619" s="1">
        <v>0.0707213579</v>
      </c>
      <c r="AJ2619" s="1">
        <v>12.95379538</v>
      </c>
      <c r="AK2619" s="1">
        <v>84.099481377</v>
      </c>
      <c r="AL2619" s="1">
        <v>3.2820512821</v>
      </c>
      <c r="AM2619" s="1">
        <v>50.282885431</v>
      </c>
      <c r="AN2619" s="1">
        <v>64.377128097</v>
      </c>
      <c r="AO2619" s="1">
        <v>26183.0</v>
      </c>
      <c r="AP2619" s="1">
        <v>14.8</v>
      </c>
      <c r="AQ2619" s="1">
        <v>4.9</v>
      </c>
      <c r="AR2619" s="1">
        <v>17.8</v>
      </c>
      <c r="AS2619" s="1">
        <v>26.1</v>
      </c>
      <c r="AT2619" s="1">
        <v>20.4</v>
      </c>
      <c r="AU2619" s="1">
        <v>24.3</v>
      </c>
      <c r="AV2619" s="1">
        <v>14.2</v>
      </c>
      <c r="AW2619" s="1">
        <v>2.4</v>
      </c>
      <c r="AX2619" s="1">
        <v>0.4655</v>
      </c>
      <c r="AY2619" s="1">
        <v>14.3</v>
      </c>
      <c r="AZ2619" s="1">
        <v>16.8</v>
      </c>
      <c r="BA2619" s="1">
        <v>26.8</v>
      </c>
      <c r="BB2619" s="1">
        <v>2.65</v>
      </c>
      <c r="BC2619" s="1" t="s">
        <v>4123</v>
      </c>
      <c r="BD2619" s="1">
        <v>16.0</v>
      </c>
      <c r="BE2619" s="1">
        <v>35.8</v>
      </c>
      <c r="BF2619" s="1">
        <v>25.8</v>
      </c>
      <c r="BG2619" s="1">
        <v>22.4</v>
      </c>
      <c r="BH2619" s="1" t="s">
        <v>4285</v>
      </c>
    </row>
    <row r="2620">
      <c r="A2620" s="1">
        <v>48195.0</v>
      </c>
      <c r="B2620" s="2" t="str">
        <f>IFERROR(__xludf.DUMMYFUNCTION("TO_TEXT(A2620)"),"48195")</f>
        <v>48195</v>
      </c>
      <c r="C2620" s="1">
        <v>5552.0</v>
      </c>
      <c r="D2620" s="1">
        <v>919.809499999994</v>
      </c>
      <c r="E2620" s="1" t="s">
        <v>4286</v>
      </c>
      <c r="F2620" s="1" t="s">
        <v>4287</v>
      </c>
      <c r="G2620" s="1">
        <v>6.03603246106942</v>
      </c>
      <c r="H2620" s="1">
        <v>24.092815647</v>
      </c>
      <c r="I2620" s="1">
        <v>4.3051226412</v>
      </c>
      <c r="J2620" s="1">
        <v>5.4511278195</v>
      </c>
      <c r="K2620" s="1">
        <v>16.335276137</v>
      </c>
      <c r="L2620" s="1">
        <v>25.0</v>
      </c>
      <c r="M2620" s="1">
        <v>5.4</v>
      </c>
      <c r="N2620" s="1">
        <v>21.9</v>
      </c>
      <c r="O2620" s="1">
        <v>87.6892927129999</v>
      </c>
      <c r="P2620" s="1">
        <v>26.362649294</v>
      </c>
      <c r="Q2620" s="1">
        <v>36.71746</v>
      </c>
      <c r="R2620" s="1">
        <v>97.6</v>
      </c>
      <c r="S2620" s="1">
        <v>17.2</v>
      </c>
      <c r="T2620" s="1">
        <v>1631.0</v>
      </c>
      <c r="U2620" s="1">
        <v>19.865113427</v>
      </c>
      <c r="V2620" s="1">
        <v>220.0440088</v>
      </c>
      <c r="W2620" s="1">
        <v>11.616161616</v>
      </c>
      <c r="X2620" s="1">
        <v>8.1916537867</v>
      </c>
      <c r="Y2620" s="1">
        <v>77.905809425</v>
      </c>
      <c r="Z2620" s="1">
        <v>6.4</v>
      </c>
      <c r="AA2620" s="1">
        <v>35.3729985219999</v>
      </c>
      <c r="AB2620" s="1">
        <v>57240.0</v>
      </c>
      <c r="AC2620" s="1">
        <v>58.51285615</v>
      </c>
      <c r="AD2620" s="1">
        <v>73.1536388139999</v>
      </c>
      <c r="AE2620" s="1">
        <v>7.9619726679</v>
      </c>
      <c r="AF2620" s="1">
        <v>0.6223686619</v>
      </c>
      <c r="AG2620" s="1">
        <v>1.7023613399</v>
      </c>
      <c r="AH2620" s="1">
        <v>0.4210140948</v>
      </c>
      <c r="AI2620" s="1">
        <v>0.0549148819</v>
      </c>
      <c r="AJ2620" s="1">
        <v>48.251876258</v>
      </c>
      <c r="AK2620" s="1">
        <v>49.624748307</v>
      </c>
      <c r="AL2620" s="1">
        <v>14.9606299209999</v>
      </c>
      <c r="AM2620" s="1">
        <v>49.020684606</v>
      </c>
      <c r="AN2620" s="1">
        <v>40.334936754</v>
      </c>
      <c r="AO2620" s="1">
        <v>23605.0</v>
      </c>
      <c r="AP2620" s="1">
        <v>20.0</v>
      </c>
      <c r="AQ2620" s="1">
        <v>2.5</v>
      </c>
      <c r="AR2620" s="1">
        <v>26.0</v>
      </c>
      <c r="AS2620" s="1">
        <v>15.5</v>
      </c>
      <c r="AT2620" s="1">
        <v>29.3</v>
      </c>
      <c r="AU2620" s="1">
        <v>12.2</v>
      </c>
      <c r="AV2620" s="1">
        <v>46.6</v>
      </c>
      <c r="AW2620" s="1">
        <v>14.2</v>
      </c>
      <c r="AX2620" s="1">
        <v>0.5798</v>
      </c>
      <c r="AY2620" s="1">
        <v>11.7</v>
      </c>
      <c r="AZ2620" s="1">
        <v>13.9</v>
      </c>
      <c r="BA2620" s="1">
        <v>20.4</v>
      </c>
      <c r="BB2620" s="1">
        <v>3.0</v>
      </c>
      <c r="BC2620" s="1" t="s">
        <v>4123</v>
      </c>
      <c r="BD2620" s="1">
        <v>32.2</v>
      </c>
      <c r="BE2620" s="1">
        <v>26.7</v>
      </c>
      <c r="BF2620" s="1">
        <v>26.0</v>
      </c>
      <c r="BG2620" s="1">
        <v>15.1</v>
      </c>
      <c r="BH2620" s="1" t="s">
        <v>4287</v>
      </c>
    </row>
    <row r="2621">
      <c r="A2621" s="1">
        <v>48197.0</v>
      </c>
      <c r="B2621" s="2" t="str">
        <f>IFERROR(__xludf.DUMMYFUNCTION("TO_TEXT(A2621)"),"48197")</f>
        <v>48197</v>
      </c>
      <c r="C2621" s="1">
        <v>3952.0</v>
      </c>
      <c r="D2621" s="1">
        <v>695.113865795473</v>
      </c>
      <c r="E2621" s="1" t="s">
        <v>4046</v>
      </c>
      <c r="F2621" s="1" t="s">
        <v>4288</v>
      </c>
      <c r="G2621" s="1">
        <v>5.68539946398194</v>
      </c>
      <c r="H2621" s="1">
        <v>18.787607519</v>
      </c>
      <c r="I2621" s="1">
        <v>4.1734763296</v>
      </c>
      <c r="J2621" s="1">
        <v>6.4981949458</v>
      </c>
      <c r="K2621" s="1">
        <v>14.989436422</v>
      </c>
      <c r="L2621" s="1">
        <v>32.4</v>
      </c>
      <c r="M2621" s="1">
        <v>6.6</v>
      </c>
      <c r="N2621" s="1">
        <v>31.6</v>
      </c>
      <c r="O2621" s="1">
        <v>34.211162116</v>
      </c>
      <c r="P2621" s="1">
        <v>26.739339532</v>
      </c>
      <c r="Q2621" s="1">
        <v>100.15023</v>
      </c>
      <c r="R2621" s="1">
        <v>100.0</v>
      </c>
      <c r="S2621" s="1">
        <v>27.1</v>
      </c>
      <c r="T2621" s="1">
        <v>915.0</v>
      </c>
      <c r="U2621" s="1">
        <v>15.6284153009999</v>
      </c>
      <c r="V2621" s="1">
        <v>42.247570765</v>
      </c>
      <c r="W2621" s="1">
        <v>7.2327044025</v>
      </c>
      <c r="X2621" s="1">
        <v>5.1446945338</v>
      </c>
      <c r="Y2621" s="1">
        <v>76.552647684</v>
      </c>
      <c r="Z2621" s="1">
        <v>8.6</v>
      </c>
      <c r="AA2621" s="1">
        <v>13.342574911</v>
      </c>
      <c r="AB2621" s="1">
        <v>42469.0</v>
      </c>
      <c r="AC2621" s="1">
        <v>78.8</v>
      </c>
      <c r="AD2621" s="1">
        <v>73.206056616</v>
      </c>
      <c r="AE2621" s="1">
        <v>6.578026592</v>
      </c>
      <c r="AF2621" s="1">
        <v>5.124936257</v>
      </c>
      <c r="AG2621" s="1">
        <v>1.2493625701</v>
      </c>
      <c r="AH2621" s="1">
        <v>0.6374298827</v>
      </c>
      <c r="AI2621" s="1">
        <v>0.0</v>
      </c>
      <c r="AJ2621" s="1">
        <v>23.763386028</v>
      </c>
      <c r="AK2621" s="1">
        <v>68.15400306</v>
      </c>
      <c r="AL2621" s="1">
        <v>5.1916932907</v>
      </c>
      <c r="AM2621" s="1">
        <v>49.413564508</v>
      </c>
      <c r="AN2621" s="1">
        <v>100.0</v>
      </c>
      <c r="AO2621" s="1">
        <v>19493.0</v>
      </c>
      <c r="AP2621" s="1">
        <v>15.5</v>
      </c>
      <c r="AQ2621" s="1">
        <v>5.7</v>
      </c>
      <c r="AR2621" s="1">
        <v>24.4</v>
      </c>
      <c r="AS2621" s="1">
        <v>19.1</v>
      </c>
      <c r="AT2621" s="1">
        <v>23.7</v>
      </c>
      <c r="AU2621" s="1">
        <v>22.7</v>
      </c>
      <c r="AV2621" s="1">
        <v>33.5</v>
      </c>
      <c r="AW2621" s="1">
        <v>6.6</v>
      </c>
      <c r="AX2621" s="1">
        <v>0.6387</v>
      </c>
      <c r="AY2621" s="1">
        <v>19.2</v>
      </c>
      <c r="AZ2621" s="1">
        <v>16.2</v>
      </c>
      <c r="BA2621" s="1">
        <v>24.3</v>
      </c>
      <c r="BB2621" s="1">
        <v>2.96</v>
      </c>
      <c r="BC2621" s="1" t="s">
        <v>4123</v>
      </c>
      <c r="BD2621" s="1">
        <v>21.1</v>
      </c>
      <c r="BE2621" s="1">
        <v>32.7</v>
      </c>
      <c r="BF2621" s="1">
        <v>32.5</v>
      </c>
      <c r="BG2621" s="1">
        <v>13.7</v>
      </c>
      <c r="BH2621" s="1" t="s">
        <v>4288</v>
      </c>
    </row>
    <row r="2622">
      <c r="A2622" s="1">
        <v>48199.0</v>
      </c>
      <c r="B2622" s="2" t="str">
        <f>IFERROR(__xludf.DUMMYFUNCTION("TO_TEXT(A2622)"),"48199")</f>
        <v>48199</v>
      </c>
      <c r="C2622" s="1">
        <v>55624.0</v>
      </c>
      <c r="D2622" s="1">
        <v>890.585917228168</v>
      </c>
      <c r="E2622" s="1" t="s">
        <v>1203</v>
      </c>
      <c r="F2622" s="1" t="s">
        <v>4289</v>
      </c>
      <c r="G2622" s="1">
        <v>62.4577583408487</v>
      </c>
      <c r="H2622" s="1">
        <v>14.708720572</v>
      </c>
      <c r="I2622" s="1">
        <v>3.8843979434</v>
      </c>
      <c r="J2622" s="1">
        <v>8.6876155268</v>
      </c>
      <c r="K2622" s="1">
        <v>14.116619285</v>
      </c>
      <c r="L2622" s="1">
        <v>37.3</v>
      </c>
      <c r="M2622" s="1">
        <v>6.6</v>
      </c>
      <c r="N2622" s="1">
        <v>29.8</v>
      </c>
      <c r="O2622" s="1">
        <v>55.6017205089999</v>
      </c>
      <c r="P2622" s="1">
        <v>13.948103959</v>
      </c>
      <c r="Q2622" s="1">
        <v>19.2513</v>
      </c>
      <c r="R2622" s="1">
        <v>95.8</v>
      </c>
      <c r="S2622" s="1">
        <v>17.1</v>
      </c>
      <c r="T2622" s="1">
        <v>13935.0</v>
      </c>
      <c r="U2622" s="1">
        <v>26.53031934</v>
      </c>
      <c r="V2622" s="1">
        <v>157.30859298</v>
      </c>
      <c r="W2622" s="1">
        <v>11.68544831</v>
      </c>
      <c r="X2622" s="1">
        <v>8.6125589476</v>
      </c>
      <c r="Y2622" s="1">
        <v>75.690220781</v>
      </c>
      <c r="Z2622" s="1">
        <v>7.7</v>
      </c>
      <c r="AA2622" s="1">
        <v>10.023780089</v>
      </c>
      <c r="AB2622" s="1">
        <v>60909.0</v>
      </c>
      <c r="AC2622" s="1">
        <v>46.208349291</v>
      </c>
      <c r="AD2622" s="1">
        <v>80.117733628</v>
      </c>
      <c r="AE2622" s="1">
        <v>9.8159823671</v>
      </c>
      <c r="AF2622" s="1">
        <v>5.5045711189</v>
      </c>
      <c r="AG2622" s="1">
        <v>0.6118132396</v>
      </c>
      <c r="AH2622" s="1">
        <v>0.6869788662</v>
      </c>
      <c r="AI2622" s="1">
        <v>0.0279686052</v>
      </c>
      <c r="AJ2622" s="1">
        <v>5.8978796301</v>
      </c>
      <c r="AK2622" s="1">
        <v>86.2779030539999</v>
      </c>
      <c r="AL2622" s="1">
        <v>0.2013677812</v>
      </c>
      <c r="AM2622" s="1">
        <v>50.726309717</v>
      </c>
      <c r="AN2622" s="1">
        <v>51.5475427839999</v>
      </c>
      <c r="AO2622" s="1">
        <v>28321.0</v>
      </c>
      <c r="AP2622" s="1">
        <v>11.8</v>
      </c>
      <c r="AQ2622" s="1">
        <v>4.8</v>
      </c>
      <c r="AR2622" s="1">
        <v>13.1</v>
      </c>
      <c r="AS2622" s="1">
        <v>15.3</v>
      </c>
      <c r="AT2622" s="1">
        <v>24.9</v>
      </c>
      <c r="AU2622" s="1">
        <v>14.8</v>
      </c>
      <c r="AV2622" s="1">
        <v>12.8</v>
      </c>
      <c r="AW2622" s="1">
        <v>0.8</v>
      </c>
      <c r="AX2622" s="1">
        <v>0.2178</v>
      </c>
      <c r="AY2622" s="1">
        <v>12.1</v>
      </c>
      <c r="AZ2622" s="1">
        <v>15.6</v>
      </c>
      <c r="BA2622" s="1">
        <v>24.1</v>
      </c>
      <c r="BB2622" s="1">
        <v>2.87</v>
      </c>
      <c r="BC2622" s="1" t="s">
        <v>4123</v>
      </c>
      <c r="BD2622" s="1">
        <v>12.0</v>
      </c>
      <c r="BE2622" s="1">
        <v>38.2</v>
      </c>
      <c r="BF2622" s="1">
        <v>32.9</v>
      </c>
      <c r="BG2622" s="1">
        <v>16.8</v>
      </c>
      <c r="BH2622" s="1" t="s">
        <v>4289</v>
      </c>
    </row>
    <row r="2623">
      <c r="A2623" s="1">
        <v>48201.0</v>
      </c>
      <c r="B2623" s="2" t="str">
        <f>IFERROR(__xludf.DUMMYFUNCTION("TO_TEXT(A2623)"),"48201")</f>
        <v>48201</v>
      </c>
      <c r="C2623" s="1">
        <v>4434257.0</v>
      </c>
      <c r="D2623" s="1">
        <v>1704.85715677505</v>
      </c>
      <c r="E2623" s="1" t="s">
        <v>921</v>
      </c>
      <c r="F2623" s="1" t="s">
        <v>4290</v>
      </c>
      <c r="G2623" s="1">
        <v>2600.95514886885</v>
      </c>
      <c r="H2623" s="1">
        <v>18.852601534</v>
      </c>
      <c r="I2623" s="1">
        <v>3.5981578734</v>
      </c>
      <c r="J2623" s="1">
        <v>8.7174646209</v>
      </c>
      <c r="K2623" s="1">
        <v>13.852121658</v>
      </c>
      <c r="L2623" s="1">
        <v>27.7</v>
      </c>
      <c r="M2623" s="1">
        <v>7.1</v>
      </c>
      <c r="N2623" s="1">
        <v>22.7</v>
      </c>
      <c r="O2623" s="1">
        <v>90.566209704</v>
      </c>
      <c r="P2623" s="1">
        <v>22.060025159</v>
      </c>
      <c r="Q2623" s="1">
        <v>58.92998</v>
      </c>
      <c r="R2623" s="1">
        <v>87.2</v>
      </c>
      <c r="S2623" s="1">
        <v>24.8</v>
      </c>
      <c r="T2623" s="1">
        <v>1231476.0</v>
      </c>
      <c r="U2623" s="1">
        <v>36.148004508</v>
      </c>
      <c r="V2623" s="1">
        <v>730.39482529</v>
      </c>
      <c r="W2623" s="1">
        <v>20.1414474109999</v>
      </c>
      <c r="X2623" s="1">
        <v>14.991612068</v>
      </c>
      <c r="Y2623" s="1">
        <v>79.60954272</v>
      </c>
      <c r="Z2623" s="1">
        <v>10.0</v>
      </c>
      <c r="AA2623" s="1">
        <v>6.3404304364</v>
      </c>
      <c r="AB2623" s="1">
        <v>60241.0</v>
      </c>
      <c r="AC2623" s="1">
        <v>64.185133746</v>
      </c>
      <c r="AD2623" s="1">
        <v>54.667044735</v>
      </c>
      <c r="AE2623" s="1">
        <v>15.634602171</v>
      </c>
      <c r="AF2623" s="1">
        <v>18.7538934309999</v>
      </c>
      <c r="AG2623" s="1">
        <v>1.0624824017</v>
      </c>
      <c r="AH2623" s="1">
        <v>7.4250327596</v>
      </c>
      <c r="AI2623" s="1">
        <v>0.124823911</v>
      </c>
      <c r="AJ2623" s="1">
        <v>43.317110836</v>
      </c>
      <c r="AK2623" s="1">
        <v>29.088951456</v>
      </c>
      <c r="AL2623" s="1">
        <v>11.748715917</v>
      </c>
      <c r="AM2623" s="1">
        <v>50.328681683</v>
      </c>
      <c r="AN2623" s="1">
        <v>1.2132803285</v>
      </c>
      <c r="AO2623" s="1">
        <v>29850.0</v>
      </c>
      <c r="AP2623" s="1">
        <v>17.4</v>
      </c>
      <c r="AQ2623" s="1">
        <v>7.0</v>
      </c>
      <c r="AR2623" s="1">
        <v>19.8</v>
      </c>
      <c r="AS2623" s="1">
        <v>9.2</v>
      </c>
      <c r="AT2623" s="1">
        <v>27.2</v>
      </c>
      <c r="AU2623" s="1">
        <v>9.3</v>
      </c>
      <c r="AV2623" s="1">
        <v>68.8</v>
      </c>
      <c r="AW2623" s="1">
        <v>11.8</v>
      </c>
      <c r="AX2623" s="1">
        <v>0.702</v>
      </c>
      <c r="AY2623" s="1">
        <v>15.0</v>
      </c>
      <c r="AZ2623" s="1">
        <v>14.8</v>
      </c>
      <c r="BA2623" s="1">
        <v>21.2</v>
      </c>
      <c r="BB2623" s="1">
        <v>2.91</v>
      </c>
      <c r="BC2623" s="1" t="s">
        <v>4123</v>
      </c>
      <c r="BD2623" s="1">
        <v>18.6</v>
      </c>
      <c r="BE2623" s="1">
        <v>23.4</v>
      </c>
      <c r="BF2623" s="1">
        <v>26.6</v>
      </c>
      <c r="BG2623" s="1">
        <v>31.5</v>
      </c>
      <c r="BH2623" s="1" t="s">
        <v>4290</v>
      </c>
    </row>
    <row r="2624">
      <c r="A2624" s="1">
        <v>48203.0</v>
      </c>
      <c r="B2624" s="2" t="str">
        <f>IFERROR(__xludf.DUMMYFUNCTION("TO_TEXT(A2624)"),"48203")</f>
        <v>48203</v>
      </c>
      <c r="C2624" s="1">
        <v>66431.0</v>
      </c>
      <c r="D2624" s="1">
        <v>899.934602251454</v>
      </c>
      <c r="E2624" s="1" t="s">
        <v>1349</v>
      </c>
      <c r="F2624" s="1" t="s">
        <v>4291</v>
      </c>
      <c r="G2624" s="1">
        <v>73.8175861154834</v>
      </c>
      <c r="H2624" s="1">
        <v>18.421327733</v>
      </c>
      <c r="I2624" s="1">
        <v>4.0663946805</v>
      </c>
      <c r="J2624" s="1">
        <v>7.8001752848</v>
      </c>
      <c r="K2624" s="1">
        <v>15.5512299</v>
      </c>
      <c r="L2624" s="1">
        <v>44.2</v>
      </c>
      <c r="M2624" s="1">
        <v>6.6</v>
      </c>
      <c r="N2624" s="1">
        <v>31.2</v>
      </c>
      <c r="O2624" s="1">
        <v>63.047949902</v>
      </c>
      <c r="P2624" s="1">
        <v>17.263986814</v>
      </c>
      <c r="Q2624" s="1">
        <v>28.50242</v>
      </c>
      <c r="R2624" s="1">
        <v>93.1</v>
      </c>
      <c r="S2624" s="1">
        <v>22.8</v>
      </c>
      <c r="T2624" s="1">
        <v>16865.0</v>
      </c>
      <c r="U2624" s="1">
        <v>32.766083605</v>
      </c>
      <c r="V2624" s="1">
        <v>346.65654965</v>
      </c>
      <c r="W2624" s="1">
        <v>13.972310969</v>
      </c>
      <c r="X2624" s="1">
        <v>9.9782608696</v>
      </c>
      <c r="Y2624" s="1">
        <v>76.331626273</v>
      </c>
      <c r="Z2624" s="1">
        <v>14.5</v>
      </c>
      <c r="AA2624" s="1">
        <v>4.4481101202</v>
      </c>
      <c r="AB2624" s="1">
        <v>50131.0</v>
      </c>
      <c r="AC2624" s="1">
        <v>54.971772676</v>
      </c>
      <c r="AD2624" s="1">
        <v>73.631390791</v>
      </c>
      <c r="AE2624" s="1">
        <v>11.172054129</v>
      </c>
      <c r="AF2624" s="1">
        <v>20.663609388</v>
      </c>
      <c r="AG2624" s="1">
        <v>1.209423613</v>
      </c>
      <c r="AH2624" s="1">
        <v>0.7972904115</v>
      </c>
      <c r="AI2624" s="1">
        <v>0.1183946288</v>
      </c>
      <c r="AJ2624" s="1">
        <v>13.558432995</v>
      </c>
      <c r="AK2624" s="1">
        <v>63.194257111</v>
      </c>
      <c r="AL2624" s="1">
        <v>2.2764123228</v>
      </c>
      <c r="AM2624" s="1">
        <v>51.05356233</v>
      </c>
      <c r="AN2624" s="1">
        <v>56.054303607</v>
      </c>
      <c r="AO2624" s="1">
        <v>23836.0</v>
      </c>
      <c r="AP2624" s="1">
        <v>17.7</v>
      </c>
      <c r="AQ2624" s="1">
        <v>8.3</v>
      </c>
      <c r="AR2624" s="1">
        <v>17.2</v>
      </c>
      <c r="AS2624" s="1">
        <v>15.2</v>
      </c>
      <c r="AT2624" s="1">
        <v>25.4</v>
      </c>
      <c r="AU2624" s="1">
        <v>12.3</v>
      </c>
      <c r="AV2624" s="1">
        <v>35.8</v>
      </c>
      <c r="AW2624" s="1">
        <v>2.4</v>
      </c>
      <c r="AX2624" s="1">
        <v>0.7453</v>
      </c>
      <c r="AY2624" s="1">
        <v>17.8</v>
      </c>
      <c r="AZ2624" s="1">
        <v>15.8</v>
      </c>
      <c r="BA2624" s="1">
        <v>23.6</v>
      </c>
      <c r="BB2624" s="1">
        <v>2.83</v>
      </c>
      <c r="BC2624" s="1" t="s">
        <v>4123</v>
      </c>
      <c r="BD2624" s="1">
        <v>14.7</v>
      </c>
      <c r="BE2624" s="1">
        <v>34.0</v>
      </c>
      <c r="BF2624" s="1">
        <v>32.2</v>
      </c>
      <c r="BG2624" s="1">
        <v>19.1</v>
      </c>
      <c r="BH2624" s="1" t="s">
        <v>4291</v>
      </c>
    </row>
    <row r="2625">
      <c r="A2625" s="1">
        <v>48205.0</v>
      </c>
      <c r="B2625" s="2" t="str">
        <f>IFERROR(__xludf.DUMMYFUNCTION("TO_TEXT(A2625)"),"48205")</f>
        <v>48205</v>
      </c>
      <c r="C2625" s="1">
        <v>5966.0</v>
      </c>
      <c r="D2625" s="1">
        <v>1461.95033563728</v>
      </c>
      <c r="E2625" s="1" t="s">
        <v>4292</v>
      </c>
      <c r="F2625" s="1" t="s">
        <v>4293</v>
      </c>
      <c r="G2625" s="1">
        <v>4.08084998140471</v>
      </c>
      <c r="H2625" s="1">
        <v>15.243968617</v>
      </c>
      <c r="I2625" s="1">
        <v>3.4452032912</v>
      </c>
      <c r="J2625" s="1">
        <v>6.2222222222</v>
      </c>
      <c r="K2625" s="1">
        <v>13.134024208</v>
      </c>
      <c r="L2625" s="1">
        <v>29.9</v>
      </c>
      <c r="M2625" s="1">
        <v>7.4</v>
      </c>
      <c r="N2625" s="1">
        <v>27.3</v>
      </c>
      <c r="O2625" s="1">
        <v>73.804025074</v>
      </c>
      <c r="P2625" s="1">
        <v>20.85195898</v>
      </c>
      <c r="Q2625" s="1">
        <v>48.31939</v>
      </c>
      <c r="R2625" s="1">
        <v>97.0</v>
      </c>
      <c r="S2625" s="1">
        <v>10.3</v>
      </c>
      <c r="T2625" s="1">
        <v>1235.0</v>
      </c>
      <c r="U2625" s="1">
        <v>10.850202429</v>
      </c>
      <c r="V2625" s="1">
        <v>364.16605972</v>
      </c>
      <c r="W2625" s="1">
        <v>12.430939227</v>
      </c>
      <c r="X2625" s="1">
        <v>6.0220994475</v>
      </c>
      <c r="Y2625" s="1">
        <v>80.786674228</v>
      </c>
      <c r="Z2625" s="1">
        <v>4.4</v>
      </c>
      <c r="AA2625" s="1">
        <v>8.9402556492</v>
      </c>
      <c r="AB2625" s="1">
        <v>72451.0</v>
      </c>
      <c r="AC2625" s="1">
        <v>58.992805755</v>
      </c>
      <c r="AD2625" s="1">
        <v>63.593099346</v>
      </c>
      <c r="AE2625" s="1">
        <v>5.6878306878</v>
      </c>
      <c r="AF2625" s="1">
        <v>6.54920804409999</v>
      </c>
      <c r="AG2625" s="1">
        <v>0.7118704396</v>
      </c>
      <c r="AH2625" s="1">
        <v>0.7296672006</v>
      </c>
      <c r="AI2625" s="1">
        <v>0.035593522</v>
      </c>
      <c r="AJ2625" s="1">
        <v>27.051076704</v>
      </c>
      <c r="AK2625" s="1">
        <v>64.335290977</v>
      </c>
      <c r="AL2625" s="1">
        <v>5.0586510264</v>
      </c>
      <c r="AM2625" s="1">
        <v>40.11389927</v>
      </c>
      <c r="AN2625" s="1">
        <v>57.258330584</v>
      </c>
      <c r="AO2625" s="1">
        <v>21642.0</v>
      </c>
      <c r="AP2625" s="1">
        <v>7.3</v>
      </c>
      <c r="AQ2625" s="1">
        <v>1.6</v>
      </c>
      <c r="AR2625" s="1">
        <v>17.9</v>
      </c>
      <c r="AS2625" s="1">
        <v>14.7</v>
      </c>
      <c r="AT2625" s="1">
        <v>21.5</v>
      </c>
      <c r="AU2625" s="1">
        <v>12.0</v>
      </c>
      <c r="AV2625" s="1">
        <v>37.2</v>
      </c>
      <c r="AW2625" s="1">
        <v>5.1</v>
      </c>
      <c r="AX2625" s="1">
        <v>0.4371</v>
      </c>
      <c r="AY2625" s="1">
        <v>8.6</v>
      </c>
      <c r="AZ2625" s="1">
        <v>11.7</v>
      </c>
      <c r="BA2625" s="1">
        <v>16.5</v>
      </c>
      <c r="BB2625" s="1">
        <v>3.03</v>
      </c>
      <c r="BC2625" s="1" t="s">
        <v>4123</v>
      </c>
      <c r="BD2625" s="1">
        <v>17.4</v>
      </c>
      <c r="BE2625" s="1">
        <v>37.5</v>
      </c>
      <c r="BF2625" s="1">
        <v>27.2</v>
      </c>
      <c r="BG2625" s="1">
        <v>17.8</v>
      </c>
      <c r="BH2625" s="1" t="s">
        <v>4293</v>
      </c>
    </row>
    <row r="2626">
      <c r="A2626" s="1">
        <v>48207.0</v>
      </c>
      <c r="B2626" s="2" t="str">
        <f>IFERROR(__xludf.DUMMYFUNCTION("TO_TEXT(A2626)"),"48207")</f>
        <v>48207</v>
      </c>
      <c r="C2626" s="1">
        <v>5812.0</v>
      </c>
      <c r="D2626" s="1">
        <v>903.132658862518</v>
      </c>
      <c r="E2626" s="1" t="s">
        <v>1651</v>
      </c>
      <c r="F2626" s="1" t="s">
        <v>4294</v>
      </c>
      <c r="G2626" s="1">
        <v>6.43537795136333</v>
      </c>
      <c r="H2626" s="1">
        <v>20.885463293</v>
      </c>
      <c r="I2626" s="1">
        <v>4.1741953259</v>
      </c>
      <c r="J2626" s="1">
        <v>6.8535825545</v>
      </c>
      <c r="K2626" s="1">
        <v>15.705160073</v>
      </c>
      <c r="L2626" s="1">
        <v>26.7</v>
      </c>
      <c r="M2626" s="1">
        <v>6.8</v>
      </c>
      <c r="N2626" s="1">
        <v>32.0</v>
      </c>
      <c r="O2626" s="1">
        <v>61.129004916</v>
      </c>
      <c r="P2626" s="1">
        <v>25.2838758519999</v>
      </c>
      <c r="Q2626" s="1">
        <v>52.21023</v>
      </c>
      <c r="R2626" s="1">
        <v>95.3</v>
      </c>
      <c r="S2626" s="1">
        <v>33.9</v>
      </c>
      <c r="T2626" s="1">
        <v>1118.0</v>
      </c>
      <c r="U2626" s="1">
        <v>45.080500894</v>
      </c>
      <c r="V2626" s="1">
        <v>120.57531651</v>
      </c>
      <c r="W2626" s="1">
        <v>10.706150342</v>
      </c>
      <c r="X2626" s="1">
        <v>6.6635816752</v>
      </c>
      <c r="Y2626" s="1">
        <v>76.689420713</v>
      </c>
      <c r="Z2626" s="1">
        <v>10.3</v>
      </c>
      <c r="AA2626" s="1">
        <v>11.4435341</v>
      </c>
      <c r="AB2626" s="1">
        <v>40880.0</v>
      </c>
      <c r="AC2626" s="1">
        <v>74.832962138</v>
      </c>
      <c r="AD2626" s="1">
        <v>76.141176471</v>
      </c>
      <c r="AE2626" s="1">
        <v>7.250755287</v>
      </c>
      <c r="AF2626" s="1">
        <v>3.9050404266</v>
      </c>
      <c r="AG2626" s="1">
        <v>1.0665749183</v>
      </c>
      <c r="AH2626" s="1">
        <v>0.980560812</v>
      </c>
      <c r="AI2626" s="1">
        <v>0.0</v>
      </c>
      <c r="AJ2626" s="1">
        <v>29.7264751419999</v>
      </c>
      <c r="AK2626" s="1">
        <v>63.254773783</v>
      </c>
      <c r="AL2626" s="1">
        <v>7.0247933884</v>
      </c>
      <c r="AM2626" s="1">
        <v>46.533631516</v>
      </c>
      <c r="AN2626" s="1">
        <v>47.61824038</v>
      </c>
      <c r="AO2626" s="1">
        <v>21072.0</v>
      </c>
      <c r="AP2626" s="1">
        <v>20.6</v>
      </c>
      <c r="AQ2626" s="1">
        <v>9.6</v>
      </c>
      <c r="AR2626" s="1">
        <v>31.5</v>
      </c>
      <c r="AS2626" s="1">
        <v>22.0</v>
      </c>
      <c r="AT2626" s="1">
        <v>15.0</v>
      </c>
      <c r="AU2626" s="1">
        <v>28.8</v>
      </c>
      <c r="AV2626" s="1">
        <v>32.9</v>
      </c>
      <c r="AW2626" s="1">
        <v>11.6</v>
      </c>
      <c r="AX2626" s="1">
        <v>0.9519</v>
      </c>
      <c r="AY2626" s="1">
        <v>20.7</v>
      </c>
      <c r="AZ2626" s="1">
        <v>18.2</v>
      </c>
      <c r="BA2626" s="1">
        <v>27.9</v>
      </c>
      <c r="BB2626" s="1">
        <v>2.86</v>
      </c>
      <c r="BC2626" s="1" t="s">
        <v>4123</v>
      </c>
      <c r="BD2626" s="1">
        <v>29.7</v>
      </c>
      <c r="BE2626" s="1">
        <v>35.1</v>
      </c>
      <c r="BF2626" s="1">
        <v>23.4</v>
      </c>
      <c r="BG2626" s="1">
        <v>11.9</v>
      </c>
      <c r="BH2626" s="1" t="s">
        <v>4294</v>
      </c>
    </row>
    <row r="2627">
      <c r="A2627" s="1">
        <v>48209.0</v>
      </c>
      <c r="B2627" s="2" t="str">
        <f>IFERROR(__xludf.DUMMYFUNCTION("TO_TEXT(A2627)"),"48209")</f>
        <v>48209</v>
      </c>
      <c r="C2627" s="1">
        <v>185686.0</v>
      </c>
      <c r="D2627" s="1">
        <v>677.986911965724</v>
      </c>
      <c r="E2627" s="1" t="s">
        <v>4295</v>
      </c>
      <c r="F2627" s="1" t="s">
        <v>4296</v>
      </c>
      <c r="G2627" s="1">
        <v>273.878443260255</v>
      </c>
      <c r="H2627" s="1">
        <v>18.020594954</v>
      </c>
      <c r="I2627" s="1">
        <v>3.8908715348</v>
      </c>
      <c r="J2627" s="1">
        <v>7.2379467498</v>
      </c>
      <c r="K2627" s="1">
        <v>14.14718491</v>
      </c>
      <c r="L2627" s="1">
        <v>30.0</v>
      </c>
      <c r="M2627" s="1">
        <v>7.7</v>
      </c>
      <c r="N2627" s="1">
        <v>19.4</v>
      </c>
      <c r="O2627" s="1">
        <v>72.410522765</v>
      </c>
      <c r="P2627" s="1">
        <v>16.722155948</v>
      </c>
      <c r="Q2627" s="1">
        <v>43.35968</v>
      </c>
      <c r="R2627" s="1">
        <v>88.0</v>
      </c>
      <c r="S2627" s="1">
        <v>12.1</v>
      </c>
      <c r="T2627" s="1">
        <v>46926.0</v>
      </c>
      <c r="U2627" s="1">
        <v>24.937135064</v>
      </c>
      <c r="V2627" s="1">
        <v>243.6988122</v>
      </c>
      <c r="W2627" s="1">
        <v>20.7228915659999</v>
      </c>
      <c r="X2627" s="1">
        <v>17.0084725629999</v>
      </c>
      <c r="Y2627" s="1">
        <v>80.440354175</v>
      </c>
      <c r="Z2627" s="1">
        <v>8.0</v>
      </c>
      <c r="AA2627" s="1">
        <v>6.2294638933</v>
      </c>
      <c r="AB2627" s="1">
        <v>68180.0</v>
      </c>
      <c r="AC2627" s="1">
        <v>44.292760965</v>
      </c>
      <c r="AD2627" s="1">
        <v>61.836035045</v>
      </c>
      <c r="AE2627" s="1">
        <v>16.187113342</v>
      </c>
      <c r="AF2627" s="1">
        <v>3.6886147931</v>
      </c>
      <c r="AG2627" s="1">
        <v>1.2320835823</v>
      </c>
      <c r="AH2627" s="1">
        <v>1.7180895742</v>
      </c>
      <c r="AI2627" s="1">
        <v>0.1369979922</v>
      </c>
      <c r="AJ2627" s="1">
        <v>39.62431108</v>
      </c>
      <c r="AK2627" s="1">
        <v>53.202833388</v>
      </c>
      <c r="AL2627" s="1">
        <v>3.7443576026</v>
      </c>
      <c r="AM2627" s="1">
        <v>50.25131271</v>
      </c>
      <c r="AN2627" s="1">
        <v>31.712145226</v>
      </c>
      <c r="AO2627" s="1">
        <v>28396.0</v>
      </c>
      <c r="AP2627" s="1">
        <v>16.2</v>
      </c>
      <c r="AQ2627" s="1">
        <v>6.1</v>
      </c>
      <c r="AR2627" s="1">
        <v>11.1</v>
      </c>
      <c r="AS2627" s="1">
        <v>10.0</v>
      </c>
      <c r="AT2627" s="1">
        <v>23.6</v>
      </c>
      <c r="AU2627" s="1">
        <v>9.5</v>
      </c>
      <c r="AV2627" s="1">
        <v>43.8</v>
      </c>
      <c r="AW2627" s="1">
        <v>3.7</v>
      </c>
      <c r="AX2627" s="1">
        <v>0.5072</v>
      </c>
      <c r="AY2627" s="1">
        <v>11.2</v>
      </c>
      <c r="AZ2627" s="1">
        <v>12.1</v>
      </c>
      <c r="BA2627" s="1">
        <v>16.6</v>
      </c>
      <c r="BB2627" s="1">
        <v>2.98</v>
      </c>
      <c r="BC2627" s="1" t="s">
        <v>4123</v>
      </c>
      <c r="BD2627" s="1">
        <v>9.9</v>
      </c>
      <c r="BE2627" s="1">
        <v>23.3</v>
      </c>
      <c r="BF2627" s="1">
        <v>29.5</v>
      </c>
      <c r="BG2627" s="1">
        <v>37.2</v>
      </c>
      <c r="BH2627" s="1" t="s">
        <v>4296</v>
      </c>
    </row>
    <row r="2628">
      <c r="A2628" s="1">
        <v>48211.0</v>
      </c>
      <c r="B2628" s="2" t="str">
        <f>IFERROR(__xludf.DUMMYFUNCTION("TO_TEXT(A2628)"),"48211")</f>
        <v>48211</v>
      </c>
      <c r="C2628" s="1">
        <v>4151.0</v>
      </c>
      <c r="D2628" s="1">
        <v>906.285649262039</v>
      </c>
      <c r="E2628" s="1" t="s">
        <v>4297</v>
      </c>
      <c r="F2628" s="1" t="s">
        <v>4298</v>
      </c>
      <c r="G2628" s="1">
        <v>4.58023361991887</v>
      </c>
      <c r="H2628" s="1">
        <v>17.527179252</v>
      </c>
      <c r="I2628" s="1">
        <v>3.8874527869</v>
      </c>
      <c r="J2628" s="1">
        <v>5.2132701422</v>
      </c>
      <c r="K2628" s="1">
        <v>13.898045766</v>
      </c>
      <c r="L2628" s="1">
        <v>31.8</v>
      </c>
      <c r="M2628" s="1">
        <v>8.5</v>
      </c>
      <c r="N2628" s="1">
        <v>28.8</v>
      </c>
      <c r="O2628" s="1">
        <v>85.657998424</v>
      </c>
      <c r="P2628" s="1">
        <v>23.954703833</v>
      </c>
      <c r="Q2628" s="1">
        <v>99.40358</v>
      </c>
      <c r="R2628" s="1">
        <v>98.4</v>
      </c>
      <c r="S2628" s="1">
        <v>13.4</v>
      </c>
      <c r="T2628" s="1">
        <v>1302.0</v>
      </c>
      <c r="U2628" s="1">
        <v>21.505376344</v>
      </c>
      <c r="V2628" s="1">
        <v>324.22417786</v>
      </c>
      <c r="W2628" s="1">
        <v>9.4545454545</v>
      </c>
      <c r="X2628" s="1">
        <v>7.2727272727</v>
      </c>
      <c r="Y2628" s="1">
        <v>77.613935879</v>
      </c>
      <c r="Z2628" s="1">
        <v>8.2</v>
      </c>
      <c r="AA2628" s="1">
        <v>1.9794099396</v>
      </c>
      <c r="AB2628" s="1">
        <v>66849.0</v>
      </c>
      <c r="AC2628" s="1">
        <v>35.913978495</v>
      </c>
      <c r="AD2628" s="1">
        <v>63.567649282</v>
      </c>
      <c r="AE2628" s="1">
        <v>9.88467874789999</v>
      </c>
      <c r="AF2628" s="1">
        <v>0.3660130719</v>
      </c>
      <c r="AG2628" s="1">
        <v>1.7777777778</v>
      </c>
      <c r="AH2628" s="1">
        <v>1.3071895425</v>
      </c>
      <c r="AI2628" s="1">
        <v>0.1307189542</v>
      </c>
      <c r="AJ2628" s="1">
        <v>34.169934641</v>
      </c>
      <c r="AK2628" s="1">
        <v>62.5882352939999</v>
      </c>
      <c r="AL2628" s="1">
        <v>7.81373322809999</v>
      </c>
      <c r="AM2628" s="1">
        <v>49.8039215689999</v>
      </c>
      <c r="AN2628" s="1">
        <v>26.95035461</v>
      </c>
      <c r="AO2628" s="1">
        <v>29110.0</v>
      </c>
      <c r="AP2628" s="1">
        <v>11.8</v>
      </c>
      <c r="AQ2628" s="1">
        <v>4.5</v>
      </c>
      <c r="AR2628" s="1">
        <v>21.3</v>
      </c>
      <c r="AS2628" s="1">
        <v>12.9</v>
      </c>
      <c r="AT2628" s="1">
        <v>31.9</v>
      </c>
      <c r="AU2628" s="1">
        <v>8.3</v>
      </c>
      <c r="AV2628" s="1">
        <v>38.4</v>
      </c>
      <c r="AW2628" s="1">
        <v>5.9</v>
      </c>
      <c r="AX2628" s="1">
        <v>0.602</v>
      </c>
      <c r="AY2628" s="1">
        <v>9.1</v>
      </c>
      <c r="AZ2628" s="1">
        <v>13.5</v>
      </c>
      <c r="BA2628" s="1">
        <v>20.1</v>
      </c>
      <c r="BB2628" s="1">
        <v>3.12</v>
      </c>
      <c r="BC2628" s="1" t="s">
        <v>4123</v>
      </c>
      <c r="BD2628" s="1">
        <v>17.9</v>
      </c>
      <c r="BE2628" s="1">
        <v>31.5</v>
      </c>
      <c r="BF2628" s="1">
        <v>29.4</v>
      </c>
      <c r="BG2628" s="1">
        <v>21.2</v>
      </c>
      <c r="BH2628" s="1" t="s">
        <v>4298</v>
      </c>
    </row>
    <row r="2629">
      <c r="A2629" s="1">
        <v>48213.0</v>
      </c>
      <c r="B2629" s="2" t="str">
        <f>IFERROR(__xludf.DUMMYFUNCTION("TO_TEXT(A2629)"),"48213")</f>
        <v>48213</v>
      </c>
      <c r="C2629" s="1">
        <v>79213.0</v>
      </c>
      <c r="D2629" s="1">
        <v>873.763946912626</v>
      </c>
      <c r="E2629" s="1" t="s">
        <v>1205</v>
      </c>
      <c r="F2629" s="1" t="s">
        <v>4299</v>
      </c>
      <c r="G2629" s="1">
        <v>90.657208139444</v>
      </c>
      <c r="H2629" s="1">
        <v>18.104290653</v>
      </c>
      <c r="I2629" s="1">
        <v>4.2375322294</v>
      </c>
      <c r="J2629" s="1">
        <v>7.6455534229</v>
      </c>
      <c r="K2629" s="1">
        <v>15.990933099</v>
      </c>
      <c r="L2629" s="1">
        <v>36.6</v>
      </c>
      <c r="M2629" s="1">
        <v>6.3</v>
      </c>
      <c r="N2629" s="1">
        <v>35.1</v>
      </c>
      <c r="O2629" s="1">
        <v>62.939948047</v>
      </c>
      <c r="P2629" s="1">
        <v>21.18675386</v>
      </c>
      <c r="Q2629" s="1">
        <v>30.83983</v>
      </c>
      <c r="R2629" s="1">
        <v>95.6</v>
      </c>
      <c r="S2629" s="1">
        <v>29.9</v>
      </c>
      <c r="T2629" s="1">
        <v>17367.0</v>
      </c>
      <c r="U2629" s="1">
        <v>27.915011228</v>
      </c>
      <c r="V2629" s="1">
        <v>339.83740865</v>
      </c>
      <c r="W2629" s="1">
        <v>12.925969448</v>
      </c>
      <c r="X2629" s="1">
        <v>10.52990288</v>
      </c>
      <c r="Y2629" s="1">
        <v>74.69423222</v>
      </c>
      <c r="Z2629" s="1">
        <v>12.5</v>
      </c>
      <c r="AA2629" s="1">
        <v>12.297315377</v>
      </c>
      <c r="AB2629" s="1">
        <v>43337.0</v>
      </c>
      <c r="AC2629" s="1">
        <v>62.315654484</v>
      </c>
      <c r="AD2629" s="1">
        <v>76.357455075</v>
      </c>
      <c r="AE2629" s="1">
        <v>10.6616011229999</v>
      </c>
      <c r="AF2629" s="1">
        <v>6.190840715</v>
      </c>
      <c r="AG2629" s="1">
        <v>0.9465485607</v>
      </c>
      <c r="AH2629" s="1">
        <v>0.7229735477</v>
      </c>
      <c r="AI2629" s="1">
        <v>0.1008517722</v>
      </c>
      <c r="AJ2629" s="1">
        <v>13.318509338</v>
      </c>
      <c r="AK2629" s="1">
        <v>77.6996075289999</v>
      </c>
      <c r="AL2629" s="1">
        <v>2.1376921355</v>
      </c>
      <c r="AM2629" s="1">
        <v>51.094180974</v>
      </c>
      <c r="AN2629" s="1">
        <v>60.110528192</v>
      </c>
      <c r="AO2629" s="1">
        <v>23605.0</v>
      </c>
      <c r="AP2629" s="1">
        <v>18.8</v>
      </c>
      <c r="AQ2629" s="1">
        <v>6.9</v>
      </c>
      <c r="AR2629" s="1">
        <v>17.1</v>
      </c>
      <c r="AS2629" s="1">
        <v>20.8</v>
      </c>
      <c r="AT2629" s="1">
        <v>22.1</v>
      </c>
      <c r="AU2629" s="1">
        <v>17.2</v>
      </c>
      <c r="AV2629" s="1">
        <v>20.7</v>
      </c>
      <c r="AW2629" s="1">
        <v>2.2</v>
      </c>
      <c r="AX2629" s="1">
        <v>0.7052</v>
      </c>
      <c r="AY2629" s="1">
        <v>17.5</v>
      </c>
      <c r="AZ2629" s="1">
        <v>16.6</v>
      </c>
      <c r="BA2629" s="1">
        <v>26.4</v>
      </c>
      <c r="BB2629" s="1">
        <v>2.94</v>
      </c>
      <c r="BC2629" s="1" t="s">
        <v>4123</v>
      </c>
      <c r="BD2629" s="1">
        <v>16.5</v>
      </c>
      <c r="BE2629" s="1">
        <v>34.4</v>
      </c>
      <c r="BF2629" s="1">
        <v>31.8</v>
      </c>
      <c r="BG2629" s="1">
        <v>17.3</v>
      </c>
      <c r="BH2629" s="1" t="s">
        <v>4299</v>
      </c>
    </row>
    <row r="2630">
      <c r="A2630" s="1">
        <v>48215.0</v>
      </c>
      <c r="B2630" s="2" t="str">
        <f>IFERROR(__xludf.DUMMYFUNCTION("TO_TEXT(A2630)"),"48215")</f>
        <v>48215</v>
      </c>
      <c r="C2630" s="1">
        <v>828334.0</v>
      </c>
      <c r="D2630" s="1">
        <v>1570.89862733268</v>
      </c>
      <c r="E2630" s="1" t="s">
        <v>3038</v>
      </c>
      <c r="F2630" s="1" t="s">
        <v>4300</v>
      </c>
      <c r="G2630" s="1">
        <v>527.299461332191</v>
      </c>
      <c r="H2630" s="1">
        <v>30.499781838</v>
      </c>
      <c r="I2630" s="1">
        <v>4.4803610702</v>
      </c>
      <c r="J2630" s="1">
        <v>8.2134098376</v>
      </c>
      <c r="K2630" s="1">
        <v>14.5613171409999</v>
      </c>
      <c r="L2630" s="1">
        <v>34.4</v>
      </c>
      <c r="M2630" s="1">
        <v>6.7</v>
      </c>
      <c r="N2630" s="1">
        <v>21.6</v>
      </c>
      <c r="O2630" s="1">
        <v>59.301675725</v>
      </c>
      <c r="P2630" s="1">
        <v>31.207924125</v>
      </c>
      <c r="Q2630" s="1">
        <v>44.96544</v>
      </c>
      <c r="R2630" s="1">
        <v>89.9</v>
      </c>
      <c r="S2630" s="1">
        <v>40.4</v>
      </c>
      <c r="T2630" s="1">
        <v>281541.0</v>
      </c>
      <c r="U2630" s="1">
        <v>37.01592308</v>
      </c>
      <c r="V2630" s="1">
        <v>312.42608627</v>
      </c>
      <c r="W2630" s="1">
        <v>26.310583581</v>
      </c>
      <c r="X2630" s="1">
        <v>14.90104773</v>
      </c>
      <c r="Y2630" s="1">
        <v>82.09747902</v>
      </c>
      <c r="Z2630" s="1">
        <v>11.1</v>
      </c>
      <c r="AA2630" s="1">
        <v>21.250281975</v>
      </c>
      <c r="AB2630" s="1">
        <v>38785.0</v>
      </c>
      <c r="AC2630" s="1">
        <v>85.385181964</v>
      </c>
      <c r="AD2630" s="1">
        <v>68.106131242</v>
      </c>
      <c r="AE2630" s="1">
        <v>15.3239358559999</v>
      </c>
      <c r="AF2630" s="1">
        <v>0.4136550034</v>
      </c>
      <c r="AG2630" s="1">
        <v>0.534564213</v>
      </c>
      <c r="AH2630" s="1">
        <v>1.06023634459999</v>
      </c>
      <c r="AI2630" s="1">
        <v>0.0441139618</v>
      </c>
      <c r="AJ2630" s="1">
        <v>92.37544446</v>
      </c>
      <c r="AK2630" s="1">
        <v>6.0469617375</v>
      </c>
      <c r="AL2630" s="1">
        <v>20.002365667</v>
      </c>
      <c r="AM2630" s="1">
        <v>50.980149872</v>
      </c>
      <c r="AN2630" s="1">
        <v>5.1386929524</v>
      </c>
      <c r="AO2630" s="1">
        <v>15240.0</v>
      </c>
      <c r="AP2630" s="1">
        <v>32.8</v>
      </c>
      <c r="AQ2630" s="1">
        <v>9.0</v>
      </c>
      <c r="AR2630" s="1">
        <v>36.7</v>
      </c>
      <c r="AS2630" s="1">
        <v>10.4</v>
      </c>
      <c r="AT2630" s="1">
        <v>33.7</v>
      </c>
      <c r="AU2630" s="1">
        <v>13.4</v>
      </c>
      <c r="AV2630" s="1">
        <v>93.1</v>
      </c>
      <c r="AW2630" s="1">
        <v>20.6</v>
      </c>
      <c r="AX2630" s="1">
        <v>0.9736</v>
      </c>
      <c r="AY2630" s="1">
        <v>26.9</v>
      </c>
      <c r="AZ2630" s="1">
        <v>18.2</v>
      </c>
      <c r="BA2630" s="1">
        <v>27.8</v>
      </c>
      <c r="BB2630" s="1">
        <v>2.39</v>
      </c>
      <c r="BC2630" s="1" t="s">
        <v>4123</v>
      </c>
      <c r="BD2630" s="1">
        <v>34.3</v>
      </c>
      <c r="BE2630" s="1">
        <v>23.5</v>
      </c>
      <c r="BF2630" s="1">
        <v>23.5</v>
      </c>
      <c r="BG2630" s="1">
        <v>18.7</v>
      </c>
      <c r="BH2630" s="1" t="s">
        <v>4300</v>
      </c>
    </row>
    <row r="2631">
      <c r="A2631" s="1">
        <v>48217.0</v>
      </c>
      <c r="B2631" s="2" t="str">
        <f>IFERROR(__xludf.DUMMYFUNCTION("TO_TEXT(A2631)"),"48217")</f>
        <v>48217</v>
      </c>
      <c r="C2631" s="1">
        <v>34901.0</v>
      </c>
      <c r="D2631" s="1">
        <v>958.866964417814</v>
      </c>
      <c r="E2631" s="1" t="s">
        <v>2743</v>
      </c>
      <c r="F2631" s="1" t="s">
        <v>4301</v>
      </c>
      <c r="G2631" s="1">
        <v>36.3981671025557</v>
      </c>
      <c r="H2631" s="1">
        <v>18.774084061</v>
      </c>
      <c r="I2631" s="1">
        <v>4.0952625858</v>
      </c>
      <c r="J2631" s="1">
        <v>7.5719872023</v>
      </c>
      <c r="K2631" s="1">
        <v>14.777709119</v>
      </c>
      <c r="L2631" s="1">
        <v>32.4</v>
      </c>
      <c r="M2631" s="1">
        <v>7.4</v>
      </c>
      <c r="N2631" s="1">
        <v>38.0</v>
      </c>
      <c r="O2631" s="1">
        <v>51.65151472</v>
      </c>
      <c r="P2631" s="1">
        <v>21.114054557</v>
      </c>
      <c r="Q2631" s="1">
        <v>22.31396</v>
      </c>
      <c r="R2631" s="1">
        <v>96.9</v>
      </c>
      <c r="S2631" s="1">
        <v>20.2</v>
      </c>
      <c r="T2631" s="1">
        <v>8202.0</v>
      </c>
      <c r="U2631" s="1">
        <v>30.114606194</v>
      </c>
      <c r="V2631" s="1">
        <v>170.7366065</v>
      </c>
      <c r="W2631" s="1">
        <v>15.657946115</v>
      </c>
      <c r="X2631" s="1">
        <v>9.3290988487</v>
      </c>
      <c r="Y2631" s="1">
        <v>76.3505970999999</v>
      </c>
      <c r="Z2631" s="1">
        <v>10.2</v>
      </c>
      <c r="AA2631" s="1">
        <v>2.2740303644</v>
      </c>
      <c r="AB2631" s="1">
        <v>48670.0</v>
      </c>
      <c r="AC2631" s="1">
        <v>63.067926226</v>
      </c>
      <c r="AD2631" s="1">
        <v>73.60795677</v>
      </c>
      <c r="AE2631" s="1">
        <v>10.09341159</v>
      </c>
      <c r="AF2631" s="1">
        <v>6.3211751114</v>
      </c>
      <c r="AG2631" s="1">
        <v>0.9572536722</v>
      </c>
      <c r="AH2631" s="1">
        <v>0.6436705727</v>
      </c>
      <c r="AI2631" s="1">
        <v>0.1485393629</v>
      </c>
      <c r="AJ2631" s="1">
        <v>21.386917533</v>
      </c>
      <c r="AK2631" s="1">
        <v>69.799746933</v>
      </c>
      <c r="AL2631" s="1">
        <v>2.8810911494</v>
      </c>
      <c r="AM2631" s="1">
        <v>50.173295923</v>
      </c>
      <c r="AN2631" s="1">
        <v>76.266066289</v>
      </c>
      <c r="AO2631" s="1">
        <v>22154.0</v>
      </c>
      <c r="AP2631" s="1">
        <v>19.1</v>
      </c>
      <c r="AQ2631" s="1">
        <v>8.9</v>
      </c>
      <c r="AR2631" s="1">
        <v>19.7</v>
      </c>
      <c r="AS2631" s="1">
        <v>20.0</v>
      </c>
      <c r="AT2631" s="1">
        <v>23.7</v>
      </c>
      <c r="AU2631" s="1">
        <v>18.1</v>
      </c>
      <c r="AV2631" s="1">
        <v>28.1</v>
      </c>
      <c r="AW2631" s="1">
        <v>3.9</v>
      </c>
      <c r="AX2631" s="1">
        <v>0.8933</v>
      </c>
      <c r="AY2631" s="1">
        <v>13.1</v>
      </c>
      <c r="AZ2631" s="1">
        <v>16.2</v>
      </c>
      <c r="BA2631" s="1">
        <v>25.0</v>
      </c>
      <c r="BB2631" s="1">
        <v>2.89</v>
      </c>
      <c r="BC2631" s="1" t="s">
        <v>4123</v>
      </c>
      <c r="BD2631" s="1">
        <v>16.5</v>
      </c>
      <c r="BE2631" s="1">
        <v>34.9</v>
      </c>
      <c r="BF2631" s="1">
        <v>31.3</v>
      </c>
      <c r="BG2631" s="1">
        <v>17.4</v>
      </c>
      <c r="BH2631" s="1" t="s">
        <v>4301</v>
      </c>
    </row>
    <row r="2632">
      <c r="A2632" s="1">
        <v>48219.0</v>
      </c>
      <c r="B2632" s="2" t="str">
        <f>IFERROR(__xludf.DUMMYFUNCTION("TO_TEXT(A2632)"),"48219")</f>
        <v>48219</v>
      </c>
      <c r="C2632" s="1">
        <v>23377.0</v>
      </c>
      <c r="D2632" s="1">
        <v>908.391408257126</v>
      </c>
      <c r="E2632" s="1" t="s">
        <v>4302</v>
      </c>
      <c r="F2632" s="1" t="s">
        <v>4303</v>
      </c>
      <c r="G2632" s="1">
        <v>25.7345014357323</v>
      </c>
      <c r="H2632" s="1">
        <v>21.9312872219999</v>
      </c>
      <c r="I2632" s="1">
        <v>4.0186978801</v>
      </c>
      <c r="J2632" s="1">
        <v>9.3538183461</v>
      </c>
      <c r="K2632" s="1">
        <v>14.6720734209999</v>
      </c>
      <c r="L2632" s="1">
        <v>28.6</v>
      </c>
      <c r="M2632" s="1">
        <v>6.9</v>
      </c>
      <c r="N2632" s="1">
        <v>33.6</v>
      </c>
      <c r="O2632" s="1">
        <v>65.798997166</v>
      </c>
      <c r="P2632" s="1">
        <v>20.643799472</v>
      </c>
      <c r="Q2632" s="1">
        <v>56.30631</v>
      </c>
      <c r="R2632" s="1">
        <v>88.3</v>
      </c>
      <c r="S2632" s="1">
        <v>28.1</v>
      </c>
      <c r="T2632" s="1">
        <v>6036.0</v>
      </c>
      <c r="U2632" s="1">
        <v>29.324055666</v>
      </c>
      <c r="V2632" s="1">
        <v>447.63513514</v>
      </c>
      <c r="W2632" s="1">
        <v>11.474398519</v>
      </c>
      <c r="X2632" s="1">
        <v>5.89195979899999</v>
      </c>
      <c r="Y2632" s="1">
        <v>76.57456019</v>
      </c>
      <c r="Z2632" s="1">
        <v>7.2</v>
      </c>
      <c r="AA2632" s="1">
        <v>17.432875005</v>
      </c>
      <c r="AB2632" s="1">
        <v>46764.0</v>
      </c>
      <c r="AC2632" s="1">
        <v>63.325879244</v>
      </c>
      <c r="AD2632" s="1">
        <v>70.186257236</v>
      </c>
      <c r="AE2632" s="1">
        <v>7.299270073</v>
      </c>
      <c r="AF2632" s="1">
        <v>3.4682332463</v>
      </c>
      <c r="AG2632" s="1">
        <v>1.3577023499</v>
      </c>
      <c r="AH2632" s="1">
        <v>0.561357702299999</v>
      </c>
      <c r="AI2632" s="1">
        <v>0.0652741514</v>
      </c>
      <c r="AJ2632" s="1">
        <v>48.664055701</v>
      </c>
      <c r="AK2632" s="1">
        <v>46.140121845</v>
      </c>
      <c r="AL2632" s="1">
        <v>4.5454545455</v>
      </c>
      <c r="AM2632" s="1">
        <v>50.139251523</v>
      </c>
      <c r="AN2632" s="1">
        <v>39.847394811</v>
      </c>
      <c r="AO2632" s="1">
        <v>22718.0</v>
      </c>
      <c r="AP2632" s="1">
        <v>15.7</v>
      </c>
      <c r="AQ2632" s="1">
        <v>7.2</v>
      </c>
      <c r="AR2632" s="1">
        <v>21.8</v>
      </c>
      <c r="AS2632" s="1">
        <v>13.5</v>
      </c>
      <c r="AT2632" s="1">
        <v>26.5</v>
      </c>
      <c r="AU2632" s="1">
        <v>14.3</v>
      </c>
      <c r="AV2632" s="1">
        <v>52.0</v>
      </c>
      <c r="AW2632" s="1">
        <v>4.7</v>
      </c>
      <c r="AX2632" s="1">
        <v>0.8392</v>
      </c>
      <c r="AY2632" s="1">
        <v>15.5</v>
      </c>
      <c r="AZ2632" s="1">
        <v>14.2</v>
      </c>
      <c r="BA2632" s="1">
        <v>20.5</v>
      </c>
      <c r="BB2632" s="1">
        <v>2.92</v>
      </c>
      <c r="BC2632" s="1" t="s">
        <v>4123</v>
      </c>
      <c r="BD2632" s="1">
        <v>23.8</v>
      </c>
      <c r="BE2632" s="1">
        <v>26.7</v>
      </c>
      <c r="BF2632" s="1">
        <v>33.7</v>
      </c>
      <c r="BG2632" s="1">
        <v>15.8</v>
      </c>
      <c r="BH2632" s="1" t="s">
        <v>4303</v>
      </c>
    </row>
    <row r="2633">
      <c r="A2633" s="1">
        <v>48221.0</v>
      </c>
      <c r="B2633" s="2" t="str">
        <f>IFERROR(__xludf.DUMMYFUNCTION("TO_TEXT(A2633)"),"48221")</f>
        <v>48221</v>
      </c>
      <c r="C2633" s="1">
        <v>54217.0</v>
      </c>
      <c r="D2633" s="1">
        <v>420.652679556372</v>
      </c>
      <c r="E2633" s="1" t="s">
        <v>4304</v>
      </c>
      <c r="F2633" s="1" t="s">
        <v>4305</v>
      </c>
      <c r="G2633" s="1">
        <v>128.887803727242</v>
      </c>
      <c r="H2633" s="1">
        <v>15.3620263729999</v>
      </c>
      <c r="I2633" s="1">
        <v>4.0369512361</v>
      </c>
      <c r="J2633" s="1">
        <v>7.23575313309999</v>
      </c>
      <c r="K2633" s="1">
        <v>12.968680416</v>
      </c>
      <c r="L2633" s="1">
        <v>28.9</v>
      </c>
      <c r="M2633" s="1">
        <v>7.0</v>
      </c>
      <c r="N2633" s="1">
        <v>27.0</v>
      </c>
      <c r="O2633" s="1">
        <v>72.65444883</v>
      </c>
      <c r="P2633" s="1">
        <v>17.500971895</v>
      </c>
      <c r="Q2633" s="1">
        <v>53.19788</v>
      </c>
      <c r="R2633" s="1">
        <v>93.5</v>
      </c>
      <c r="S2633" s="1">
        <v>16.8</v>
      </c>
      <c r="T2633" s="1">
        <v>11826.0</v>
      </c>
      <c r="U2633" s="1">
        <v>20.226619313</v>
      </c>
      <c r="V2633" s="1">
        <v>175.56179775</v>
      </c>
      <c r="W2633" s="1">
        <v>12.99904943</v>
      </c>
      <c r="X2633" s="1">
        <v>9.5996140859</v>
      </c>
      <c r="Y2633" s="1">
        <v>78.366582113</v>
      </c>
      <c r="Z2633" s="1">
        <v>7.2</v>
      </c>
      <c r="AA2633" s="1">
        <v>9.7880950395</v>
      </c>
      <c r="AB2633" s="1">
        <v>60917.0</v>
      </c>
      <c r="AC2633" s="1">
        <v>48.2819486939999</v>
      </c>
      <c r="AD2633" s="1">
        <v>76.557877009</v>
      </c>
      <c r="AE2633" s="1">
        <v>10.150393664</v>
      </c>
      <c r="AF2633" s="1">
        <v>0.9713068041</v>
      </c>
      <c r="AG2633" s="1">
        <v>0.9580917455</v>
      </c>
      <c r="AH2633" s="1">
        <v>0.9085352759</v>
      </c>
      <c r="AI2633" s="1">
        <v>0.0792903514</v>
      </c>
      <c r="AJ2633" s="1">
        <v>12.919371624</v>
      </c>
      <c r="AK2633" s="1">
        <v>83.486132448</v>
      </c>
      <c r="AL2633" s="1">
        <v>2.1434414039</v>
      </c>
      <c r="AM2633" s="1">
        <v>51.1026314489999</v>
      </c>
      <c r="AN2633" s="1">
        <v>32.845531632</v>
      </c>
      <c r="AO2633" s="1">
        <v>31508.0</v>
      </c>
      <c r="AP2633" s="1">
        <v>12.1</v>
      </c>
      <c r="AQ2633" s="1">
        <v>3.2</v>
      </c>
      <c r="AR2633" s="1">
        <v>11.8</v>
      </c>
      <c r="AS2633" s="1">
        <v>23.9</v>
      </c>
      <c r="AT2633" s="1">
        <v>21.1</v>
      </c>
      <c r="AU2633" s="1">
        <v>14.2</v>
      </c>
      <c r="AV2633" s="1">
        <v>14.7</v>
      </c>
      <c r="AW2633" s="1">
        <v>2.2</v>
      </c>
      <c r="AX2633" s="1">
        <v>0.3298</v>
      </c>
      <c r="AY2633" s="1">
        <v>9.2</v>
      </c>
      <c r="AZ2633" s="1">
        <v>13.6</v>
      </c>
      <c r="BA2633" s="1">
        <v>21.4</v>
      </c>
      <c r="BB2633" s="1">
        <v>2.84</v>
      </c>
      <c r="BC2633" s="1" t="s">
        <v>4123</v>
      </c>
      <c r="BD2633" s="1">
        <v>10.6</v>
      </c>
      <c r="BE2633" s="1">
        <v>30.0</v>
      </c>
      <c r="BF2633" s="1">
        <v>33.0</v>
      </c>
      <c r="BG2633" s="1">
        <v>26.4</v>
      </c>
      <c r="BH2633" s="1" t="s">
        <v>4305</v>
      </c>
    </row>
    <row r="2634">
      <c r="A2634" s="1">
        <v>48223.0</v>
      </c>
      <c r="B2634" s="2" t="str">
        <f>IFERROR(__xludf.DUMMYFUNCTION("TO_TEXT(A2634)"),"48223")</f>
        <v>48223</v>
      </c>
      <c r="C2634" s="1">
        <v>35844.0</v>
      </c>
      <c r="D2634" s="1">
        <v>767.191670554342</v>
      </c>
      <c r="E2634" s="1" t="s">
        <v>1841</v>
      </c>
      <c r="F2634" s="1" t="s">
        <v>4306</v>
      </c>
      <c r="G2634" s="1">
        <v>46.7210494792006</v>
      </c>
      <c r="H2634" s="1">
        <v>19.536763735</v>
      </c>
      <c r="I2634" s="1">
        <v>4.2605113656</v>
      </c>
      <c r="J2634" s="1">
        <v>7.3348087259</v>
      </c>
      <c r="K2634" s="1">
        <v>16.543250654</v>
      </c>
      <c r="L2634" s="1">
        <v>30.9</v>
      </c>
      <c r="M2634" s="1">
        <v>6.8</v>
      </c>
      <c r="N2634" s="1">
        <v>34.9</v>
      </c>
      <c r="O2634" s="1">
        <v>41.361167202</v>
      </c>
      <c r="P2634" s="1">
        <v>22.013554065</v>
      </c>
      <c r="Q2634" s="1">
        <v>24.66024</v>
      </c>
      <c r="R2634" s="1">
        <v>95.1</v>
      </c>
      <c r="S2634" s="1">
        <v>21.1</v>
      </c>
      <c r="T2634" s="1">
        <v>8966.0</v>
      </c>
      <c r="U2634" s="1">
        <v>32.17711354</v>
      </c>
      <c r="V2634" s="1">
        <v>146.7453</v>
      </c>
      <c r="W2634" s="1">
        <v>14.705882353</v>
      </c>
      <c r="X2634" s="1">
        <v>10.091743119</v>
      </c>
      <c r="Y2634" s="1">
        <v>76.6583307739999</v>
      </c>
      <c r="Z2634" s="1">
        <v>9.8</v>
      </c>
      <c r="AA2634" s="1">
        <v>6.9397204883</v>
      </c>
      <c r="AB2634" s="1">
        <v>52079.0</v>
      </c>
      <c r="AC2634" s="1">
        <v>61.6472668339999</v>
      </c>
      <c r="AD2634" s="1">
        <v>69.8619917939999</v>
      </c>
      <c r="AE2634" s="1">
        <v>10.80719956</v>
      </c>
      <c r="AF2634" s="1">
        <v>7.03341483289999</v>
      </c>
      <c r="AG2634" s="1">
        <v>0.9807117631</v>
      </c>
      <c r="AH2634" s="1">
        <v>0.7117631079</v>
      </c>
      <c r="AI2634" s="1">
        <v>0.1276826949</v>
      </c>
      <c r="AJ2634" s="1">
        <v>17.397446346</v>
      </c>
      <c r="AK2634" s="1">
        <v>72.8606356969999</v>
      </c>
      <c r="AL2634" s="1">
        <v>2.9245283019</v>
      </c>
      <c r="AM2634" s="1">
        <v>50.763379516</v>
      </c>
      <c r="AN2634" s="1">
        <v>59.62572168</v>
      </c>
      <c r="AO2634" s="1">
        <v>23063.0</v>
      </c>
      <c r="AP2634" s="1">
        <v>19.5</v>
      </c>
      <c r="AQ2634" s="1">
        <v>6.0</v>
      </c>
      <c r="AR2634" s="1">
        <v>17.6</v>
      </c>
      <c r="AS2634" s="1">
        <v>17.5</v>
      </c>
      <c r="AT2634" s="1">
        <v>25.2</v>
      </c>
      <c r="AU2634" s="1">
        <v>17.5</v>
      </c>
      <c r="AV2634" s="1">
        <v>25.6</v>
      </c>
      <c r="AW2634" s="1">
        <v>3.6</v>
      </c>
      <c r="AX2634" s="1">
        <v>0.7921</v>
      </c>
      <c r="AY2634" s="1">
        <v>14.7</v>
      </c>
      <c r="AZ2634" s="1">
        <v>16.4</v>
      </c>
      <c r="BA2634" s="1">
        <v>25.0</v>
      </c>
      <c r="BB2634" s="1">
        <v>2.89</v>
      </c>
      <c r="BC2634" s="1" t="s">
        <v>4123</v>
      </c>
      <c r="BD2634" s="1">
        <v>15.1</v>
      </c>
      <c r="BE2634" s="1">
        <v>35.7</v>
      </c>
      <c r="BF2634" s="1">
        <v>29.2</v>
      </c>
      <c r="BG2634" s="1">
        <v>20.1</v>
      </c>
      <c r="BH2634" s="1" t="s">
        <v>4306</v>
      </c>
    </row>
    <row r="2635">
      <c r="A2635" s="1">
        <v>48225.0</v>
      </c>
      <c r="B2635" s="2" t="str">
        <f>IFERROR(__xludf.DUMMYFUNCTION("TO_TEXT(A2635)"),"48225")</f>
        <v>48225</v>
      </c>
      <c r="C2635" s="1">
        <v>22802.0</v>
      </c>
      <c r="D2635" s="1">
        <v>1231.00446874319</v>
      </c>
      <c r="E2635" s="1" t="s">
        <v>128</v>
      </c>
      <c r="F2635" s="1" t="s">
        <v>4307</v>
      </c>
      <c r="G2635" s="1">
        <v>18.5230846670118</v>
      </c>
      <c r="H2635" s="1">
        <v>22.262540368</v>
      </c>
      <c r="I2635" s="1">
        <v>4.4347355502</v>
      </c>
      <c r="J2635" s="1">
        <v>8.8943792464</v>
      </c>
      <c r="K2635" s="1">
        <v>17.821101442</v>
      </c>
      <c r="L2635" s="1">
        <v>24.7</v>
      </c>
      <c r="M2635" s="1">
        <v>4.4</v>
      </c>
      <c r="N2635" s="1">
        <v>31.6</v>
      </c>
      <c r="O2635" s="1">
        <v>56.480701163</v>
      </c>
      <c r="P2635" s="1">
        <v>20.117654664</v>
      </c>
      <c r="Q2635" s="1">
        <v>17.37544</v>
      </c>
      <c r="R2635" s="1">
        <v>95.9</v>
      </c>
      <c r="S2635" s="1">
        <v>40.8</v>
      </c>
      <c r="T2635" s="1">
        <v>4278.0</v>
      </c>
      <c r="U2635" s="1">
        <v>42.8003740069999</v>
      </c>
      <c r="V2635" s="1">
        <v>213.53409941</v>
      </c>
      <c r="W2635" s="1">
        <v>16.909975669</v>
      </c>
      <c r="X2635" s="1">
        <v>14.2379182159999</v>
      </c>
      <c r="Y2635" s="1">
        <v>76.168786606</v>
      </c>
      <c r="Z2635" s="1">
        <v>11.5</v>
      </c>
      <c r="AA2635" s="1">
        <v>22.907068285</v>
      </c>
      <c r="AB2635" s="1">
        <v>39533.0</v>
      </c>
      <c r="AC2635" s="1">
        <v>62.8339837889999</v>
      </c>
      <c r="AD2635" s="1">
        <v>68.948714825</v>
      </c>
      <c r="AE2635" s="1">
        <v>16.840026333</v>
      </c>
      <c r="AF2635" s="1">
        <v>24.84785705</v>
      </c>
      <c r="AG2635" s="1">
        <v>0.6646812551</v>
      </c>
      <c r="AH2635" s="1">
        <v>0.8459579611</v>
      </c>
      <c r="AI2635" s="1">
        <v>0.0086322241</v>
      </c>
      <c r="AJ2635" s="1">
        <v>11.467909707</v>
      </c>
      <c r="AK2635" s="1">
        <v>61.327636065</v>
      </c>
      <c r="AL2635" s="1">
        <v>1.9932029025</v>
      </c>
      <c r="AM2635" s="1">
        <v>46.5449523069999</v>
      </c>
      <c r="AN2635" s="1">
        <v>73.487274566</v>
      </c>
      <c r="AO2635" s="1">
        <v>17624.0</v>
      </c>
      <c r="AP2635" s="1">
        <v>24.4</v>
      </c>
      <c r="AQ2635" s="1">
        <v>4.9</v>
      </c>
      <c r="AR2635" s="1">
        <v>17.6</v>
      </c>
      <c r="AS2635" s="1">
        <v>20.5</v>
      </c>
      <c r="AT2635" s="1">
        <v>19.2</v>
      </c>
      <c r="AU2635" s="1">
        <v>17.8</v>
      </c>
      <c r="AV2635" s="1">
        <v>37.9</v>
      </c>
      <c r="AW2635" s="1">
        <v>2.0</v>
      </c>
      <c r="AX2635" s="1">
        <v>0.8596</v>
      </c>
      <c r="AY2635" s="1">
        <v>20.9</v>
      </c>
      <c r="AZ2635" s="1">
        <v>20.0</v>
      </c>
      <c r="BA2635" s="1">
        <v>31.7</v>
      </c>
      <c r="BB2635" s="1">
        <v>2.66</v>
      </c>
      <c r="BC2635" s="1" t="s">
        <v>4123</v>
      </c>
      <c r="BD2635" s="1">
        <v>18.8</v>
      </c>
      <c r="BE2635" s="1">
        <v>36.2</v>
      </c>
      <c r="BF2635" s="1">
        <v>29.8</v>
      </c>
      <c r="BG2635" s="1">
        <v>15.2</v>
      </c>
      <c r="BH2635" s="1" t="s">
        <v>4307</v>
      </c>
    </row>
    <row r="2636">
      <c r="A2636" s="1">
        <v>48227.0</v>
      </c>
      <c r="B2636" s="2" t="str">
        <f>IFERROR(__xludf.DUMMYFUNCTION("TO_TEXT(A2636)"),"48227")</f>
        <v>48227</v>
      </c>
      <c r="C2636" s="1">
        <v>36423.0</v>
      </c>
      <c r="D2636" s="1">
        <v>900.791077646178</v>
      </c>
      <c r="E2636" s="1" t="s">
        <v>339</v>
      </c>
      <c r="F2636" s="1" t="s">
        <v>4308</v>
      </c>
      <c r="G2636" s="1">
        <v>40.4344591147323</v>
      </c>
      <c r="H2636" s="1">
        <v>20.826293871</v>
      </c>
      <c r="I2636" s="1">
        <v>3.8931977371</v>
      </c>
      <c r="J2636" s="1">
        <v>9.8015267176</v>
      </c>
      <c r="K2636" s="1">
        <v>15.510638057</v>
      </c>
      <c r="L2636" s="1">
        <v>39.6</v>
      </c>
      <c r="M2636" s="1">
        <v>6.8</v>
      </c>
      <c r="N2636" s="1">
        <v>24.7</v>
      </c>
      <c r="O2636" s="1">
        <v>81.983320005</v>
      </c>
      <c r="P2636" s="1">
        <v>18.806587574</v>
      </c>
      <c r="Q2636" s="1">
        <v>30.52164</v>
      </c>
      <c r="R2636" s="1">
        <v>89.8</v>
      </c>
      <c r="S2636" s="1">
        <v>25.1</v>
      </c>
      <c r="T2636" s="1">
        <v>7952.0</v>
      </c>
      <c r="U2636" s="1">
        <v>36.858651911</v>
      </c>
      <c r="V2636" s="1">
        <v>607.39104671</v>
      </c>
      <c r="W2636" s="1">
        <v>12.689225289</v>
      </c>
      <c r="X2636" s="1">
        <v>8.5006753715</v>
      </c>
      <c r="Y2636" s="1">
        <v>74.301704898</v>
      </c>
      <c r="Z2636" s="1">
        <v>13.9</v>
      </c>
      <c r="AA2636" s="1">
        <v>16.013639193</v>
      </c>
      <c r="AB2636" s="1">
        <v>50423.0</v>
      </c>
      <c r="AC2636" s="1">
        <v>58.507670851</v>
      </c>
      <c r="AD2636" s="1">
        <v>66.60021747</v>
      </c>
      <c r="AE2636" s="1">
        <v>11.306485158</v>
      </c>
      <c r="AF2636" s="1">
        <v>5.9930332702</v>
      </c>
      <c r="AG2636" s="1">
        <v>1.686826298</v>
      </c>
      <c r="AH2636" s="1">
        <v>1.198606654</v>
      </c>
      <c r="AI2636" s="1">
        <v>0.0877698235999999</v>
      </c>
      <c r="AJ2636" s="1">
        <v>43.1169258619999</v>
      </c>
      <c r="AK2636" s="1">
        <v>48.095120546</v>
      </c>
      <c r="AL2636" s="1">
        <v>7.8526107457</v>
      </c>
      <c r="AM2636" s="1">
        <v>42.494308675</v>
      </c>
      <c r="AN2636" s="1">
        <v>20.064549297</v>
      </c>
      <c r="AO2636" s="1">
        <v>23054.0</v>
      </c>
      <c r="AP2636" s="1">
        <v>14.9</v>
      </c>
      <c r="AQ2636" s="1">
        <v>6.6</v>
      </c>
      <c r="AR2636" s="1">
        <v>20.6</v>
      </c>
      <c r="AS2636" s="1">
        <v>12.5</v>
      </c>
      <c r="AT2636" s="1">
        <v>22.2</v>
      </c>
      <c r="AU2636" s="1">
        <v>16.1</v>
      </c>
      <c r="AV2636" s="1">
        <v>49.2</v>
      </c>
      <c r="AW2636" s="1">
        <v>6.2</v>
      </c>
      <c r="AX2636" s="1">
        <v>0.8373</v>
      </c>
      <c r="AY2636" s="1">
        <v>17.0</v>
      </c>
      <c r="AZ2636" s="1">
        <v>15.2</v>
      </c>
      <c r="BA2636" s="1">
        <v>21.9</v>
      </c>
      <c r="BB2636" s="1">
        <v>2.94</v>
      </c>
      <c r="BC2636" s="1" t="s">
        <v>4123</v>
      </c>
      <c r="BD2636" s="1">
        <v>20.0</v>
      </c>
      <c r="BE2636" s="1">
        <v>33.7</v>
      </c>
      <c r="BF2636" s="1">
        <v>33.7</v>
      </c>
      <c r="BG2636" s="1">
        <v>12.6</v>
      </c>
      <c r="BH2636" s="1" t="s">
        <v>4308</v>
      </c>
    </row>
    <row r="2637">
      <c r="A2637" s="1">
        <v>48229.0</v>
      </c>
      <c r="B2637" s="2" t="str">
        <f>IFERROR(__xludf.DUMMYFUNCTION("TO_TEXT(A2637)"),"48229")</f>
        <v>48229</v>
      </c>
      <c r="C2637" s="1">
        <v>3481.0</v>
      </c>
      <c r="D2637" s="1">
        <v>4570.52316764135</v>
      </c>
      <c r="E2637" s="1" t="s">
        <v>4309</v>
      </c>
      <c r="F2637" s="1" t="s">
        <v>4310</v>
      </c>
      <c r="G2637" s="1">
        <v>0.761619594151712</v>
      </c>
      <c r="H2637" s="1">
        <v>34.2566214319999</v>
      </c>
      <c r="I2637" s="1">
        <v>4.6104792744</v>
      </c>
      <c r="J2637" s="1">
        <v>11.387900356</v>
      </c>
      <c r="K2637" s="1">
        <v>18.696341829</v>
      </c>
      <c r="L2637" s="1">
        <v>34.2</v>
      </c>
      <c r="M2637" s="1">
        <v>2.2</v>
      </c>
      <c r="N2637" s="1">
        <v>25.5</v>
      </c>
      <c r="O2637" s="1">
        <v>0.4602991945</v>
      </c>
      <c r="P2637" s="1">
        <v>28.527692736</v>
      </c>
      <c r="Q2637" s="1">
        <v>48.31939</v>
      </c>
      <c r="R2637" s="1">
        <v>97.6</v>
      </c>
      <c r="S2637" s="1">
        <v>25.0</v>
      </c>
      <c r="T2637" s="1">
        <v>980.0</v>
      </c>
      <c r="U2637" s="1">
        <v>35.204081633</v>
      </c>
      <c r="V2637" s="1">
        <v>105.13667768</v>
      </c>
      <c r="W2637" s="1">
        <v>17.553191489</v>
      </c>
      <c r="X2637" s="1">
        <v>8.4324324324</v>
      </c>
      <c r="Y2637" s="1">
        <v>85.696994155</v>
      </c>
      <c r="Z2637" s="1">
        <v>16.6</v>
      </c>
      <c r="AA2637" s="1">
        <v>67.26575425</v>
      </c>
      <c r="AB2637" s="1">
        <v>42671.0</v>
      </c>
      <c r="AC2637" s="1">
        <v>91.680814941</v>
      </c>
      <c r="AD2637" s="1">
        <v>75.888888889</v>
      </c>
      <c r="AE2637" s="1">
        <v>12.631578947</v>
      </c>
      <c r="AF2637" s="1">
        <v>2.7945776851</v>
      </c>
      <c r="AG2637" s="1">
        <v>1.9186652763</v>
      </c>
      <c r="AH2637" s="1">
        <v>1.5224191867</v>
      </c>
      <c r="AI2637" s="1">
        <v>0.2294056309</v>
      </c>
      <c r="AJ2637" s="1">
        <v>77.95620438</v>
      </c>
      <c r="AK2637" s="1">
        <v>16.600625652</v>
      </c>
      <c r="AL2637" s="1">
        <v>29.015677204</v>
      </c>
      <c r="AM2637" s="1">
        <v>47.00729927</v>
      </c>
      <c r="AN2637" s="1">
        <v>100.0</v>
      </c>
      <c r="AO2637" s="1">
        <v>14776.0</v>
      </c>
      <c r="AP2637" s="1">
        <v>37.9</v>
      </c>
      <c r="AQ2637" s="1">
        <v>5.6</v>
      </c>
      <c r="AR2637" s="1">
        <v>47.8</v>
      </c>
      <c r="AS2637" s="1">
        <v>16.0</v>
      </c>
      <c r="AT2637" s="1">
        <v>25.1</v>
      </c>
      <c r="AU2637" s="1">
        <v>26.2</v>
      </c>
      <c r="AV2637" s="1">
        <v>81.2</v>
      </c>
      <c r="AW2637" s="1">
        <v>32.7</v>
      </c>
      <c r="AX2637" s="1">
        <v>0.9497</v>
      </c>
      <c r="AY2637" s="1">
        <v>28.0</v>
      </c>
      <c r="AZ2637" s="1">
        <v>19.2</v>
      </c>
      <c r="BA2637" s="1">
        <v>32.9</v>
      </c>
      <c r="BB2637" s="1">
        <v>2.94</v>
      </c>
      <c r="BC2637" s="1" t="s">
        <v>4123</v>
      </c>
      <c r="BD2637" s="1">
        <v>44.5</v>
      </c>
      <c r="BE2637" s="1">
        <v>30.6</v>
      </c>
      <c r="BF2637" s="1">
        <v>14.2</v>
      </c>
      <c r="BG2637" s="1">
        <v>10.7</v>
      </c>
      <c r="BH2637" s="1" t="s">
        <v>4310</v>
      </c>
    </row>
    <row r="2638">
      <c r="A2638" s="1">
        <v>48231.0</v>
      </c>
      <c r="B2638" s="2" t="str">
        <f>IFERROR(__xludf.DUMMYFUNCTION("TO_TEXT(A2638)"),"48231")</f>
        <v>48231</v>
      </c>
      <c r="C2638" s="1">
        <v>89068.0</v>
      </c>
      <c r="D2638" s="1">
        <v>840.318666185296</v>
      </c>
      <c r="E2638" s="1" t="s">
        <v>4311</v>
      </c>
      <c r="F2638" s="1" t="s">
        <v>4312</v>
      </c>
      <c r="G2638" s="1">
        <v>105.993123304439</v>
      </c>
      <c r="H2638" s="1">
        <v>18.444616949</v>
      </c>
      <c r="I2638" s="1">
        <v>4.1208078875</v>
      </c>
      <c r="J2638" s="1">
        <v>8.631632394</v>
      </c>
      <c r="K2638" s="1">
        <v>15.817496754</v>
      </c>
      <c r="L2638" s="1">
        <v>33.0</v>
      </c>
      <c r="M2638" s="1">
        <v>6.9</v>
      </c>
      <c r="N2638" s="1">
        <v>35.4</v>
      </c>
      <c r="O2638" s="1">
        <v>65.15575474</v>
      </c>
      <c r="P2638" s="1">
        <v>18.715171085</v>
      </c>
      <c r="Q2638" s="1">
        <v>28.76257</v>
      </c>
      <c r="R2638" s="1">
        <v>93.7</v>
      </c>
      <c r="S2638" s="1">
        <v>20.1</v>
      </c>
      <c r="T2638" s="1">
        <v>21955.0</v>
      </c>
      <c r="U2638" s="1">
        <v>29.200637668</v>
      </c>
      <c r="V2638" s="1">
        <v>365.20045447</v>
      </c>
      <c r="W2638" s="1">
        <v>17.316642593</v>
      </c>
      <c r="X2638" s="1">
        <v>13.781402936</v>
      </c>
      <c r="Y2638" s="1">
        <v>76.103772953</v>
      </c>
      <c r="Z2638" s="1">
        <v>14.8</v>
      </c>
      <c r="AA2638" s="1">
        <v>4.8831452048</v>
      </c>
      <c r="AB2638" s="1">
        <v>53360.0</v>
      </c>
      <c r="AC2638" s="1">
        <v>54.563701669</v>
      </c>
      <c r="AD2638" s="1">
        <v>69.344125552</v>
      </c>
      <c r="AE2638" s="1">
        <v>13.91499599</v>
      </c>
      <c r="AF2638" s="1">
        <v>7.8865824464</v>
      </c>
      <c r="AG2638" s="1">
        <v>1.1866145731</v>
      </c>
      <c r="AH2638" s="1">
        <v>1.6716238484</v>
      </c>
      <c r="AI2638" s="1">
        <v>0.1792876167</v>
      </c>
      <c r="AJ2638" s="1">
        <v>16.990869804</v>
      </c>
      <c r="AK2638" s="1">
        <v>70.977169328</v>
      </c>
      <c r="AL2638" s="1">
        <v>2.1019595127</v>
      </c>
      <c r="AM2638" s="1">
        <v>50.6772512</v>
      </c>
      <c r="AN2638" s="1">
        <v>56.631332072</v>
      </c>
      <c r="AO2638" s="1">
        <v>22229.0</v>
      </c>
      <c r="AP2638" s="1">
        <v>18.9</v>
      </c>
      <c r="AQ2638" s="1">
        <v>9.7</v>
      </c>
      <c r="AR2638" s="1">
        <v>17.3</v>
      </c>
      <c r="AS2638" s="1">
        <v>15.3</v>
      </c>
      <c r="AT2638" s="1">
        <v>24.0</v>
      </c>
      <c r="AU2638" s="1">
        <v>16.8</v>
      </c>
      <c r="AV2638" s="1">
        <v>26.6</v>
      </c>
      <c r="AW2638" s="1">
        <v>2.7</v>
      </c>
      <c r="AX2638" s="1">
        <v>0.8873</v>
      </c>
      <c r="AY2638" s="1">
        <v>14.8</v>
      </c>
      <c r="AZ2638" s="1">
        <v>16.6</v>
      </c>
      <c r="BA2638" s="1">
        <v>24.9</v>
      </c>
      <c r="BB2638" s="1">
        <v>2.73</v>
      </c>
      <c r="BC2638" s="1" t="s">
        <v>4123</v>
      </c>
      <c r="BD2638" s="1">
        <v>15.5</v>
      </c>
      <c r="BE2638" s="1">
        <v>34.0</v>
      </c>
      <c r="BF2638" s="1">
        <v>30.6</v>
      </c>
      <c r="BG2638" s="1">
        <v>19.9</v>
      </c>
      <c r="BH2638" s="1" t="s">
        <v>4312</v>
      </c>
    </row>
    <row r="2639">
      <c r="A2639" s="1">
        <v>48233.0</v>
      </c>
      <c r="B2639" s="2" t="str">
        <f>IFERROR(__xludf.DUMMYFUNCTION("TO_TEXT(A2639)"),"48233")</f>
        <v>48233</v>
      </c>
      <c r="C2639" s="1">
        <v>21782.0</v>
      </c>
      <c r="D2639" s="1">
        <v>887.419981986891</v>
      </c>
      <c r="E2639" s="1" t="s">
        <v>3947</v>
      </c>
      <c r="F2639" s="1" t="s">
        <v>4313</v>
      </c>
      <c r="G2639" s="1">
        <v>24.5453116248646</v>
      </c>
      <c r="H2639" s="1">
        <v>18.278601693</v>
      </c>
      <c r="I2639" s="1">
        <v>4.0626560075</v>
      </c>
      <c r="J2639" s="1">
        <v>9.2692496322</v>
      </c>
      <c r="K2639" s="1">
        <v>15.468328875</v>
      </c>
      <c r="L2639" s="1">
        <v>30.7</v>
      </c>
      <c r="M2639" s="1">
        <v>6.9</v>
      </c>
      <c r="N2639" s="1">
        <v>34.9</v>
      </c>
      <c r="O2639" s="1">
        <v>84.063205418</v>
      </c>
      <c r="P2639" s="1">
        <v>20.27956262</v>
      </c>
      <c r="Q2639" s="1">
        <v>32.74854</v>
      </c>
      <c r="R2639" s="1">
        <v>94.6</v>
      </c>
      <c r="S2639" s="1">
        <v>18.9</v>
      </c>
      <c r="T2639" s="1">
        <v>5597.0</v>
      </c>
      <c r="U2639" s="1">
        <v>36.323030195</v>
      </c>
      <c r="V2639" s="1">
        <v>482.77596178</v>
      </c>
      <c r="W2639" s="1">
        <v>11.88369153</v>
      </c>
      <c r="X2639" s="1">
        <v>7.4394904459</v>
      </c>
      <c r="Y2639" s="1">
        <v>75.847105421</v>
      </c>
      <c r="Z2639" s="1">
        <v>11.0</v>
      </c>
      <c r="AA2639" s="1">
        <v>9.7732776735</v>
      </c>
      <c r="AB2639" s="1">
        <v>54351.0</v>
      </c>
      <c r="AC2639" s="1">
        <v>49.167253108</v>
      </c>
      <c r="AD2639" s="1">
        <v>80.920595188</v>
      </c>
      <c r="AE2639" s="1">
        <v>7.9219455366</v>
      </c>
      <c r="AF2639" s="1">
        <v>2.5285404283</v>
      </c>
      <c r="AG2639" s="1">
        <v>2.2077554486</v>
      </c>
      <c r="AH2639" s="1">
        <v>0.6981790735</v>
      </c>
      <c r="AI2639" s="1">
        <v>0.0849136710999999</v>
      </c>
      <c r="AJ2639" s="1">
        <v>24.035286348</v>
      </c>
      <c r="AK2639" s="1">
        <v>69.534861779</v>
      </c>
      <c r="AL2639" s="1">
        <v>2.2335831637</v>
      </c>
      <c r="AM2639" s="1">
        <v>49.698084725</v>
      </c>
      <c r="AN2639" s="1">
        <v>22.564334086</v>
      </c>
      <c r="AO2639" s="1">
        <v>25117.0</v>
      </c>
      <c r="AP2639" s="1">
        <v>16.5</v>
      </c>
      <c r="AQ2639" s="1">
        <v>4.9</v>
      </c>
      <c r="AR2639" s="1">
        <v>15.1</v>
      </c>
      <c r="AS2639" s="1">
        <v>14.8</v>
      </c>
      <c r="AT2639" s="1">
        <v>26.3</v>
      </c>
      <c r="AU2639" s="1">
        <v>17.8</v>
      </c>
      <c r="AV2639" s="1">
        <v>28.3</v>
      </c>
      <c r="AW2639" s="1">
        <v>2.3</v>
      </c>
      <c r="AX2639" s="1">
        <v>0.6434</v>
      </c>
      <c r="AY2639" s="1">
        <v>11.4</v>
      </c>
      <c r="AZ2639" s="1">
        <v>16.1</v>
      </c>
      <c r="BA2639" s="1">
        <v>25.9</v>
      </c>
      <c r="BB2639" s="1">
        <v>3.15</v>
      </c>
      <c r="BC2639" s="1" t="s">
        <v>4123</v>
      </c>
      <c r="BD2639" s="1">
        <v>14.0</v>
      </c>
      <c r="BE2639" s="1">
        <v>34.4</v>
      </c>
      <c r="BF2639" s="1">
        <v>37.5</v>
      </c>
      <c r="BG2639" s="1">
        <v>14.0</v>
      </c>
      <c r="BH2639" s="1" t="s">
        <v>4313</v>
      </c>
    </row>
    <row r="2640">
      <c r="A2640" s="1">
        <v>48235.0</v>
      </c>
      <c r="B2640" s="2" t="str">
        <f>IFERROR(__xludf.DUMMYFUNCTION("TO_TEXT(A2640)"),"48235")</f>
        <v>48235</v>
      </c>
      <c r="C2640" s="1">
        <v>1631.0</v>
      </c>
      <c r="D2640" s="1">
        <v>1051.54338964149</v>
      </c>
      <c r="E2640" s="1" t="s">
        <v>4314</v>
      </c>
      <c r="F2640" s="1" t="s">
        <v>4315</v>
      </c>
      <c r="G2640" s="1">
        <v>1.55105344778599</v>
      </c>
      <c r="H2640" s="1">
        <v>15.93669429</v>
      </c>
      <c r="I2640" s="1">
        <v>3.6833857491</v>
      </c>
      <c r="J2640" s="1">
        <v>10.377358491</v>
      </c>
      <c r="K2640" s="1">
        <v>12.589310885</v>
      </c>
      <c r="L2640" s="1">
        <v>25.2</v>
      </c>
      <c r="M2640" s="1">
        <v>5.8</v>
      </c>
      <c r="N2640" s="1">
        <v>25.4</v>
      </c>
      <c r="O2640" s="1">
        <v>74.734208881</v>
      </c>
      <c r="P2640" s="1">
        <v>15.146443515</v>
      </c>
      <c r="Q2640" s="1">
        <v>0.0</v>
      </c>
      <c r="R2640" s="1">
        <v>100.0</v>
      </c>
      <c r="S2640" s="1">
        <v>10.2</v>
      </c>
      <c r="T2640" s="1">
        <v>356.0</v>
      </c>
      <c r="U2640" s="1">
        <v>31.1797752809999</v>
      </c>
      <c r="V2640" s="1">
        <v>63.231109706</v>
      </c>
      <c r="W2640" s="1">
        <v>13.492063492</v>
      </c>
      <c r="X2640" s="1">
        <v>8.4664536741</v>
      </c>
      <c r="Y2640" s="1">
        <v>77.482572377</v>
      </c>
      <c r="Z2640" s="1">
        <v>6.8</v>
      </c>
      <c r="AA2640" s="1">
        <v>26.799277459</v>
      </c>
      <c r="AB2640" s="1">
        <v>56775.0</v>
      </c>
      <c r="AC2640" s="1">
        <v>26.353790614</v>
      </c>
      <c r="AD2640" s="1">
        <v>78.706624606</v>
      </c>
      <c r="AE2640" s="1">
        <v>14.7011308559999</v>
      </c>
      <c r="AF2640" s="1">
        <v>1.0512483574</v>
      </c>
      <c r="AG2640" s="1">
        <v>1.18265440209999</v>
      </c>
      <c r="AH2640" s="1">
        <v>0.2628120894</v>
      </c>
      <c r="AI2640" s="1">
        <v>0.0</v>
      </c>
      <c r="AJ2640" s="1">
        <v>26.281208936</v>
      </c>
      <c r="AK2640" s="1">
        <v>70.367936925</v>
      </c>
      <c r="AL2640" s="1">
        <v>0.0</v>
      </c>
      <c r="AM2640" s="1">
        <v>48.685939553</v>
      </c>
      <c r="AN2640" s="1">
        <v>100.0</v>
      </c>
      <c r="AO2640" s="1">
        <v>31096.0</v>
      </c>
      <c r="AP2640" s="1">
        <v>11.7</v>
      </c>
      <c r="AQ2640" s="1">
        <v>3.3</v>
      </c>
      <c r="AR2640" s="1">
        <v>8.3</v>
      </c>
      <c r="AS2640" s="1">
        <v>17.0</v>
      </c>
      <c r="AT2640" s="1">
        <v>25.5</v>
      </c>
      <c r="AU2640" s="1">
        <v>10.4</v>
      </c>
      <c r="AV2640" s="1">
        <v>25.8</v>
      </c>
      <c r="AW2640" s="1">
        <v>0.5</v>
      </c>
      <c r="AX2640" s="1">
        <v>0.1219</v>
      </c>
      <c r="AY2640" s="1">
        <v>7.4</v>
      </c>
      <c r="AZ2640" s="1">
        <v>13.9</v>
      </c>
      <c r="BA2640" s="1">
        <v>20.5</v>
      </c>
      <c r="BB2640" s="1">
        <v>2.76</v>
      </c>
      <c r="BC2640" s="1" t="s">
        <v>4123</v>
      </c>
      <c r="BD2640" s="1">
        <v>6.8</v>
      </c>
      <c r="BE2640" s="1">
        <v>37.6</v>
      </c>
      <c r="BF2640" s="1">
        <v>40.5</v>
      </c>
      <c r="BG2640" s="1">
        <v>15.0</v>
      </c>
      <c r="BH2640" s="1" t="s">
        <v>4315</v>
      </c>
    </row>
    <row r="2641">
      <c r="A2641" s="1">
        <v>48237.0</v>
      </c>
      <c r="B2641" s="2" t="str">
        <f>IFERROR(__xludf.DUMMYFUNCTION("TO_TEXT(A2641)"),"48237")</f>
        <v>48237</v>
      </c>
      <c r="C2641" s="1">
        <v>8866.0</v>
      </c>
      <c r="D2641" s="1">
        <v>910.665031274344</v>
      </c>
      <c r="E2641" s="1" t="s">
        <v>4316</v>
      </c>
      <c r="F2641" s="1" t="s">
        <v>4317</v>
      </c>
      <c r="G2641" s="1">
        <v>9.7357422274064</v>
      </c>
      <c r="H2641" s="1">
        <v>17.316867651</v>
      </c>
      <c r="I2641" s="1">
        <v>4.0204056329</v>
      </c>
      <c r="J2641" s="1">
        <v>7.3282442748</v>
      </c>
      <c r="K2641" s="1">
        <v>15.488605028</v>
      </c>
      <c r="L2641" s="1">
        <v>32.8</v>
      </c>
      <c r="M2641" s="1">
        <v>6.1</v>
      </c>
      <c r="N2641" s="1">
        <v>28.7</v>
      </c>
      <c r="O2641" s="1">
        <v>60.382574082</v>
      </c>
      <c r="P2641" s="1">
        <v>24.439497535</v>
      </c>
      <c r="Q2641" s="1">
        <v>45.28986</v>
      </c>
      <c r="R2641" s="1">
        <v>96.4</v>
      </c>
      <c r="S2641" s="1">
        <v>21.9</v>
      </c>
      <c r="T2641" s="1">
        <v>1866.0</v>
      </c>
      <c r="U2641" s="1">
        <v>26.420150054</v>
      </c>
      <c r="V2641" s="1">
        <v>218.72020638</v>
      </c>
      <c r="W2641" s="1">
        <v>12.234910277</v>
      </c>
      <c r="X2641" s="1">
        <v>6.8316831683</v>
      </c>
      <c r="Y2641" s="1">
        <v>75.513142926</v>
      </c>
      <c r="Z2641" s="1">
        <v>6.4</v>
      </c>
      <c r="AA2641" s="1">
        <v>18.053954976</v>
      </c>
      <c r="AB2641" s="1">
        <v>48780.0</v>
      </c>
      <c r="AC2641" s="1">
        <v>61.412051126</v>
      </c>
      <c r="AD2641" s="1">
        <v>81.772151899</v>
      </c>
      <c r="AE2641" s="1">
        <v>7.1856287425</v>
      </c>
      <c r="AF2641" s="1">
        <v>3.8448490331</v>
      </c>
      <c r="AG2641" s="1">
        <v>1.1421463304</v>
      </c>
      <c r="AH2641" s="1">
        <v>0.5314938369</v>
      </c>
      <c r="AI2641" s="1">
        <v>0.1130837951</v>
      </c>
      <c r="AJ2641" s="1">
        <v>17.256587131</v>
      </c>
      <c r="AK2641" s="1">
        <v>76.806513627</v>
      </c>
      <c r="AL2641" s="1">
        <v>3.7249970056</v>
      </c>
      <c r="AM2641" s="1">
        <v>43.593803008</v>
      </c>
      <c r="AN2641" s="1">
        <v>53.217602831</v>
      </c>
      <c r="AO2641" s="1">
        <v>24677.0</v>
      </c>
      <c r="AP2641" s="1">
        <v>17.2</v>
      </c>
      <c r="AQ2641" s="1">
        <v>4.7</v>
      </c>
      <c r="AR2641" s="1">
        <v>21.1</v>
      </c>
      <c r="AS2641" s="1">
        <v>15.7</v>
      </c>
      <c r="AT2641" s="1">
        <v>21.6</v>
      </c>
      <c r="AU2641" s="1">
        <v>20.2</v>
      </c>
      <c r="AV2641" s="1">
        <v>21.6</v>
      </c>
      <c r="AW2641" s="1">
        <v>3.0</v>
      </c>
      <c r="AX2641" s="1">
        <v>0.6558</v>
      </c>
      <c r="AY2641" s="1">
        <v>15.6</v>
      </c>
      <c r="AZ2641" s="1">
        <v>14.7</v>
      </c>
      <c r="BA2641" s="1">
        <v>23.9</v>
      </c>
      <c r="BB2641" s="1">
        <v>3.03</v>
      </c>
      <c r="BC2641" s="1" t="s">
        <v>4123</v>
      </c>
      <c r="BD2641" s="1">
        <v>18.0</v>
      </c>
      <c r="BE2641" s="1">
        <v>40.0</v>
      </c>
      <c r="BF2641" s="1">
        <v>28.6</v>
      </c>
      <c r="BG2641" s="1">
        <v>13.5</v>
      </c>
      <c r="BH2641" s="1" t="s">
        <v>4317</v>
      </c>
    </row>
    <row r="2642">
      <c r="A2642" s="1">
        <v>48239.0</v>
      </c>
      <c r="B2642" s="2" t="str">
        <f>IFERROR(__xludf.DUMMYFUNCTION("TO_TEXT(A2642)"),"48239")</f>
        <v>48239</v>
      </c>
      <c r="C2642" s="1">
        <v>14678.0</v>
      </c>
      <c r="D2642" s="1">
        <v>829.442326899994</v>
      </c>
      <c r="E2642" s="1" t="s">
        <v>130</v>
      </c>
      <c r="F2642" s="1" t="s">
        <v>4318</v>
      </c>
      <c r="G2642" s="1">
        <v>17.6962273614108</v>
      </c>
      <c r="H2642" s="1">
        <v>18.669127988</v>
      </c>
      <c r="I2642" s="1">
        <v>3.8933959281</v>
      </c>
      <c r="J2642" s="1">
        <v>6.9896193772</v>
      </c>
      <c r="K2642" s="1">
        <v>13.883057626</v>
      </c>
      <c r="L2642" s="1">
        <v>33.4</v>
      </c>
      <c r="M2642" s="1">
        <v>7.7</v>
      </c>
      <c r="N2642" s="1">
        <v>25.7</v>
      </c>
      <c r="O2642" s="1">
        <v>50.046181172</v>
      </c>
      <c r="P2642" s="1">
        <v>19.494614747</v>
      </c>
      <c r="Q2642" s="1">
        <v>6.75447</v>
      </c>
      <c r="R2642" s="1">
        <v>98.2</v>
      </c>
      <c r="S2642" s="1">
        <v>19.4</v>
      </c>
      <c r="T2642" s="1">
        <v>3769.0</v>
      </c>
      <c r="U2642" s="1">
        <v>21.570708411</v>
      </c>
      <c r="V2642" s="1">
        <v>208.34733517</v>
      </c>
      <c r="W2642" s="1">
        <v>14.90803485</v>
      </c>
      <c r="X2642" s="1">
        <v>9.5609756098</v>
      </c>
      <c r="Y2642" s="1">
        <v>76.918312971</v>
      </c>
      <c r="Z2642" s="1">
        <v>16.5</v>
      </c>
      <c r="AA2642" s="1">
        <v>4.3260220428</v>
      </c>
      <c r="AB2642" s="1">
        <v>54088.0</v>
      </c>
      <c r="AC2642" s="1">
        <v>55.189107413</v>
      </c>
      <c r="AD2642" s="1">
        <v>68.0924193239999</v>
      </c>
      <c r="AE2642" s="1">
        <v>10.91606134</v>
      </c>
      <c r="AF2642" s="1">
        <v>5.87602527899999</v>
      </c>
      <c r="AG2642" s="1">
        <v>0.8740083367</v>
      </c>
      <c r="AH2642" s="1">
        <v>1.1362108377</v>
      </c>
      <c r="AI2642" s="1">
        <v>0.0470619874</v>
      </c>
      <c r="AJ2642" s="1">
        <v>33.985478015</v>
      </c>
      <c r="AK2642" s="1">
        <v>57.644211376</v>
      </c>
      <c r="AL2642" s="1">
        <v>3.8279944796</v>
      </c>
      <c r="AM2642" s="1">
        <v>50.2487562189999</v>
      </c>
      <c r="AN2642" s="1">
        <v>61.818827709</v>
      </c>
      <c r="AO2642" s="1">
        <v>25594.0</v>
      </c>
      <c r="AP2642" s="1">
        <v>13.0</v>
      </c>
      <c r="AQ2642" s="1">
        <v>5.1</v>
      </c>
      <c r="AR2642" s="1">
        <v>15.9</v>
      </c>
      <c r="AS2642" s="1">
        <v>16.4</v>
      </c>
      <c r="AT2642" s="1">
        <v>25.8</v>
      </c>
      <c r="AU2642" s="1">
        <v>17.7</v>
      </c>
      <c r="AV2642" s="1">
        <v>40.0</v>
      </c>
      <c r="AW2642" s="1">
        <v>3.7</v>
      </c>
      <c r="AX2642" s="1">
        <v>0.6492</v>
      </c>
      <c r="AY2642" s="1">
        <v>13.8</v>
      </c>
      <c r="AZ2642" s="1">
        <v>15.1</v>
      </c>
      <c r="BA2642" s="1">
        <v>21.1</v>
      </c>
      <c r="BB2642" s="1">
        <v>2.57</v>
      </c>
      <c r="BC2642" s="1" t="s">
        <v>4123</v>
      </c>
      <c r="BD2642" s="1">
        <v>17.6</v>
      </c>
      <c r="BE2642" s="1">
        <v>31.1</v>
      </c>
      <c r="BF2642" s="1">
        <v>34.8</v>
      </c>
      <c r="BG2642" s="1">
        <v>16.5</v>
      </c>
      <c r="BH2642" s="1" t="s">
        <v>4318</v>
      </c>
    </row>
    <row r="2643">
      <c r="A2643" s="1">
        <v>48241.0</v>
      </c>
      <c r="B2643" s="2" t="str">
        <f>IFERROR(__xludf.DUMMYFUNCTION("TO_TEXT(A2643)"),"48241")</f>
        <v>48241</v>
      </c>
      <c r="C2643" s="1">
        <v>35640.0</v>
      </c>
      <c r="D2643" s="1">
        <v>938.654647498249</v>
      </c>
      <c r="E2643" s="1" t="s">
        <v>932</v>
      </c>
      <c r="F2643" s="1" t="s">
        <v>4319</v>
      </c>
      <c r="G2643" s="1">
        <v>37.969236177533</v>
      </c>
      <c r="H2643" s="1">
        <v>17.651689602</v>
      </c>
      <c r="I2643" s="1">
        <v>4.182482678</v>
      </c>
      <c r="J2643" s="1">
        <v>8.0478882607</v>
      </c>
      <c r="K2643" s="1">
        <v>16.262371849</v>
      </c>
      <c r="L2643" s="1">
        <v>41.3</v>
      </c>
      <c r="M2643" s="1">
        <v>6.1</v>
      </c>
      <c r="N2643" s="1">
        <v>28.3</v>
      </c>
      <c r="O2643" s="1">
        <v>37.94175301</v>
      </c>
      <c r="P2643" s="1">
        <v>17.349130217</v>
      </c>
      <c r="Q2643" s="1">
        <v>39.36897</v>
      </c>
      <c r="R2643" s="1">
        <v>95.0</v>
      </c>
      <c r="S2643" s="1">
        <v>29.9</v>
      </c>
      <c r="T2643" s="1">
        <v>8540.0</v>
      </c>
      <c r="U2643" s="1">
        <v>38.208430913</v>
      </c>
      <c r="V2643" s="1">
        <v>339.83991012</v>
      </c>
      <c r="W2643" s="1">
        <v>8.7741393787</v>
      </c>
      <c r="X2643" s="1">
        <v>5.93321917809999</v>
      </c>
      <c r="Y2643" s="1">
        <v>75.363310161</v>
      </c>
      <c r="Z2643" s="1">
        <v>11.8</v>
      </c>
      <c r="AA2643" s="1">
        <v>7.58788998059999</v>
      </c>
      <c r="AB2643" s="1">
        <v>47551.0</v>
      </c>
      <c r="AC2643" s="1">
        <v>64.394925179</v>
      </c>
      <c r="AD2643" s="1">
        <v>76.690773266</v>
      </c>
      <c r="AE2643" s="1">
        <v>7.28409667059999</v>
      </c>
      <c r="AF2643" s="1">
        <v>15.783898305</v>
      </c>
      <c r="AG2643" s="1">
        <v>0.7471008029</v>
      </c>
      <c r="AH2643" s="1">
        <v>0.5324487065</v>
      </c>
      <c r="AI2643" s="1">
        <v>0.0780553078</v>
      </c>
      <c r="AJ2643" s="1">
        <v>6.8995316682</v>
      </c>
      <c r="AK2643" s="1">
        <v>74.824375558</v>
      </c>
      <c r="AL2643" s="1">
        <v>0.7009135839</v>
      </c>
      <c r="AM2643" s="1">
        <v>50.4850579839999</v>
      </c>
      <c r="AN2643" s="1">
        <v>78.185382246</v>
      </c>
      <c r="AO2643" s="1">
        <v>21116.0</v>
      </c>
      <c r="AP2643" s="1">
        <v>16.3</v>
      </c>
      <c r="AQ2643" s="1">
        <v>10.4</v>
      </c>
      <c r="AR2643" s="1">
        <v>13.2</v>
      </c>
      <c r="AS2643" s="1">
        <v>17.9</v>
      </c>
      <c r="AT2643" s="1">
        <v>24.3</v>
      </c>
      <c r="AU2643" s="1">
        <v>21.4</v>
      </c>
      <c r="AV2643" s="1">
        <v>25.4</v>
      </c>
      <c r="AW2643" s="1">
        <v>1.3</v>
      </c>
      <c r="AX2643" s="1">
        <v>0.7975</v>
      </c>
      <c r="AY2643" s="1">
        <v>19.5</v>
      </c>
      <c r="AZ2643" s="1">
        <v>18.4</v>
      </c>
      <c r="BA2643" s="1">
        <v>29.6</v>
      </c>
      <c r="BB2643" s="1">
        <v>2.81</v>
      </c>
      <c r="BC2643" s="1" t="s">
        <v>4123</v>
      </c>
      <c r="BD2643" s="1">
        <v>15.0</v>
      </c>
      <c r="BE2643" s="1">
        <v>44.7</v>
      </c>
      <c r="BF2643" s="1">
        <v>27.4</v>
      </c>
      <c r="BG2643" s="1">
        <v>12.9</v>
      </c>
      <c r="BH2643" s="1" t="s">
        <v>4319</v>
      </c>
    </row>
    <row r="2644">
      <c r="A2644" s="1">
        <v>48243.0</v>
      </c>
      <c r="B2644" s="2" t="str">
        <f>IFERROR(__xludf.DUMMYFUNCTION("TO_TEXT(A2644)"),"48243")</f>
        <v>48243</v>
      </c>
      <c r="C2644" s="1">
        <v>2221.0</v>
      </c>
      <c r="D2644" s="1">
        <v>2264.55471560608</v>
      </c>
      <c r="E2644" s="1" t="s">
        <v>934</v>
      </c>
      <c r="F2644" s="1" t="s">
        <v>4320</v>
      </c>
      <c r="G2644" s="1">
        <v>0.980766763856075</v>
      </c>
      <c r="H2644" s="1">
        <v>21.5824349219999</v>
      </c>
      <c r="I2644" s="1">
        <v>4.1367516732</v>
      </c>
      <c r="J2644" s="1">
        <v>7.80443539465</v>
      </c>
      <c r="K2644" s="1">
        <v>13.907125123</v>
      </c>
      <c r="L2644" s="1">
        <v>26.6</v>
      </c>
      <c r="M2644" s="1">
        <v>8.5</v>
      </c>
      <c r="N2644" s="1">
        <v>23.5</v>
      </c>
      <c r="O2644" s="1">
        <v>47.8223740389999</v>
      </c>
      <c r="P2644" s="1">
        <v>29.436325678</v>
      </c>
      <c r="Q2644" s="1">
        <v>43.85965</v>
      </c>
      <c r="R2644" s="1">
        <v>100.0</v>
      </c>
      <c r="S2644" s="1">
        <v>34.4</v>
      </c>
      <c r="T2644" s="1">
        <v>373.0</v>
      </c>
      <c r="U2644" s="1">
        <v>5.0938337802</v>
      </c>
      <c r="V2644" s="1">
        <v>206.46937371</v>
      </c>
      <c r="W2644" s="1">
        <v>12.315270936</v>
      </c>
      <c r="X2644" s="1">
        <v>6.2068965517</v>
      </c>
      <c r="Y2644" s="1">
        <v>89.653007365</v>
      </c>
      <c r="Z2644" s="1">
        <v>8.3</v>
      </c>
      <c r="AA2644" s="1">
        <v>4.5739739711</v>
      </c>
      <c r="AB2644" s="1">
        <v>51343.0</v>
      </c>
      <c r="AC2644" s="1">
        <v>54.44015444</v>
      </c>
      <c r="AD2644" s="1">
        <v>80.952380952</v>
      </c>
      <c r="AE2644" s="1">
        <v>5.5327868852</v>
      </c>
      <c r="AF2644" s="1">
        <v>0.6660746004</v>
      </c>
      <c r="AG2644" s="1">
        <v>1.243339254</v>
      </c>
      <c r="AH2644" s="1">
        <v>1.1101243339</v>
      </c>
      <c r="AI2644" s="1">
        <v>0.0444049734</v>
      </c>
      <c r="AJ2644" s="1">
        <v>32.815275311</v>
      </c>
      <c r="AK2644" s="1">
        <v>62.7886323269999</v>
      </c>
      <c r="AL2644" s="1">
        <v>4.3718361712</v>
      </c>
      <c r="AM2644" s="1">
        <v>48.756660746</v>
      </c>
      <c r="AN2644" s="1">
        <v>100.0</v>
      </c>
      <c r="AO2644" s="1">
        <v>26493.0</v>
      </c>
      <c r="AP2644" s="1">
        <v>8.0</v>
      </c>
      <c r="AQ2644" s="1">
        <v>4.8</v>
      </c>
      <c r="AR2644" s="1">
        <v>19.4</v>
      </c>
      <c r="AS2644" s="1">
        <v>31.5</v>
      </c>
      <c r="AT2644" s="1">
        <v>18.7</v>
      </c>
      <c r="AU2644" s="1">
        <v>19.6</v>
      </c>
      <c r="AV2644" s="1">
        <v>37.9</v>
      </c>
      <c r="AW2644" s="1">
        <v>10.8</v>
      </c>
      <c r="AX2644" s="1">
        <v>0.5151</v>
      </c>
      <c r="AY2644" s="1">
        <v>12.7</v>
      </c>
      <c r="AZ2644" s="1">
        <v>11.7</v>
      </c>
      <c r="BA2644" s="1">
        <v>21.9</v>
      </c>
      <c r="BB2644" s="1">
        <v>3.18</v>
      </c>
      <c r="BC2644" s="1" t="s">
        <v>4123</v>
      </c>
      <c r="BD2644" s="1">
        <v>21.1</v>
      </c>
      <c r="BE2644" s="1">
        <v>20.1</v>
      </c>
      <c r="BF2644" s="1">
        <v>28.2</v>
      </c>
      <c r="BG2644" s="1">
        <v>30.5</v>
      </c>
      <c r="BH2644" s="1" t="s">
        <v>4320</v>
      </c>
    </row>
    <row r="2645">
      <c r="A2645" s="1">
        <v>48245.0</v>
      </c>
      <c r="B2645" s="2" t="str">
        <f>IFERROR(__xludf.DUMMYFUNCTION("TO_TEXT(A2645)"),"48245")</f>
        <v>48245</v>
      </c>
      <c r="C2645" s="1">
        <v>252993.0</v>
      </c>
      <c r="D2645" s="1">
        <v>876.309228980432</v>
      </c>
      <c r="E2645" s="1" t="s">
        <v>132</v>
      </c>
      <c r="F2645" s="1" t="s">
        <v>4321</v>
      </c>
      <c r="G2645" s="1">
        <v>288.702882080053</v>
      </c>
      <c r="H2645" s="1">
        <v>20.915803628</v>
      </c>
      <c r="I2645" s="1">
        <v>4.2244062693</v>
      </c>
      <c r="J2645" s="1">
        <v>10.120481928</v>
      </c>
      <c r="K2645" s="1">
        <v>16.567076593</v>
      </c>
      <c r="L2645" s="1">
        <v>35.0</v>
      </c>
      <c r="M2645" s="1">
        <v>5.7</v>
      </c>
      <c r="N2645" s="1">
        <v>32.0</v>
      </c>
      <c r="O2645" s="1">
        <v>65.082271983</v>
      </c>
      <c r="P2645" s="1">
        <v>20.240634908</v>
      </c>
      <c r="Q2645" s="1">
        <v>56.57455</v>
      </c>
      <c r="R2645" s="1">
        <v>88.3</v>
      </c>
      <c r="S2645" s="1">
        <v>27.8</v>
      </c>
      <c r="T2645" s="1">
        <v>59946.0</v>
      </c>
      <c r="U2645" s="1">
        <v>42.531611784</v>
      </c>
      <c r="V2645" s="1">
        <v>707.34664315</v>
      </c>
      <c r="W2645" s="1">
        <v>16.084807907</v>
      </c>
      <c r="X2645" s="1">
        <v>13.31402972</v>
      </c>
      <c r="Y2645" s="1">
        <v>75.884206349</v>
      </c>
      <c r="Z2645" s="1">
        <v>14.2</v>
      </c>
      <c r="AA2645" s="1">
        <v>7.9681024063</v>
      </c>
      <c r="AB2645" s="1">
        <v>48121.0</v>
      </c>
      <c r="AC2645" s="1">
        <v>68.061438213</v>
      </c>
      <c r="AD2645" s="1">
        <v>61.3018871939999</v>
      </c>
      <c r="AE2645" s="1">
        <v>12.488379647</v>
      </c>
      <c r="AF2645" s="1">
        <v>33.143791593</v>
      </c>
      <c r="AG2645" s="1">
        <v>1.0180352234</v>
      </c>
      <c r="AH2645" s="1">
        <v>4.0148862161</v>
      </c>
      <c r="AI2645" s="1">
        <v>0.0964702099</v>
      </c>
      <c r="AJ2645" s="1">
        <v>21.535993976</v>
      </c>
      <c r="AK2645" s="1">
        <v>39.828863416</v>
      </c>
      <c r="AL2645" s="1">
        <v>4.334743177</v>
      </c>
      <c r="AM2645" s="1">
        <v>48.714710923</v>
      </c>
      <c r="AN2645" s="1">
        <v>8.4020089348</v>
      </c>
      <c r="AO2645" s="1">
        <v>24738.0</v>
      </c>
      <c r="AP2645" s="1">
        <v>20.0</v>
      </c>
      <c r="AQ2645" s="1">
        <v>7.3</v>
      </c>
      <c r="AR2645" s="1">
        <v>16.7</v>
      </c>
      <c r="AS2645" s="1">
        <v>13.4</v>
      </c>
      <c r="AT2645" s="1">
        <v>23.8</v>
      </c>
      <c r="AU2645" s="1">
        <v>13.7</v>
      </c>
      <c r="AV2645" s="1">
        <v>57.7</v>
      </c>
      <c r="AW2645" s="1">
        <v>4.5</v>
      </c>
      <c r="AX2645" s="1">
        <v>0.8555</v>
      </c>
      <c r="AY2645" s="1">
        <v>16.9</v>
      </c>
      <c r="AZ2645" s="1">
        <v>18.5</v>
      </c>
      <c r="BA2645" s="1">
        <v>27.7</v>
      </c>
      <c r="BB2645" s="1">
        <v>2.7</v>
      </c>
      <c r="BC2645" s="1" t="s">
        <v>4123</v>
      </c>
      <c r="BD2645" s="1">
        <v>15.8</v>
      </c>
      <c r="BE2645" s="1">
        <v>31.9</v>
      </c>
      <c r="BF2645" s="1">
        <v>32.6</v>
      </c>
      <c r="BG2645" s="1">
        <v>19.7</v>
      </c>
      <c r="BH2645" s="1" t="s">
        <v>4321</v>
      </c>
    </row>
    <row r="2646">
      <c r="A2646" s="1">
        <v>48247.0</v>
      </c>
      <c r="B2646" s="2" t="str">
        <f>IFERROR(__xludf.DUMMYFUNCTION("TO_TEXT(A2646)"),"48247")</f>
        <v>48247</v>
      </c>
      <c r="C2646" s="1">
        <v>5218.0</v>
      </c>
      <c r="D2646" s="1">
        <v>1136.17259783026</v>
      </c>
      <c r="E2646" s="1" t="s">
        <v>4322</v>
      </c>
      <c r="F2646" s="1" t="s">
        <v>4323</v>
      </c>
      <c r="G2646" s="1">
        <v>4.59261208197133</v>
      </c>
      <c r="H2646" s="1">
        <v>31.208334245</v>
      </c>
      <c r="I2646" s="1">
        <v>4.1768455218</v>
      </c>
      <c r="J2646" s="1">
        <v>8.9500860585</v>
      </c>
      <c r="K2646" s="1">
        <v>14.88099559</v>
      </c>
      <c r="L2646" s="1">
        <v>24.5</v>
      </c>
      <c r="M2646" s="1">
        <v>7.5</v>
      </c>
      <c r="N2646" s="1">
        <v>20.2</v>
      </c>
      <c r="O2646" s="1">
        <v>47.132075472</v>
      </c>
      <c r="P2646" s="1">
        <v>19.091554294</v>
      </c>
      <c r="Q2646" s="1">
        <v>19.22338</v>
      </c>
      <c r="R2646" s="1">
        <v>95.7</v>
      </c>
      <c r="S2646" s="1">
        <v>38.6</v>
      </c>
      <c r="T2646" s="1">
        <v>1659.0</v>
      </c>
      <c r="U2646" s="1">
        <v>46.112115732</v>
      </c>
      <c r="V2646" s="1">
        <v>76.643035064</v>
      </c>
      <c r="W2646" s="1">
        <v>14.779874214</v>
      </c>
      <c r="X2646" s="1">
        <v>8.5295989815</v>
      </c>
      <c r="Y2646" s="1">
        <v>77.0362962969999</v>
      </c>
      <c r="Z2646" s="1">
        <v>8.6</v>
      </c>
      <c r="AA2646" s="1">
        <v>17.007287704</v>
      </c>
      <c r="AB2646" s="1">
        <v>36176.0</v>
      </c>
      <c r="AC2646" s="1">
        <v>83.753258036</v>
      </c>
      <c r="AD2646" s="1">
        <v>72.339181287</v>
      </c>
      <c r="AE2646" s="1">
        <v>11.727214786</v>
      </c>
      <c r="AF2646" s="1">
        <v>0.6288109756</v>
      </c>
      <c r="AG2646" s="1">
        <v>0.6288109756</v>
      </c>
      <c r="AH2646" s="1">
        <v>0.5335365854</v>
      </c>
      <c r="AI2646" s="1">
        <v>0.0381097561</v>
      </c>
      <c r="AJ2646" s="1">
        <v>92.759146341</v>
      </c>
      <c r="AK2646" s="1">
        <v>5.46875</v>
      </c>
      <c r="AL2646" s="1">
        <v>5.4620123203</v>
      </c>
      <c r="AM2646" s="1">
        <v>48.666158537</v>
      </c>
      <c r="AN2646" s="1">
        <v>17.396226415</v>
      </c>
      <c r="AO2646" s="1">
        <v>16637.0</v>
      </c>
      <c r="AP2646" s="1">
        <v>20.9</v>
      </c>
      <c r="AQ2646" s="1">
        <v>18.4</v>
      </c>
      <c r="AR2646" s="1">
        <v>25.1</v>
      </c>
      <c r="AS2646" s="1">
        <v>19.0</v>
      </c>
      <c r="AT2646" s="1">
        <v>28.4</v>
      </c>
      <c r="AU2646" s="1">
        <v>23.7</v>
      </c>
      <c r="AV2646" s="1">
        <v>90.3</v>
      </c>
      <c r="AW2646" s="1">
        <v>7.5</v>
      </c>
      <c r="AX2646" s="1">
        <v>0.9943</v>
      </c>
      <c r="AY2646" s="1">
        <v>22.8</v>
      </c>
      <c r="AZ2646" s="1">
        <v>18.7</v>
      </c>
      <c r="BA2646" s="1">
        <v>29.9</v>
      </c>
      <c r="BB2646" s="1">
        <v>2.65</v>
      </c>
      <c r="BC2646" s="1" t="s">
        <v>4123</v>
      </c>
      <c r="BD2646" s="1">
        <v>25.5</v>
      </c>
      <c r="BE2646" s="1">
        <v>37.6</v>
      </c>
      <c r="BF2646" s="1">
        <v>23.5</v>
      </c>
      <c r="BG2646" s="1">
        <v>13.4</v>
      </c>
      <c r="BH2646" s="1" t="s">
        <v>4323</v>
      </c>
    </row>
    <row r="2647">
      <c r="A2647" s="1">
        <v>48249.0</v>
      </c>
      <c r="B2647" s="2" t="str">
        <f>IFERROR(__xludf.DUMMYFUNCTION("TO_TEXT(A2647)"),"48249")</f>
        <v>48249</v>
      </c>
      <c r="C2647" s="1">
        <v>41486.0</v>
      </c>
      <c r="D2647" s="1">
        <v>865.168905193996</v>
      </c>
      <c r="E2647" s="1" t="s">
        <v>4324</v>
      </c>
      <c r="F2647" s="1" t="s">
        <v>4325</v>
      </c>
      <c r="G2647" s="1">
        <v>47.9513303713772</v>
      </c>
      <c r="H2647" s="1">
        <v>29.358750645</v>
      </c>
      <c r="I2647" s="1">
        <v>4.1858857211</v>
      </c>
      <c r="J2647" s="1">
        <v>10.1207056639999</v>
      </c>
      <c r="K2647" s="1">
        <v>15.203602213</v>
      </c>
      <c r="L2647" s="1">
        <v>32.2</v>
      </c>
      <c r="M2647" s="1">
        <v>7.9</v>
      </c>
      <c r="N2647" s="1">
        <v>26.1</v>
      </c>
      <c r="O2647" s="1">
        <v>47.345609481</v>
      </c>
      <c r="P2647" s="1">
        <v>20.2363238509999</v>
      </c>
      <c r="Q2647" s="1">
        <v>26.91395</v>
      </c>
      <c r="R2647" s="1">
        <v>85.9</v>
      </c>
      <c r="S2647" s="1">
        <v>33.3</v>
      </c>
      <c r="T2647" s="1">
        <v>11502.0</v>
      </c>
      <c r="U2647" s="1">
        <v>37.567379586</v>
      </c>
      <c r="V2647" s="1">
        <v>583.36560806</v>
      </c>
      <c r="W2647" s="1">
        <v>16.377720398</v>
      </c>
      <c r="X2647" s="1">
        <v>9.2267463579</v>
      </c>
      <c r="Y2647" s="1">
        <v>76.132234203</v>
      </c>
      <c r="Z2647" s="1">
        <v>13.1</v>
      </c>
      <c r="AA2647" s="1">
        <v>9.4986852576</v>
      </c>
      <c r="AB2647" s="1">
        <v>41919.0</v>
      </c>
      <c r="AC2647" s="1">
        <v>68.442174389</v>
      </c>
      <c r="AD2647" s="1">
        <v>68.358506479</v>
      </c>
      <c r="AE2647" s="1">
        <v>10.774269399</v>
      </c>
      <c r="AF2647" s="1">
        <v>0.729998530199999</v>
      </c>
      <c r="AG2647" s="1">
        <v>1.0190583509</v>
      </c>
      <c r="AH2647" s="1">
        <v>0.514428494399999</v>
      </c>
      <c r="AI2647" s="1">
        <v>0.0808387634</v>
      </c>
      <c r="AJ2647" s="1">
        <v>80.353730831</v>
      </c>
      <c r="AK2647" s="1">
        <v>17.843319779</v>
      </c>
      <c r="AL2647" s="1">
        <v>3.7482634793</v>
      </c>
      <c r="AM2647" s="1">
        <v>50.409093136</v>
      </c>
      <c r="AN2647" s="1">
        <v>40.085214751</v>
      </c>
      <c r="AO2647" s="1">
        <v>21556.0</v>
      </c>
      <c r="AP2647" s="1">
        <v>20.7</v>
      </c>
      <c r="AQ2647" s="1">
        <v>6.3</v>
      </c>
      <c r="AR2647" s="1">
        <v>26.6</v>
      </c>
      <c r="AS2647" s="1">
        <v>14.1</v>
      </c>
      <c r="AT2647" s="1">
        <v>28.4</v>
      </c>
      <c r="AU2647" s="1">
        <v>16.5</v>
      </c>
      <c r="AV2647" s="1">
        <v>81.4</v>
      </c>
      <c r="AW2647" s="1">
        <v>4.4</v>
      </c>
      <c r="AX2647" s="1">
        <v>0.9118</v>
      </c>
      <c r="AY2647" s="1">
        <v>21.0</v>
      </c>
      <c r="AZ2647" s="1">
        <v>16.2</v>
      </c>
      <c r="BA2647" s="1">
        <v>24.5</v>
      </c>
      <c r="BB2647" s="1">
        <v>2.79</v>
      </c>
      <c r="BC2647" s="1" t="s">
        <v>4123</v>
      </c>
      <c r="BD2647" s="1">
        <v>25.1</v>
      </c>
      <c r="BE2647" s="1">
        <v>36.6</v>
      </c>
      <c r="BF2647" s="1">
        <v>26.1</v>
      </c>
      <c r="BG2647" s="1">
        <v>12.2</v>
      </c>
      <c r="BH2647" s="1" t="s">
        <v>4325</v>
      </c>
    </row>
    <row r="2648">
      <c r="A2648" s="1">
        <v>48251.0</v>
      </c>
      <c r="B2648" s="2" t="str">
        <f>IFERROR(__xludf.DUMMYFUNCTION("TO_TEXT(A2648)"),"48251")</f>
        <v>48251</v>
      </c>
      <c r="C2648" s="1">
        <v>157544.0</v>
      </c>
      <c r="D2648" s="1">
        <v>724.799204165384</v>
      </c>
      <c r="E2648" s="1" t="s">
        <v>347</v>
      </c>
      <c r="F2648" s="1" t="s">
        <v>4326</v>
      </c>
      <c r="G2648" s="1">
        <v>217.362269570114</v>
      </c>
      <c r="H2648" s="1">
        <v>16.373406127</v>
      </c>
      <c r="I2648" s="1">
        <v>3.8824701478</v>
      </c>
      <c r="J2648" s="1">
        <v>6.758821895</v>
      </c>
      <c r="K2648" s="1">
        <v>14.507444179</v>
      </c>
      <c r="L2648" s="1">
        <v>38.9</v>
      </c>
      <c r="M2648" s="1">
        <v>7.4</v>
      </c>
      <c r="N2648" s="1">
        <v>28.1</v>
      </c>
      <c r="O2648" s="1">
        <v>70.569255436</v>
      </c>
      <c r="P2648" s="1">
        <v>17.837339563</v>
      </c>
      <c r="Q2648" s="1">
        <v>46.02483</v>
      </c>
      <c r="R2648" s="1">
        <v>94.7</v>
      </c>
      <c r="S2648" s="1">
        <v>15.5</v>
      </c>
      <c r="T2648" s="1">
        <v>42417.0</v>
      </c>
      <c r="U2648" s="1">
        <v>25.001768159</v>
      </c>
      <c r="V2648" s="1">
        <v>186.77953098</v>
      </c>
      <c r="W2648" s="1">
        <v>12.815515961</v>
      </c>
      <c r="X2648" s="1">
        <v>9.3612231498</v>
      </c>
      <c r="Y2648" s="1">
        <v>77.087294</v>
      </c>
      <c r="Z2648" s="1">
        <v>12.2</v>
      </c>
      <c r="AA2648" s="1">
        <v>7.44244015679999</v>
      </c>
      <c r="AB2648" s="1">
        <v>62635.0</v>
      </c>
      <c r="AC2648" s="1">
        <v>51.3865991519999</v>
      </c>
      <c r="AD2648" s="1">
        <v>74.036468024</v>
      </c>
      <c r="AE2648" s="1">
        <v>9.2564298447</v>
      </c>
      <c r="AF2648" s="1">
        <v>3.3986729769</v>
      </c>
      <c r="AG2648" s="1">
        <v>0.9838878158</v>
      </c>
      <c r="AH2648" s="1">
        <v>0.9471233244</v>
      </c>
      <c r="AI2648" s="1">
        <v>0.4989466681</v>
      </c>
      <c r="AJ2648" s="1">
        <v>22.0166782409999</v>
      </c>
      <c r="AK2648" s="1">
        <v>71.155630511</v>
      </c>
      <c r="AL2648" s="1">
        <v>3.1413921141</v>
      </c>
      <c r="AM2648" s="1">
        <v>50.1350949169999</v>
      </c>
      <c r="AN2648" s="1">
        <v>37.8741701669999</v>
      </c>
      <c r="AO2648" s="1">
        <v>25721.0</v>
      </c>
      <c r="AP2648" s="1">
        <v>12.1</v>
      </c>
      <c r="AQ2648" s="1">
        <v>6.3</v>
      </c>
      <c r="AR2648" s="1">
        <v>16.2</v>
      </c>
      <c r="AS2648" s="1">
        <v>13.2</v>
      </c>
      <c r="AT2648" s="1">
        <v>26.4</v>
      </c>
      <c r="AU2648" s="1">
        <v>11.4</v>
      </c>
      <c r="AV2648" s="1">
        <v>25.7</v>
      </c>
      <c r="AW2648" s="1">
        <v>3.1</v>
      </c>
      <c r="AX2648" s="1">
        <v>0.5645</v>
      </c>
      <c r="AY2648" s="1">
        <v>11.0</v>
      </c>
      <c r="AZ2648" s="1">
        <v>12.8</v>
      </c>
      <c r="BA2648" s="1">
        <v>19.7</v>
      </c>
      <c r="BB2648" s="1">
        <v>2.81</v>
      </c>
      <c r="BC2648" s="1" t="s">
        <v>4123</v>
      </c>
      <c r="BD2648" s="1">
        <v>14.3</v>
      </c>
      <c r="BE2648" s="1">
        <v>35.9</v>
      </c>
      <c r="BF2648" s="1">
        <v>31.1</v>
      </c>
      <c r="BG2648" s="1">
        <v>18.7</v>
      </c>
      <c r="BH2648" s="1" t="s">
        <v>4326</v>
      </c>
    </row>
    <row r="2649">
      <c r="A2649" s="1">
        <v>48253.0</v>
      </c>
      <c r="B2649" s="2" t="str">
        <f>IFERROR(__xludf.DUMMYFUNCTION("TO_TEXT(A2649)"),"48253")</f>
        <v>48253</v>
      </c>
      <c r="C2649" s="1">
        <v>19944.0</v>
      </c>
      <c r="D2649" s="1">
        <v>928.554740802052</v>
      </c>
      <c r="E2649" s="1" t="s">
        <v>940</v>
      </c>
      <c r="F2649" s="1" t="s">
        <v>4327</v>
      </c>
      <c r="G2649" s="1">
        <v>21.4785398465286</v>
      </c>
      <c r="H2649" s="1">
        <v>19.793417607</v>
      </c>
      <c r="I2649" s="1">
        <v>3.8876056029</v>
      </c>
      <c r="J2649" s="1">
        <v>7.0886075949</v>
      </c>
      <c r="K2649" s="1">
        <v>16.0754744059999</v>
      </c>
      <c r="L2649" s="1">
        <v>37.9</v>
      </c>
      <c r="M2649" s="1">
        <v>6.8</v>
      </c>
      <c r="N2649" s="1">
        <v>25.7</v>
      </c>
      <c r="O2649" s="1">
        <v>43.6986436989999</v>
      </c>
      <c r="P2649" s="1">
        <v>19.592595723</v>
      </c>
      <c r="Q2649" s="1">
        <v>30.02552</v>
      </c>
      <c r="R2649" s="1">
        <v>97.5</v>
      </c>
      <c r="S2649" s="1">
        <v>24.0</v>
      </c>
      <c r="T2649" s="1">
        <v>3329.0</v>
      </c>
      <c r="U2649" s="1">
        <v>29.528386903</v>
      </c>
      <c r="V2649" s="1">
        <v>269.08084999</v>
      </c>
      <c r="W2649" s="1">
        <v>10.215053763</v>
      </c>
      <c r="X2649" s="1">
        <v>8.4657039711</v>
      </c>
      <c r="Y2649" s="1">
        <v>77.004592443</v>
      </c>
      <c r="Z2649" s="1">
        <v>13.3</v>
      </c>
      <c r="AA2649" s="1">
        <v>8.748129159</v>
      </c>
      <c r="AB2649" s="1">
        <v>43903.0</v>
      </c>
      <c r="AC2649" s="1">
        <v>61.744966443</v>
      </c>
      <c r="AD2649" s="1">
        <v>73.3237976039999</v>
      </c>
      <c r="AE2649" s="1">
        <v>8.6542201478</v>
      </c>
      <c r="AF2649" s="1">
        <v>12.03512136</v>
      </c>
      <c r="AG2649" s="1">
        <v>1.41797446639999</v>
      </c>
      <c r="AH2649" s="1">
        <v>0.7821567341</v>
      </c>
      <c r="AI2649" s="1">
        <v>0.0050461725</v>
      </c>
      <c r="AJ2649" s="1">
        <v>27.75394863</v>
      </c>
      <c r="AK2649" s="1">
        <v>58.333753848</v>
      </c>
      <c r="AL2649" s="1">
        <v>1.2419091722</v>
      </c>
      <c r="AM2649" s="1">
        <v>37.260937579</v>
      </c>
      <c r="AN2649" s="1">
        <v>85.14998515</v>
      </c>
      <c r="AO2649" s="1">
        <v>17279.0</v>
      </c>
      <c r="AP2649" s="1">
        <v>16.7</v>
      </c>
      <c r="AQ2649" s="1">
        <v>3.7</v>
      </c>
      <c r="AR2649" s="1">
        <v>22.7</v>
      </c>
      <c r="AS2649" s="1">
        <v>14.3</v>
      </c>
      <c r="AT2649" s="1">
        <v>15.9</v>
      </c>
      <c r="AU2649" s="1">
        <v>20.7</v>
      </c>
      <c r="AV2649" s="1">
        <v>44.2</v>
      </c>
      <c r="AW2649" s="1">
        <v>1.5</v>
      </c>
      <c r="AX2649" s="1">
        <v>0.6195</v>
      </c>
      <c r="AY2649" s="1">
        <v>20.4</v>
      </c>
      <c r="AZ2649" s="1">
        <v>16.9</v>
      </c>
      <c r="BA2649" s="1">
        <v>24.8</v>
      </c>
      <c r="BB2649" s="1">
        <v>2.9</v>
      </c>
      <c r="BC2649" s="1" t="s">
        <v>4123</v>
      </c>
      <c r="BD2649" s="1">
        <v>21.6</v>
      </c>
      <c r="BE2649" s="1">
        <v>38.6</v>
      </c>
      <c r="BF2649" s="1">
        <v>28.1</v>
      </c>
      <c r="BG2649" s="1">
        <v>11.7</v>
      </c>
      <c r="BH2649" s="1" t="s">
        <v>4327</v>
      </c>
    </row>
    <row r="2650">
      <c r="A2650" s="1">
        <v>48255.0</v>
      </c>
      <c r="B2650" s="2" t="str">
        <f>IFERROR(__xludf.DUMMYFUNCTION("TO_TEXT(A2650)"),"48255")</f>
        <v>48255</v>
      </c>
      <c r="C2650" s="1">
        <v>14984.0</v>
      </c>
      <c r="D2650" s="1">
        <v>747.566671533772</v>
      </c>
      <c r="E2650" s="1" t="s">
        <v>4328</v>
      </c>
      <c r="F2650" s="1" t="s">
        <v>4329</v>
      </c>
      <c r="G2650" s="1">
        <v>20.0436971986158</v>
      </c>
      <c r="H2650" s="1">
        <v>22.901823829</v>
      </c>
      <c r="I2650" s="1">
        <v>3.8356345351</v>
      </c>
      <c r="J2650" s="1">
        <v>8.1214109926</v>
      </c>
      <c r="K2650" s="1">
        <v>15.513644048</v>
      </c>
      <c r="L2650" s="1">
        <v>28.6</v>
      </c>
      <c r="M2650" s="1">
        <v>7.5</v>
      </c>
      <c r="N2650" s="1">
        <v>20.9</v>
      </c>
      <c r="O2650" s="1">
        <v>50.8364813819999</v>
      </c>
      <c r="P2650" s="1">
        <v>18.27008818</v>
      </c>
      <c r="Q2650" s="1">
        <v>26.33832</v>
      </c>
      <c r="R2650" s="1">
        <v>92.9</v>
      </c>
      <c r="S2650" s="1">
        <v>25.3</v>
      </c>
      <c r="T2650" s="1">
        <v>3054.0</v>
      </c>
      <c r="U2650" s="1">
        <v>38.932547479</v>
      </c>
      <c r="V2650" s="1">
        <v>261.58940397</v>
      </c>
      <c r="W2650" s="1">
        <v>17.016317016</v>
      </c>
      <c r="X2650" s="1">
        <v>8.6497890295</v>
      </c>
      <c r="Y2650" s="1">
        <v>77.644693147</v>
      </c>
      <c r="Z2650" s="1">
        <v>3.5</v>
      </c>
      <c r="AA2650" s="1">
        <v>10.656145943</v>
      </c>
      <c r="AB2650" s="1">
        <v>48743.0</v>
      </c>
      <c r="AC2650" s="1">
        <v>70.3589347739999</v>
      </c>
      <c r="AD2650" s="1">
        <v>73.198304286</v>
      </c>
      <c r="AE2650" s="1">
        <v>8.6465241955</v>
      </c>
      <c r="AF2650" s="1">
        <v>8.447284345</v>
      </c>
      <c r="AG2650" s="1">
        <v>1.0479233227</v>
      </c>
      <c r="AH2650" s="1">
        <v>0.5047923323</v>
      </c>
      <c r="AI2650" s="1">
        <v>0.0319488818</v>
      </c>
      <c r="AJ2650" s="1">
        <v>55.309904153</v>
      </c>
      <c r="AK2650" s="1">
        <v>35.156549521</v>
      </c>
      <c r="AL2650" s="1">
        <v>6.5841073271</v>
      </c>
      <c r="AM2650" s="1">
        <v>41.156549521</v>
      </c>
      <c r="AN2650" s="1">
        <v>38.390447922</v>
      </c>
      <c r="AO2650" s="1">
        <v>25306.0</v>
      </c>
      <c r="AP2650" s="1">
        <v>24.0</v>
      </c>
      <c r="AQ2650" s="1">
        <v>4.0</v>
      </c>
      <c r="AR2650" s="1">
        <v>23.5</v>
      </c>
      <c r="AS2650" s="1">
        <v>14.5</v>
      </c>
      <c r="AT2650" s="1">
        <v>20.4</v>
      </c>
      <c r="AU2650" s="1">
        <v>18.6</v>
      </c>
      <c r="AV2650" s="1">
        <v>61.5</v>
      </c>
      <c r="AW2650" s="1">
        <v>5.5</v>
      </c>
      <c r="AX2650" s="1">
        <v>0.873</v>
      </c>
      <c r="AY2650" s="1">
        <v>21.0</v>
      </c>
      <c r="AZ2650" s="1">
        <v>14.3</v>
      </c>
      <c r="BA2650" s="1">
        <v>21.9</v>
      </c>
      <c r="BB2650" s="1">
        <v>2.85</v>
      </c>
      <c r="BC2650" s="1" t="s">
        <v>4123</v>
      </c>
      <c r="BD2650" s="1">
        <v>24.3</v>
      </c>
      <c r="BE2650" s="1">
        <v>36.9</v>
      </c>
      <c r="BF2650" s="1">
        <v>23.5</v>
      </c>
      <c r="BG2650" s="1">
        <v>15.3</v>
      </c>
      <c r="BH2650" s="1" t="s">
        <v>4329</v>
      </c>
    </row>
    <row r="2651">
      <c r="A2651" s="1">
        <v>48257.0</v>
      </c>
      <c r="B2651" s="2" t="str">
        <f>IFERROR(__xludf.DUMMYFUNCTION("TO_TEXT(A2651)"),"48257")</f>
        <v>48257</v>
      </c>
      <c r="C2651" s="1">
        <v>111830.0</v>
      </c>
      <c r="D2651" s="1">
        <v>780.68277675388</v>
      </c>
      <c r="E2651" s="1" t="s">
        <v>4330</v>
      </c>
      <c r="F2651" s="1" t="s">
        <v>4331</v>
      </c>
      <c r="G2651" s="1">
        <v>143.246403443144</v>
      </c>
      <c r="H2651" s="1">
        <v>16.904775778</v>
      </c>
      <c r="I2651" s="1">
        <v>3.9550758637</v>
      </c>
      <c r="J2651" s="1">
        <v>8.23983484429999</v>
      </c>
      <c r="K2651" s="1">
        <v>14.878533889</v>
      </c>
      <c r="L2651" s="1">
        <v>35.8</v>
      </c>
      <c r="M2651" s="1">
        <v>7.6</v>
      </c>
      <c r="N2651" s="1">
        <v>27.5</v>
      </c>
      <c r="O2651" s="1">
        <v>58.720851476</v>
      </c>
      <c r="P2651" s="1">
        <v>16.970288743</v>
      </c>
      <c r="Q2651" s="1">
        <v>31.73751</v>
      </c>
      <c r="R2651" s="1">
        <v>95.5</v>
      </c>
      <c r="S2651" s="1">
        <v>15.3</v>
      </c>
      <c r="T2651" s="1">
        <v>32809.0</v>
      </c>
      <c r="U2651" s="1">
        <v>27.035264714</v>
      </c>
      <c r="V2651" s="1">
        <v>234.13741049</v>
      </c>
      <c r="W2651" s="1">
        <v>14.031897034</v>
      </c>
      <c r="X2651" s="1">
        <v>11.070370893</v>
      </c>
      <c r="Y2651" s="1">
        <v>76.9392696239999</v>
      </c>
      <c r="Z2651" s="1">
        <v>9.5</v>
      </c>
      <c r="AA2651" s="1">
        <v>3.9994749298</v>
      </c>
      <c r="AB2651" s="1">
        <v>67434.0</v>
      </c>
      <c r="AC2651" s="1">
        <v>48.3857234089999</v>
      </c>
      <c r="AD2651" s="1">
        <v>76.300717268</v>
      </c>
      <c r="AE2651" s="1">
        <v>11.346482287</v>
      </c>
      <c r="AF2651" s="1">
        <v>11.98473045</v>
      </c>
      <c r="AG2651" s="1">
        <v>1.0169333396</v>
      </c>
      <c r="AH2651" s="1">
        <v>1.3846775824</v>
      </c>
      <c r="AI2651" s="1">
        <v>0.0886318048</v>
      </c>
      <c r="AJ2651" s="1">
        <v>22.3810856619999</v>
      </c>
      <c r="AK2651" s="1">
        <v>62.1853182189999</v>
      </c>
      <c r="AL2651" s="1">
        <v>3.2156933811</v>
      </c>
      <c r="AM2651" s="1">
        <v>50.739375846</v>
      </c>
      <c r="AN2651" s="1">
        <v>48.817610063</v>
      </c>
      <c r="AO2651" s="1">
        <v>25445.0</v>
      </c>
      <c r="AP2651" s="1">
        <v>13.7</v>
      </c>
      <c r="AQ2651" s="1">
        <v>7.0</v>
      </c>
      <c r="AR2651" s="1">
        <v>15.5</v>
      </c>
      <c r="AS2651" s="1">
        <v>11.8</v>
      </c>
      <c r="AT2651" s="1">
        <v>27.8</v>
      </c>
      <c r="AU2651" s="1">
        <v>12.4</v>
      </c>
      <c r="AV2651" s="1">
        <v>32.4</v>
      </c>
      <c r="AW2651" s="1">
        <v>4.2</v>
      </c>
      <c r="AX2651" s="1">
        <v>0.5606</v>
      </c>
      <c r="AY2651" s="1">
        <v>9.8</v>
      </c>
      <c r="AZ2651" s="1">
        <v>13.8</v>
      </c>
      <c r="BA2651" s="1">
        <v>20.5</v>
      </c>
      <c r="BB2651" s="1">
        <v>2.87</v>
      </c>
      <c r="BC2651" s="1" t="s">
        <v>4123</v>
      </c>
      <c r="BD2651" s="1">
        <v>14.2</v>
      </c>
      <c r="BE2651" s="1">
        <v>32.4</v>
      </c>
      <c r="BF2651" s="1">
        <v>32.9</v>
      </c>
      <c r="BG2651" s="1">
        <v>20.5</v>
      </c>
      <c r="BH2651" s="1" t="s">
        <v>4331</v>
      </c>
    </row>
    <row r="2652">
      <c r="A2652" s="1">
        <v>48259.0</v>
      </c>
      <c r="B2652" s="2" t="str">
        <f>IFERROR(__xludf.DUMMYFUNCTION("TO_TEXT(A2652)"),"48259")</f>
        <v>48259</v>
      </c>
      <c r="C2652" s="1">
        <v>39010.0</v>
      </c>
      <c r="D2652" s="1">
        <v>662.453553214162</v>
      </c>
      <c r="E2652" s="1" t="s">
        <v>1222</v>
      </c>
      <c r="F2652" s="1" t="s">
        <v>4332</v>
      </c>
      <c r="G2652" s="1">
        <v>58.8871473490136</v>
      </c>
      <c r="H2652" s="1">
        <v>14.471163322</v>
      </c>
      <c r="I2652" s="1">
        <v>3.6113898676</v>
      </c>
      <c r="J2652" s="1">
        <v>7.1287908625</v>
      </c>
      <c r="K2652" s="1">
        <v>11.960716759</v>
      </c>
      <c r="L2652" s="1">
        <v>23.4</v>
      </c>
      <c r="M2652" s="1">
        <v>8.4</v>
      </c>
      <c r="N2652" s="1">
        <v>23.7</v>
      </c>
      <c r="O2652" s="1">
        <v>76.117928764</v>
      </c>
      <c r="P2652" s="1">
        <v>15.12776736</v>
      </c>
      <c r="Q2652" s="1">
        <v>86.31263</v>
      </c>
      <c r="R2652" s="1">
        <v>97.6</v>
      </c>
      <c r="S2652" s="1">
        <v>10.5</v>
      </c>
      <c r="T2652" s="1">
        <v>9750.0</v>
      </c>
      <c r="U2652" s="1">
        <v>21.21025641</v>
      </c>
      <c r="V2652" s="1">
        <v>108.75879031</v>
      </c>
      <c r="W2652" s="1">
        <v>14.339058999</v>
      </c>
      <c r="X2652" s="1">
        <v>11.49079985</v>
      </c>
      <c r="Y2652" s="1">
        <v>81.2379240819999</v>
      </c>
      <c r="Z2652" s="1">
        <v>6.3</v>
      </c>
      <c r="AA2652" s="1">
        <v>1.9269368021</v>
      </c>
      <c r="AB2652" s="1">
        <v>90937.0</v>
      </c>
      <c r="AC2652" s="1">
        <v>23.8583831319999</v>
      </c>
      <c r="AD2652" s="1">
        <v>72.886503284</v>
      </c>
      <c r="AE2652" s="1">
        <v>13.1679803309999</v>
      </c>
      <c r="AF2652" s="1">
        <v>1.126180408</v>
      </c>
      <c r="AG2652" s="1">
        <v>0.7449442387</v>
      </c>
      <c r="AH2652" s="1">
        <v>1.35404570449999</v>
      </c>
      <c r="AI2652" s="1">
        <v>0.0876404986999999</v>
      </c>
      <c r="AJ2652" s="1">
        <v>24.392541794</v>
      </c>
      <c r="AK2652" s="1">
        <v>71.6220065289999</v>
      </c>
      <c r="AL2652" s="1">
        <v>2.135829736</v>
      </c>
      <c r="AM2652" s="1">
        <v>51.030871366</v>
      </c>
      <c r="AN2652" s="1">
        <v>58.159233762</v>
      </c>
      <c r="AO2652" s="1">
        <v>36724.0</v>
      </c>
      <c r="AP2652" s="1">
        <v>6.1</v>
      </c>
      <c r="AQ2652" s="1">
        <v>4.7</v>
      </c>
      <c r="AR2652" s="1">
        <v>7.0</v>
      </c>
      <c r="AS2652" s="1">
        <v>19.1</v>
      </c>
      <c r="AT2652" s="1">
        <v>23.5</v>
      </c>
      <c r="AU2652" s="1">
        <v>15.4</v>
      </c>
      <c r="AV2652" s="1">
        <v>25.5</v>
      </c>
      <c r="AW2652" s="1">
        <v>2.0</v>
      </c>
      <c r="AX2652" s="1">
        <v>0.2693</v>
      </c>
      <c r="AY2652" s="1">
        <v>7.4</v>
      </c>
      <c r="AZ2652" s="1">
        <v>11.2</v>
      </c>
      <c r="BA2652" s="1">
        <v>16.0</v>
      </c>
      <c r="BB2652" s="1">
        <v>3.15</v>
      </c>
      <c r="BC2652" s="1" t="s">
        <v>4123</v>
      </c>
      <c r="BD2652" s="1">
        <v>7.2</v>
      </c>
      <c r="BE2652" s="1">
        <v>20.6</v>
      </c>
      <c r="BF2652" s="1">
        <v>30.1</v>
      </c>
      <c r="BG2652" s="1">
        <v>42.1</v>
      </c>
      <c r="BH2652" s="1" t="s">
        <v>4332</v>
      </c>
    </row>
    <row r="2653">
      <c r="A2653" s="1">
        <v>48261.0</v>
      </c>
      <c r="B2653" s="2" t="str">
        <f>IFERROR(__xludf.DUMMYFUNCTION("TO_TEXT(A2653)"),"48261")</f>
        <v>48261</v>
      </c>
      <c r="C2653" s="1">
        <v>558.0</v>
      </c>
      <c r="D2653" s="1">
        <v>1458.45223645931</v>
      </c>
      <c r="E2653" s="1" t="s">
        <v>4333</v>
      </c>
      <c r="F2653" s="1" t="s">
        <v>4334</v>
      </c>
      <c r="G2653" s="1">
        <v>0.382597376897758</v>
      </c>
      <c r="H2653" s="1">
        <v>30.347698305</v>
      </c>
      <c r="I2653" s="1">
        <v>4.4145899944</v>
      </c>
      <c r="J2653" s="1">
        <v>7.80443539465</v>
      </c>
      <c r="K2653" s="1">
        <v>16.071325305</v>
      </c>
      <c r="L2653" s="1">
        <v>23.7</v>
      </c>
      <c r="M2653" s="1">
        <v>3.5</v>
      </c>
      <c r="N2653" s="1">
        <v>20.6</v>
      </c>
      <c r="O2653" s="1">
        <v>0.0</v>
      </c>
      <c r="P2653" s="1">
        <v>22.848664688</v>
      </c>
      <c r="Q2653" s="1">
        <v>0.0</v>
      </c>
      <c r="R2653" s="1">
        <v>89.912280702</v>
      </c>
      <c r="S2653" s="1">
        <v>20.3</v>
      </c>
      <c r="T2653" s="1">
        <v>167.0</v>
      </c>
      <c r="U2653" s="1">
        <v>5.9880239521</v>
      </c>
      <c r="V2653" s="1">
        <v>977.99511002</v>
      </c>
      <c r="W2653" s="1">
        <v>8.8235294118</v>
      </c>
      <c r="X2653" s="1">
        <v>2.3529411765</v>
      </c>
      <c r="Y2653" s="1">
        <v>77.482572377</v>
      </c>
      <c r="Z2653" s="1">
        <v>9.0</v>
      </c>
      <c r="AA2653" s="1">
        <v>56.863993092</v>
      </c>
      <c r="AB2653" s="1">
        <v>42153.0</v>
      </c>
      <c r="AC2653" s="1">
        <v>76.923076923</v>
      </c>
      <c r="AD2653" s="1">
        <v>33.971291866</v>
      </c>
      <c r="AE2653" s="1">
        <v>4.2016806723</v>
      </c>
      <c r="AF2653" s="1">
        <v>2.036199095</v>
      </c>
      <c r="AG2653" s="1">
        <v>1.5837104072</v>
      </c>
      <c r="AH2653" s="1">
        <v>0.6787330317</v>
      </c>
      <c r="AI2653" s="1">
        <v>0.0</v>
      </c>
      <c r="AJ2653" s="1">
        <v>73.303167421</v>
      </c>
      <c r="AK2653" s="1">
        <v>20.8144796379999</v>
      </c>
      <c r="AL2653" s="1">
        <v>19.607843137</v>
      </c>
      <c r="AM2653" s="1">
        <v>48.416289593</v>
      </c>
      <c r="AN2653" s="1">
        <v>100.0</v>
      </c>
      <c r="AO2653" s="1">
        <v>13822.0</v>
      </c>
      <c r="AP2653" s="1">
        <v>22.8</v>
      </c>
      <c r="AQ2653" s="1">
        <v>0.0</v>
      </c>
      <c r="AR2653" s="1">
        <v>42.4</v>
      </c>
      <c r="AS2653" s="1">
        <v>15.8</v>
      </c>
      <c r="AT2653" s="1">
        <v>27.6</v>
      </c>
      <c r="AU2653" s="1">
        <v>21.3</v>
      </c>
      <c r="AV2653" s="1">
        <v>71.3</v>
      </c>
      <c r="AW2653" s="1">
        <v>29.5</v>
      </c>
      <c r="AX2653" s="1">
        <v>0.7221</v>
      </c>
      <c r="AY2653" s="1">
        <v>14.2</v>
      </c>
      <c r="AZ2653" s="1">
        <v>14.3</v>
      </c>
      <c r="BA2653" s="1">
        <v>17.8</v>
      </c>
      <c r="BB2653" s="1">
        <v>2.5</v>
      </c>
      <c r="BC2653" s="1" t="s">
        <v>4123</v>
      </c>
      <c r="BD2653" s="1">
        <v>73.6</v>
      </c>
      <c r="BE2653" s="1">
        <v>20.2</v>
      </c>
      <c r="BF2653" s="1">
        <v>5.2</v>
      </c>
      <c r="BG2653" s="1">
        <v>1.0</v>
      </c>
      <c r="BH2653" s="1" t="s">
        <v>4334</v>
      </c>
    </row>
    <row r="2654">
      <c r="A2654" s="1">
        <v>48263.0</v>
      </c>
      <c r="B2654" s="2" t="str">
        <f>IFERROR(__xludf.DUMMYFUNCTION("TO_TEXT(A2654)"),"48263")</f>
        <v>48263</v>
      </c>
      <c r="C2654" s="1">
        <v>667.0</v>
      </c>
      <c r="D2654" s="1">
        <v>902.506479411122</v>
      </c>
      <c r="E2654" s="1" t="s">
        <v>669</v>
      </c>
      <c r="F2654" s="1" t="s">
        <v>4335</v>
      </c>
      <c r="G2654" s="1">
        <v>0.739052865786861</v>
      </c>
      <c r="H2654" s="1">
        <v>16.81712833</v>
      </c>
      <c r="I2654" s="1">
        <v>3.9308088972</v>
      </c>
      <c r="J2654" s="1">
        <v>7.80443539465</v>
      </c>
      <c r="K2654" s="1">
        <v>13.049828388</v>
      </c>
      <c r="L2654" s="1">
        <v>26.0</v>
      </c>
      <c r="M2654" s="1">
        <v>4.7</v>
      </c>
      <c r="N2654" s="1">
        <v>22.9</v>
      </c>
      <c r="O2654" s="1">
        <v>0.0</v>
      </c>
      <c r="P2654" s="1">
        <v>18.181818182</v>
      </c>
      <c r="Q2654" s="1">
        <v>0.0</v>
      </c>
      <c r="R2654" s="1">
        <v>100.0</v>
      </c>
      <c r="S2654" s="1">
        <v>20.3</v>
      </c>
      <c r="T2654" s="1">
        <v>157.0</v>
      </c>
      <c r="U2654" s="1">
        <v>12.101910828</v>
      </c>
      <c r="V2654" s="1">
        <v>319.28480204</v>
      </c>
      <c r="W2654" s="1">
        <v>14.035087719</v>
      </c>
      <c r="X2654" s="1">
        <v>10.526315789</v>
      </c>
      <c r="Y2654" s="1">
        <v>77.482572377</v>
      </c>
      <c r="Z2654" s="1">
        <v>7.0</v>
      </c>
      <c r="AA2654" s="1">
        <v>36.145998076</v>
      </c>
      <c r="AB2654" s="1">
        <v>47625.0</v>
      </c>
      <c r="AC2654" s="1">
        <v>36.184210526</v>
      </c>
      <c r="AD2654" s="1">
        <v>70.1257861639999</v>
      </c>
      <c r="AE2654" s="1">
        <v>10.431654676</v>
      </c>
      <c r="AF2654" s="1">
        <v>1.2396694215</v>
      </c>
      <c r="AG2654" s="1">
        <v>1.652892562</v>
      </c>
      <c r="AH2654" s="1">
        <v>0.1377410468</v>
      </c>
      <c r="AI2654" s="1">
        <v>0.1377410468</v>
      </c>
      <c r="AJ2654" s="1">
        <v>19.696969697</v>
      </c>
      <c r="AK2654" s="1">
        <v>76.308539945</v>
      </c>
      <c r="AL2654" s="1">
        <v>0.8379888268</v>
      </c>
      <c r="AM2654" s="1">
        <v>50.275482094</v>
      </c>
      <c r="AN2654" s="1">
        <v>100.0</v>
      </c>
      <c r="AO2654" s="1">
        <v>27434.0</v>
      </c>
      <c r="AP2654" s="1">
        <v>11.7</v>
      </c>
      <c r="AQ2654" s="1">
        <v>2.1</v>
      </c>
      <c r="AR2654" s="1">
        <v>21.7</v>
      </c>
      <c r="AS2654" s="1">
        <v>28.5</v>
      </c>
      <c r="AT2654" s="1">
        <v>20.2</v>
      </c>
      <c r="AU2654" s="1">
        <v>26.1</v>
      </c>
      <c r="AV2654" s="1">
        <v>18.3</v>
      </c>
      <c r="AW2654" s="1">
        <v>2.0</v>
      </c>
      <c r="AX2654" s="1">
        <v>0.4495</v>
      </c>
      <c r="AY2654" s="1">
        <v>11.5</v>
      </c>
      <c r="AZ2654" s="1">
        <v>17.4</v>
      </c>
      <c r="BA2654" s="1">
        <v>27.1</v>
      </c>
      <c r="BB2654" s="1">
        <v>2.9</v>
      </c>
      <c r="BC2654" s="1" t="s">
        <v>4123</v>
      </c>
      <c r="BD2654" s="1">
        <v>14.2</v>
      </c>
      <c r="BE2654" s="1">
        <v>32.6</v>
      </c>
      <c r="BF2654" s="1">
        <v>27.8</v>
      </c>
      <c r="BG2654" s="1">
        <v>25.4</v>
      </c>
      <c r="BH2654" s="1" t="s">
        <v>4335</v>
      </c>
    </row>
    <row r="2655">
      <c r="A2655" s="1">
        <v>48265.0</v>
      </c>
      <c r="B2655" s="2" t="str">
        <f>IFERROR(__xludf.DUMMYFUNCTION("TO_TEXT(A2655)"),"48265")</f>
        <v>48265</v>
      </c>
      <c r="C2655" s="1">
        <v>50505.0</v>
      </c>
      <c r="D2655" s="1">
        <v>1103.32584894841</v>
      </c>
      <c r="E2655" s="1" t="s">
        <v>4336</v>
      </c>
      <c r="F2655" s="1" t="s">
        <v>4337</v>
      </c>
      <c r="G2655" s="1">
        <v>45.7752349844217</v>
      </c>
      <c r="H2655" s="1">
        <v>18.289321371</v>
      </c>
      <c r="I2655" s="1">
        <v>4.05865591</v>
      </c>
      <c r="J2655" s="1">
        <v>8.1704668838</v>
      </c>
      <c r="K2655" s="1">
        <v>13.2066629959999</v>
      </c>
      <c r="L2655" s="1">
        <v>24.4</v>
      </c>
      <c r="M2655" s="1">
        <v>6.9</v>
      </c>
      <c r="N2655" s="1">
        <v>26.1</v>
      </c>
      <c r="O2655" s="1">
        <v>70.9138539039999</v>
      </c>
      <c r="P2655" s="1">
        <v>22.4710381909999</v>
      </c>
      <c r="Q2655" s="1">
        <v>85.07347</v>
      </c>
      <c r="R2655" s="1">
        <v>93.8</v>
      </c>
      <c r="S2655" s="1">
        <v>23.3</v>
      </c>
      <c r="T2655" s="1">
        <v>9801.0</v>
      </c>
      <c r="U2655" s="1">
        <v>38.883787369</v>
      </c>
      <c r="V2655" s="1">
        <v>237.52266814</v>
      </c>
      <c r="W2655" s="1">
        <v>16.898656899</v>
      </c>
      <c r="X2655" s="1">
        <v>11.377689834</v>
      </c>
      <c r="Y2655" s="1">
        <v>78.265376464</v>
      </c>
      <c r="Z2655" s="1">
        <v>20.8</v>
      </c>
      <c r="AA2655" s="1">
        <v>12.824817529</v>
      </c>
      <c r="AB2655" s="1">
        <v>53704.0</v>
      </c>
      <c r="AC2655" s="1">
        <v>59.460610362</v>
      </c>
      <c r="AD2655" s="1">
        <v>72.088991621</v>
      </c>
      <c r="AE2655" s="1">
        <v>9.368707209</v>
      </c>
      <c r="AF2655" s="1">
        <v>1.4578761569</v>
      </c>
      <c r="AG2655" s="1">
        <v>1.144928919</v>
      </c>
      <c r="AH2655" s="1">
        <v>1.0895906879</v>
      </c>
      <c r="AI2655" s="1">
        <v>0.1049518176</v>
      </c>
      <c r="AJ2655" s="1">
        <v>27.4687529819999</v>
      </c>
      <c r="AK2655" s="1">
        <v>68.445758992</v>
      </c>
      <c r="AL2655" s="1">
        <v>2.1872050556</v>
      </c>
      <c r="AM2655" s="1">
        <v>51.87672932</v>
      </c>
      <c r="AN2655" s="1">
        <v>41.102267003</v>
      </c>
      <c r="AO2655" s="1">
        <v>26210.0</v>
      </c>
      <c r="AP2655" s="1">
        <v>16.7</v>
      </c>
      <c r="AQ2655" s="1">
        <v>8.2</v>
      </c>
      <c r="AR2655" s="1">
        <v>13.4</v>
      </c>
      <c r="AS2655" s="1">
        <v>26.6</v>
      </c>
      <c r="AT2655" s="1">
        <v>19.5</v>
      </c>
      <c r="AU2655" s="1">
        <v>19.4</v>
      </c>
      <c r="AV2655" s="1">
        <v>29.7</v>
      </c>
      <c r="AW2655" s="1">
        <v>3.0</v>
      </c>
      <c r="AX2655" s="1">
        <v>0.8265</v>
      </c>
      <c r="AY2655" s="1">
        <v>12.5</v>
      </c>
      <c r="AZ2655" s="1">
        <v>15.1</v>
      </c>
      <c r="BA2655" s="1">
        <v>23.4</v>
      </c>
      <c r="BB2655" s="1">
        <v>2.69</v>
      </c>
      <c r="BC2655" s="1" t="s">
        <v>4123</v>
      </c>
      <c r="BD2655" s="1">
        <v>11.4</v>
      </c>
      <c r="BE2655" s="1">
        <v>27.2</v>
      </c>
      <c r="BF2655" s="1">
        <v>34.1</v>
      </c>
      <c r="BG2655" s="1">
        <v>27.4</v>
      </c>
      <c r="BH2655" s="1" t="s">
        <v>4337</v>
      </c>
    </row>
    <row r="2656">
      <c r="A2656" s="1">
        <v>48267.0</v>
      </c>
      <c r="B2656" s="2" t="str">
        <f>IFERROR(__xludf.DUMMYFUNCTION("TO_TEXT(A2656)"),"48267")</f>
        <v>48267</v>
      </c>
      <c r="C2656" s="1">
        <v>4453.0</v>
      </c>
      <c r="D2656" s="1">
        <v>1250.9843804442</v>
      </c>
      <c r="E2656" s="1" t="s">
        <v>4338</v>
      </c>
      <c r="F2656" s="1" t="s">
        <v>4339</v>
      </c>
      <c r="G2656" s="1">
        <v>3.55959680201509</v>
      </c>
      <c r="H2656" s="1">
        <v>19.230249201</v>
      </c>
      <c r="I2656" s="1">
        <v>4.1566643206</v>
      </c>
      <c r="J2656" s="1">
        <v>6.862745098</v>
      </c>
      <c r="K2656" s="1">
        <v>13.992274084</v>
      </c>
      <c r="L2656" s="1">
        <v>30.6</v>
      </c>
      <c r="M2656" s="1">
        <v>7.0</v>
      </c>
      <c r="N2656" s="1">
        <v>27.9</v>
      </c>
      <c r="O2656" s="1">
        <v>60.646841763</v>
      </c>
      <c r="P2656" s="1">
        <v>21.649484536</v>
      </c>
      <c r="Q2656" s="1">
        <v>68.02721</v>
      </c>
      <c r="R2656" s="1">
        <v>100.0</v>
      </c>
      <c r="S2656" s="1">
        <v>35.9</v>
      </c>
      <c r="T2656" s="1">
        <v>889.0</v>
      </c>
      <c r="U2656" s="1">
        <v>42.519685039</v>
      </c>
      <c r="V2656" s="1">
        <v>101.99456029</v>
      </c>
      <c r="W2656" s="1">
        <v>13.679245283</v>
      </c>
      <c r="X2656" s="1">
        <v>11.375535459</v>
      </c>
      <c r="Y2656" s="1">
        <v>75.778165806</v>
      </c>
      <c r="Z2656" s="1">
        <v>7.5</v>
      </c>
      <c r="AA2656" s="1">
        <v>7.6869655253</v>
      </c>
      <c r="AB2656" s="1">
        <v>42503.0</v>
      </c>
      <c r="AC2656" s="1">
        <v>61.4634146339999</v>
      </c>
      <c r="AD2656" s="1">
        <v>75.975359343</v>
      </c>
      <c r="AE2656" s="1">
        <v>13.230429989</v>
      </c>
      <c r="AF2656" s="1">
        <v>0.5043558001</v>
      </c>
      <c r="AG2656" s="1">
        <v>1.3984410821</v>
      </c>
      <c r="AH2656" s="1">
        <v>0.8253094911</v>
      </c>
      <c r="AI2656" s="1">
        <v>0.0917010546</v>
      </c>
      <c r="AJ2656" s="1">
        <v>24.919761577</v>
      </c>
      <c r="AK2656" s="1">
        <v>72.67308574</v>
      </c>
      <c r="AL2656" s="1">
        <v>3.1899468342</v>
      </c>
      <c r="AM2656" s="1">
        <v>51.077487391</v>
      </c>
      <c r="AN2656" s="1">
        <v>44.302148904</v>
      </c>
      <c r="AO2656" s="1">
        <v>26969.0</v>
      </c>
      <c r="AP2656" s="1">
        <v>19.0</v>
      </c>
      <c r="AQ2656" s="1">
        <v>6.0</v>
      </c>
      <c r="AR2656" s="1">
        <v>16.9</v>
      </c>
      <c r="AS2656" s="1">
        <v>30.6</v>
      </c>
      <c r="AT2656" s="1">
        <v>17.0</v>
      </c>
      <c r="AU2656" s="1">
        <v>19.9</v>
      </c>
      <c r="AV2656" s="1">
        <v>24.0</v>
      </c>
      <c r="AW2656" s="1">
        <v>3.5</v>
      </c>
      <c r="AX2656" s="1">
        <v>0.5349</v>
      </c>
      <c r="AY2656" s="1">
        <v>17.0</v>
      </c>
      <c r="AZ2656" s="1">
        <v>18.0</v>
      </c>
      <c r="BA2656" s="1">
        <v>28.3</v>
      </c>
      <c r="BB2656" s="1">
        <v>2.59</v>
      </c>
      <c r="BC2656" s="1" t="s">
        <v>4123</v>
      </c>
      <c r="BD2656" s="1">
        <v>14.9</v>
      </c>
      <c r="BE2656" s="1">
        <v>32.9</v>
      </c>
      <c r="BF2656" s="1">
        <v>29.7</v>
      </c>
      <c r="BG2656" s="1">
        <v>22.5</v>
      </c>
      <c r="BH2656" s="1" t="s">
        <v>4339</v>
      </c>
    </row>
    <row r="2657">
      <c r="A2657" s="1">
        <v>48269.0</v>
      </c>
      <c r="B2657" s="2" t="str">
        <f>IFERROR(__xludf.DUMMYFUNCTION("TO_TEXT(A2657)"),"48269")</f>
        <v>48269</v>
      </c>
      <c r="C2657" s="1">
        <v>274.0</v>
      </c>
      <c r="D2657" s="1">
        <v>910.87207576913</v>
      </c>
      <c r="E2657" s="1" t="s">
        <v>4340</v>
      </c>
      <c r="F2657" s="1" t="s">
        <v>4341</v>
      </c>
      <c r="G2657" s="1">
        <v>0.300810626748698</v>
      </c>
      <c r="H2657" s="1">
        <v>17.414647444</v>
      </c>
      <c r="I2657" s="1">
        <v>3.8970752021</v>
      </c>
      <c r="J2657" s="1">
        <v>7.80443539465</v>
      </c>
      <c r="K2657" s="1">
        <v>14.322324636</v>
      </c>
      <c r="L2657" s="1">
        <v>22.7</v>
      </c>
      <c r="M2657" s="1">
        <v>5.4</v>
      </c>
      <c r="N2657" s="1">
        <v>20.7</v>
      </c>
      <c r="O2657" s="1">
        <v>0.6993006993</v>
      </c>
      <c r="P2657" s="1">
        <v>24.0963855419999</v>
      </c>
      <c r="Q2657" s="1">
        <v>0.0</v>
      </c>
      <c r="R2657" s="1">
        <v>100.0</v>
      </c>
      <c r="S2657" s="1">
        <v>15.7</v>
      </c>
      <c r="T2657" s="1">
        <v>61.0</v>
      </c>
      <c r="U2657" s="1">
        <v>37.704918033</v>
      </c>
      <c r="V2657" s="1">
        <v>0.0</v>
      </c>
      <c r="W2657" s="1">
        <v>12.1739130429999</v>
      </c>
      <c r="X2657" s="1">
        <v>6.95652173909999</v>
      </c>
      <c r="Y2657" s="1">
        <v>77.482572377</v>
      </c>
      <c r="Z2657" s="1">
        <v>11.2</v>
      </c>
      <c r="AA2657" s="1">
        <v>26.551723936</v>
      </c>
      <c r="AB2657" s="1">
        <v>57925.0</v>
      </c>
      <c r="AC2657" s="1">
        <v>0.0</v>
      </c>
      <c r="AD2657" s="1">
        <v>37.362637363</v>
      </c>
      <c r="AE2657" s="1">
        <v>8.7719298246</v>
      </c>
      <c r="AF2657" s="1">
        <v>0.0</v>
      </c>
      <c r="AG2657" s="1">
        <v>1.4440433213</v>
      </c>
      <c r="AH2657" s="1">
        <v>0.0</v>
      </c>
      <c r="AI2657" s="1">
        <v>0.3610108303</v>
      </c>
      <c r="AJ2657" s="1">
        <v>15.523465704</v>
      </c>
      <c r="AK2657" s="1">
        <v>80.866425993</v>
      </c>
      <c r="AL2657" s="1">
        <v>3.317535545</v>
      </c>
      <c r="AM2657" s="1">
        <v>49.458483755</v>
      </c>
      <c r="AN2657" s="1">
        <v>100.0</v>
      </c>
      <c r="AO2657" s="1">
        <v>30016.0</v>
      </c>
      <c r="AP2657" s="1">
        <v>3.3</v>
      </c>
      <c r="AQ2657" s="1">
        <v>4.1</v>
      </c>
      <c r="AR2657" s="1">
        <v>19.4</v>
      </c>
      <c r="AS2657" s="1">
        <v>12.4</v>
      </c>
      <c r="AT2657" s="1">
        <v>20.4</v>
      </c>
      <c r="AU2657" s="1">
        <v>4.7</v>
      </c>
      <c r="AV2657" s="1">
        <v>23.4</v>
      </c>
      <c r="AW2657" s="1">
        <v>1.9</v>
      </c>
      <c r="AX2657" s="1">
        <v>0.128</v>
      </c>
      <c r="AY2657" s="1">
        <v>11.0</v>
      </c>
      <c r="AZ2657" s="1">
        <v>14.7</v>
      </c>
      <c r="BA2657" s="1">
        <v>21.0</v>
      </c>
      <c r="BB2657" s="1">
        <v>2.83</v>
      </c>
      <c r="BC2657" s="1" t="s">
        <v>4123</v>
      </c>
      <c r="BD2657" s="1">
        <v>20.3</v>
      </c>
      <c r="BE2657" s="1">
        <v>34.8</v>
      </c>
      <c r="BF2657" s="1">
        <v>24.1</v>
      </c>
      <c r="BG2657" s="1">
        <v>20.9</v>
      </c>
      <c r="BH2657" s="1" t="s">
        <v>4341</v>
      </c>
    </row>
    <row r="2658">
      <c r="A2658" s="1">
        <v>48271.0</v>
      </c>
      <c r="B2658" s="2" t="str">
        <f>IFERROR(__xludf.DUMMYFUNCTION("TO_TEXT(A2658)"),"48271")</f>
        <v>48271</v>
      </c>
      <c r="C2658" s="1">
        <v>3578.0</v>
      </c>
      <c r="D2658" s="1">
        <v>1360.05418809155</v>
      </c>
      <c r="E2658" s="1" t="s">
        <v>4342</v>
      </c>
      <c r="F2658" s="1" t="s">
        <v>4343</v>
      </c>
      <c r="G2658" s="1">
        <v>2.6307775317546</v>
      </c>
      <c r="H2658" s="1">
        <v>24.11285106</v>
      </c>
      <c r="I2658" s="1">
        <v>3.9164250541</v>
      </c>
      <c r="J2658" s="1">
        <v>8.0</v>
      </c>
      <c r="K2658" s="1">
        <v>13.6313693379999</v>
      </c>
      <c r="L2658" s="1">
        <v>27.1</v>
      </c>
      <c r="M2658" s="1">
        <v>8.9</v>
      </c>
      <c r="N2658" s="1">
        <v>21.9</v>
      </c>
      <c r="O2658" s="1">
        <v>69.9833240689999</v>
      </c>
      <c r="P2658" s="1">
        <v>22.208883553</v>
      </c>
      <c r="Q2658" s="1">
        <v>48.31939</v>
      </c>
      <c r="R2658" s="1">
        <v>95.8</v>
      </c>
      <c r="S2658" s="1">
        <v>26.6</v>
      </c>
      <c r="T2658" s="1">
        <v>655.0</v>
      </c>
      <c r="U2658" s="1">
        <v>19.694656489</v>
      </c>
      <c r="V2658" s="1">
        <v>26.198585276</v>
      </c>
      <c r="W2658" s="1">
        <v>9.649122807</v>
      </c>
      <c r="X2658" s="1">
        <v>7.5221238938</v>
      </c>
      <c r="Y2658" s="1">
        <v>81.905056935</v>
      </c>
      <c r="Z2658" s="1">
        <v>5.6</v>
      </c>
      <c r="AA2658" s="1">
        <v>2.2706669415</v>
      </c>
      <c r="AB2658" s="1">
        <v>43192.0</v>
      </c>
      <c r="AC2658" s="1">
        <v>59.487179487</v>
      </c>
      <c r="AD2658" s="1">
        <v>74.188034188</v>
      </c>
      <c r="AE2658" s="1">
        <v>7.58500435919999</v>
      </c>
      <c r="AF2658" s="1">
        <v>1.03530661</v>
      </c>
      <c r="AG2658" s="1">
        <v>1.4600477834</v>
      </c>
      <c r="AH2658" s="1">
        <v>0.4247411733</v>
      </c>
      <c r="AI2658" s="1">
        <v>0.2123705867</v>
      </c>
      <c r="AJ2658" s="1">
        <v>60.153968675</v>
      </c>
      <c r="AK2658" s="1">
        <v>36.341916645</v>
      </c>
      <c r="AL2658" s="1">
        <v>9.7826086957</v>
      </c>
      <c r="AM2658" s="1">
        <v>44.942925405</v>
      </c>
      <c r="AN2658" s="1">
        <v>20.455808783</v>
      </c>
      <c r="AO2658" s="1">
        <v>17818.0</v>
      </c>
      <c r="AP2658" s="1">
        <v>20.5</v>
      </c>
      <c r="AQ2658" s="1">
        <v>14.4</v>
      </c>
      <c r="AR2658" s="1">
        <v>32.8</v>
      </c>
      <c r="AS2658" s="1">
        <v>17.4</v>
      </c>
      <c r="AT2658" s="1">
        <v>19.7</v>
      </c>
      <c r="AU2658" s="1">
        <v>12.6</v>
      </c>
      <c r="AV2658" s="1">
        <v>62.6</v>
      </c>
      <c r="AW2658" s="1">
        <v>9.1</v>
      </c>
      <c r="AX2658" s="1">
        <v>0.8647</v>
      </c>
      <c r="AY2658" s="1">
        <v>18.9</v>
      </c>
      <c r="AZ2658" s="1">
        <v>16.9</v>
      </c>
      <c r="BA2658" s="1">
        <v>26.2</v>
      </c>
      <c r="BB2658" s="1">
        <v>2.33</v>
      </c>
      <c r="BC2658" s="1" t="s">
        <v>4123</v>
      </c>
      <c r="BD2658" s="1">
        <v>21.5</v>
      </c>
      <c r="BE2658" s="1">
        <v>36.8</v>
      </c>
      <c r="BF2658" s="1">
        <v>29.6</v>
      </c>
      <c r="BG2658" s="1">
        <v>12.1</v>
      </c>
      <c r="BH2658" s="1" t="s">
        <v>4343</v>
      </c>
    </row>
    <row r="2659">
      <c r="A2659" s="1">
        <v>48273.0</v>
      </c>
      <c r="B2659" s="2" t="str">
        <f>IFERROR(__xludf.DUMMYFUNCTION("TO_TEXT(A2659)"),"48273")</f>
        <v>48273</v>
      </c>
      <c r="C2659" s="1">
        <v>31877.0</v>
      </c>
      <c r="D2659" s="1">
        <v>881.305785001084</v>
      </c>
      <c r="E2659" s="1" t="s">
        <v>4344</v>
      </c>
      <c r="F2659" s="1" t="s">
        <v>4345</v>
      </c>
      <c r="G2659" s="1">
        <v>36.1701926193084</v>
      </c>
      <c r="H2659" s="1">
        <v>27.932046539</v>
      </c>
      <c r="I2659" s="1">
        <v>4.1300003173</v>
      </c>
      <c r="J2659" s="1">
        <v>7.773512476</v>
      </c>
      <c r="K2659" s="1">
        <v>15.040413037</v>
      </c>
      <c r="L2659" s="1">
        <v>34.0</v>
      </c>
      <c r="M2659" s="1">
        <v>6.8</v>
      </c>
      <c r="N2659" s="1">
        <v>21.4</v>
      </c>
      <c r="O2659" s="1">
        <v>50.6409656589999</v>
      </c>
      <c r="P2659" s="1">
        <v>19.7452730059999</v>
      </c>
      <c r="Q2659" s="1">
        <v>45.03345</v>
      </c>
      <c r="R2659" s="1">
        <v>88.7</v>
      </c>
      <c r="S2659" s="1">
        <v>33.3</v>
      </c>
      <c r="T2659" s="1">
        <v>7659.0</v>
      </c>
      <c r="U2659" s="1">
        <v>41.206423815</v>
      </c>
      <c r="V2659" s="1">
        <v>499.53168904</v>
      </c>
      <c r="W2659" s="1">
        <v>17.633410673</v>
      </c>
      <c r="X2659" s="1">
        <v>12.38277512</v>
      </c>
      <c r="Y2659" s="1">
        <v>75.449119188</v>
      </c>
      <c r="Z2659" s="1">
        <v>5.8</v>
      </c>
      <c r="AA2659" s="1">
        <v>16.637886195</v>
      </c>
      <c r="AB2659" s="1">
        <v>42605.0</v>
      </c>
      <c r="AC2659" s="1">
        <v>67.918708038</v>
      </c>
      <c r="AD2659" s="1">
        <v>51.9733235889999</v>
      </c>
      <c r="AE2659" s="1">
        <v>15.8159739359999</v>
      </c>
      <c r="AF2659" s="1">
        <v>3.35057342029999</v>
      </c>
      <c r="AG2659" s="1">
        <v>0.9155449902</v>
      </c>
      <c r="AH2659" s="1">
        <v>2.4703652543</v>
      </c>
      <c r="AI2659" s="1">
        <v>0.1702592438</v>
      </c>
      <c r="AJ2659" s="1">
        <v>73.4042211439999</v>
      </c>
      <c r="AK2659" s="1">
        <v>19.856082752</v>
      </c>
      <c r="AL2659" s="1">
        <v>2.5202890114</v>
      </c>
      <c r="AM2659" s="1">
        <v>48.796941758</v>
      </c>
      <c r="AN2659" s="1">
        <v>18.870278532</v>
      </c>
      <c r="AO2659" s="1">
        <v>19700.0</v>
      </c>
      <c r="AP2659" s="1">
        <v>23.8</v>
      </c>
      <c r="AQ2659" s="1">
        <v>10.5</v>
      </c>
      <c r="AR2659" s="1">
        <v>22.6</v>
      </c>
      <c r="AS2659" s="1">
        <v>12.7</v>
      </c>
      <c r="AT2659" s="1">
        <v>24.5</v>
      </c>
      <c r="AU2659" s="1">
        <v>15.2</v>
      </c>
      <c r="AV2659" s="1">
        <v>78.5</v>
      </c>
      <c r="AW2659" s="1">
        <v>4.6</v>
      </c>
      <c r="AX2659" s="1">
        <v>0.985</v>
      </c>
      <c r="AY2659" s="1">
        <v>23.3</v>
      </c>
      <c r="AZ2659" s="1">
        <v>17.1</v>
      </c>
      <c r="BA2659" s="1">
        <v>24.6</v>
      </c>
      <c r="BB2659" s="1">
        <v>2.86</v>
      </c>
      <c r="BC2659" s="1" t="s">
        <v>4123</v>
      </c>
      <c r="BD2659" s="1">
        <v>21.6</v>
      </c>
      <c r="BE2659" s="1">
        <v>26.7</v>
      </c>
      <c r="BF2659" s="1">
        <v>27.2</v>
      </c>
      <c r="BG2659" s="1">
        <v>24.6</v>
      </c>
      <c r="BH2659" s="1" t="s">
        <v>4345</v>
      </c>
    </row>
    <row r="2660">
      <c r="A2660" s="1">
        <v>48275.0</v>
      </c>
      <c r="B2660" s="2" t="str">
        <f>IFERROR(__xludf.DUMMYFUNCTION("TO_TEXT(A2660)"),"48275")</f>
        <v>48275</v>
      </c>
      <c r="C2660" s="1">
        <v>3807.0</v>
      </c>
      <c r="D2660" s="1">
        <v>850.624807720386</v>
      </c>
      <c r="E2660" s="1" t="s">
        <v>1224</v>
      </c>
      <c r="F2660" s="1" t="s">
        <v>4346</v>
      </c>
      <c r="G2660" s="1">
        <v>4.47553370821913</v>
      </c>
      <c r="H2660" s="1">
        <v>19.60260266</v>
      </c>
      <c r="I2660" s="1">
        <v>4.00035046459999</v>
      </c>
      <c r="J2660" s="1">
        <v>8.2595870206</v>
      </c>
      <c r="K2660" s="1">
        <v>14.596867712</v>
      </c>
      <c r="L2660" s="1">
        <v>24.8</v>
      </c>
      <c r="M2660" s="1">
        <v>6.4</v>
      </c>
      <c r="N2660" s="1">
        <v>21.8</v>
      </c>
      <c r="O2660" s="1">
        <v>39.338531863</v>
      </c>
      <c r="P2660" s="1">
        <v>25.025782056</v>
      </c>
      <c r="Q2660" s="1">
        <v>26.95418</v>
      </c>
      <c r="R2660" s="1">
        <v>98.6</v>
      </c>
      <c r="S2660" s="1">
        <v>31.5</v>
      </c>
      <c r="T2660" s="1">
        <v>1021.0</v>
      </c>
      <c r="U2660" s="1">
        <v>24.289911851</v>
      </c>
      <c r="V2660" s="1">
        <v>221.38299258</v>
      </c>
      <c r="W2660" s="1">
        <v>9.8181818182</v>
      </c>
      <c r="X2660" s="1">
        <v>4.7725577927</v>
      </c>
      <c r="Y2660" s="1">
        <v>73.821121626</v>
      </c>
      <c r="Z2660" s="1">
        <v>7.5</v>
      </c>
      <c r="AA2660" s="1">
        <v>21.057080862</v>
      </c>
      <c r="AB2660" s="1">
        <v>39726.0</v>
      </c>
      <c r="AC2660" s="1">
        <v>64.52991453</v>
      </c>
      <c r="AD2660" s="1">
        <v>84.360902256</v>
      </c>
      <c r="AE2660" s="1">
        <v>4.1467304625</v>
      </c>
      <c r="AF2660" s="1">
        <v>5.2833287709</v>
      </c>
      <c r="AG2660" s="1">
        <v>1.3687380235</v>
      </c>
      <c r="AH2660" s="1">
        <v>0.3011223652</v>
      </c>
      <c r="AI2660" s="1">
        <v>0.0547495209</v>
      </c>
      <c r="AJ2660" s="1">
        <v>34.9028196</v>
      </c>
      <c r="AK2660" s="1">
        <v>57.295373665</v>
      </c>
      <c r="AL2660" s="1">
        <v>5.0376375217</v>
      </c>
      <c r="AM2660" s="1">
        <v>50.479058308</v>
      </c>
      <c r="AN2660" s="1">
        <v>100.0</v>
      </c>
      <c r="AO2660" s="1">
        <v>19673.0</v>
      </c>
      <c r="AP2660" s="1">
        <v>14.7</v>
      </c>
      <c r="AQ2660" s="1">
        <v>5.4</v>
      </c>
      <c r="AR2660" s="1">
        <v>19.9</v>
      </c>
      <c r="AS2660" s="1">
        <v>20.4</v>
      </c>
      <c r="AT2660" s="1">
        <v>26.3</v>
      </c>
      <c r="AU2660" s="1">
        <v>19.8</v>
      </c>
      <c r="AV2660" s="1">
        <v>39.6</v>
      </c>
      <c r="AW2660" s="1">
        <v>6.0</v>
      </c>
      <c r="AX2660" s="1">
        <v>0.8198</v>
      </c>
      <c r="AY2660" s="1">
        <v>19.1</v>
      </c>
      <c r="AZ2660" s="1">
        <v>15.3</v>
      </c>
      <c r="BA2660" s="1">
        <v>24.6</v>
      </c>
      <c r="BB2660" s="1">
        <v>2.81</v>
      </c>
      <c r="BC2660" s="1" t="s">
        <v>4123</v>
      </c>
      <c r="BD2660" s="1">
        <v>18.1</v>
      </c>
      <c r="BE2660" s="1">
        <v>34.3</v>
      </c>
      <c r="BF2660" s="1">
        <v>27.5</v>
      </c>
      <c r="BG2660" s="1">
        <v>20.1</v>
      </c>
      <c r="BH2660" s="1" t="s">
        <v>4346</v>
      </c>
    </row>
    <row r="2661">
      <c r="A2661" s="1">
        <v>48277.0</v>
      </c>
      <c r="B2661" s="2" t="str">
        <f>IFERROR(__xludf.DUMMYFUNCTION("TO_TEXT(A2661)"),"48277")</f>
        <v>48277</v>
      </c>
      <c r="C2661" s="1">
        <v>49626.0</v>
      </c>
      <c r="D2661" s="1">
        <v>907.193841861358</v>
      </c>
      <c r="E2661" s="1" t="s">
        <v>134</v>
      </c>
      <c r="F2661" s="1" t="s">
        <v>4347</v>
      </c>
      <c r="G2661" s="1">
        <v>54.7027522785853</v>
      </c>
      <c r="H2661" s="1">
        <v>19.558620172</v>
      </c>
      <c r="I2661" s="1">
        <v>4.4569017526</v>
      </c>
      <c r="J2661" s="1">
        <v>8.8082901554</v>
      </c>
      <c r="K2661" s="1">
        <v>17.973480918</v>
      </c>
      <c r="L2661" s="1">
        <v>34.3</v>
      </c>
      <c r="M2661" s="1">
        <v>5.8</v>
      </c>
      <c r="N2661" s="1">
        <v>37.3</v>
      </c>
      <c r="O2661" s="1">
        <v>63.647500653</v>
      </c>
      <c r="P2661" s="1">
        <v>19.4686476959999</v>
      </c>
      <c r="Q2661" s="1">
        <v>50.41644</v>
      </c>
      <c r="R2661" s="1">
        <v>96.0</v>
      </c>
      <c r="S2661" s="1">
        <v>22.2</v>
      </c>
      <c r="T2661" s="1">
        <v>11772.0</v>
      </c>
      <c r="U2661" s="1">
        <v>41.411824669</v>
      </c>
      <c r="V2661" s="1">
        <v>386.24483069</v>
      </c>
      <c r="W2661" s="1">
        <v>16.618610747</v>
      </c>
      <c r="X2661" s="1">
        <v>13.03538175</v>
      </c>
      <c r="Y2661" s="1">
        <v>75.54700113</v>
      </c>
      <c r="Z2661" s="1">
        <v>15.0</v>
      </c>
      <c r="AA2661" s="1">
        <v>12.332236226</v>
      </c>
      <c r="AB2661" s="1">
        <v>45767.0</v>
      </c>
      <c r="AC2661" s="1">
        <v>62.5695088039999</v>
      </c>
      <c r="AD2661" s="1">
        <v>64.992492104</v>
      </c>
      <c r="AE2661" s="1">
        <v>13.42572305</v>
      </c>
      <c r="AF2661" s="1">
        <v>13.107303732</v>
      </c>
      <c r="AG2661" s="1">
        <v>1.8359877735</v>
      </c>
      <c r="AH2661" s="1">
        <v>0.7882882883</v>
      </c>
      <c r="AI2661" s="1">
        <v>0.0542953668</v>
      </c>
      <c r="AJ2661" s="1">
        <v>8.0578346203</v>
      </c>
      <c r="AK2661" s="1">
        <v>73.988497426</v>
      </c>
      <c r="AL2661" s="1">
        <v>1.0734768964</v>
      </c>
      <c r="AM2661" s="1">
        <v>51.797779923</v>
      </c>
      <c r="AN2661" s="1">
        <v>47.082923302</v>
      </c>
      <c r="AO2661" s="1">
        <v>22438.0</v>
      </c>
      <c r="AP2661" s="1">
        <v>19.9</v>
      </c>
      <c r="AQ2661" s="1">
        <v>7.0</v>
      </c>
      <c r="AR2661" s="1">
        <v>15.5</v>
      </c>
      <c r="AS2661" s="1">
        <v>18.2</v>
      </c>
      <c r="AT2661" s="1">
        <v>23.6</v>
      </c>
      <c r="AU2661" s="1">
        <v>18.3</v>
      </c>
      <c r="AV2661" s="1">
        <v>24.7</v>
      </c>
      <c r="AW2661" s="1">
        <v>1.4</v>
      </c>
      <c r="AX2661" s="1">
        <v>0.8609</v>
      </c>
      <c r="AY2661" s="1">
        <v>18.4</v>
      </c>
      <c r="AZ2661" s="1">
        <v>18.1</v>
      </c>
      <c r="BA2661" s="1">
        <v>27.3</v>
      </c>
      <c r="BB2661" s="1">
        <v>2.63</v>
      </c>
      <c r="BC2661" s="1" t="s">
        <v>4123</v>
      </c>
      <c r="BD2661" s="1">
        <v>15.7</v>
      </c>
      <c r="BE2661" s="1">
        <v>33.1</v>
      </c>
      <c r="BF2661" s="1">
        <v>32.5</v>
      </c>
      <c r="BG2661" s="1">
        <v>18.7</v>
      </c>
      <c r="BH2661" s="1" t="s">
        <v>4347</v>
      </c>
    </row>
    <row r="2662">
      <c r="A2662" s="1">
        <v>48279.0</v>
      </c>
      <c r="B2662" s="2" t="str">
        <f>IFERROR(__xludf.DUMMYFUNCTION("TO_TEXT(A2662)"),"48279")</f>
        <v>48279</v>
      </c>
      <c r="C2662" s="1">
        <v>13561.0</v>
      </c>
      <c r="D2662" s="1">
        <v>1016.18091750265</v>
      </c>
      <c r="E2662" s="1" t="s">
        <v>4348</v>
      </c>
      <c r="F2662" s="1" t="s">
        <v>4349</v>
      </c>
      <c r="G2662" s="1">
        <v>13.3450646104704</v>
      </c>
      <c r="H2662" s="1">
        <v>26.104734081</v>
      </c>
      <c r="I2662" s="1">
        <v>4.3510828207</v>
      </c>
      <c r="J2662" s="1">
        <v>8.6722947045</v>
      </c>
      <c r="K2662" s="1">
        <v>16.316045368</v>
      </c>
      <c r="L2662" s="1">
        <v>26.4</v>
      </c>
      <c r="M2662" s="1">
        <v>8.1</v>
      </c>
      <c r="N2662" s="1">
        <v>27.6</v>
      </c>
      <c r="O2662" s="1">
        <v>69.37110968</v>
      </c>
      <c r="P2662" s="1">
        <v>25.08733223</v>
      </c>
      <c r="Q2662" s="1">
        <v>22.71007</v>
      </c>
      <c r="R2662" s="1">
        <v>97.5</v>
      </c>
      <c r="S2662" s="1">
        <v>27.8</v>
      </c>
      <c r="T2662" s="1">
        <v>3681.0</v>
      </c>
      <c r="U2662" s="1">
        <v>45.368106493</v>
      </c>
      <c r="V2662" s="1">
        <v>341.47309907</v>
      </c>
      <c r="W2662" s="1">
        <v>11.838006231</v>
      </c>
      <c r="X2662" s="1">
        <v>6.1570680628</v>
      </c>
      <c r="Y2662" s="1">
        <v>76.044263112</v>
      </c>
      <c r="Z2662" s="1">
        <v>18.2</v>
      </c>
      <c r="AA2662" s="1">
        <v>1.5645018921</v>
      </c>
      <c r="AB2662" s="1">
        <v>42700.0</v>
      </c>
      <c r="AC2662" s="1">
        <v>70.252951096</v>
      </c>
      <c r="AD2662" s="1">
        <v>70.361800589</v>
      </c>
      <c r="AE2662" s="1">
        <v>9.2911218169</v>
      </c>
      <c r="AF2662" s="1">
        <v>3.412372701</v>
      </c>
      <c r="AG2662" s="1">
        <v>1.7175862593</v>
      </c>
      <c r="AH2662" s="1">
        <v>0.3951968384</v>
      </c>
      <c r="AI2662" s="1">
        <v>0.113999088</v>
      </c>
      <c r="AJ2662" s="1">
        <v>55.867153063</v>
      </c>
      <c r="AK2662" s="1">
        <v>39.177686579</v>
      </c>
      <c r="AL2662" s="1">
        <v>7.5089489099</v>
      </c>
      <c r="AM2662" s="1">
        <v>50.425596595</v>
      </c>
      <c r="AN2662" s="1">
        <v>57.687629677</v>
      </c>
      <c r="AO2662" s="1">
        <v>20933.0</v>
      </c>
      <c r="AP2662" s="1">
        <v>20.8</v>
      </c>
      <c r="AQ2662" s="1">
        <v>4.7</v>
      </c>
      <c r="AR2662" s="1">
        <v>25.8</v>
      </c>
      <c r="AS2662" s="1">
        <v>16.4</v>
      </c>
      <c r="AT2662" s="1">
        <v>28.3</v>
      </c>
      <c r="AU2662" s="1">
        <v>14.4</v>
      </c>
      <c r="AV2662" s="1">
        <v>59.3</v>
      </c>
      <c r="AW2662" s="1">
        <v>5.7</v>
      </c>
      <c r="AX2662" s="1">
        <v>0.8255</v>
      </c>
      <c r="AY2662" s="1">
        <v>18.5</v>
      </c>
      <c r="AZ2662" s="1">
        <v>16.9</v>
      </c>
      <c r="BA2662" s="1">
        <v>25.6</v>
      </c>
      <c r="BB2662" s="1">
        <v>3.04</v>
      </c>
      <c r="BC2662" s="1" t="s">
        <v>4123</v>
      </c>
      <c r="BD2662" s="1">
        <v>25.1</v>
      </c>
      <c r="BE2662" s="1">
        <v>32.4</v>
      </c>
      <c r="BF2662" s="1">
        <v>28.1</v>
      </c>
      <c r="BG2662" s="1">
        <v>14.4</v>
      </c>
      <c r="BH2662" s="1" t="s">
        <v>4349</v>
      </c>
    </row>
    <row r="2663">
      <c r="A2663" s="1">
        <v>48281.0</v>
      </c>
      <c r="B2663" s="2" t="str">
        <f>IFERROR(__xludf.DUMMYFUNCTION("TO_TEXT(A2663)"),"48281")</f>
        <v>48281</v>
      </c>
      <c r="C2663" s="1">
        <v>20357.0</v>
      </c>
      <c r="D2663" s="1">
        <v>712.84106267477</v>
      </c>
      <c r="E2663" s="1" t="s">
        <v>4350</v>
      </c>
      <c r="F2663" s="1" t="s">
        <v>4351</v>
      </c>
      <c r="G2663" s="1">
        <v>28.5575580110594</v>
      </c>
      <c r="H2663" s="1">
        <v>16.640287912</v>
      </c>
      <c r="I2663" s="1">
        <v>3.9607678266</v>
      </c>
      <c r="J2663" s="1">
        <v>5.8561425843</v>
      </c>
      <c r="K2663" s="1">
        <v>14.2805026709999</v>
      </c>
      <c r="L2663" s="1">
        <v>30.0</v>
      </c>
      <c r="M2663" s="1">
        <v>7.2</v>
      </c>
      <c r="N2663" s="1">
        <v>25.3</v>
      </c>
      <c r="O2663" s="1">
        <v>49.006454236</v>
      </c>
      <c r="P2663" s="1">
        <v>20.151059185</v>
      </c>
      <c r="Q2663" s="1">
        <v>42.80211</v>
      </c>
      <c r="R2663" s="1">
        <v>99.2</v>
      </c>
      <c r="S2663" s="1">
        <v>20.2</v>
      </c>
      <c r="T2663" s="1">
        <v>4644.0</v>
      </c>
      <c r="U2663" s="1">
        <v>31.007751938</v>
      </c>
      <c r="V2663" s="1">
        <v>140.60894489</v>
      </c>
      <c r="W2663" s="1">
        <v>14.963744232</v>
      </c>
      <c r="X2663" s="1">
        <v>12.50334672</v>
      </c>
      <c r="Y2663" s="1">
        <v>78.860146216</v>
      </c>
      <c r="Z2663" s="1">
        <v>5.7</v>
      </c>
      <c r="AA2663" s="1">
        <v>8.6092852046</v>
      </c>
      <c r="AB2663" s="1">
        <v>55151.0</v>
      </c>
      <c r="AC2663" s="1">
        <v>50.709606987</v>
      </c>
      <c r="AD2663" s="1">
        <v>75.588007237</v>
      </c>
      <c r="AE2663" s="1">
        <v>10.9207708779999</v>
      </c>
      <c r="AF2663" s="1">
        <v>3.5093504169</v>
      </c>
      <c r="AG2663" s="1">
        <v>1.29068726739999</v>
      </c>
      <c r="AH2663" s="1">
        <v>1.3613453295</v>
      </c>
      <c r="AI2663" s="1">
        <v>0.4710537472</v>
      </c>
      <c r="AJ2663" s="1">
        <v>19.826652221</v>
      </c>
      <c r="AK2663" s="1">
        <v>72.090065476</v>
      </c>
      <c r="AL2663" s="1">
        <v>0.892124692399999</v>
      </c>
      <c r="AM2663" s="1">
        <v>50.723067502</v>
      </c>
      <c r="AN2663" s="1">
        <v>68.267520455</v>
      </c>
      <c r="AO2663" s="1">
        <v>24382.0</v>
      </c>
      <c r="AP2663" s="1">
        <v>13.7</v>
      </c>
      <c r="AQ2663" s="1">
        <v>8.2</v>
      </c>
      <c r="AR2663" s="1">
        <v>11.4</v>
      </c>
      <c r="AS2663" s="1">
        <v>17.7</v>
      </c>
      <c r="AT2663" s="1">
        <v>24.3</v>
      </c>
      <c r="AU2663" s="1">
        <v>17.5</v>
      </c>
      <c r="AV2663" s="1">
        <v>26.6</v>
      </c>
      <c r="AW2663" s="1">
        <v>1.1</v>
      </c>
      <c r="AX2663" s="1">
        <v>0.5517</v>
      </c>
      <c r="AY2663" s="1">
        <v>12.4</v>
      </c>
      <c r="AZ2663" s="1">
        <v>14.8</v>
      </c>
      <c r="BA2663" s="1">
        <v>22.1</v>
      </c>
      <c r="BB2663" s="1">
        <v>2.62</v>
      </c>
      <c r="BC2663" s="1" t="s">
        <v>4123</v>
      </c>
      <c r="BD2663" s="1">
        <v>9.0</v>
      </c>
      <c r="BE2663" s="1">
        <v>29.4</v>
      </c>
      <c r="BF2663" s="1">
        <v>41.7</v>
      </c>
      <c r="BG2663" s="1">
        <v>19.9</v>
      </c>
      <c r="BH2663" s="1" t="s">
        <v>4351</v>
      </c>
    </row>
    <row r="2664">
      <c r="A2664" s="1">
        <v>48283.0</v>
      </c>
      <c r="B2664" s="2" t="str">
        <f>IFERROR(__xludf.DUMMYFUNCTION("TO_TEXT(A2664)"),"48283")</f>
        <v>48283</v>
      </c>
      <c r="C2664" s="1">
        <v>7319.0</v>
      </c>
      <c r="D2664" s="1">
        <v>1486.70341362209</v>
      </c>
      <c r="E2664" s="1" t="s">
        <v>1988</v>
      </c>
      <c r="F2664" s="1" t="s">
        <v>4352</v>
      </c>
      <c r="G2664" s="1">
        <v>4.92297248593016</v>
      </c>
      <c r="H2664" s="1">
        <v>27.677836159</v>
      </c>
      <c r="I2664" s="1">
        <v>3.8896424485</v>
      </c>
      <c r="J2664" s="1">
        <v>9.1988130564</v>
      </c>
      <c r="K2664" s="1">
        <v>14.495445635</v>
      </c>
      <c r="L2664" s="1">
        <v>29.5</v>
      </c>
      <c r="M2664" s="1">
        <v>6.3</v>
      </c>
      <c r="N2664" s="1">
        <v>24.6</v>
      </c>
      <c r="O2664" s="1">
        <v>0.3775776939</v>
      </c>
      <c r="P2664" s="1">
        <v>16.561159894</v>
      </c>
      <c r="Q2664" s="1">
        <v>48.31939</v>
      </c>
      <c r="R2664" s="1">
        <v>87.6</v>
      </c>
      <c r="S2664" s="1">
        <v>35.5</v>
      </c>
      <c r="T2664" s="1">
        <v>1621.0</v>
      </c>
      <c r="U2664" s="1">
        <v>29.24120913</v>
      </c>
      <c r="V2664" s="1">
        <v>84.911822338</v>
      </c>
      <c r="W2664" s="1">
        <v>24.523809524</v>
      </c>
      <c r="X2664" s="1">
        <v>11.19047619</v>
      </c>
      <c r="Y2664" s="1">
        <v>77.449503301</v>
      </c>
      <c r="Z2664" s="1">
        <v>9.1</v>
      </c>
      <c r="AA2664" s="1">
        <v>38.994100898</v>
      </c>
      <c r="AB2664" s="1">
        <v>40072.0</v>
      </c>
      <c r="AC2664" s="1">
        <v>87.3913043479999</v>
      </c>
      <c r="AD2664" s="1">
        <v>68.366425993</v>
      </c>
      <c r="AE2664" s="1">
        <v>11.292875989</v>
      </c>
      <c r="AF2664" s="1">
        <v>0.5709733103</v>
      </c>
      <c r="AG2664" s="1">
        <v>0.7568715974</v>
      </c>
      <c r="AH2664" s="1">
        <v>0.3717965742</v>
      </c>
      <c r="AI2664" s="1">
        <v>0.0265568982</v>
      </c>
      <c r="AJ2664" s="1">
        <v>87.066790599</v>
      </c>
      <c r="AK2664" s="1">
        <v>11.392909308</v>
      </c>
      <c r="AL2664" s="1">
        <v>9.3464715259</v>
      </c>
      <c r="AM2664" s="1">
        <v>40.817952463</v>
      </c>
      <c r="AN2664" s="1">
        <v>46.3549230319999</v>
      </c>
      <c r="AO2664" s="1">
        <v>23939.0</v>
      </c>
      <c r="AP2664" s="1">
        <v>13.2</v>
      </c>
      <c r="AQ2664" s="1">
        <v>8.4</v>
      </c>
      <c r="AR2664" s="1">
        <v>36.3</v>
      </c>
      <c r="AS2664" s="1">
        <v>14.4</v>
      </c>
      <c r="AT2664" s="1">
        <v>24.9</v>
      </c>
      <c r="AU2664" s="1">
        <v>21.4</v>
      </c>
      <c r="AV2664" s="1">
        <v>86.5</v>
      </c>
      <c r="AW2664" s="1">
        <v>12.4</v>
      </c>
      <c r="AX2664" s="1">
        <v>0.9631</v>
      </c>
      <c r="AY2664" s="1">
        <v>26.6</v>
      </c>
      <c r="AZ2664" s="1">
        <v>12.0</v>
      </c>
      <c r="BA2664" s="1">
        <v>17.3</v>
      </c>
      <c r="BB2664" s="1">
        <v>2.49</v>
      </c>
      <c r="BC2664" s="1" t="s">
        <v>4123</v>
      </c>
      <c r="BD2664" s="1">
        <v>36.4</v>
      </c>
      <c r="BE2664" s="1">
        <v>38.6</v>
      </c>
      <c r="BF2664" s="1">
        <v>17.5</v>
      </c>
      <c r="BG2664" s="1">
        <v>7.5</v>
      </c>
      <c r="BH2664" s="1" t="s">
        <v>4352</v>
      </c>
    </row>
    <row r="2665">
      <c r="A2665" s="1">
        <v>48285.0</v>
      </c>
      <c r="B2665" s="2" t="str">
        <f>IFERROR(__xludf.DUMMYFUNCTION("TO_TEXT(A2665)"),"48285")</f>
        <v>48285</v>
      </c>
      <c r="C2665" s="1">
        <v>19654.0</v>
      </c>
      <c r="D2665" s="1">
        <v>969.708781937194</v>
      </c>
      <c r="E2665" s="1" t="s">
        <v>4353</v>
      </c>
      <c r="F2665" s="1" t="s">
        <v>4354</v>
      </c>
      <c r="G2665" s="1">
        <v>20.267940608661</v>
      </c>
      <c r="H2665" s="1">
        <v>16.155863494</v>
      </c>
      <c r="I2665" s="1">
        <v>3.9343645939</v>
      </c>
      <c r="J2665" s="1">
        <v>7.3981191223</v>
      </c>
      <c r="K2665" s="1">
        <v>12.803812709</v>
      </c>
      <c r="L2665" s="1">
        <v>35.5</v>
      </c>
      <c r="M2665" s="1">
        <v>7.6</v>
      </c>
      <c r="N2665" s="1">
        <v>33.5</v>
      </c>
      <c r="O2665" s="1">
        <v>62.295592587</v>
      </c>
      <c r="P2665" s="1">
        <v>18.196625187</v>
      </c>
      <c r="Q2665" s="1">
        <v>69.78367</v>
      </c>
      <c r="R2665" s="1">
        <v>98.7</v>
      </c>
      <c r="S2665" s="1">
        <v>22.2</v>
      </c>
      <c r="T2665" s="1">
        <v>4704.0</v>
      </c>
      <c r="U2665" s="1">
        <v>26.615646259</v>
      </c>
      <c r="V2665" s="1">
        <v>153.62530536</v>
      </c>
      <c r="W2665" s="1">
        <v>14.2764857879999</v>
      </c>
      <c r="X2665" s="1">
        <v>6.6840052016</v>
      </c>
      <c r="Y2665" s="1">
        <v>78.887993493</v>
      </c>
      <c r="Z2665" s="1">
        <v>19.0</v>
      </c>
      <c r="AA2665" s="1">
        <v>3.7850202155</v>
      </c>
      <c r="AB2665" s="1">
        <v>51128.0</v>
      </c>
      <c r="AC2665" s="1">
        <v>42.534864643</v>
      </c>
      <c r="AD2665" s="1">
        <v>75.0386797319999</v>
      </c>
      <c r="AE2665" s="1">
        <v>7.2300727123</v>
      </c>
      <c r="AF2665" s="1">
        <v>5.8478368971</v>
      </c>
      <c r="AG2665" s="1">
        <v>0.6364992541</v>
      </c>
      <c r="AH2665" s="1">
        <v>0.5072103431</v>
      </c>
      <c r="AI2665" s="1">
        <v>0.0845350572</v>
      </c>
      <c r="AJ2665" s="1">
        <v>19.2491297859999</v>
      </c>
      <c r="AK2665" s="1">
        <v>73.182496271</v>
      </c>
      <c r="AL2665" s="1">
        <v>2.0051194539</v>
      </c>
      <c r="AM2665" s="1">
        <v>51.158627548</v>
      </c>
      <c r="AN2665" s="1">
        <v>81.316513523</v>
      </c>
      <c r="AO2665" s="1">
        <v>28491.0</v>
      </c>
      <c r="AP2665" s="1">
        <v>10.4</v>
      </c>
      <c r="AQ2665" s="1">
        <v>3.5</v>
      </c>
      <c r="AR2665" s="1">
        <v>17.0</v>
      </c>
      <c r="AS2665" s="1">
        <v>22.1</v>
      </c>
      <c r="AT2665" s="1">
        <v>23.4</v>
      </c>
      <c r="AU2665" s="1">
        <v>17.9</v>
      </c>
      <c r="AV2665" s="1">
        <v>25.4</v>
      </c>
      <c r="AW2665" s="1">
        <v>2.3</v>
      </c>
      <c r="AX2665" s="1">
        <v>0.6145</v>
      </c>
      <c r="AY2665" s="1">
        <v>11.0</v>
      </c>
      <c r="AZ2665" s="1">
        <v>14.5</v>
      </c>
      <c r="BA2665" s="1">
        <v>21.8</v>
      </c>
      <c r="BB2665" s="1">
        <v>2.62</v>
      </c>
      <c r="BC2665" s="1" t="s">
        <v>4123</v>
      </c>
      <c r="BD2665" s="1">
        <v>14.4</v>
      </c>
      <c r="BE2665" s="1">
        <v>40.9</v>
      </c>
      <c r="BF2665" s="1">
        <v>28.1</v>
      </c>
      <c r="BG2665" s="1">
        <v>16.7</v>
      </c>
      <c r="BH2665" s="1" t="s">
        <v>4354</v>
      </c>
    </row>
    <row r="2666">
      <c r="A2666" s="1">
        <v>48287.0</v>
      </c>
      <c r="B2666" s="2" t="str">
        <f>IFERROR(__xludf.DUMMYFUNCTION("TO_TEXT(A2666)"),"48287")</f>
        <v>48287</v>
      </c>
      <c r="C2666" s="1">
        <v>16754.0</v>
      </c>
      <c r="D2666" s="1">
        <v>629.0393475202</v>
      </c>
      <c r="E2666" s="1" t="s">
        <v>140</v>
      </c>
      <c r="F2666" s="1" t="s">
        <v>4355</v>
      </c>
      <c r="G2666" s="1">
        <v>26.6342639233104</v>
      </c>
      <c r="H2666" s="1">
        <v>17.961763839</v>
      </c>
      <c r="I2666" s="1">
        <v>3.9874773526</v>
      </c>
      <c r="J2666" s="1">
        <v>7.5799721836</v>
      </c>
      <c r="K2666" s="1">
        <v>14.878234008</v>
      </c>
      <c r="L2666" s="1">
        <v>41.1</v>
      </c>
      <c r="M2666" s="1">
        <v>7.7</v>
      </c>
      <c r="N2666" s="1">
        <v>35.0</v>
      </c>
      <c r="O2666" s="1">
        <v>47.188779196</v>
      </c>
      <c r="P2666" s="1">
        <v>22.047990664</v>
      </c>
      <c r="Q2666" s="1">
        <v>23.27882</v>
      </c>
      <c r="R2666" s="1">
        <v>95.1</v>
      </c>
      <c r="S2666" s="1">
        <v>17.8</v>
      </c>
      <c r="T2666" s="1">
        <v>3603.0</v>
      </c>
      <c r="U2666" s="1">
        <v>40.632805995</v>
      </c>
      <c r="V2666" s="1">
        <v>252.50274782</v>
      </c>
      <c r="W2666" s="1">
        <v>15.960099751</v>
      </c>
      <c r="X2666" s="1">
        <v>11.584327087</v>
      </c>
      <c r="Y2666" s="1">
        <v>77.435574425</v>
      </c>
      <c r="Z2666" s="1">
        <v>15.5</v>
      </c>
      <c r="AA2666" s="1">
        <v>2.0791346378</v>
      </c>
      <c r="AB2666" s="1">
        <v>55834.0</v>
      </c>
      <c r="AC2666" s="1">
        <v>63.832982878</v>
      </c>
      <c r="AD2666" s="1">
        <v>78.833551769</v>
      </c>
      <c r="AE2666" s="1">
        <v>13.862928349</v>
      </c>
      <c r="AF2666" s="1">
        <v>10.510965936</v>
      </c>
      <c r="AG2666" s="1">
        <v>1.1374241717</v>
      </c>
      <c r="AH2666" s="1">
        <v>0.5657956136</v>
      </c>
      <c r="AI2666" s="1">
        <v>0.2158189454</v>
      </c>
      <c r="AJ2666" s="1">
        <v>23.880074662</v>
      </c>
      <c r="AK2666" s="1">
        <v>63.351609893</v>
      </c>
      <c r="AL2666" s="1">
        <v>2.9552964649</v>
      </c>
      <c r="AM2666" s="1">
        <v>49.784181055</v>
      </c>
      <c r="AN2666" s="1">
        <v>69.720683843</v>
      </c>
      <c r="AO2666" s="1">
        <v>25549.0</v>
      </c>
      <c r="AP2666" s="1">
        <v>14.8</v>
      </c>
      <c r="AQ2666" s="1">
        <v>6.0</v>
      </c>
      <c r="AR2666" s="1">
        <v>17.7</v>
      </c>
      <c r="AS2666" s="1">
        <v>16.9</v>
      </c>
      <c r="AT2666" s="1">
        <v>23.0</v>
      </c>
      <c r="AU2666" s="1">
        <v>15.7</v>
      </c>
      <c r="AV2666" s="1">
        <v>36.1</v>
      </c>
      <c r="AW2666" s="1">
        <v>3.7</v>
      </c>
      <c r="AX2666" s="1">
        <v>0.6129</v>
      </c>
      <c r="AY2666" s="1">
        <v>10.7</v>
      </c>
      <c r="AZ2666" s="1">
        <v>14.1</v>
      </c>
      <c r="BA2666" s="1">
        <v>20.9</v>
      </c>
      <c r="BB2666" s="1">
        <v>3.17</v>
      </c>
      <c r="BC2666" s="1" t="s">
        <v>4123</v>
      </c>
      <c r="BD2666" s="1">
        <v>15.4</v>
      </c>
      <c r="BE2666" s="1">
        <v>36.2</v>
      </c>
      <c r="BF2666" s="1">
        <v>33.9</v>
      </c>
      <c r="BG2666" s="1">
        <v>14.6</v>
      </c>
      <c r="BH2666" s="1" t="s">
        <v>4355</v>
      </c>
    </row>
    <row r="2667">
      <c r="A2667" s="1">
        <v>48289.0</v>
      </c>
      <c r="B2667" s="2" t="str">
        <f>IFERROR(__xludf.DUMMYFUNCTION("TO_TEXT(A2667)"),"48289")</f>
        <v>48289</v>
      </c>
      <c r="C2667" s="1">
        <v>16923.0</v>
      </c>
      <c r="D2667" s="1">
        <v>1073.15584330163</v>
      </c>
      <c r="E2667" s="1" t="s">
        <v>740</v>
      </c>
      <c r="F2667" s="1" t="s">
        <v>4356</v>
      </c>
      <c r="G2667" s="1">
        <v>15.7693778640159</v>
      </c>
      <c r="H2667" s="1">
        <v>18.1408096109999</v>
      </c>
      <c r="I2667" s="1">
        <v>4.1948776236</v>
      </c>
      <c r="J2667" s="1">
        <v>7.1967100754</v>
      </c>
      <c r="K2667" s="1">
        <v>15.692028652</v>
      </c>
      <c r="L2667" s="1">
        <v>33.8</v>
      </c>
      <c r="M2667" s="1">
        <v>6.9</v>
      </c>
      <c r="N2667" s="1">
        <v>27.8</v>
      </c>
      <c r="O2667" s="1">
        <v>19.308374502</v>
      </c>
      <c r="P2667" s="1">
        <v>24.654907975</v>
      </c>
      <c r="Q2667" s="1">
        <v>48.31939</v>
      </c>
      <c r="R2667" s="1">
        <v>96.8</v>
      </c>
      <c r="S2667" s="1">
        <v>24.4</v>
      </c>
      <c r="T2667" s="1">
        <v>3895.0</v>
      </c>
      <c r="U2667" s="1">
        <v>36.354300385</v>
      </c>
      <c r="V2667" s="1">
        <v>110.75248402</v>
      </c>
      <c r="W2667" s="1">
        <v>12.420382166</v>
      </c>
      <c r="X2667" s="1">
        <v>8.4366446627</v>
      </c>
      <c r="Y2667" s="1">
        <v>76.188132516</v>
      </c>
      <c r="Z2667" s="1">
        <v>19.5</v>
      </c>
      <c r="AA2667" s="1">
        <v>4.6065350837</v>
      </c>
      <c r="AB2667" s="1">
        <v>47065.0</v>
      </c>
      <c r="AC2667" s="1">
        <v>51.46875</v>
      </c>
      <c r="AD2667" s="1">
        <v>78.52456393</v>
      </c>
      <c r="AE2667" s="1">
        <v>10.321921308</v>
      </c>
      <c r="AF2667" s="1">
        <v>6.8616097279</v>
      </c>
      <c r="AG2667" s="1">
        <v>0.8859293573</v>
      </c>
      <c r="AH2667" s="1">
        <v>0.746960046299999</v>
      </c>
      <c r="AI2667" s="1">
        <v>0.0231615518</v>
      </c>
      <c r="AJ2667" s="1">
        <v>15.01447597</v>
      </c>
      <c r="AK2667" s="1">
        <v>75.77880718</v>
      </c>
      <c r="AL2667" s="1">
        <v>3.5885913999</v>
      </c>
      <c r="AM2667" s="1">
        <v>50.277938622</v>
      </c>
      <c r="AN2667" s="1">
        <v>100.0</v>
      </c>
      <c r="AO2667" s="1">
        <v>27271.0</v>
      </c>
      <c r="AP2667" s="1">
        <v>16.0</v>
      </c>
      <c r="AQ2667" s="1">
        <v>7.6</v>
      </c>
      <c r="AR2667" s="1">
        <v>15.5</v>
      </c>
      <c r="AS2667" s="1">
        <v>23.1</v>
      </c>
      <c r="AT2667" s="1">
        <v>22.8</v>
      </c>
      <c r="AU2667" s="1">
        <v>14.3</v>
      </c>
      <c r="AV2667" s="1">
        <v>23.4</v>
      </c>
      <c r="AW2667" s="1">
        <v>3.9</v>
      </c>
      <c r="AX2667" s="1">
        <v>0.5944</v>
      </c>
      <c r="AY2667" s="1">
        <v>14.4</v>
      </c>
      <c r="AZ2667" s="1">
        <v>17.1</v>
      </c>
      <c r="BA2667" s="1">
        <v>27.8</v>
      </c>
      <c r="BB2667" s="1">
        <v>2.75</v>
      </c>
      <c r="BC2667" s="1" t="s">
        <v>4123</v>
      </c>
      <c r="BD2667" s="1">
        <v>18.2</v>
      </c>
      <c r="BE2667" s="1">
        <v>40.0</v>
      </c>
      <c r="BF2667" s="1">
        <v>27.7</v>
      </c>
      <c r="BG2667" s="1">
        <v>14.0</v>
      </c>
      <c r="BH2667" s="1" t="s">
        <v>4356</v>
      </c>
    </row>
    <row r="2668">
      <c r="A2668" s="1">
        <v>48291.0</v>
      </c>
      <c r="B2668" s="2" t="str">
        <f>IFERROR(__xludf.DUMMYFUNCTION("TO_TEXT(A2668)"),"48291")</f>
        <v>48291</v>
      </c>
      <c r="C2668" s="1">
        <v>78598.0</v>
      </c>
      <c r="D2668" s="1">
        <v>1158.43869514926</v>
      </c>
      <c r="E2668" s="1" t="s">
        <v>744</v>
      </c>
      <c r="F2668" s="1" t="s">
        <v>4357</v>
      </c>
      <c r="G2668" s="1">
        <v>67.8482170261697</v>
      </c>
      <c r="H2668" s="1">
        <v>20.35178764</v>
      </c>
      <c r="I2668" s="1">
        <v>4.1599910868</v>
      </c>
      <c r="J2668" s="1">
        <v>8.748403576</v>
      </c>
      <c r="K2668" s="1">
        <v>16.686172315</v>
      </c>
      <c r="L2668" s="1">
        <v>33.8</v>
      </c>
      <c r="M2668" s="1">
        <v>6.7</v>
      </c>
      <c r="N2668" s="1">
        <v>38.3</v>
      </c>
      <c r="O2668" s="1">
        <v>54.517932922</v>
      </c>
      <c r="P2668" s="1">
        <v>21.672886486</v>
      </c>
      <c r="Q2668" s="1">
        <v>23.90686</v>
      </c>
      <c r="R2668" s="1">
        <v>91.2</v>
      </c>
      <c r="S2668" s="1">
        <v>23.2</v>
      </c>
      <c r="T2668" s="1">
        <v>20942.0</v>
      </c>
      <c r="U2668" s="1">
        <v>28.741285455</v>
      </c>
      <c r="V2668" s="1">
        <v>409.6518276</v>
      </c>
      <c r="W2668" s="1">
        <v>15.169855525</v>
      </c>
      <c r="X2668" s="1">
        <v>10.41871437</v>
      </c>
      <c r="Y2668" s="1">
        <v>73.935215938</v>
      </c>
      <c r="Z2668" s="1">
        <v>19.7</v>
      </c>
      <c r="AA2668" s="1">
        <v>7.6638862363</v>
      </c>
      <c r="AB2668" s="1">
        <v>52577.0</v>
      </c>
      <c r="AC2668" s="1">
        <v>66.212406015</v>
      </c>
      <c r="AD2668" s="1">
        <v>74.422776018</v>
      </c>
      <c r="AE2668" s="1">
        <v>9.9263541337</v>
      </c>
      <c r="AF2668" s="1">
        <v>9.3926300059</v>
      </c>
      <c r="AG2668" s="1">
        <v>1.1711826512</v>
      </c>
      <c r="AH2668" s="1">
        <v>0.7599365175</v>
      </c>
      <c r="AI2668" s="1">
        <v>0.1065764628</v>
      </c>
      <c r="AJ2668" s="1">
        <v>26.775019404</v>
      </c>
      <c r="AK2668" s="1">
        <v>61.498094367</v>
      </c>
      <c r="AL2668" s="1">
        <v>3.9555071112</v>
      </c>
      <c r="AM2668" s="1">
        <v>50.425726631</v>
      </c>
      <c r="AN2668" s="1">
        <v>63.227264915</v>
      </c>
      <c r="AO2668" s="1">
        <v>22065.0</v>
      </c>
      <c r="AP2668" s="1">
        <v>17.3</v>
      </c>
      <c r="AQ2668" s="1">
        <v>9.2</v>
      </c>
      <c r="AR2668" s="1">
        <v>23.8</v>
      </c>
      <c r="AS2668" s="1">
        <v>12.8</v>
      </c>
      <c r="AT2668" s="1">
        <v>25.2</v>
      </c>
      <c r="AU2668" s="1">
        <v>17.8</v>
      </c>
      <c r="AV2668" s="1">
        <v>33.1</v>
      </c>
      <c r="AW2668" s="1">
        <v>3.9</v>
      </c>
      <c r="AX2668" s="1">
        <v>0.9357</v>
      </c>
      <c r="AY2668" s="1">
        <v>14.4</v>
      </c>
      <c r="AZ2668" s="1">
        <v>16.7</v>
      </c>
      <c r="BA2668" s="1">
        <v>25.9</v>
      </c>
      <c r="BB2668" s="1">
        <v>2.81</v>
      </c>
      <c r="BC2668" s="1" t="s">
        <v>4123</v>
      </c>
      <c r="BD2668" s="1">
        <v>22.7</v>
      </c>
      <c r="BE2668" s="1">
        <v>37.8</v>
      </c>
      <c r="BF2668" s="1">
        <v>29.8</v>
      </c>
      <c r="BG2668" s="1">
        <v>9.7</v>
      </c>
      <c r="BH2668" s="1" t="s">
        <v>4357</v>
      </c>
    </row>
    <row r="2669">
      <c r="A2669" s="1">
        <v>48293.0</v>
      </c>
      <c r="B2669" s="2" t="str">
        <f>IFERROR(__xludf.DUMMYFUNCTION("TO_TEXT(A2669)"),"48293")</f>
        <v>48293</v>
      </c>
      <c r="C2669" s="1">
        <v>23469.0</v>
      </c>
      <c r="D2669" s="1">
        <v>905.287777137283</v>
      </c>
      <c r="E2669" s="1" t="s">
        <v>142</v>
      </c>
      <c r="F2669" s="1" t="s">
        <v>4358</v>
      </c>
      <c r="G2669" s="1">
        <v>25.9243531092556</v>
      </c>
      <c r="H2669" s="1">
        <v>21.404290787</v>
      </c>
      <c r="I2669" s="1">
        <v>4.30873056</v>
      </c>
      <c r="J2669" s="1">
        <v>10.062590274</v>
      </c>
      <c r="K2669" s="1">
        <v>16.950345332</v>
      </c>
      <c r="L2669" s="1">
        <v>29.5</v>
      </c>
      <c r="M2669" s="1">
        <v>6.4</v>
      </c>
      <c r="N2669" s="1">
        <v>29.9</v>
      </c>
      <c r="O2669" s="1">
        <v>61.418063633</v>
      </c>
      <c r="P2669" s="1">
        <v>21.138947011</v>
      </c>
      <c r="Q2669" s="1">
        <v>34.00349</v>
      </c>
      <c r="R2669" s="1">
        <v>95.3</v>
      </c>
      <c r="S2669" s="1">
        <v>33.0</v>
      </c>
      <c r="T2669" s="1">
        <v>5287.0</v>
      </c>
      <c r="U2669" s="1">
        <v>33.3081142419999</v>
      </c>
      <c r="V2669" s="1">
        <v>372.74265761</v>
      </c>
      <c r="W2669" s="1">
        <v>13.486637663</v>
      </c>
      <c r="X2669" s="1">
        <v>9.9747155499</v>
      </c>
      <c r="Y2669" s="1">
        <v>76.075372154</v>
      </c>
      <c r="Z2669" s="1">
        <v>23.0</v>
      </c>
      <c r="AA2669" s="1">
        <v>8.4744463986</v>
      </c>
      <c r="AB2669" s="1">
        <v>43226.0</v>
      </c>
      <c r="AC2669" s="1">
        <v>74.536340852</v>
      </c>
      <c r="AD2669" s="1">
        <v>74.868404946</v>
      </c>
      <c r="AE2669" s="1">
        <v>9.8354231975</v>
      </c>
      <c r="AF2669" s="1">
        <v>16.658871551</v>
      </c>
      <c r="AG2669" s="1">
        <v>1.2160380969</v>
      </c>
      <c r="AH2669" s="1">
        <v>0.799353714</v>
      </c>
      <c r="AI2669" s="1">
        <v>0.0765338662</v>
      </c>
      <c r="AJ2669" s="1">
        <v>22.683787576</v>
      </c>
      <c r="AK2669" s="1">
        <v>58.029678133</v>
      </c>
      <c r="AL2669" s="1">
        <v>5.1438178761</v>
      </c>
      <c r="AM2669" s="1">
        <v>48.369403461</v>
      </c>
      <c r="AN2669" s="1">
        <v>53.617858365</v>
      </c>
      <c r="AO2669" s="1">
        <v>20506.0</v>
      </c>
      <c r="AP2669" s="1">
        <v>22.2</v>
      </c>
      <c r="AQ2669" s="1">
        <v>9.4</v>
      </c>
      <c r="AR2669" s="1">
        <v>21.1</v>
      </c>
      <c r="AS2669" s="1">
        <v>17.4</v>
      </c>
      <c r="AT2669" s="1">
        <v>23.2</v>
      </c>
      <c r="AU2669" s="1">
        <v>17.8</v>
      </c>
      <c r="AV2669" s="1">
        <v>40.3</v>
      </c>
      <c r="AW2669" s="1">
        <v>6.2</v>
      </c>
      <c r="AX2669" s="1">
        <v>0.9487</v>
      </c>
      <c r="AY2669" s="1">
        <v>19.2</v>
      </c>
      <c r="AZ2669" s="1">
        <v>17.7</v>
      </c>
      <c r="BA2669" s="1">
        <v>28.9</v>
      </c>
      <c r="BB2669" s="1">
        <v>2.83</v>
      </c>
      <c r="BC2669" s="1" t="s">
        <v>4123</v>
      </c>
      <c r="BD2669" s="1">
        <v>18.9</v>
      </c>
      <c r="BE2669" s="1">
        <v>33.2</v>
      </c>
      <c r="BF2669" s="1">
        <v>33.1</v>
      </c>
      <c r="BG2669" s="1">
        <v>14.8</v>
      </c>
      <c r="BH2669" s="1" t="s">
        <v>4358</v>
      </c>
    </row>
    <row r="2670">
      <c r="A2670" s="1">
        <v>48295.0</v>
      </c>
      <c r="B2670" s="2" t="str">
        <f>IFERROR(__xludf.DUMMYFUNCTION("TO_TEXT(A2670)"),"48295")</f>
        <v>48295</v>
      </c>
      <c r="C2670" s="1">
        <v>3507.0</v>
      </c>
      <c r="D2670" s="1">
        <v>932.176572543562</v>
      </c>
      <c r="E2670" s="1" t="s">
        <v>4359</v>
      </c>
      <c r="F2670" s="1" t="s">
        <v>4360</v>
      </c>
      <c r="G2670" s="1">
        <v>3.76216277398037</v>
      </c>
      <c r="H2670" s="1">
        <v>17.45795832</v>
      </c>
      <c r="I2670" s="1">
        <v>3.84277598</v>
      </c>
      <c r="J2670" s="1">
        <v>6.309148265</v>
      </c>
      <c r="K2670" s="1">
        <v>13.919322732</v>
      </c>
      <c r="L2670" s="1">
        <v>28.1</v>
      </c>
      <c r="M2670" s="1">
        <v>6.0</v>
      </c>
      <c r="N2670" s="1">
        <v>28.1</v>
      </c>
      <c r="O2670" s="1">
        <v>0.514839491199999</v>
      </c>
      <c r="P2670" s="1">
        <v>29.498737829</v>
      </c>
      <c r="Q2670" s="1">
        <v>48.31939</v>
      </c>
      <c r="R2670" s="1">
        <v>97.7</v>
      </c>
      <c r="S2670" s="1">
        <v>17.5</v>
      </c>
      <c r="T2670" s="1">
        <v>907.0</v>
      </c>
      <c r="U2670" s="1">
        <v>24.586549063</v>
      </c>
      <c r="V2670" s="1">
        <v>125.31328321</v>
      </c>
      <c r="W2670" s="1">
        <v>7.6923076923</v>
      </c>
      <c r="X2670" s="1">
        <v>4.8321048321</v>
      </c>
      <c r="Y2670" s="1">
        <v>79.650275016</v>
      </c>
      <c r="Z2670" s="1">
        <v>5.7</v>
      </c>
      <c r="AA2670" s="1">
        <v>28.184388629</v>
      </c>
      <c r="AB2670" s="1">
        <v>57332.0</v>
      </c>
      <c r="AC2670" s="1">
        <v>62.532299742</v>
      </c>
      <c r="AD2670" s="1">
        <v>73.72611465</v>
      </c>
      <c r="AE2670" s="1">
        <v>6.5517241379</v>
      </c>
      <c r="AF2670" s="1">
        <v>0.8345752608</v>
      </c>
      <c r="AG2670" s="1">
        <v>2.086438152</v>
      </c>
      <c r="AH2670" s="1">
        <v>0.774962742199999</v>
      </c>
      <c r="AI2670" s="1">
        <v>0.1788375559</v>
      </c>
      <c r="AJ2670" s="1">
        <v>34.485842027</v>
      </c>
      <c r="AK2670" s="1">
        <v>61.073025335</v>
      </c>
      <c r="AL2670" s="1">
        <v>4.2486722899</v>
      </c>
      <c r="AM2670" s="1">
        <v>48.3159463489999</v>
      </c>
      <c r="AN2670" s="1">
        <v>100.0</v>
      </c>
      <c r="AO2670" s="1">
        <v>29103.0</v>
      </c>
      <c r="AP2670" s="1">
        <v>10.4</v>
      </c>
      <c r="AQ2670" s="1">
        <v>5.8</v>
      </c>
      <c r="AR2670" s="1">
        <v>19.9</v>
      </c>
      <c r="AS2670" s="1">
        <v>14.1</v>
      </c>
      <c r="AT2670" s="1">
        <v>27.2</v>
      </c>
      <c r="AU2670" s="1">
        <v>12.3</v>
      </c>
      <c r="AV2670" s="1">
        <v>32.6</v>
      </c>
      <c r="AW2670" s="1">
        <v>4.5</v>
      </c>
      <c r="AX2670" s="1">
        <v>0.2235</v>
      </c>
      <c r="AY2670" s="1">
        <v>12.4</v>
      </c>
      <c r="AZ2670" s="1">
        <v>13.1</v>
      </c>
      <c r="BA2670" s="1">
        <v>19.1</v>
      </c>
      <c r="BB2670" s="1">
        <v>3.15</v>
      </c>
      <c r="BC2670" s="1" t="s">
        <v>4123</v>
      </c>
      <c r="BD2670" s="1">
        <v>17.9</v>
      </c>
      <c r="BE2670" s="1">
        <v>32.6</v>
      </c>
      <c r="BF2670" s="1">
        <v>29.9</v>
      </c>
      <c r="BG2670" s="1">
        <v>19.7</v>
      </c>
      <c r="BH2670" s="1" t="s">
        <v>4360</v>
      </c>
    </row>
    <row r="2671">
      <c r="A2671" s="1">
        <v>48297.0</v>
      </c>
      <c r="B2671" s="2" t="str">
        <f>IFERROR(__xludf.DUMMYFUNCTION("TO_TEXT(A2671)"),"48297")</f>
        <v>48297</v>
      </c>
      <c r="C2671" s="1">
        <v>11976.0</v>
      </c>
      <c r="D2671" s="1">
        <v>1039.69427138651</v>
      </c>
      <c r="E2671" s="1" t="s">
        <v>4361</v>
      </c>
      <c r="F2671" s="1" t="s">
        <v>4362</v>
      </c>
      <c r="G2671" s="1">
        <v>11.5187707863669</v>
      </c>
      <c r="H2671" s="1">
        <v>20.585696295</v>
      </c>
      <c r="I2671" s="1">
        <v>3.9093012886</v>
      </c>
      <c r="J2671" s="1">
        <v>7.5081610446</v>
      </c>
      <c r="K2671" s="1">
        <v>14.521777204</v>
      </c>
      <c r="L2671" s="1">
        <v>28.7</v>
      </c>
      <c r="M2671" s="1">
        <v>8.0</v>
      </c>
      <c r="N2671" s="1">
        <v>21.4</v>
      </c>
      <c r="O2671" s="1">
        <v>33.787182378</v>
      </c>
      <c r="P2671" s="1">
        <v>20.766478125</v>
      </c>
      <c r="Q2671" s="1">
        <v>8.21423</v>
      </c>
      <c r="R2671" s="1">
        <v>92.4</v>
      </c>
      <c r="S2671" s="1">
        <v>25.6</v>
      </c>
      <c r="T2671" s="1">
        <v>2412.0</v>
      </c>
      <c r="U2671" s="1">
        <v>29.43615257</v>
      </c>
      <c r="V2671" s="1">
        <v>320.07878862</v>
      </c>
      <c r="W2671" s="1">
        <v>13.3514986379999</v>
      </c>
      <c r="X2671" s="1">
        <v>7.6965517241</v>
      </c>
      <c r="Y2671" s="1">
        <v>79.178896002</v>
      </c>
      <c r="Z2671" s="1">
        <v>14.5</v>
      </c>
      <c r="AA2671" s="1">
        <v>3.6743878168</v>
      </c>
      <c r="AB2671" s="1">
        <v>48814.0</v>
      </c>
      <c r="AC2671" s="1">
        <v>61.417322835</v>
      </c>
      <c r="AD2671" s="1">
        <v>80.816326531</v>
      </c>
      <c r="AE2671" s="1">
        <v>5.413187446</v>
      </c>
      <c r="AF2671" s="1">
        <v>4.1098142364</v>
      </c>
      <c r="AG2671" s="1">
        <v>1.2247246424</v>
      </c>
      <c r="AH2671" s="1">
        <v>0.7562058195</v>
      </c>
      <c r="AI2671" s="1">
        <v>0.0986355417</v>
      </c>
      <c r="AJ2671" s="1">
        <v>40.432352458</v>
      </c>
      <c r="AK2671" s="1">
        <v>53.394706559</v>
      </c>
      <c r="AL2671" s="1">
        <v>5.44994768049999</v>
      </c>
      <c r="AM2671" s="1">
        <v>45.199736972</v>
      </c>
      <c r="AN2671" s="1">
        <v>100.0</v>
      </c>
      <c r="AO2671" s="1">
        <v>22047.0</v>
      </c>
      <c r="AP2671" s="1">
        <v>15.9</v>
      </c>
      <c r="AQ2671" s="1">
        <v>3.4</v>
      </c>
      <c r="AR2671" s="1">
        <v>20.8</v>
      </c>
      <c r="AS2671" s="1">
        <v>19.8</v>
      </c>
      <c r="AT2671" s="1">
        <v>20.6</v>
      </c>
      <c r="AU2671" s="1">
        <v>17.0</v>
      </c>
      <c r="AV2671" s="1">
        <v>44.1</v>
      </c>
      <c r="AW2671" s="1">
        <v>5.9</v>
      </c>
      <c r="AX2671" s="1">
        <v>0.6953</v>
      </c>
      <c r="AY2671" s="1">
        <v>16.5</v>
      </c>
      <c r="AZ2671" s="1">
        <v>15.2</v>
      </c>
      <c r="BA2671" s="1">
        <v>22.7</v>
      </c>
      <c r="BB2671" s="1">
        <v>2.78</v>
      </c>
      <c r="BC2671" s="1" t="s">
        <v>4123</v>
      </c>
      <c r="BD2671" s="1">
        <v>23.1</v>
      </c>
      <c r="BE2671" s="1">
        <v>34.1</v>
      </c>
      <c r="BF2671" s="1">
        <v>30.6</v>
      </c>
      <c r="BG2671" s="1">
        <v>12.2</v>
      </c>
      <c r="BH2671" s="1" t="s">
        <v>4362</v>
      </c>
    </row>
    <row r="2672">
      <c r="A2672" s="1">
        <v>48299.0</v>
      </c>
      <c r="B2672" s="2" t="str">
        <f>IFERROR(__xludf.DUMMYFUNCTION("TO_TEXT(A2672)"),"48299")</f>
        <v>48299</v>
      </c>
      <c r="C2672" s="1">
        <v>19624.0</v>
      </c>
      <c r="D2672" s="1">
        <v>934.051587330898</v>
      </c>
      <c r="E2672" s="1" t="s">
        <v>4363</v>
      </c>
      <c r="F2672" s="1" t="s">
        <v>4364</v>
      </c>
      <c r="G2672" s="1">
        <v>21.0095462243971</v>
      </c>
      <c r="H2672" s="1">
        <v>16.332048434</v>
      </c>
      <c r="I2672" s="1">
        <v>4.0970161532</v>
      </c>
      <c r="J2672" s="1">
        <v>8.1244598099</v>
      </c>
      <c r="K2672" s="1">
        <v>13.023916645</v>
      </c>
      <c r="L2672" s="1">
        <v>26.5</v>
      </c>
      <c r="M2672" s="1">
        <v>6.6</v>
      </c>
      <c r="N2672" s="1">
        <v>27.1</v>
      </c>
      <c r="O2672" s="1">
        <v>79.560644526</v>
      </c>
      <c r="P2672" s="1">
        <v>20.658001028</v>
      </c>
      <c r="Q2672" s="1">
        <v>80.15087</v>
      </c>
      <c r="R2672" s="1">
        <v>96.1</v>
      </c>
      <c r="S2672" s="1">
        <v>23.4</v>
      </c>
      <c r="T2672" s="1">
        <v>3009.0</v>
      </c>
      <c r="U2672" s="1">
        <v>30.1761382519999</v>
      </c>
      <c r="V2672" s="1">
        <v>141.33688061</v>
      </c>
      <c r="W2672" s="1">
        <v>13.700966458</v>
      </c>
      <c r="X2672" s="1">
        <v>10.87456847</v>
      </c>
      <c r="Y2672" s="1">
        <v>78.928992619</v>
      </c>
      <c r="Z2672" s="1">
        <v>11.7</v>
      </c>
      <c r="AA2672" s="1">
        <v>13.820498462</v>
      </c>
      <c r="AB2672" s="1">
        <v>54019.0</v>
      </c>
      <c r="AC2672" s="1">
        <v>58.899176955</v>
      </c>
      <c r="AD2672" s="1">
        <v>79.978801084</v>
      </c>
      <c r="AE2672" s="1">
        <v>12.582619339</v>
      </c>
      <c r="AF2672" s="1">
        <v>1.0024946872</v>
      </c>
      <c r="AG2672" s="1">
        <v>0.947057193</v>
      </c>
      <c r="AH2672" s="1">
        <v>0.6144322277</v>
      </c>
      <c r="AI2672" s="1">
        <v>0.0369583295</v>
      </c>
      <c r="AJ2672" s="1">
        <v>10.935045736</v>
      </c>
      <c r="AK2672" s="1">
        <v>85.803381687</v>
      </c>
      <c r="AL2672" s="1">
        <v>2.1013908486</v>
      </c>
      <c r="AM2672" s="1">
        <v>51.5753487939999</v>
      </c>
      <c r="AN2672" s="1">
        <v>45.179006269</v>
      </c>
      <c r="AO2672" s="1">
        <v>34633.0</v>
      </c>
      <c r="AP2672" s="1">
        <v>13.8</v>
      </c>
      <c r="AQ2672" s="1">
        <v>7.7</v>
      </c>
      <c r="AR2672" s="1">
        <v>13.5</v>
      </c>
      <c r="AS2672" s="1">
        <v>34.3</v>
      </c>
      <c r="AT2672" s="1">
        <v>15.4</v>
      </c>
      <c r="AU2672" s="1">
        <v>24.5</v>
      </c>
      <c r="AV2672" s="1">
        <v>12.6</v>
      </c>
      <c r="AW2672" s="1">
        <v>2.3</v>
      </c>
      <c r="AX2672" s="1">
        <v>0.4257</v>
      </c>
      <c r="AY2672" s="1">
        <v>10.8</v>
      </c>
      <c r="AZ2672" s="1">
        <v>16.6</v>
      </c>
      <c r="BA2672" s="1">
        <v>25.7</v>
      </c>
      <c r="BB2672" s="1">
        <v>2.14</v>
      </c>
      <c r="BC2672" s="1" t="s">
        <v>4123</v>
      </c>
      <c r="BD2672" s="1">
        <v>14.2</v>
      </c>
      <c r="BE2672" s="1">
        <v>26.5</v>
      </c>
      <c r="BF2672" s="1">
        <v>34.0</v>
      </c>
      <c r="BG2672" s="1">
        <v>25.3</v>
      </c>
      <c r="BH2672" s="1" t="s">
        <v>4364</v>
      </c>
    </row>
    <row r="2673">
      <c r="A2673" s="1">
        <v>48301.0</v>
      </c>
      <c r="B2673" s="2" t="str">
        <f>IFERROR(__xludf.DUMMYFUNCTION("TO_TEXT(A2673)"),"48301")</f>
        <v>48301</v>
      </c>
      <c r="C2673" s="1">
        <v>76.0</v>
      </c>
      <c r="D2673" s="1">
        <v>668.751593053372</v>
      </c>
      <c r="E2673" s="1" t="s">
        <v>4365</v>
      </c>
      <c r="F2673" s="1" t="s">
        <v>4366</v>
      </c>
      <c r="G2673" s="1">
        <v>0.11364458909623</v>
      </c>
      <c r="H2673" s="1">
        <v>15.312154139</v>
      </c>
      <c r="I2673" s="1">
        <v>3.6539542224</v>
      </c>
      <c r="J2673" s="1">
        <v>7.80443539465</v>
      </c>
      <c r="K2673" s="1">
        <v>14.343419592</v>
      </c>
      <c r="L2673" s="1">
        <v>28.9</v>
      </c>
      <c r="M2673" s="1">
        <v>2.9</v>
      </c>
      <c r="N2673" s="1">
        <v>22.9</v>
      </c>
      <c r="O2673" s="1">
        <v>0.0</v>
      </c>
      <c r="P2673" s="1">
        <v>21.09375</v>
      </c>
      <c r="Q2673" s="1">
        <v>0.0</v>
      </c>
      <c r="R2673" s="1">
        <v>89.912280702</v>
      </c>
      <c r="S2673" s="1">
        <v>9.6</v>
      </c>
      <c r="T2673" s="1">
        <v>5708.0</v>
      </c>
      <c r="U2673" s="1">
        <v>31.660295828</v>
      </c>
      <c r="V2673" s="1">
        <v>452.48868778</v>
      </c>
      <c r="W2673" s="1">
        <v>22.857142857</v>
      </c>
      <c r="X2673" s="1">
        <v>22.857142857</v>
      </c>
      <c r="Y2673" s="1">
        <v>77.482572377</v>
      </c>
      <c r="Z2673" s="1">
        <v>4.5</v>
      </c>
      <c r="AA2673" s="1">
        <v>50.588235148</v>
      </c>
      <c r="AB2673" s="1">
        <v>78637.0</v>
      </c>
      <c r="AC2673" s="1">
        <v>52.4746192889999</v>
      </c>
      <c r="AD2673" s="1">
        <v>63.636363636</v>
      </c>
      <c r="AE2673" s="1">
        <v>10.825688073</v>
      </c>
      <c r="AF2673" s="1">
        <v>4.6052631579</v>
      </c>
      <c r="AG2673" s="1">
        <v>0.6578947368</v>
      </c>
      <c r="AH2673" s="1">
        <v>0.0</v>
      </c>
      <c r="AI2673" s="1">
        <v>0.0</v>
      </c>
      <c r="AJ2673" s="1">
        <v>16.447368421</v>
      </c>
      <c r="AK2673" s="1">
        <v>78.289473684</v>
      </c>
      <c r="AL2673" s="1">
        <v>7.22891566269999</v>
      </c>
      <c r="AM2673" s="1">
        <v>44.078947368</v>
      </c>
      <c r="AN2673" s="1">
        <v>100.0</v>
      </c>
      <c r="AO2673" s="1">
        <v>32707.0</v>
      </c>
      <c r="AP2673" s="1">
        <v>16.4</v>
      </c>
      <c r="AQ2673" s="1">
        <v>0.0</v>
      </c>
      <c r="AR2673" s="1">
        <v>25.4</v>
      </c>
      <c r="AS2673" s="1">
        <v>25.0</v>
      </c>
      <c r="AT2673" s="1">
        <v>7.9</v>
      </c>
      <c r="AU2673" s="1">
        <v>28.9</v>
      </c>
      <c r="AV2673" s="1">
        <v>27.6</v>
      </c>
      <c r="AW2673" s="1">
        <v>3.9</v>
      </c>
      <c r="AX2673" s="1">
        <v>0.5333</v>
      </c>
      <c r="AY2673" s="1">
        <v>7.1</v>
      </c>
      <c r="AZ2673" s="1">
        <v>18.8</v>
      </c>
      <c r="BA2673" s="1">
        <v>27.6</v>
      </c>
      <c r="BB2673" s="1">
        <v>3.16</v>
      </c>
      <c r="BC2673" s="1" t="s">
        <v>4123</v>
      </c>
      <c r="BD2673" s="1">
        <v>19.7</v>
      </c>
      <c r="BE2673" s="1">
        <v>19.7</v>
      </c>
      <c r="BF2673" s="1">
        <v>60.6</v>
      </c>
      <c r="BG2673" s="1">
        <v>0.0</v>
      </c>
      <c r="BH2673" s="1" t="s">
        <v>4366</v>
      </c>
    </row>
    <row r="2674">
      <c r="A2674" s="1">
        <v>48303.0</v>
      </c>
      <c r="B2674" s="2" t="str">
        <f>IFERROR(__xludf.DUMMYFUNCTION("TO_TEXT(A2674)"),"48303")</f>
        <v>48303</v>
      </c>
      <c r="C2674" s="1">
        <v>294682.0</v>
      </c>
      <c r="D2674" s="1">
        <v>895.59654473621</v>
      </c>
      <c r="E2674" s="1" t="s">
        <v>4367</v>
      </c>
      <c r="F2674" s="1" t="s">
        <v>4368</v>
      </c>
      <c r="G2674" s="1">
        <v>329.034319897689</v>
      </c>
      <c r="H2674" s="1">
        <v>20.5632341259999</v>
      </c>
      <c r="I2674" s="1">
        <v>4.2091447677</v>
      </c>
      <c r="J2674" s="1">
        <v>8.8743528753</v>
      </c>
      <c r="K2674" s="1">
        <v>14.618253287</v>
      </c>
      <c r="L2674" s="1">
        <v>34.7</v>
      </c>
      <c r="M2674" s="1">
        <v>7.0</v>
      </c>
      <c r="N2674" s="1">
        <v>26.8</v>
      </c>
      <c r="O2674" s="1">
        <v>89.65358945</v>
      </c>
      <c r="P2674" s="1">
        <v>15.965177044</v>
      </c>
      <c r="Q2674" s="1">
        <v>82.23442</v>
      </c>
      <c r="R2674" s="1">
        <v>91.4</v>
      </c>
      <c r="S2674" s="1">
        <v>20.3</v>
      </c>
      <c r="T2674" s="1">
        <v>71874.0</v>
      </c>
      <c r="U2674" s="1">
        <v>38.1654005619999</v>
      </c>
      <c r="V2674" s="1">
        <v>863.40364668</v>
      </c>
      <c r="W2674" s="1">
        <v>18.752579684</v>
      </c>
      <c r="X2674" s="1">
        <v>15.503912072</v>
      </c>
      <c r="Y2674" s="1">
        <v>76.608864497</v>
      </c>
      <c r="Z2674" s="1">
        <v>7.9</v>
      </c>
      <c r="AA2674" s="1">
        <v>8.15447312409999</v>
      </c>
      <c r="AB2674" s="1">
        <v>50377.0</v>
      </c>
      <c r="AC2674" s="1">
        <v>54.949407797</v>
      </c>
      <c r="AD2674" s="1">
        <v>55.222177653</v>
      </c>
      <c r="AE2674" s="1">
        <v>17.287478314</v>
      </c>
      <c r="AF2674" s="1">
        <v>7.01924453179999</v>
      </c>
      <c r="AG2674" s="1">
        <v>1.1212965011</v>
      </c>
      <c r="AH2674" s="1">
        <v>2.451758552</v>
      </c>
      <c r="AI2674" s="1">
        <v>0.1349979832</v>
      </c>
      <c r="AJ2674" s="1">
        <v>35.934186043</v>
      </c>
      <c r="AK2674" s="1">
        <v>53.019075378</v>
      </c>
      <c r="AL2674" s="1">
        <v>1.90949302</v>
      </c>
      <c r="AM2674" s="1">
        <v>50.729314405</v>
      </c>
      <c r="AN2674" s="1">
        <v>11.335540166</v>
      </c>
      <c r="AO2674" s="1">
        <v>25139.0</v>
      </c>
      <c r="AP2674" s="1">
        <v>19.5</v>
      </c>
      <c r="AQ2674" s="1">
        <v>5.4</v>
      </c>
      <c r="AR2674" s="1">
        <v>14.9</v>
      </c>
      <c r="AS2674" s="1">
        <v>11.8</v>
      </c>
      <c r="AT2674" s="1">
        <v>24.1</v>
      </c>
      <c r="AU2674" s="1">
        <v>14.6</v>
      </c>
      <c r="AV2674" s="1">
        <v>44.8</v>
      </c>
      <c r="AW2674" s="1">
        <v>2.0</v>
      </c>
      <c r="AX2674" s="1">
        <v>0.7555</v>
      </c>
      <c r="AY2674" s="1">
        <v>17.9</v>
      </c>
      <c r="AZ2674" s="1">
        <v>15.3</v>
      </c>
      <c r="BA2674" s="1">
        <v>20.8</v>
      </c>
      <c r="BB2674" s="1">
        <v>3.08</v>
      </c>
      <c r="BC2674" s="1" t="s">
        <v>4123</v>
      </c>
      <c r="BD2674" s="1">
        <v>13.8</v>
      </c>
      <c r="BE2674" s="1">
        <v>25.6</v>
      </c>
      <c r="BF2674" s="1">
        <v>30.4</v>
      </c>
      <c r="BG2674" s="1">
        <v>30.1</v>
      </c>
      <c r="BH2674" s="1" t="s">
        <v>4368</v>
      </c>
    </row>
    <row r="2675">
      <c r="A2675" s="1">
        <v>48305.0</v>
      </c>
      <c r="B2675" s="2" t="str">
        <f>IFERROR(__xludf.DUMMYFUNCTION("TO_TEXT(A2675)"),"48305")</f>
        <v>48305</v>
      </c>
      <c r="C2675" s="1">
        <v>5723.0</v>
      </c>
      <c r="D2675" s="1">
        <v>891.86660250419</v>
      </c>
      <c r="E2675" s="1" t="s">
        <v>4369</v>
      </c>
      <c r="F2675" s="1" t="s">
        <v>4370</v>
      </c>
      <c r="G2675" s="1">
        <v>6.41687891881018</v>
      </c>
      <c r="H2675" s="1">
        <v>23.5621883169999</v>
      </c>
      <c r="I2675" s="1">
        <v>4.2174631623</v>
      </c>
      <c r="J2675" s="1">
        <v>8.8122605364</v>
      </c>
      <c r="K2675" s="1">
        <v>15.659791772</v>
      </c>
      <c r="L2675" s="1">
        <v>28.5</v>
      </c>
      <c r="M2675" s="1">
        <v>7.0</v>
      </c>
      <c r="N2675" s="1">
        <v>25.4</v>
      </c>
      <c r="O2675" s="1">
        <v>23.043110735</v>
      </c>
      <c r="P2675" s="1">
        <v>19.004808697</v>
      </c>
      <c r="Q2675" s="1">
        <v>51.20328</v>
      </c>
      <c r="R2675" s="1">
        <v>95.5</v>
      </c>
      <c r="S2675" s="1">
        <v>26.8</v>
      </c>
      <c r="T2675" s="1">
        <v>1539.0</v>
      </c>
      <c r="U2675" s="1">
        <v>33.788174139</v>
      </c>
      <c r="V2675" s="1">
        <v>121.40455734</v>
      </c>
      <c r="W2675" s="1">
        <v>10.672853828</v>
      </c>
      <c r="X2675" s="1">
        <v>7.9809976247</v>
      </c>
      <c r="Y2675" s="1">
        <v>75.997407523</v>
      </c>
      <c r="Z2675" s="1">
        <v>15.9</v>
      </c>
      <c r="AA2675" s="1">
        <v>15.075668969</v>
      </c>
      <c r="AB2675" s="1">
        <v>43436.0</v>
      </c>
      <c r="AC2675" s="1">
        <v>57.9986833439999</v>
      </c>
      <c r="AD2675" s="1">
        <v>68.776371308</v>
      </c>
      <c r="AE2675" s="1">
        <v>9.2004381161</v>
      </c>
      <c r="AF2675" s="1">
        <v>2.2460438999</v>
      </c>
      <c r="AG2675" s="1">
        <v>1.8546877659</v>
      </c>
      <c r="AH2675" s="1">
        <v>0.4764335545</v>
      </c>
      <c r="AI2675" s="1">
        <v>0.0170154841</v>
      </c>
      <c r="AJ2675" s="1">
        <v>47.234983835</v>
      </c>
      <c r="AK2675" s="1">
        <v>49.106687085</v>
      </c>
      <c r="AL2675" s="1">
        <v>2.216066482</v>
      </c>
      <c r="AM2675" s="1">
        <v>49.004594181</v>
      </c>
      <c r="AN2675" s="1">
        <v>56.7202028739999</v>
      </c>
      <c r="AO2675" s="1">
        <v>24299.0</v>
      </c>
      <c r="AP2675" s="1">
        <v>19.8</v>
      </c>
      <c r="AQ2675" s="1">
        <v>11.1</v>
      </c>
      <c r="AR2675" s="1">
        <v>22.1</v>
      </c>
      <c r="AS2675" s="1">
        <v>16.1</v>
      </c>
      <c r="AT2675" s="1">
        <v>26.3</v>
      </c>
      <c r="AU2675" s="1">
        <v>19.0</v>
      </c>
      <c r="AV2675" s="1">
        <v>50.8</v>
      </c>
      <c r="AW2675" s="1">
        <v>4.2</v>
      </c>
      <c r="AX2675" s="1">
        <v>0.8099</v>
      </c>
      <c r="AY2675" s="1">
        <v>16.0</v>
      </c>
      <c r="AZ2675" s="1">
        <v>16.4</v>
      </c>
      <c r="BA2675" s="1">
        <v>25.0</v>
      </c>
      <c r="BB2675" s="1">
        <v>3.06</v>
      </c>
      <c r="BC2675" s="1" t="s">
        <v>4123</v>
      </c>
      <c r="BD2675" s="1">
        <v>24.6</v>
      </c>
      <c r="BE2675" s="1">
        <v>29.4</v>
      </c>
      <c r="BF2675" s="1">
        <v>28.7</v>
      </c>
      <c r="BG2675" s="1">
        <v>17.3</v>
      </c>
      <c r="BH2675" s="1" t="s">
        <v>4370</v>
      </c>
    </row>
    <row r="2676">
      <c r="A2676" s="1">
        <v>48307.0</v>
      </c>
      <c r="B2676" s="2" t="str">
        <f>IFERROR(__xludf.DUMMYFUNCTION("TO_TEXT(A2676)"),"48307")</f>
        <v>48307</v>
      </c>
      <c r="C2676" s="1">
        <v>8242.0</v>
      </c>
      <c r="D2676" s="1">
        <v>1065.60097581508</v>
      </c>
      <c r="E2676" s="1" t="s">
        <v>4371</v>
      </c>
      <c r="F2676" s="1" t="s">
        <v>4372</v>
      </c>
      <c r="G2676" s="1">
        <v>7.73460252670629</v>
      </c>
      <c r="H2676" s="1">
        <v>20.154204216</v>
      </c>
      <c r="I2676" s="1">
        <v>4.1030279332</v>
      </c>
      <c r="J2676" s="1">
        <v>7.654723127</v>
      </c>
      <c r="K2676" s="1">
        <v>14.4333646959999</v>
      </c>
      <c r="L2676" s="1">
        <v>35.0</v>
      </c>
      <c r="M2676" s="1">
        <v>6.6</v>
      </c>
      <c r="N2676" s="1">
        <v>31.7</v>
      </c>
      <c r="O2676" s="1">
        <v>53.990100205</v>
      </c>
      <c r="P2676" s="1">
        <v>21.196358908</v>
      </c>
      <c r="Q2676" s="1">
        <v>50.2702</v>
      </c>
      <c r="R2676" s="1">
        <v>99.2</v>
      </c>
      <c r="S2676" s="1">
        <v>28.2</v>
      </c>
      <c r="T2676" s="1">
        <v>1711.0</v>
      </c>
      <c r="U2676" s="1">
        <v>37.054354179</v>
      </c>
      <c r="V2676" s="1">
        <v>47.741242466</v>
      </c>
      <c r="W2676" s="1">
        <v>15.322580645</v>
      </c>
      <c r="X2676" s="1">
        <v>11.499176277</v>
      </c>
      <c r="Y2676" s="1">
        <v>77.67867287</v>
      </c>
      <c r="Z2676" s="1">
        <v>13.1</v>
      </c>
      <c r="AA2676" s="1">
        <v>17.0763975329999</v>
      </c>
      <c r="AB2676" s="1">
        <v>42719.0</v>
      </c>
      <c r="AC2676" s="1">
        <v>66.575716235</v>
      </c>
      <c r="AD2676" s="1">
        <v>74.807987711</v>
      </c>
      <c r="AE2676" s="1">
        <v>9.0759075908</v>
      </c>
      <c r="AF2676" s="1">
        <v>1.7778890697</v>
      </c>
      <c r="AG2676" s="1">
        <v>1.1894328283</v>
      </c>
      <c r="AH2676" s="1">
        <v>0.8263428071</v>
      </c>
      <c r="AI2676" s="1">
        <v>0.0876424189</v>
      </c>
      <c r="AJ2676" s="1">
        <v>32.89094779</v>
      </c>
      <c r="AK2676" s="1">
        <v>62.87717541</v>
      </c>
      <c r="AL2676" s="1">
        <v>1.190161333</v>
      </c>
      <c r="AM2676" s="1">
        <v>49.768373607</v>
      </c>
      <c r="AN2676" s="1">
        <v>35.325365206</v>
      </c>
      <c r="AO2676" s="1">
        <v>22049.0</v>
      </c>
      <c r="AP2676" s="1">
        <v>18.4</v>
      </c>
      <c r="AQ2676" s="1">
        <v>4.2</v>
      </c>
      <c r="AR2676" s="1">
        <v>22.5</v>
      </c>
      <c r="AS2676" s="1">
        <v>21.7</v>
      </c>
      <c r="AT2676" s="1">
        <v>24.0</v>
      </c>
      <c r="AU2676" s="1">
        <v>18.2</v>
      </c>
      <c r="AV2676" s="1">
        <v>36.8</v>
      </c>
      <c r="AW2676" s="1">
        <v>2.2</v>
      </c>
      <c r="AX2676" s="1">
        <v>0.8259</v>
      </c>
      <c r="AY2676" s="1">
        <v>17.6</v>
      </c>
      <c r="AZ2676" s="1">
        <v>16.1</v>
      </c>
      <c r="BA2676" s="1">
        <v>22.9</v>
      </c>
      <c r="BB2676" s="1">
        <v>2.77</v>
      </c>
      <c r="BC2676" s="1" t="s">
        <v>4123</v>
      </c>
      <c r="BD2676" s="1">
        <v>23.2</v>
      </c>
      <c r="BE2676" s="1">
        <v>27.6</v>
      </c>
      <c r="BF2676" s="1">
        <v>31.9</v>
      </c>
      <c r="BG2676" s="1">
        <v>17.3</v>
      </c>
      <c r="BH2676" s="1" t="s">
        <v>4372</v>
      </c>
    </row>
    <row r="2677">
      <c r="A2677" s="1">
        <v>48309.0</v>
      </c>
      <c r="B2677" s="2" t="str">
        <f>IFERROR(__xludf.DUMMYFUNCTION("TO_TEXT(A2677)"),"48309")</f>
        <v>48309</v>
      </c>
      <c r="C2677" s="1">
        <v>243394.0</v>
      </c>
      <c r="D2677" s="1">
        <v>1037.10919069675</v>
      </c>
      <c r="E2677" s="1" t="s">
        <v>4373</v>
      </c>
      <c r="F2677" s="1" t="s">
        <v>4374</v>
      </c>
      <c r="G2677" s="1">
        <v>234.685028522873</v>
      </c>
      <c r="H2677" s="1">
        <v>20.283649634</v>
      </c>
      <c r="I2677" s="1">
        <v>4.2238372535</v>
      </c>
      <c r="J2677" s="1">
        <v>8.2675546785</v>
      </c>
      <c r="K2677" s="1">
        <v>15.744620118</v>
      </c>
      <c r="L2677" s="1">
        <v>32.8</v>
      </c>
      <c r="M2677" s="1">
        <v>5.5</v>
      </c>
      <c r="N2677" s="1">
        <v>23.6</v>
      </c>
      <c r="O2677" s="1">
        <v>65.814410871</v>
      </c>
      <c r="P2677" s="1">
        <v>17.910175472</v>
      </c>
      <c r="Q2677" s="1">
        <v>74.42519</v>
      </c>
      <c r="R2677" s="1">
        <v>90.5</v>
      </c>
      <c r="S2677" s="1">
        <v>23.4</v>
      </c>
      <c r="T2677" s="1">
        <v>60848.0</v>
      </c>
      <c r="U2677" s="1">
        <v>37.36523797</v>
      </c>
      <c r="V2677" s="1">
        <v>422.89142211</v>
      </c>
      <c r="W2677" s="1">
        <v>18.67867179</v>
      </c>
      <c r="X2677" s="1">
        <v>15.459415395</v>
      </c>
      <c r="Y2677" s="1">
        <v>78.147354436</v>
      </c>
      <c r="Z2677" s="1">
        <v>9.8</v>
      </c>
      <c r="AA2677" s="1">
        <v>20.173622481</v>
      </c>
      <c r="AB2677" s="1">
        <v>48858.0</v>
      </c>
      <c r="AC2677" s="1">
        <v>61.807808723</v>
      </c>
      <c r="AD2677" s="1">
        <v>58.640519352</v>
      </c>
      <c r="AE2677" s="1">
        <v>15.719436712</v>
      </c>
      <c r="AF2677" s="1">
        <v>14.02435911</v>
      </c>
      <c r="AG2677" s="1">
        <v>1.132726123</v>
      </c>
      <c r="AH2677" s="1">
        <v>1.7980652535</v>
      </c>
      <c r="AI2677" s="1">
        <v>0.1182214158</v>
      </c>
      <c r="AJ2677" s="1">
        <v>26.730608349</v>
      </c>
      <c r="AK2677" s="1">
        <v>55.6292639239999</v>
      </c>
      <c r="AL2677" s="1">
        <v>4.4393818648</v>
      </c>
      <c r="AM2677" s="1">
        <v>51.115248206</v>
      </c>
      <c r="AN2677" s="1">
        <v>23.351893949</v>
      </c>
      <c r="AO2677" s="1">
        <v>22878.0</v>
      </c>
      <c r="AP2677" s="1">
        <v>19.9</v>
      </c>
      <c r="AQ2677" s="1">
        <v>5.6</v>
      </c>
      <c r="AR2677" s="1">
        <v>16.2</v>
      </c>
      <c r="AS2677" s="1">
        <v>13.4</v>
      </c>
      <c r="AT2677" s="1">
        <v>24.9</v>
      </c>
      <c r="AU2677" s="1">
        <v>12.8</v>
      </c>
      <c r="AV2677" s="1">
        <v>42.7</v>
      </c>
      <c r="AW2677" s="1">
        <v>4.0</v>
      </c>
      <c r="AX2677" s="1">
        <v>0.8223</v>
      </c>
      <c r="AY2677" s="1">
        <v>18.0</v>
      </c>
      <c r="AZ2677" s="1">
        <v>16.1</v>
      </c>
      <c r="BA2677" s="1">
        <v>23.6</v>
      </c>
      <c r="BB2677" s="1">
        <v>2.56</v>
      </c>
      <c r="BC2677" s="1" t="s">
        <v>4123</v>
      </c>
      <c r="BD2677" s="1">
        <v>15.1</v>
      </c>
      <c r="BE2677" s="1">
        <v>27.0</v>
      </c>
      <c r="BF2677" s="1">
        <v>33.6</v>
      </c>
      <c r="BG2677" s="1">
        <v>24.2</v>
      </c>
      <c r="BH2677" s="1" t="s">
        <v>4374</v>
      </c>
    </row>
    <row r="2678">
      <c r="A2678" s="1">
        <v>48311.0</v>
      </c>
      <c r="B2678" s="2" t="str">
        <f>IFERROR(__xludf.DUMMYFUNCTION("TO_TEXT(A2678)"),"48311")</f>
        <v>48311</v>
      </c>
      <c r="C2678" s="1">
        <v>671.0</v>
      </c>
      <c r="D2678" s="1">
        <v>1139.79853885535</v>
      </c>
      <c r="E2678" s="1" t="s">
        <v>4375</v>
      </c>
      <c r="F2678" s="1" t="s">
        <v>4376</v>
      </c>
      <c r="G2678" s="1">
        <v>0.588700526563103</v>
      </c>
      <c r="H2678" s="1">
        <v>18.195807127</v>
      </c>
      <c r="I2678" s="1">
        <v>3.6947117222</v>
      </c>
      <c r="J2678" s="1">
        <v>7.80443539465</v>
      </c>
      <c r="K2678" s="1">
        <v>12.279315544</v>
      </c>
      <c r="L2678" s="1">
        <v>26.4</v>
      </c>
      <c r="M2678" s="1">
        <v>6.1</v>
      </c>
      <c r="N2678" s="1">
        <v>30.1</v>
      </c>
      <c r="O2678" s="1">
        <v>23.4794908059999</v>
      </c>
      <c r="P2678" s="1">
        <v>19.866444073</v>
      </c>
      <c r="Q2678" s="1">
        <v>0.0</v>
      </c>
      <c r="R2678" s="1">
        <v>100.0</v>
      </c>
      <c r="S2678" s="1">
        <v>15.9</v>
      </c>
      <c r="T2678" s="1">
        <v>174.0</v>
      </c>
      <c r="U2678" s="1">
        <v>33.333333333</v>
      </c>
      <c r="V2678" s="1">
        <v>123.07692308</v>
      </c>
      <c r="W2678" s="1">
        <v>14.8936170209999</v>
      </c>
      <c r="X2678" s="1">
        <v>6.0606060606</v>
      </c>
      <c r="Y2678" s="1">
        <v>77.482572377</v>
      </c>
      <c r="Z2678" s="1">
        <v>11.0</v>
      </c>
      <c r="AA2678" s="1">
        <v>37.470672996</v>
      </c>
      <c r="AB2678" s="1">
        <v>64633.0</v>
      </c>
      <c r="AC2678" s="1">
        <v>21.789883268</v>
      </c>
      <c r="AD2678" s="1">
        <v>73.094170404</v>
      </c>
      <c r="AE2678" s="1">
        <v>7.24637681159999</v>
      </c>
      <c r="AF2678" s="1">
        <v>2.4032042724</v>
      </c>
      <c r="AG2678" s="1">
        <v>0.6675567423</v>
      </c>
      <c r="AH2678" s="1">
        <v>0.6675567423</v>
      </c>
      <c r="AI2678" s="1">
        <v>0.0</v>
      </c>
      <c r="AJ2678" s="1">
        <v>42.990654206</v>
      </c>
      <c r="AK2678" s="1">
        <v>52.7369826439999</v>
      </c>
      <c r="AL2678" s="1">
        <v>3.2414910859</v>
      </c>
      <c r="AM2678" s="1">
        <v>45.126835781</v>
      </c>
      <c r="AN2678" s="1">
        <v>100.0</v>
      </c>
      <c r="AO2678" s="1">
        <v>27971.0</v>
      </c>
      <c r="AP2678" s="1">
        <v>8.8</v>
      </c>
      <c r="AQ2678" s="1">
        <v>15.2</v>
      </c>
      <c r="AR2678" s="1">
        <v>18.6</v>
      </c>
      <c r="AS2678" s="1">
        <v>28.0</v>
      </c>
      <c r="AT2678" s="1">
        <v>24.4</v>
      </c>
      <c r="AU2678" s="1">
        <v>24.6</v>
      </c>
      <c r="AV2678" s="1">
        <v>49.0</v>
      </c>
      <c r="AW2678" s="1">
        <v>7.8</v>
      </c>
      <c r="AX2678" s="1">
        <v>0.8316</v>
      </c>
      <c r="AY2678" s="1">
        <v>10.5</v>
      </c>
      <c r="AZ2678" s="1">
        <v>13.3</v>
      </c>
      <c r="BA2678" s="1">
        <v>19.0</v>
      </c>
      <c r="BB2678" s="1">
        <v>2.73</v>
      </c>
      <c r="BC2678" s="1" t="s">
        <v>4123</v>
      </c>
      <c r="BD2678" s="1">
        <v>7.3</v>
      </c>
      <c r="BE2678" s="1">
        <v>32.7</v>
      </c>
      <c r="BF2678" s="1">
        <v>31.3</v>
      </c>
      <c r="BG2678" s="1">
        <v>28.8</v>
      </c>
      <c r="BH2678" s="1" t="s">
        <v>4376</v>
      </c>
    </row>
    <row r="2679">
      <c r="A2679" s="1">
        <v>48313.0</v>
      </c>
      <c r="B2679" s="2" t="str">
        <f>IFERROR(__xludf.DUMMYFUNCTION("TO_TEXT(A2679)"),"48313")</f>
        <v>48313</v>
      </c>
      <c r="C2679" s="1">
        <v>13843.0</v>
      </c>
      <c r="D2679" s="1">
        <v>466.065062429532</v>
      </c>
      <c r="E2679" s="1" t="s">
        <v>148</v>
      </c>
      <c r="F2679" s="1" t="s">
        <v>4377</v>
      </c>
      <c r="G2679" s="1">
        <v>29.7018616410301</v>
      </c>
      <c r="H2679" s="1">
        <v>19.462672377</v>
      </c>
      <c r="I2679" s="1">
        <v>4.00416116</v>
      </c>
      <c r="J2679" s="1">
        <v>7.3646850044</v>
      </c>
      <c r="K2679" s="1">
        <v>16.197061008</v>
      </c>
      <c r="L2679" s="1">
        <v>27.0</v>
      </c>
      <c r="M2679" s="1">
        <v>6.1</v>
      </c>
      <c r="N2679" s="1">
        <v>28.4</v>
      </c>
      <c r="O2679" s="1">
        <v>0.0</v>
      </c>
      <c r="P2679" s="1">
        <v>21.823146398</v>
      </c>
      <c r="Q2679" s="1">
        <v>21.09408</v>
      </c>
      <c r="R2679" s="1">
        <v>97.5</v>
      </c>
      <c r="S2679" s="1">
        <v>23.4</v>
      </c>
      <c r="T2679" s="1">
        <v>2960.0</v>
      </c>
      <c r="U2679" s="1">
        <v>27.331081081</v>
      </c>
      <c r="V2679" s="1">
        <v>314.49912441</v>
      </c>
      <c r="W2679" s="1">
        <v>20.145631068</v>
      </c>
      <c r="X2679" s="1">
        <v>12.919254658</v>
      </c>
      <c r="Y2679" s="1">
        <v>75.218651553</v>
      </c>
      <c r="Z2679" s="1">
        <v>13.3</v>
      </c>
      <c r="AA2679" s="1">
        <v>14.989046591</v>
      </c>
      <c r="AB2679" s="1">
        <v>45445.0</v>
      </c>
      <c r="AC2679" s="1">
        <v>69.34710439</v>
      </c>
      <c r="AD2679" s="1">
        <v>73.625327303</v>
      </c>
      <c r="AE2679" s="1">
        <v>10.637204522</v>
      </c>
      <c r="AF2679" s="1">
        <v>19.220635141</v>
      </c>
      <c r="AG2679" s="1">
        <v>1.19955623349999</v>
      </c>
      <c r="AH2679" s="1">
        <v>0.7904590209</v>
      </c>
      <c r="AI2679" s="1">
        <v>0.0901400638</v>
      </c>
      <c r="AJ2679" s="1">
        <v>23.353210373</v>
      </c>
      <c r="AK2679" s="1">
        <v>54.9507696569999</v>
      </c>
      <c r="AL2679" s="1">
        <v>4.4287833828</v>
      </c>
      <c r="AM2679" s="1">
        <v>42.566911663</v>
      </c>
      <c r="AN2679" s="1">
        <v>67.403395785</v>
      </c>
      <c r="AO2679" s="1">
        <v>17698.0</v>
      </c>
      <c r="AP2679" s="1">
        <v>16.5</v>
      </c>
      <c r="AQ2679" s="1">
        <v>3.9</v>
      </c>
      <c r="AR2679" s="1">
        <v>22.4</v>
      </c>
      <c r="AS2679" s="1">
        <v>14.5</v>
      </c>
      <c r="AT2679" s="1">
        <v>15.0</v>
      </c>
      <c r="AU2679" s="1">
        <v>15.7</v>
      </c>
      <c r="AV2679" s="1">
        <v>44.0</v>
      </c>
      <c r="AW2679" s="1">
        <v>4.6</v>
      </c>
      <c r="AX2679" s="1">
        <v>0.8456</v>
      </c>
      <c r="AY2679" s="1">
        <v>17.8</v>
      </c>
      <c r="AZ2679" s="1">
        <v>15.6</v>
      </c>
      <c r="BA2679" s="1">
        <v>23.1</v>
      </c>
      <c r="BB2679" s="1">
        <v>2.74</v>
      </c>
      <c r="BC2679" s="1" t="s">
        <v>4123</v>
      </c>
      <c r="BD2679" s="1">
        <v>19.2</v>
      </c>
      <c r="BE2679" s="1">
        <v>38.5</v>
      </c>
      <c r="BF2679" s="1">
        <v>27.6</v>
      </c>
      <c r="BG2679" s="1">
        <v>14.7</v>
      </c>
      <c r="BH2679" s="1" t="s">
        <v>4377</v>
      </c>
    </row>
    <row r="2680">
      <c r="A2680" s="1">
        <v>48315.0</v>
      </c>
      <c r="B2680" s="2" t="str">
        <f>IFERROR(__xludf.DUMMYFUNCTION("TO_TEXT(A2680)"),"48315")</f>
        <v>48315</v>
      </c>
      <c r="C2680" s="1">
        <v>10191.0</v>
      </c>
      <c r="D2680" s="1">
        <v>380.890805630426</v>
      </c>
      <c r="E2680" s="1" t="s">
        <v>152</v>
      </c>
      <c r="F2680" s="1" t="s">
        <v>4378</v>
      </c>
      <c r="G2680" s="1">
        <v>26.7556996634048</v>
      </c>
      <c r="H2680" s="1">
        <v>19.826007938</v>
      </c>
      <c r="I2680" s="1">
        <v>4.4506269367</v>
      </c>
      <c r="J2680" s="1">
        <v>9.8613251156</v>
      </c>
      <c r="K2680" s="1">
        <v>16.990876974</v>
      </c>
      <c r="L2680" s="1">
        <v>40.2</v>
      </c>
      <c r="M2680" s="1">
        <v>6.2</v>
      </c>
      <c r="N2680" s="1">
        <v>26.4</v>
      </c>
      <c r="O2680" s="1">
        <v>28.5416271569999</v>
      </c>
      <c r="P2680" s="1">
        <v>18.978298962</v>
      </c>
      <c r="Q2680" s="1">
        <v>48.31939</v>
      </c>
      <c r="R2680" s="1">
        <v>96.6</v>
      </c>
      <c r="S2680" s="1">
        <v>34.0</v>
      </c>
      <c r="T2680" s="1">
        <v>1825.0</v>
      </c>
      <c r="U2680" s="1">
        <v>22.6849315069999</v>
      </c>
      <c r="V2680" s="1">
        <v>645.19306541</v>
      </c>
      <c r="W2680" s="1">
        <v>13.4549600909999</v>
      </c>
      <c r="X2680" s="1">
        <v>10.069444444</v>
      </c>
      <c r="Y2680" s="1">
        <v>73.457961363</v>
      </c>
      <c r="Z2680" s="1">
        <v>18.1</v>
      </c>
      <c r="AA2680" s="1">
        <v>3.2057805729</v>
      </c>
      <c r="AB2680" s="1">
        <v>38011.0</v>
      </c>
      <c r="AC2680" s="1">
        <v>74.29245283</v>
      </c>
      <c r="AD2680" s="1">
        <v>78.44808253</v>
      </c>
      <c r="AE2680" s="1">
        <v>9.4517958412</v>
      </c>
      <c r="AF2680" s="1">
        <v>21.051571313</v>
      </c>
      <c r="AG2680" s="1">
        <v>1.2489927478</v>
      </c>
      <c r="AH2680" s="1">
        <v>0.9065269944</v>
      </c>
      <c r="AI2680" s="1">
        <v>0.0805801773</v>
      </c>
      <c r="AJ2680" s="1">
        <v>4.2606768735</v>
      </c>
      <c r="AK2680" s="1">
        <v>70.618452861</v>
      </c>
      <c r="AL2680" s="1">
        <v>1.5547263682</v>
      </c>
      <c r="AM2680" s="1">
        <v>51.228847703</v>
      </c>
      <c r="AN2680" s="1">
        <v>100.0</v>
      </c>
      <c r="AO2680" s="1">
        <v>22536.0</v>
      </c>
      <c r="AP2680" s="1">
        <v>21.6</v>
      </c>
      <c r="AQ2680" s="1">
        <v>9.0</v>
      </c>
      <c r="AR2680" s="1">
        <v>19.7</v>
      </c>
      <c r="AS2680" s="1">
        <v>23.6</v>
      </c>
      <c r="AT2680" s="1">
        <v>18.2</v>
      </c>
      <c r="AU2680" s="1">
        <v>23.2</v>
      </c>
      <c r="AV2680" s="1">
        <v>29.2</v>
      </c>
      <c r="AW2680" s="1">
        <v>0.3</v>
      </c>
      <c r="AX2680" s="1">
        <v>0.6084</v>
      </c>
      <c r="AY2680" s="1">
        <v>21.4</v>
      </c>
      <c r="AZ2680" s="1">
        <v>19.5</v>
      </c>
      <c r="BA2680" s="1">
        <v>31.4</v>
      </c>
      <c r="BB2680" s="1">
        <v>2.93</v>
      </c>
      <c r="BC2680" s="1" t="s">
        <v>4123</v>
      </c>
      <c r="BD2680" s="1">
        <v>14.8</v>
      </c>
      <c r="BE2680" s="1">
        <v>41.0</v>
      </c>
      <c r="BF2680" s="1">
        <v>29.4</v>
      </c>
      <c r="BG2680" s="1">
        <v>14.7</v>
      </c>
      <c r="BH2680" s="1" t="s">
        <v>4378</v>
      </c>
    </row>
    <row r="2681">
      <c r="A2681" s="1">
        <v>48317.0</v>
      </c>
      <c r="B2681" s="2" t="str">
        <f>IFERROR(__xludf.DUMMYFUNCTION("TO_TEXT(A2681)"),"48317")</f>
        <v>48317</v>
      </c>
      <c r="C2681" s="1">
        <v>5451.0</v>
      </c>
      <c r="D2681" s="1">
        <v>914.95540557869</v>
      </c>
      <c r="E2681" s="1" t="s">
        <v>750</v>
      </c>
      <c r="F2681" s="1" t="s">
        <v>4379</v>
      </c>
      <c r="G2681" s="1">
        <v>5.95766740844857</v>
      </c>
      <c r="H2681" s="1">
        <v>18.754981817</v>
      </c>
      <c r="I2681" s="1">
        <v>3.7686510901</v>
      </c>
      <c r="J2681" s="1">
        <v>8.2335329341</v>
      </c>
      <c r="K2681" s="1">
        <v>13.53934553</v>
      </c>
      <c r="L2681" s="1">
        <v>35.8</v>
      </c>
      <c r="M2681" s="1">
        <v>8.6</v>
      </c>
      <c r="N2681" s="1">
        <v>27.1</v>
      </c>
      <c r="O2681" s="1">
        <v>38.091269014</v>
      </c>
      <c r="P2681" s="1">
        <v>22.670178282</v>
      </c>
      <c r="Q2681" s="1">
        <v>35.54924</v>
      </c>
      <c r="R2681" s="1">
        <v>100.0</v>
      </c>
      <c r="S2681" s="1">
        <v>19.6</v>
      </c>
      <c r="T2681" s="1">
        <v>1754.0</v>
      </c>
      <c r="U2681" s="1">
        <v>21.151653364</v>
      </c>
      <c r="V2681" s="1">
        <v>185.98884067</v>
      </c>
      <c r="W2681" s="1">
        <v>17.17791411</v>
      </c>
      <c r="X2681" s="1">
        <v>7.52351097179999</v>
      </c>
      <c r="Y2681" s="1">
        <v>74.078251654</v>
      </c>
      <c r="Z2681" s="1">
        <v>4.2</v>
      </c>
      <c r="AA2681" s="1">
        <v>6.87629996409999</v>
      </c>
      <c r="AB2681" s="1">
        <v>56484.0</v>
      </c>
      <c r="AC2681" s="1">
        <v>51.265822785</v>
      </c>
      <c r="AD2681" s="1">
        <v>76.875768758</v>
      </c>
      <c r="AE2681" s="1">
        <v>11.042524005</v>
      </c>
      <c r="AF2681" s="1">
        <v>1.8251347123</v>
      </c>
      <c r="AG2681" s="1">
        <v>1.3731965931</v>
      </c>
      <c r="AH2681" s="1">
        <v>0.5214670607</v>
      </c>
      <c r="AI2681" s="1">
        <v>0.0869111768</v>
      </c>
      <c r="AJ2681" s="1">
        <v>47.436120285</v>
      </c>
      <c r="AK2681" s="1">
        <v>49.191726056</v>
      </c>
      <c r="AL2681" s="1">
        <v>2.8954527789</v>
      </c>
      <c r="AM2681" s="1">
        <v>49.40031288</v>
      </c>
      <c r="AN2681" s="1">
        <v>100.0</v>
      </c>
      <c r="AO2681" s="1">
        <v>27692.0</v>
      </c>
      <c r="AP2681" s="1">
        <v>10.6</v>
      </c>
      <c r="AQ2681" s="1">
        <v>3.4</v>
      </c>
      <c r="AR2681" s="1">
        <v>22.7</v>
      </c>
      <c r="AS2681" s="1">
        <v>12.5</v>
      </c>
      <c r="AT2681" s="1">
        <v>29.9</v>
      </c>
      <c r="AU2681" s="1">
        <v>11.4</v>
      </c>
      <c r="AV2681" s="1">
        <v>47.5</v>
      </c>
      <c r="AW2681" s="1">
        <v>4.6</v>
      </c>
      <c r="AX2681" s="1">
        <v>0.4454</v>
      </c>
      <c r="AY2681" s="1">
        <v>12.1</v>
      </c>
      <c r="AZ2681" s="1">
        <v>10.3</v>
      </c>
      <c r="BA2681" s="1">
        <v>16.5</v>
      </c>
      <c r="BB2681" s="1">
        <v>2.91</v>
      </c>
      <c r="BC2681" s="1" t="s">
        <v>4123</v>
      </c>
      <c r="BD2681" s="1">
        <v>22.6</v>
      </c>
      <c r="BE2681" s="1">
        <v>33.0</v>
      </c>
      <c r="BF2681" s="1">
        <v>26.1</v>
      </c>
      <c r="BG2681" s="1">
        <v>18.3</v>
      </c>
      <c r="BH2681" s="1" t="s">
        <v>4379</v>
      </c>
    </row>
    <row r="2682">
      <c r="A2682" s="1">
        <v>48319.0</v>
      </c>
      <c r="B2682" s="2" t="str">
        <f>IFERROR(__xludf.DUMMYFUNCTION("TO_TEXT(A2682)"),"48319")</f>
        <v>48319</v>
      </c>
      <c r="C2682" s="1">
        <v>4064.0</v>
      </c>
      <c r="D2682" s="1">
        <v>928.802687398309</v>
      </c>
      <c r="E2682" s="1" t="s">
        <v>1246</v>
      </c>
      <c r="F2682" s="1" t="s">
        <v>4380</v>
      </c>
      <c r="G2682" s="1">
        <v>4.37552566884121</v>
      </c>
      <c r="H2682" s="1">
        <v>16.930341069</v>
      </c>
      <c r="I2682" s="1">
        <v>3.8494375701</v>
      </c>
      <c r="J2682" s="1">
        <v>6.8965517241</v>
      </c>
      <c r="K2682" s="1">
        <v>12.270823258</v>
      </c>
      <c r="L2682" s="1">
        <v>25.9</v>
      </c>
      <c r="M2682" s="1">
        <v>7.9</v>
      </c>
      <c r="N2682" s="1">
        <v>23.2</v>
      </c>
      <c r="O2682" s="1">
        <v>69.915254237</v>
      </c>
      <c r="P2682" s="1">
        <v>28.08539026</v>
      </c>
      <c r="Q2682" s="1">
        <v>48.31939</v>
      </c>
      <c r="R2682" s="1">
        <v>98.1</v>
      </c>
      <c r="S2682" s="1">
        <v>23.4</v>
      </c>
      <c r="T2682" s="1">
        <v>870.0</v>
      </c>
      <c r="U2682" s="1">
        <v>38.390804598</v>
      </c>
      <c r="V2682" s="1">
        <v>73.072707344</v>
      </c>
      <c r="W2682" s="1">
        <v>13.017751479</v>
      </c>
      <c r="X2682" s="1">
        <v>11.538461538</v>
      </c>
      <c r="Y2682" s="1">
        <v>80.5655418189999</v>
      </c>
      <c r="Z2682" s="1">
        <v>12.1</v>
      </c>
      <c r="AA2682" s="1">
        <v>2.8442555468</v>
      </c>
      <c r="AB2682" s="1">
        <v>49560.0</v>
      </c>
      <c r="AC2682" s="1">
        <v>46.1538461539999</v>
      </c>
      <c r="AD2682" s="1">
        <v>71.025794841</v>
      </c>
      <c r="AE2682" s="1">
        <v>17.388362652</v>
      </c>
      <c r="AF2682" s="1">
        <v>0.4672897196</v>
      </c>
      <c r="AG2682" s="1">
        <v>0.7476635514</v>
      </c>
      <c r="AH2682" s="1">
        <v>0.3271028037</v>
      </c>
      <c r="AI2682" s="1">
        <v>0.2570093458</v>
      </c>
      <c r="AJ2682" s="1">
        <v>26.098130841</v>
      </c>
      <c r="AK2682" s="1">
        <v>72.219626168</v>
      </c>
      <c r="AL2682" s="1">
        <v>4.4326241135</v>
      </c>
      <c r="AM2682" s="1">
        <v>49.929906542</v>
      </c>
      <c r="AN2682" s="1">
        <v>100.0</v>
      </c>
      <c r="AO2682" s="1">
        <v>25834.0</v>
      </c>
      <c r="AP2682" s="1">
        <v>14.9</v>
      </c>
      <c r="AQ2682" s="1">
        <v>4.4</v>
      </c>
      <c r="AR2682" s="1">
        <v>10.9</v>
      </c>
      <c r="AS2682" s="1">
        <v>26.1</v>
      </c>
      <c r="AT2682" s="1">
        <v>19.3</v>
      </c>
      <c r="AU2682" s="1">
        <v>15.7</v>
      </c>
      <c r="AV2682" s="1">
        <v>28.4</v>
      </c>
      <c r="AW2682" s="1">
        <v>3.2</v>
      </c>
      <c r="AX2682" s="1">
        <v>0.2528</v>
      </c>
      <c r="AY2682" s="1">
        <v>11.7</v>
      </c>
      <c r="AZ2682" s="1">
        <v>15.2</v>
      </c>
      <c r="BA2682" s="1">
        <v>23.6</v>
      </c>
      <c r="BB2682" s="1">
        <v>2.54</v>
      </c>
      <c r="BC2682" s="1" t="s">
        <v>4123</v>
      </c>
      <c r="BD2682" s="1">
        <v>12.3</v>
      </c>
      <c r="BE2682" s="1">
        <v>26.7</v>
      </c>
      <c r="BF2682" s="1">
        <v>33.4</v>
      </c>
      <c r="BG2682" s="1">
        <v>27.6</v>
      </c>
      <c r="BH2682" s="1" t="s">
        <v>4380</v>
      </c>
    </row>
    <row r="2683">
      <c r="A2683" s="1">
        <v>48321.0</v>
      </c>
      <c r="B2683" s="2" t="str">
        <f>IFERROR(__xludf.DUMMYFUNCTION("TO_TEXT(A2683)"),"48321")</f>
        <v>48321</v>
      </c>
      <c r="C2683" s="1">
        <v>36719.0</v>
      </c>
      <c r="D2683" s="1">
        <v>1092.89512117825</v>
      </c>
      <c r="E2683" s="1" t="s">
        <v>4381</v>
      </c>
      <c r="F2683" s="1" t="s">
        <v>4382</v>
      </c>
      <c r="G2683" s="1">
        <v>33.5979173924876</v>
      </c>
      <c r="H2683" s="1">
        <v>23.477611819</v>
      </c>
      <c r="I2683" s="1">
        <v>4.2616061965</v>
      </c>
      <c r="J2683" s="1">
        <v>8.5486018642</v>
      </c>
      <c r="K2683" s="1">
        <v>16.11490721</v>
      </c>
      <c r="L2683" s="1">
        <v>37.7</v>
      </c>
      <c r="M2683" s="1">
        <v>6.0</v>
      </c>
      <c r="N2683" s="1">
        <v>33.7</v>
      </c>
      <c r="O2683" s="1">
        <v>66.898261675</v>
      </c>
      <c r="P2683" s="1">
        <v>21.7723604019999</v>
      </c>
      <c r="Q2683" s="1">
        <v>38.00217</v>
      </c>
      <c r="R2683" s="1">
        <v>92.7</v>
      </c>
      <c r="S2683" s="1">
        <v>27.8</v>
      </c>
      <c r="T2683" s="1">
        <v>9524.0</v>
      </c>
      <c r="U2683" s="1">
        <v>36.612767745</v>
      </c>
      <c r="V2683" s="1">
        <v>346.94349583</v>
      </c>
      <c r="W2683" s="1">
        <v>17.453347969</v>
      </c>
      <c r="X2683" s="1">
        <v>12.313988095</v>
      </c>
      <c r="Y2683" s="1">
        <v>75.592033732</v>
      </c>
      <c r="Z2683" s="1">
        <v>9.8</v>
      </c>
      <c r="AA2683" s="1">
        <v>17.376645289</v>
      </c>
      <c r="AB2683" s="1">
        <v>48830.0</v>
      </c>
      <c r="AC2683" s="1">
        <v>65.86013986</v>
      </c>
      <c r="AD2683" s="1">
        <v>68.297154591</v>
      </c>
      <c r="AE2683" s="1">
        <v>15.013074912</v>
      </c>
      <c r="AF2683" s="1">
        <v>10.3359597289999</v>
      </c>
      <c r="AG2683" s="1">
        <v>1.3815933465</v>
      </c>
      <c r="AH2683" s="1">
        <v>1.8849857737</v>
      </c>
      <c r="AI2683" s="1">
        <v>0.1285839352</v>
      </c>
      <c r="AJ2683" s="1">
        <v>42.911468593</v>
      </c>
      <c r="AK2683" s="1">
        <v>43.658349748</v>
      </c>
      <c r="AL2683" s="1">
        <v>6.6210045662</v>
      </c>
      <c r="AM2683" s="1">
        <v>49.619719851</v>
      </c>
      <c r="AN2683" s="1">
        <v>36.417633916</v>
      </c>
      <c r="AO2683" s="1">
        <v>22939.0</v>
      </c>
      <c r="AP2683" s="1">
        <v>21.7</v>
      </c>
      <c r="AQ2683" s="1">
        <v>6.0</v>
      </c>
      <c r="AR2683" s="1">
        <v>22.3</v>
      </c>
      <c r="AS2683" s="1">
        <v>15.4</v>
      </c>
      <c r="AT2683" s="1">
        <v>26.1</v>
      </c>
      <c r="AU2683" s="1">
        <v>14.4</v>
      </c>
      <c r="AV2683" s="1">
        <v>54.6</v>
      </c>
      <c r="AW2683" s="1">
        <v>6.6</v>
      </c>
      <c r="AX2683" s="1">
        <v>0.8583</v>
      </c>
      <c r="AY2683" s="1">
        <v>17.5</v>
      </c>
      <c r="AZ2683" s="1">
        <v>18.0</v>
      </c>
      <c r="BA2683" s="1">
        <v>27.6</v>
      </c>
      <c r="BB2683" s="1">
        <v>2.82</v>
      </c>
      <c r="BC2683" s="1" t="s">
        <v>4123</v>
      </c>
      <c r="BD2683" s="1">
        <v>19.4</v>
      </c>
      <c r="BE2683" s="1">
        <v>31.6</v>
      </c>
      <c r="BF2683" s="1">
        <v>31.5</v>
      </c>
      <c r="BG2683" s="1">
        <v>17.4</v>
      </c>
      <c r="BH2683" s="1" t="s">
        <v>4382</v>
      </c>
    </row>
    <row r="2684">
      <c r="A2684" s="1">
        <v>48323.0</v>
      </c>
      <c r="B2684" s="2" t="str">
        <f>IFERROR(__xludf.DUMMYFUNCTION("TO_TEXT(A2684)"),"48323")</f>
        <v>48323</v>
      </c>
      <c r="C2684" s="1">
        <v>56830.0</v>
      </c>
      <c r="D2684" s="1">
        <v>1279.47222886654</v>
      </c>
      <c r="E2684" s="1" t="s">
        <v>4383</v>
      </c>
      <c r="F2684" s="1" t="s">
        <v>4384</v>
      </c>
      <c r="G2684" s="1">
        <v>44.4167514681773</v>
      </c>
      <c r="H2684" s="1">
        <v>35.165869361</v>
      </c>
      <c r="I2684" s="1">
        <v>4.411208041</v>
      </c>
      <c r="J2684" s="1">
        <v>7.9604578564</v>
      </c>
      <c r="K2684" s="1">
        <v>16.61157805</v>
      </c>
      <c r="L2684" s="1">
        <v>38.3</v>
      </c>
      <c r="M2684" s="1">
        <v>6.8</v>
      </c>
      <c r="N2684" s="1">
        <v>29.5</v>
      </c>
      <c r="O2684" s="1">
        <v>80.176195215</v>
      </c>
      <c r="P2684" s="1">
        <v>27.039314254</v>
      </c>
      <c r="Q2684" s="1">
        <v>25.76611</v>
      </c>
      <c r="R2684" s="1">
        <v>92.2</v>
      </c>
      <c r="S2684" s="1">
        <v>35.0</v>
      </c>
      <c r="T2684" s="1">
        <v>18334.0</v>
      </c>
      <c r="U2684" s="1">
        <v>32.802443548</v>
      </c>
      <c r="V2684" s="1">
        <v>179.26761348</v>
      </c>
      <c r="W2684" s="1">
        <v>24.414303329</v>
      </c>
      <c r="X2684" s="1">
        <v>11.8286246509999</v>
      </c>
      <c r="Y2684" s="1">
        <v>78.462495748</v>
      </c>
      <c r="Z2684" s="1">
        <v>16.5</v>
      </c>
      <c r="AA2684" s="1">
        <v>22.360280928</v>
      </c>
      <c r="AB2684" s="1">
        <v>35594.0</v>
      </c>
      <c r="AC2684" s="1">
        <v>76.292689617</v>
      </c>
      <c r="AD2684" s="1">
        <v>66.020727295</v>
      </c>
      <c r="AE2684" s="1">
        <v>13.181355069</v>
      </c>
      <c r="AF2684" s="1">
        <v>0.2479268188</v>
      </c>
      <c r="AG2684" s="1">
        <v>1.7594254937</v>
      </c>
      <c r="AH2684" s="1">
        <v>0.6993246131</v>
      </c>
      <c r="AI2684" s="1">
        <v>0.0359066427</v>
      </c>
      <c r="AJ2684" s="1">
        <v>95.190219714</v>
      </c>
      <c r="AK2684" s="1">
        <v>2.6912883645</v>
      </c>
      <c r="AL2684" s="1">
        <v>25.65515926</v>
      </c>
      <c r="AM2684" s="1">
        <v>50.110284688</v>
      </c>
      <c r="AN2684" s="1">
        <v>9.2557779498</v>
      </c>
      <c r="AO2684" s="1">
        <v>16086.0</v>
      </c>
      <c r="AP2684" s="1">
        <v>24.7</v>
      </c>
      <c r="AQ2684" s="1">
        <v>12.4</v>
      </c>
      <c r="AR2684" s="1">
        <v>41.3</v>
      </c>
      <c r="AS2684" s="1">
        <v>11.3</v>
      </c>
      <c r="AT2684" s="1">
        <v>32.2</v>
      </c>
      <c r="AU2684" s="1">
        <v>16.5</v>
      </c>
      <c r="AV2684" s="1">
        <v>97.2</v>
      </c>
      <c r="AW2684" s="1">
        <v>27.0</v>
      </c>
      <c r="AX2684" s="1">
        <v>0.9758</v>
      </c>
      <c r="AY2684" s="1">
        <v>26.9</v>
      </c>
      <c r="AZ2684" s="1">
        <v>18.1</v>
      </c>
      <c r="BA2684" s="1">
        <v>27.1</v>
      </c>
      <c r="BB2684" s="1">
        <v>2.6</v>
      </c>
      <c r="BC2684" s="1" t="s">
        <v>4123</v>
      </c>
      <c r="BD2684" s="1">
        <v>40.5</v>
      </c>
      <c r="BE2684" s="1">
        <v>22.6</v>
      </c>
      <c r="BF2684" s="1">
        <v>24.2</v>
      </c>
      <c r="BG2684" s="1">
        <v>12.7</v>
      </c>
      <c r="BH2684" s="1" t="s">
        <v>4384</v>
      </c>
    </row>
    <row r="2685">
      <c r="A2685" s="1">
        <v>48325.0</v>
      </c>
      <c r="B2685" s="2" t="str">
        <f>IFERROR(__xludf.DUMMYFUNCTION("TO_TEXT(A2685)"),"48325")</f>
        <v>48325</v>
      </c>
      <c r="C2685" s="1">
        <v>47920.0</v>
      </c>
      <c r="D2685" s="1">
        <v>1325.35820985833</v>
      </c>
      <c r="E2685" s="1" t="s">
        <v>3488</v>
      </c>
      <c r="F2685" s="1" t="s">
        <v>4385</v>
      </c>
      <c r="G2685" s="1">
        <v>36.1562629963428</v>
      </c>
      <c r="H2685" s="1">
        <v>20.297050184</v>
      </c>
      <c r="I2685" s="1">
        <v>3.7569299435</v>
      </c>
      <c r="J2685" s="1">
        <v>8.1729567608</v>
      </c>
      <c r="K2685" s="1">
        <v>13.202087644</v>
      </c>
      <c r="L2685" s="1">
        <v>33.8</v>
      </c>
      <c r="M2685" s="1">
        <v>8.3</v>
      </c>
      <c r="N2685" s="1">
        <v>25.4</v>
      </c>
      <c r="O2685" s="1">
        <v>54.251619354</v>
      </c>
      <c r="P2685" s="1">
        <v>16.839651023</v>
      </c>
      <c r="Q2685" s="1">
        <v>27.96309</v>
      </c>
      <c r="R2685" s="1">
        <v>94.6</v>
      </c>
      <c r="S2685" s="1">
        <v>17.9</v>
      </c>
      <c r="T2685" s="1">
        <v>11446.0</v>
      </c>
      <c r="U2685" s="1">
        <v>31.006465141</v>
      </c>
      <c r="V2685" s="1">
        <v>210.66003282</v>
      </c>
      <c r="W2685" s="1">
        <v>12.909632572</v>
      </c>
      <c r="X2685" s="1">
        <v>7.979966611</v>
      </c>
      <c r="Y2685" s="1">
        <v>79.183699207</v>
      </c>
      <c r="Z2685" s="1">
        <v>12.6</v>
      </c>
      <c r="AA2685" s="1">
        <v>8.0759610714</v>
      </c>
      <c r="AB2685" s="1">
        <v>59304.0</v>
      </c>
      <c r="AC2685" s="1">
        <v>58.636085091</v>
      </c>
      <c r="AD2685" s="1">
        <v>79.825468649</v>
      </c>
      <c r="AE2685" s="1">
        <v>9.0664514393</v>
      </c>
      <c r="AF2685" s="1">
        <v>2.4783488148</v>
      </c>
      <c r="AG2685" s="1">
        <v>1.0624300387</v>
      </c>
      <c r="AH2685" s="1">
        <v>0.871938885699999</v>
      </c>
      <c r="AI2685" s="1">
        <v>0.1669252371</v>
      </c>
      <c r="AJ2685" s="1">
        <v>52.35560967</v>
      </c>
      <c r="AK2685" s="1">
        <v>43.166866322</v>
      </c>
      <c r="AL2685" s="1">
        <v>2.1811683138</v>
      </c>
      <c r="AM2685" s="1">
        <v>48.398499637</v>
      </c>
      <c r="AN2685" s="1">
        <v>61.555014563</v>
      </c>
      <c r="AO2685" s="1">
        <v>24731.0</v>
      </c>
      <c r="AP2685" s="1">
        <v>14.0</v>
      </c>
      <c r="AQ2685" s="1">
        <v>6.0</v>
      </c>
      <c r="AR2685" s="1">
        <v>17.5</v>
      </c>
      <c r="AS2685" s="1">
        <v>15.3</v>
      </c>
      <c r="AT2685" s="1">
        <v>24.0</v>
      </c>
      <c r="AU2685" s="1">
        <v>15.1</v>
      </c>
      <c r="AV2685" s="1">
        <v>54.9</v>
      </c>
      <c r="AW2685" s="1">
        <v>2.2</v>
      </c>
      <c r="AX2685" s="1">
        <v>0.6797</v>
      </c>
      <c r="AY2685" s="1">
        <v>12.2</v>
      </c>
      <c r="AZ2685" s="1">
        <v>12.2</v>
      </c>
      <c r="BA2685" s="1">
        <v>18.2</v>
      </c>
      <c r="BB2685" s="1">
        <v>2.87</v>
      </c>
      <c r="BC2685" s="1" t="s">
        <v>4123</v>
      </c>
      <c r="BD2685" s="1">
        <v>16.8</v>
      </c>
      <c r="BE2685" s="1">
        <v>31.0</v>
      </c>
      <c r="BF2685" s="1">
        <v>32.3</v>
      </c>
      <c r="BG2685" s="1">
        <v>19.8</v>
      </c>
      <c r="BH2685" s="1" t="s">
        <v>4385</v>
      </c>
    </row>
    <row r="2686">
      <c r="A2686" s="1">
        <v>48327.0</v>
      </c>
      <c r="B2686" s="2" t="str">
        <f>IFERROR(__xludf.DUMMYFUNCTION("TO_TEXT(A2686)"),"48327")</f>
        <v>48327</v>
      </c>
      <c r="C2686" s="1">
        <v>2163.0</v>
      </c>
      <c r="D2686" s="1">
        <v>902.02613338784</v>
      </c>
      <c r="E2686" s="1" t="s">
        <v>1250</v>
      </c>
      <c r="F2686" s="1" t="s">
        <v>4386</v>
      </c>
      <c r="G2686" s="1">
        <v>2.39793495990652</v>
      </c>
      <c r="H2686" s="1">
        <v>18.318434615</v>
      </c>
      <c r="I2686" s="1">
        <v>3.7909927763</v>
      </c>
      <c r="J2686" s="1">
        <v>7.80443539465</v>
      </c>
      <c r="K2686" s="1">
        <v>11.8692842829999</v>
      </c>
      <c r="L2686" s="1">
        <v>33.5</v>
      </c>
      <c r="M2686" s="1">
        <v>7.7</v>
      </c>
      <c r="N2686" s="1">
        <v>24.8</v>
      </c>
      <c r="O2686" s="1">
        <v>76.85102587</v>
      </c>
      <c r="P2686" s="1">
        <v>25.632262474</v>
      </c>
      <c r="Q2686" s="1">
        <v>47.08098</v>
      </c>
      <c r="R2686" s="1">
        <v>95.2</v>
      </c>
      <c r="S2686" s="1">
        <v>40.8</v>
      </c>
      <c r="T2686" s="1">
        <v>304.0</v>
      </c>
      <c r="U2686" s="1">
        <v>20.723684211</v>
      </c>
      <c r="V2686" s="1">
        <v>256.6495567</v>
      </c>
      <c r="W2686" s="1">
        <v>13.903743316</v>
      </c>
      <c r="X2686" s="1">
        <v>7.01186623519999</v>
      </c>
      <c r="Y2686" s="1">
        <v>71.86199562</v>
      </c>
      <c r="Z2686" s="1">
        <v>13.8</v>
      </c>
      <c r="AA2686" s="1">
        <v>6.87995637669999</v>
      </c>
      <c r="AB2686" s="1">
        <v>35881.0</v>
      </c>
      <c r="AC2686" s="1">
        <v>72.063492063</v>
      </c>
      <c r="AD2686" s="1">
        <v>63.911290323</v>
      </c>
      <c r="AE2686" s="1">
        <v>5.64042303169999</v>
      </c>
      <c r="AF2686" s="1">
        <v>1.3090229079</v>
      </c>
      <c r="AG2686" s="1">
        <v>1.6362786349</v>
      </c>
      <c r="AH2686" s="1">
        <v>0.1870032726</v>
      </c>
      <c r="AI2686" s="1">
        <v>0.0</v>
      </c>
      <c r="AJ2686" s="1">
        <v>36.465638149</v>
      </c>
      <c r="AK2686" s="1">
        <v>60.8695652169999</v>
      </c>
      <c r="AL2686" s="1">
        <v>7.9637577492</v>
      </c>
      <c r="AM2686" s="1">
        <v>50.350631136</v>
      </c>
      <c r="AN2686" s="1">
        <v>100.0</v>
      </c>
      <c r="AO2686" s="1">
        <v>23331.0</v>
      </c>
      <c r="AP2686" s="1">
        <v>13.4</v>
      </c>
      <c r="AQ2686" s="1">
        <v>8.4</v>
      </c>
      <c r="AR2686" s="1">
        <v>21.1</v>
      </c>
      <c r="AS2686" s="1">
        <v>22.5</v>
      </c>
      <c r="AT2686" s="1">
        <v>23.7</v>
      </c>
      <c r="AU2686" s="1">
        <v>24.9</v>
      </c>
      <c r="AV2686" s="1">
        <v>43.7</v>
      </c>
      <c r="AW2686" s="1">
        <v>4.3</v>
      </c>
      <c r="AX2686" s="1">
        <v>0.9306</v>
      </c>
      <c r="AY2686" s="1">
        <v>20.7</v>
      </c>
      <c r="AZ2686" s="1">
        <v>15.7</v>
      </c>
      <c r="BA2686" s="1">
        <v>20.0</v>
      </c>
      <c r="BB2686" s="1">
        <v>2.78</v>
      </c>
      <c r="BC2686" s="1" t="s">
        <v>4123</v>
      </c>
      <c r="BD2686" s="1">
        <v>22.1</v>
      </c>
      <c r="BE2686" s="1">
        <v>36.1</v>
      </c>
      <c r="BF2686" s="1">
        <v>23.8</v>
      </c>
      <c r="BG2686" s="1">
        <v>18.0</v>
      </c>
      <c r="BH2686" s="1" t="s">
        <v>4386</v>
      </c>
    </row>
    <row r="2687">
      <c r="A2687" s="1">
        <v>48329.0</v>
      </c>
      <c r="B2687" s="2" t="str">
        <f>IFERROR(__xludf.DUMMYFUNCTION("TO_TEXT(A2687)"),"48329")</f>
        <v>48329</v>
      </c>
      <c r="C2687" s="1">
        <v>155817.0</v>
      </c>
      <c r="D2687" s="1">
        <v>900.253794705364</v>
      </c>
      <c r="E2687" s="1" t="s">
        <v>2238</v>
      </c>
      <c r="F2687" s="1" t="s">
        <v>4387</v>
      </c>
      <c r="G2687" s="1">
        <v>173.081192122046</v>
      </c>
      <c r="H2687" s="1">
        <v>16.680296619</v>
      </c>
      <c r="I2687" s="1">
        <v>3.6220056322</v>
      </c>
      <c r="J2687" s="1">
        <v>8.2433114589</v>
      </c>
      <c r="K2687" s="1">
        <v>12.504052855</v>
      </c>
      <c r="L2687" s="1">
        <v>34.5</v>
      </c>
      <c r="M2687" s="1">
        <v>8.1</v>
      </c>
      <c r="N2687" s="1">
        <v>25.3</v>
      </c>
      <c r="O2687" s="1">
        <v>66.220264188</v>
      </c>
      <c r="P2687" s="1">
        <v>19.845985644</v>
      </c>
      <c r="Q2687" s="1">
        <v>35.7469599999999</v>
      </c>
      <c r="R2687" s="1">
        <v>88.8</v>
      </c>
      <c r="S2687" s="1">
        <v>13.5</v>
      </c>
      <c r="T2687" s="1">
        <v>45889.0</v>
      </c>
      <c r="U2687" s="1">
        <v>30.179345813</v>
      </c>
      <c r="V2687" s="1">
        <v>313.91817654</v>
      </c>
      <c r="W2687" s="1">
        <v>15.567086731</v>
      </c>
      <c r="X2687" s="1">
        <v>9.2666978048</v>
      </c>
      <c r="Y2687" s="1">
        <v>78.775380308</v>
      </c>
      <c r="Z2687" s="1">
        <v>6.4</v>
      </c>
      <c r="AA2687" s="1">
        <v>7.2683021712</v>
      </c>
      <c r="AB2687" s="1">
        <v>80189.0</v>
      </c>
      <c r="AC2687" s="1">
        <v>46.301894397</v>
      </c>
      <c r="AD2687" s="1">
        <v>66.73990711</v>
      </c>
      <c r="AE2687" s="1">
        <v>10.081598973</v>
      </c>
      <c r="AF2687" s="1">
        <v>6.041905689</v>
      </c>
      <c r="AG2687" s="1">
        <v>1.1444100639</v>
      </c>
      <c r="AH2687" s="1">
        <v>2.2001645633</v>
      </c>
      <c r="AI2687" s="1">
        <v>0.1199457637</v>
      </c>
      <c r="AJ2687" s="1">
        <v>45.336021973</v>
      </c>
      <c r="AK2687" s="1">
        <v>44.8823140839999</v>
      </c>
      <c r="AL2687" s="1">
        <v>5.503124729</v>
      </c>
      <c r="AM2687" s="1">
        <v>49.5283292189999</v>
      </c>
      <c r="AN2687" s="1">
        <v>12.2917762579999</v>
      </c>
      <c r="AO2687" s="1">
        <v>36869.0</v>
      </c>
      <c r="AP2687" s="1">
        <v>7.9</v>
      </c>
      <c r="AQ2687" s="1">
        <v>3.6</v>
      </c>
      <c r="AR2687" s="1">
        <v>16.6</v>
      </c>
      <c r="AS2687" s="1">
        <v>10.1</v>
      </c>
      <c r="AT2687" s="1">
        <v>27.8</v>
      </c>
      <c r="AU2687" s="1">
        <v>10.2</v>
      </c>
      <c r="AV2687" s="1">
        <v>51.5</v>
      </c>
      <c r="AW2687" s="1">
        <v>5.5</v>
      </c>
      <c r="AX2687" s="1">
        <v>0.4483</v>
      </c>
      <c r="AY2687" s="1">
        <v>9.9</v>
      </c>
      <c r="AZ2687" s="1">
        <v>10.5</v>
      </c>
      <c r="BA2687" s="1">
        <v>14.6</v>
      </c>
      <c r="BB2687" s="1">
        <v>3.0</v>
      </c>
      <c r="BC2687" s="1" t="s">
        <v>4123</v>
      </c>
      <c r="BD2687" s="1">
        <v>15.5</v>
      </c>
      <c r="BE2687" s="1">
        <v>25.7</v>
      </c>
      <c r="BF2687" s="1">
        <v>31.5</v>
      </c>
      <c r="BG2687" s="1">
        <v>27.4</v>
      </c>
      <c r="BH2687" s="1" t="s">
        <v>4387</v>
      </c>
    </row>
    <row r="2688">
      <c r="A2688" s="1">
        <v>48331.0</v>
      </c>
      <c r="B2688" s="2" t="str">
        <f>IFERROR(__xludf.DUMMYFUNCTION("TO_TEXT(A2688)"),"48331")</f>
        <v>48331</v>
      </c>
      <c r="C2688" s="1">
        <v>24372.0</v>
      </c>
      <c r="D2688" s="1">
        <v>1016.85972806206</v>
      </c>
      <c r="E2688" s="1" t="s">
        <v>4388</v>
      </c>
      <c r="F2688" s="1" t="s">
        <v>4389</v>
      </c>
      <c r="G2688" s="1">
        <v>23.9679075957193</v>
      </c>
      <c r="H2688" s="1">
        <v>19.946293507</v>
      </c>
      <c r="I2688" s="1">
        <v>4.192537142</v>
      </c>
      <c r="J2688" s="1">
        <v>7.4387947269</v>
      </c>
      <c r="K2688" s="1">
        <v>15.292339769</v>
      </c>
      <c r="L2688" s="1">
        <v>35.4</v>
      </c>
      <c r="M2688" s="1">
        <v>6.7</v>
      </c>
      <c r="N2688" s="1">
        <v>30.8</v>
      </c>
      <c r="O2688" s="1">
        <v>60.629316961</v>
      </c>
      <c r="P2688" s="1">
        <v>20.2478502779999</v>
      </c>
      <c r="Q2688" s="1">
        <v>7.98308</v>
      </c>
      <c r="R2688" s="1">
        <v>95.0</v>
      </c>
      <c r="S2688" s="1">
        <v>25.4</v>
      </c>
      <c r="T2688" s="1">
        <v>6000.0</v>
      </c>
      <c r="U2688" s="1">
        <v>36.966666667</v>
      </c>
      <c r="V2688" s="1">
        <v>230.36735366</v>
      </c>
      <c r="W2688" s="1">
        <v>13.421750663</v>
      </c>
      <c r="X2688" s="1">
        <v>9.1763700459</v>
      </c>
      <c r="Y2688" s="1">
        <v>76.5078546439999</v>
      </c>
      <c r="Z2688" s="1">
        <v>13.9</v>
      </c>
      <c r="AA2688" s="1">
        <v>9.0933447438</v>
      </c>
      <c r="AB2688" s="1">
        <v>46720.0</v>
      </c>
      <c r="AC2688" s="1">
        <v>65.911474722</v>
      </c>
      <c r="AD2688" s="1">
        <v>68.564118964</v>
      </c>
      <c r="AE2688" s="1">
        <v>9.1855410661</v>
      </c>
      <c r="AF2688" s="1">
        <v>8.6904619792</v>
      </c>
      <c r="AG2688" s="1">
        <v>1.249452867</v>
      </c>
      <c r="AH2688" s="1">
        <v>0.895308582999999</v>
      </c>
      <c r="AI2688" s="1">
        <v>0.0676455374</v>
      </c>
      <c r="AJ2688" s="1">
        <v>26.922923879</v>
      </c>
      <c r="AK2688" s="1">
        <v>61.851896065</v>
      </c>
      <c r="AL2688" s="1">
        <v>2.0202457173</v>
      </c>
      <c r="AM2688" s="1">
        <v>50.718236441</v>
      </c>
      <c r="AN2688" s="1">
        <v>56.1820899139999</v>
      </c>
      <c r="AO2688" s="1">
        <v>22132.0</v>
      </c>
      <c r="AP2688" s="1">
        <v>15.5</v>
      </c>
      <c r="AQ2688" s="1">
        <v>9.6</v>
      </c>
      <c r="AR2688" s="1">
        <v>19.7</v>
      </c>
      <c r="AS2688" s="1">
        <v>19.5</v>
      </c>
      <c r="AT2688" s="1">
        <v>24.9</v>
      </c>
      <c r="AU2688" s="1">
        <v>21.3</v>
      </c>
      <c r="AV2688" s="1">
        <v>36.4</v>
      </c>
      <c r="AW2688" s="1">
        <v>2.3</v>
      </c>
      <c r="AX2688" s="1">
        <v>0.9147</v>
      </c>
      <c r="AY2688" s="1">
        <v>16.3</v>
      </c>
      <c r="AZ2688" s="1">
        <v>16.9</v>
      </c>
      <c r="BA2688" s="1">
        <v>25.9</v>
      </c>
      <c r="BB2688" s="1">
        <v>3.03</v>
      </c>
      <c r="BC2688" s="1" t="s">
        <v>4123</v>
      </c>
      <c r="BD2688" s="1">
        <v>18.6</v>
      </c>
      <c r="BE2688" s="1">
        <v>38.1</v>
      </c>
      <c r="BF2688" s="1">
        <v>29.2</v>
      </c>
      <c r="BG2688" s="1">
        <v>14.1</v>
      </c>
      <c r="BH2688" s="1" t="s">
        <v>4389</v>
      </c>
    </row>
    <row r="2689">
      <c r="A2689" s="1">
        <v>48333.0</v>
      </c>
      <c r="B2689" s="2" t="str">
        <f>IFERROR(__xludf.DUMMYFUNCTION("TO_TEXT(A2689)"),"48333")</f>
        <v>48333</v>
      </c>
      <c r="C2689" s="1">
        <v>4871.0</v>
      </c>
      <c r="D2689" s="1">
        <v>748.260821153452</v>
      </c>
      <c r="E2689" s="1" t="s">
        <v>1533</v>
      </c>
      <c r="F2689" s="1" t="s">
        <v>4390</v>
      </c>
      <c r="G2689" s="1">
        <v>6.50976218759029</v>
      </c>
      <c r="H2689" s="1">
        <v>17.44059984</v>
      </c>
      <c r="I2689" s="1">
        <v>4.0543192866</v>
      </c>
      <c r="J2689" s="1">
        <v>9.3425605536</v>
      </c>
      <c r="K2689" s="1">
        <v>13.543155882</v>
      </c>
      <c r="L2689" s="1">
        <v>29.7</v>
      </c>
      <c r="M2689" s="1">
        <v>7.2</v>
      </c>
      <c r="N2689" s="1">
        <v>29.1</v>
      </c>
      <c r="O2689" s="1">
        <v>24.169367909</v>
      </c>
      <c r="P2689" s="1">
        <v>25.792630677</v>
      </c>
      <c r="Q2689" s="1">
        <v>40.64215</v>
      </c>
      <c r="R2689" s="1">
        <v>62.8</v>
      </c>
      <c r="S2689" s="1">
        <v>24.6</v>
      </c>
      <c r="T2689" s="1">
        <v>1040.0</v>
      </c>
      <c r="U2689" s="1">
        <v>32.884615385</v>
      </c>
      <c r="V2689" s="1">
        <v>30.5903946159999</v>
      </c>
      <c r="W2689" s="1">
        <v>13.3333333329999</v>
      </c>
      <c r="X2689" s="1">
        <v>10.619946092</v>
      </c>
      <c r="Y2689" s="1">
        <v>77.439202065</v>
      </c>
      <c r="Z2689" s="1">
        <v>6.6</v>
      </c>
      <c r="AA2689" s="1">
        <v>9.5307737823</v>
      </c>
      <c r="AB2689" s="1">
        <v>47068.0</v>
      </c>
      <c r="AC2689" s="1">
        <v>59.022118743</v>
      </c>
      <c r="AD2689" s="1">
        <v>81.542857143</v>
      </c>
      <c r="AE2689" s="1">
        <v>11.591591592</v>
      </c>
      <c r="AF2689" s="1">
        <v>0.8331639911</v>
      </c>
      <c r="AG2689" s="1">
        <v>0.9754115017</v>
      </c>
      <c r="AH2689" s="1">
        <v>0.426742532</v>
      </c>
      <c r="AI2689" s="1">
        <v>0.020321073</v>
      </c>
      <c r="AJ2689" s="1">
        <v>18.390571022</v>
      </c>
      <c r="AK2689" s="1">
        <v>79.089615932</v>
      </c>
      <c r="AL2689" s="1">
        <v>3.7671957672</v>
      </c>
      <c r="AM2689" s="1">
        <v>50.091444828</v>
      </c>
      <c r="AN2689" s="1">
        <v>100.0</v>
      </c>
      <c r="AO2689" s="1">
        <v>24099.0</v>
      </c>
      <c r="AP2689" s="1">
        <v>14.5</v>
      </c>
      <c r="AQ2689" s="1">
        <v>3.9</v>
      </c>
      <c r="AR2689" s="1">
        <v>16.9</v>
      </c>
      <c r="AS2689" s="1">
        <v>27.0</v>
      </c>
      <c r="AT2689" s="1">
        <v>24.5</v>
      </c>
      <c r="AU2689" s="1">
        <v>19.1</v>
      </c>
      <c r="AV2689" s="1">
        <v>17.7</v>
      </c>
      <c r="AW2689" s="1">
        <v>3.6</v>
      </c>
      <c r="AX2689" s="1">
        <v>0.7036</v>
      </c>
      <c r="AY2689" s="1">
        <v>13.2</v>
      </c>
      <c r="AZ2689" s="1">
        <v>17.4</v>
      </c>
      <c r="BA2689" s="1">
        <v>26.5</v>
      </c>
      <c r="BB2689" s="1">
        <v>2.71</v>
      </c>
      <c r="BC2689" s="1" t="s">
        <v>4123</v>
      </c>
      <c r="BD2689" s="1">
        <v>17.0</v>
      </c>
      <c r="BE2689" s="1">
        <v>31.9</v>
      </c>
      <c r="BF2689" s="1">
        <v>32.8</v>
      </c>
      <c r="BG2689" s="1">
        <v>18.3</v>
      </c>
      <c r="BH2689" s="1" t="s">
        <v>4390</v>
      </c>
    </row>
    <row r="2690">
      <c r="A2690" s="1">
        <v>48335.0</v>
      </c>
      <c r="B2690" s="2" t="str">
        <f>IFERROR(__xludf.DUMMYFUNCTION("TO_TEXT(A2690)"),"48335")</f>
        <v>48335</v>
      </c>
      <c r="C2690" s="1">
        <v>8995.0</v>
      </c>
      <c r="D2690" s="1">
        <v>911.089111039268</v>
      </c>
      <c r="E2690" s="1" t="s">
        <v>965</v>
      </c>
      <c r="F2690" s="1" t="s">
        <v>4391</v>
      </c>
      <c r="G2690" s="1">
        <v>9.872799368373</v>
      </c>
      <c r="H2690" s="1">
        <v>17.87552157</v>
      </c>
      <c r="I2690" s="1">
        <v>3.5658201813</v>
      </c>
      <c r="J2690" s="1">
        <v>9.9270072993</v>
      </c>
      <c r="K2690" s="1">
        <v>13.55322752</v>
      </c>
      <c r="L2690" s="1">
        <v>30.8</v>
      </c>
      <c r="M2690" s="1">
        <v>8.0</v>
      </c>
      <c r="N2690" s="1">
        <v>24.0</v>
      </c>
      <c r="O2690" s="1">
        <v>4.3390407317</v>
      </c>
      <c r="P2690" s="1">
        <v>21.1504108609999</v>
      </c>
      <c r="Q2690" s="1">
        <v>47.23666</v>
      </c>
      <c r="R2690" s="1">
        <v>93.8</v>
      </c>
      <c r="S2690" s="1">
        <v>26.7</v>
      </c>
      <c r="T2690" s="1">
        <v>1592.0</v>
      </c>
      <c r="U2690" s="1">
        <v>35.427135678</v>
      </c>
      <c r="V2690" s="1">
        <v>173.52638143</v>
      </c>
      <c r="W2690" s="1">
        <v>7.8947368421</v>
      </c>
      <c r="X2690" s="1">
        <v>5.7894736842</v>
      </c>
      <c r="Y2690" s="1">
        <v>74.835292968</v>
      </c>
      <c r="Z2690" s="1">
        <v>6.0</v>
      </c>
      <c r="AA2690" s="1">
        <v>4.2638201202</v>
      </c>
      <c r="AB2690" s="1">
        <v>48529.0</v>
      </c>
      <c r="AC2690" s="1">
        <v>55.808980756</v>
      </c>
      <c r="AD2690" s="1">
        <v>77.795985252</v>
      </c>
      <c r="AE2690" s="1">
        <v>6.8248023304</v>
      </c>
      <c r="AF2690" s="1">
        <v>9.0976058932</v>
      </c>
      <c r="AG2690" s="1">
        <v>1.8293431553</v>
      </c>
      <c r="AH2690" s="1">
        <v>0.6629834254</v>
      </c>
      <c r="AI2690" s="1">
        <v>0.1227747084</v>
      </c>
      <c r="AJ2690" s="1">
        <v>40.184162063</v>
      </c>
      <c r="AK2690" s="1">
        <v>48.3486801719999</v>
      </c>
      <c r="AL2690" s="1">
        <v>3.6365877712</v>
      </c>
      <c r="AM2690" s="1">
        <v>41.669736034</v>
      </c>
      <c r="AN2690" s="1">
        <v>36.74359247</v>
      </c>
      <c r="AO2690" s="1">
        <v>19334.0</v>
      </c>
      <c r="AP2690" s="1">
        <v>10.2</v>
      </c>
      <c r="AQ2690" s="1">
        <v>6.0</v>
      </c>
      <c r="AR2690" s="1">
        <v>25.2</v>
      </c>
      <c r="AS2690" s="1">
        <v>14.1</v>
      </c>
      <c r="AT2690" s="1">
        <v>19.2</v>
      </c>
      <c r="AU2690" s="1">
        <v>16.3</v>
      </c>
      <c r="AV2690" s="1">
        <v>51.6</v>
      </c>
      <c r="AW2690" s="1">
        <v>4.7</v>
      </c>
      <c r="AX2690" s="1">
        <v>0.6457</v>
      </c>
      <c r="AY2690" s="1">
        <v>19.5</v>
      </c>
      <c r="AZ2690" s="1">
        <v>13.2</v>
      </c>
      <c r="BA2690" s="1">
        <v>18.2</v>
      </c>
      <c r="BB2690" s="1">
        <v>2.96</v>
      </c>
      <c r="BC2690" s="1" t="s">
        <v>4123</v>
      </c>
      <c r="BD2690" s="1">
        <v>21.3</v>
      </c>
      <c r="BE2690" s="1">
        <v>40.3</v>
      </c>
      <c r="BF2690" s="1">
        <v>27.1</v>
      </c>
      <c r="BG2690" s="1">
        <v>11.3</v>
      </c>
      <c r="BH2690" s="1" t="s">
        <v>4391</v>
      </c>
    </row>
    <row r="2691">
      <c r="A2691" s="1">
        <v>48337.0</v>
      </c>
      <c r="B2691" s="2" t="str">
        <f>IFERROR(__xludf.DUMMYFUNCTION("TO_TEXT(A2691)"),"48337")</f>
        <v>48337</v>
      </c>
      <c r="C2691" s="1">
        <v>19384.0</v>
      </c>
      <c r="D2691" s="1">
        <v>930.905286534628</v>
      </c>
      <c r="E2691" s="1" t="s">
        <v>4392</v>
      </c>
      <c r="F2691" s="1" t="s">
        <v>4393</v>
      </c>
      <c r="G2691" s="1">
        <v>20.8227413469297</v>
      </c>
      <c r="H2691" s="1">
        <v>16.704961302</v>
      </c>
      <c r="I2691" s="1">
        <v>4.194026534</v>
      </c>
      <c r="J2691" s="1">
        <v>8.141025641</v>
      </c>
      <c r="K2691" s="1">
        <v>15.19165216</v>
      </c>
      <c r="L2691" s="1">
        <v>30.6</v>
      </c>
      <c r="M2691" s="1">
        <v>6.9</v>
      </c>
      <c r="N2691" s="1">
        <v>32.9</v>
      </c>
      <c r="O2691" s="1">
        <v>41.072062478</v>
      </c>
      <c r="P2691" s="1">
        <v>23.5908279919999</v>
      </c>
      <c r="Q2691" s="1">
        <v>30.70782</v>
      </c>
      <c r="R2691" s="1">
        <v>98.0</v>
      </c>
      <c r="S2691" s="1">
        <v>20.9</v>
      </c>
      <c r="T2691" s="1">
        <v>4419.0</v>
      </c>
      <c r="U2691" s="1">
        <v>25.186693822</v>
      </c>
      <c r="V2691" s="1">
        <v>166.30316249</v>
      </c>
      <c r="W2691" s="1">
        <v>14.223871367</v>
      </c>
      <c r="X2691" s="1">
        <v>9.1797119599</v>
      </c>
      <c r="Y2691" s="1">
        <v>75.138914511</v>
      </c>
      <c r="Z2691" s="1">
        <v>12.4</v>
      </c>
      <c r="AA2691" s="1">
        <v>6.9447232483</v>
      </c>
      <c r="AB2691" s="1">
        <v>50542.0</v>
      </c>
      <c r="AC2691" s="1">
        <v>54.915354915</v>
      </c>
      <c r="AD2691" s="1">
        <v>71.044402752</v>
      </c>
      <c r="AE2691" s="1">
        <v>9.4936708861</v>
      </c>
      <c r="AF2691" s="1">
        <v>0.5511328843</v>
      </c>
      <c r="AG2691" s="1">
        <v>1.4186568687</v>
      </c>
      <c r="AH2691" s="1">
        <v>0.4694835681</v>
      </c>
      <c r="AI2691" s="1">
        <v>0.0357215758</v>
      </c>
      <c r="AJ2691" s="1">
        <v>11.262502552</v>
      </c>
      <c r="AK2691" s="1">
        <v>85.466421719</v>
      </c>
      <c r="AL2691" s="1">
        <v>2.6501284083</v>
      </c>
      <c r="AM2691" s="1">
        <v>50.918554807</v>
      </c>
      <c r="AN2691" s="1">
        <v>58.943151275</v>
      </c>
      <c r="AO2691" s="1">
        <v>25403.0</v>
      </c>
      <c r="AP2691" s="1">
        <v>16.1</v>
      </c>
      <c r="AQ2691" s="1">
        <v>6.0</v>
      </c>
      <c r="AR2691" s="1">
        <v>17.9</v>
      </c>
      <c r="AS2691" s="1">
        <v>21.6</v>
      </c>
      <c r="AT2691" s="1">
        <v>23.0</v>
      </c>
      <c r="AU2691" s="1">
        <v>19.1</v>
      </c>
      <c r="AV2691" s="1">
        <v>13.4</v>
      </c>
      <c r="AW2691" s="1">
        <v>2.2</v>
      </c>
      <c r="AX2691" s="1">
        <v>0.625</v>
      </c>
      <c r="AY2691" s="1">
        <v>12.9</v>
      </c>
      <c r="AZ2691" s="1">
        <v>16.4</v>
      </c>
      <c r="BA2691" s="1">
        <v>24.4</v>
      </c>
      <c r="BB2691" s="1">
        <v>2.89</v>
      </c>
      <c r="BC2691" s="1" t="s">
        <v>4123</v>
      </c>
      <c r="BD2691" s="1">
        <v>14.3</v>
      </c>
      <c r="BE2691" s="1">
        <v>37.6</v>
      </c>
      <c r="BF2691" s="1">
        <v>31.2</v>
      </c>
      <c r="BG2691" s="1">
        <v>16.9</v>
      </c>
      <c r="BH2691" s="1" t="s">
        <v>4393</v>
      </c>
    </row>
    <row r="2692">
      <c r="A2692" s="1">
        <v>48339.0</v>
      </c>
      <c r="B2692" s="2" t="str">
        <f>IFERROR(__xludf.DUMMYFUNCTION("TO_TEXT(A2692)"),"48339")</f>
        <v>48339</v>
      </c>
      <c r="C2692" s="1">
        <v>518849.0</v>
      </c>
      <c r="D2692" s="1">
        <v>1041.91901929596</v>
      </c>
      <c r="E2692" s="1" t="s">
        <v>160</v>
      </c>
      <c r="F2692" s="1" t="s">
        <v>4394</v>
      </c>
      <c r="G2692" s="1">
        <v>497.974401456453</v>
      </c>
      <c r="H2692" s="1">
        <v>15.0165883429999</v>
      </c>
      <c r="I2692" s="1">
        <v>3.6604313391</v>
      </c>
      <c r="J2692" s="1">
        <v>7.1694504913</v>
      </c>
      <c r="K2692" s="1">
        <v>14.610748407</v>
      </c>
      <c r="L2692" s="1">
        <v>26.1</v>
      </c>
      <c r="M2692" s="1">
        <v>7.6</v>
      </c>
      <c r="N2692" s="1">
        <v>22.2</v>
      </c>
      <c r="O2692" s="1">
        <v>83.920868203</v>
      </c>
      <c r="P2692" s="1">
        <v>17.239952695</v>
      </c>
      <c r="Q2692" s="1">
        <v>62.00366</v>
      </c>
      <c r="R2692" s="1">
        <v>92.8</v>
      </c>
      <c r="S2692" s="1">
        <v>12.9</v>
      </c>
      <c r="T2692" s="1">
        <v>146797.0</v>
      </c>
      <c r="U2692" s="1">
        <v>23.224589058</v>
      </c>
      <c r="V2692" s="1">
        <v>175.15762311</v>
      </c>
      <c r="W2692" s="1">
        <v>14.363671799</v>
      </c>
      <c r="X2692" s="1">
        <v>10.119933713</v>
      </c>
      <c r="Y2692" s="1">
        <v>79.686331041</v>
      </c>
      <c r="Z2692" s="1">
        <v>9.0</v>
      </c>
      <c r="AA2692" s="1">
        <v>5.8550561876</v>
      </c>
      <c r="AB2692" s="1">
        <v>77598.0</v>
      </c>
      <c r="AC2692" s="1">
        <v>42.256969762</v>
      </c>
      <c r="AD2692" s="1">
        <v>71.32966503</v>
      </c>
      <c r="AE2692" s="1">
        <v>10.831136528</v>
      </c>
      <c r="AF2692" s="1">
        <v>5.1116469941</v>
      </c>
      <c r="AG2692" s="1">
        <v>0.988450311</v>
      </c>
      <c r="AH2692" s="1">
        <v>3.1652070906</v>
      </c>
      <c r="AI2692" s="1">
        <v>0.1164276346</v>
      </c>
      <c r="AJ2692" s="1">
        <v>24.777086771</v>
      </c>
      <c r="AK2692" s="1">
        <v>65.120954436</v>
      </c>
      <c r="AL2692" s="1">
        <v>4.4104837305</v>
      </c>
      <c r="AM2692" s="1">
        <v>50.457672293</v>
      </c>
      <c r="AN2692" s="1">
        <v>22.725597153</v>
      </c>
      <c r="AO2692" s="1">
        <v>35912.0</v>
      </c>
      <c r="AP2692" s="1">
        <v>11.0</v>
      </c>
      <c r="AQ2692" s="1">
        <v>5.4</v>
      </c>
      <c r="AR2692" s="1">
        <v>13.2</v>
      </c>
      <c r="AS2692" s="1">
        <v>12.1</v>
      </c>
      <c r="AT2692" s="1">
        <v>26.8</v>
      </c>
      <c r="AU2692" s="1">
        <v>10.5</v>
      </c>
      <c r="AV2692" s="1">
        <v>31.3</v>
      </c>
      <c r="AW2692" s="1">
        <v>4.5</v>
      </c>
      <c r="AX2692" s="1">
        <v>0.3992</v>
      </c>
      <c r="AY2692" s="1">
        <v>8.9</v>
      </c>
      <c r="AZ2692" s="1">
        <v>12.5</v>
      </c>
      <c r="BA2692" s="1">
        <v>18.5</v>
      </c>
      <c r="BB2692" s="1">
        <v>3.05</v>
      </c>
      <c r="BC2692" s="1" t="s">
        <v>4123</v>
      </c>
      <c r="BD2692" s="1">
        <v>12.3</v>
      </c>
      <c r="BE2692" s="1">
        <v>22.8</v>
      </c>
      <c r="BF2692" s="1">
        <v>30.4</v>
      </c>
      <c r="BG2692" s="1">
        <v>34.5</v>
      </c>
      <c r="BH2692" s="1" t="s">
        <v>4394</v>
      </c>
    </row>
    <row r="2693">
      <c r="A2693" s="1">
        <v>48341.0</v>
      </c>
      <c r="B2693" s="2" t="str">
        <f>IFERROR(__xludf.DUMMYFUNCTION("TO_TEXT(A2693)"),"48341")</f>
        <v>48341</v>
      </c>
      <c r="C2693" s="1">
        <v>22186.0</v>
      </c>
      <c r="D2693" s="1">
        <v>899.690539455214</v>
      </c>
      <c r="E2693" s="1" t="s">
        <v>3269</v>
      </c>
      <c r="F2693" s="1" t="s">
        <v>4395</v>
      </c>
      <c r="G2693" s="1">
        <v>24.6595901891268</v>
      </c>
      <c r="H2693" s="1">
        <v>22.433994191</v>
      </c>
      <c r="I2693" s="1">
        <v>3.9227222518</v>
      </c>
      <c r="J2693" s="1">
        <v>7.4931880109</v>
      </c>
      <c r="K2693" s="1">
        <v>14.812547254</v>
      </c>
      <c r="L2693" s="1">
        <v>27.6</v>
      </c>
      <c r="M2693" s="1">
        <v>7.3</v>
      </c>
      <c r="N2693" s="1">
        <v>24.9</v>
      </c>
      <c r="O2693" s="1">
        <v>76.762235208</v>
      </c>
      <c r="P2693" s="1">
        <v>27.662827439</v>
      </c>
      <c r="Q2693" s="1">
        <v>45.25501</v>
      </c>
      <c r="R2693" s="1">
        <v>98.5</v>
      </c>
      <c r="S2693" s="1">
        <v>16.8</v>
      </c>
      <c r="T2693" s="1">
        <v>6791.0</v>
      </c>
      <c r="U2693" s="1">
        <v>24.885878368</v>
      </c>
      <c r="V2693" s="1">
        <v>208.61167757</v>
      </c>
      <c r="W2693" s="1">
        <v>18.242245199</v>
      </c>
      <c r="X2693" s="1">
        <v>6.8350668648</v>
      </c>
      <c r="Y2693" s="1">
        <v>77.970815719</v>
      </c>
      <c r="Z2693" s="1">
        <v>8.3</v>
      </c>
      <c r="AA2693" s="1">
        <v>14.097416548</v>
      </c>
      <c r="AB2693" s="1">
        <v>53785.0</v>
      </c>
      <c r="AC2693" s="1">
        <v>64.498255695</v>
      </c>
      <c r="AD2693" s="1">
        <v>64.926048898</v>
      </c>
      <c r="AE2693" s="1">
        <v>7.1011374116</v>
      </c>
      <c r="AF2693" s="1">
        <v>3.34186641839999</v>
      </c>
      <c r="AG2693" s="1">
        <v>1.7128228997</v>
      </c>
      <c r="AH2693" s="1">
        <v>7.4563649057</v>
      </c>
      <c r="AI2693" s="1">
        <v>0.2187572725</v>
      </c>
      <c r="AJ2693" s="1">
        <v>56.336979288</v>
      </c>
      <c r="AK2693" s="1">
        <v>31.4358855019999</v>
      </c>
      <c r="AL2693" s="1">
        <v>13.440128961</v>
      </c>
      <c r="AM2693" s="1">
        <v>48.056783803</v>
      </c>
      <c r="AN2693" s="1">
        <v>16.814280497</v>
      </c>
      <c r="AO2693" s="1">
        <v>20159.0</v>
      </c>
      <c r="AP2693" s="1">
        <v>17.8</v>
      </c>
      <c r="AQ2693" s="1">
        <v>3.9</v>
      </c>
      <c r="AR2693" s="1">
        <v>36.1</v>
      </c>
      <c r="AS2693" s="1">
        <v>9.7</v>
      </c>
      <c r="AT2693" s="1">
        <v>31.9</v>
      </c>
      <c r="AU2693" s="1">
        <v>13.3</v>
      </c>
      <c r="AV2693" s="1">
        <v>66.0</v>
      </c>
      <c r="AW2693" s="1">
        <v>16.1</v>
      </c>
      <c r="AX2693" s="1">
        <v>0.8055</v>
      </c>
      <c r="AY2693" s="1">
        <v>11.9</v>
      </c>
      <c r="AZ2693" s="1">
        <v>12.6</v>
      </c>
      <c r="BA2693" s="1">
        <v>18.7</v>
      </c>
      <c r="BB2693" s="1">
        <v>2.81</v>
      </c>
      <c r="BC2693" s="1" t="s">
        <v>4123</v>
      </c>
      <c r="BD2693" s="1">
        <v>32.7</v>
      </c>
      <c r="BE2693" s="1">
        <v>26.2</v>
      </c>
      <c r="BF2693" s="1">
        <v>26.9</v>
      </c>
      <c r="BG2693" s="1">
        <v>14.3</v>
      </c>
      <c r="BH2693" s="1" t="s">
        <v>4395</v>
      </c>
    </row>
    <row r="2694">
      <c r="A2694" s="1">
        <v>48343.0</v>
      </c>
      <c r="B2694" s="2" t="str">
        <f>IFERROR(__xludf.DUMMYFUNCTION("TO_TEXT(A2694)"),"48343")</f>
        <v>48343</v>
      </c>
      <c r="C2694" s="1">
        <v>12653.0</v>
      </c>
      <c r="D2694" s="1">
        <v>251.984723562012</v>
      </c>
      <c r="E2694" s="1" t="s">
        <v>1684</v>
      </c>
      <c r="F2694" s="1" t="s">
        <v>4396</v>
      </c>
      <c r="G2694" s="1">
        <v>50.2133614337385</v>
      </c>
      <c r="H2694" s="1">
        <v>18.111099272</v>
      </c>
      <c r="I2694" s="1">
        <v>4.1058306393</v>
      </c>
      <c r="J2694" s="1">
        <v>10.309278351</v>
      </c>
      <c r="K2694" s="1">
        <v>15.090974965</v>
      </c>
      <c r="L2694" s="1">
        <v>38.4</v>
      </c>
      <c r="M2694" s="1">
        <v>6.5</v>
      </c>
      <c r="N2694" s="1">
        <v>32.5</v>
      </c>
      <c r="O2694" s="1">
        <v>37.83825576</v>
      </c>
      <c r="P2694" s="1">
        <v>16.862623762</v>
      </c>
      <c r="Q2694" s="1">
        <v>16.04235</v>
      </c>
      <c r="R2694" s="1">
        <v>91.7</v>
      </c>
      <c r="S2694" s="1">
        <v>31.1</v>
      </c>
      <c r="T2694" s="1">
        <v>2841.0</v>
      </c>
      <c r="U2694" s="1">
        <v>27.138331573</v>
      </c>
      <c r="V2694" s="1">
        <v>320.06954598</v>
      </c>
      <c r="W2694" s="1">
        <v>14.755732802</v>
      </c>
      <c r="X2694" s="1">
        <v>9.9796334012</v>
      </c>
      <c r="Y2694" s="1">
        <v>73.526927605</v>
      </c>
      <c r="Z2694" s="1">
        <v>11.3</v>
      </c>
      <c r="AA2694" s="1">
        <v>0.6881498191</v>
      </c>
      <c r="AB2694" s="1">
        <v>41418.0</v>
      </c>
      <c r="AC2694" s="1">
        <v>74.700052165</v>
      </c>
      <c r="AD2694" s="1">
        <v>74.484944532</v>
      </c>
      <c r="AE2694" s="1">
        <v>9.4144423753</v>
      </c>
      <c r="AF2694" s="1">
        <v>22.149282762</v>
      </c>
      <c r="AG2694" s="1">
        <v>1.3777453602</v>
      </c>
      <c r="AH2694" s="1">
        <v>0.6402463733</v>
      </c>
      <c r="AI2694" s="1">
        <v>0.1215657671</v>
      </c>
      <c r="AJ2694" s="1">
        <v>9.9846016695</v>
      </c>
      <c r="AK2694" s="1">
        <v>63.9354891</v>
      </c>
      <c r="AL2694" s="1">
        <v>1.1949470809</v>
      </c>
      <c r="AM2694" s="1">
        <v>51.908582543</v>
      </c>
      <c r="AN2694" s="1">
        <v>78.421215401</v>
      </c>
      <c r="AO2694" s="1">
        <v>21616.0</v>
      </c>
      <c r="AP2694" s="1">
        <v>18.6</v>
      </c>
      <c r="AQ2694" s="1">
        <v>12.9</v>
      </c>
      <c r="AR2694" s="1">
        <v>13.1</v>
      </c>
      <c r="AS2694" s="1">
        <v>19.8</v>
      </c>
      <c r="AT2694" s="1">
        <v>22.8</v>
      </c>
      <c r="AU2694" s="1">
        <v>20.4</v>
      </c>
      <c r="AV2694" s="1">
        <v>34.4</v>
      </c>
      <c r="AW2694" s="1">
        <v>2.0</v>
      </c>
      <c r="AX2694" s="1">
        <v>0.8294</v>
      </c>
      <c r="AY2694" s="1">
        <v>18.1</v>
      </c>
      <c r="AZ2694" s="1">
        <v>18.7</v>
      </c>
      <c r="BA2694" s="1">
        <v>29.2</v>
      </c>
      <c r="BB2694" s="1">
        <v>2.86</v>
      </c>
      <c r="BC2694" s="1" t="s">
        <v>4123</v>
      </c>
      <c r="BD2694" s="1">
        <v>11.4</v>
      </c>
      <c r="BE2694" s="1">
        <v>41.4</v>
      </c>
      <c r="BF2694" s="1">
        <v>32.8</v>
      </c>
      <c r="BG2694" s="1">
        <v>14.3</v>
      </c>
      <c r="BH2694" s="1" t="s">
        <v>4396</v>
      </c>
    </row>
    <row r="2695">
      <c r="A2695" s="1">
        <v>48345.0</v>
      </c>
      <c r="B2695" s="2" t="str">
        <f>IFERROR(__xludf.DUMMYFUNCTION("TO_TEXT(A2695)"),"48345")</f>
        <v>48345</v>
      </c>
      <c r="C2695" s="1">
        <v>1022.0</v>
      </c>
      <c r="D2695" s="1">
        <v>989.565488103902</v>
      </c>
      <c r="E2695" s="1" t="s">
        <v>4397</v>
      </c>
      <c r="F2695" s="1" t="s">
        <v>4398</v>
      </c>
      <c r="G2695" s="1">
        <v>1.03277651887218</v>
      </c>
      <c r="H2695" s="1">
        <v>17.638300205</v>
      </c>
      <c r="I2695" s="1">
        <v>4.0869867089</v>
      </c>
      <c r="J2695" s="1">
        <v>7.80443539465</v>
      </c>
      <c r="K2695" s="1">
        <v>14.1322788529999</v>
      </c>
      <c r="L2695" s="1">
        <v>28.3</v>
      </c>
      <c r="M2695" s="1">
        <v>6.9</v>
      </c>
      <c r="N2695" s="1">
        <v>22.8</v>
      </c>
      <c r="O2695" s="1">
        <v>24.9586776859999</v>
      </c>
      <c r="P2695" s="1">
        <v>22.01622248</v>
      </c>
      <c r="Q2695" s="1">
        <v>0.0</v>
      </c>
      <c r="R2695" s="1">
        <v>80.0</v>
      </c>
      <c r="S2695" s="1">
        <v>30.3</v>
      </c>
      <c r="T2695" s="1">
        <v>310.0</v>
      </c>
      <c r="U2695" s="1">
        <v>44.838709677</v>
      </c>
      <c r="V2695" s="1">
        <v>0.0</v>
      </c>
      <c r="W2695" s="1">
        <v>8.4210526316</v>
      </c>
      <c r="X2695" s="1">
        <v>3.8709677419</v>
      </c>
      <c r="Y2695" s="1">
        <v>77.482572377</v>
      </c>
      <c r="Z2695" s="1">
        <v>11.2</v>
      </c>
      <c r="AA2695" s="1">
        <v>9.5440013044</v>
      </c>
      <c r="AB2695" s="1">
        <v>41009.0</v>
      </c>
      <c r="AC2695" s="1">
        <v>76.162790698</v>
      </c>
      <c r="AD2695" s="1">
        <v>67.741935484</v>
      </c>
      <c r="AE2695" s="1">
        <v>5.6234718826</v>
      </c>
      <c r="AF2695" s="1">
        <v>2.3500810373</v>
      </c>
      <c r="AG2695" s="1">
        <v>2.4311183144</v>
      </c>
      <c r="AH2695" s="1">
        <v>0.1620745543</v>
      </c>
      <c r="AI2695" s="1">
        <v>0.0</v>
      </c>
      <c r="AJ2695" s="1">
        <v>18.314424635</v>
      </c>
      <c r="AK2695" s="1">
        <v>77.714748784</v>
      </c>
      <c r="AL2695" s="1">
        <v>0.4553734062</v>
      </c>
      <c r="AM2695" s="1">
        <v>48.622366288</v>
      </c>
      <c r="AN2695" s="1">
        <v>100.0</v>
      </c>
      <c r="AO2695" s="1">
        <v>23131.0</v>
      </c>
      <c r="AP2695" s="1">
        <v>15.5</v>
      </c>
      <c r="AQ2695" s="1">
        <v>10.0</v>
      </c>
      <c r="AR2695" s="1">
        <v>11.6</v>
      </c>
      <c r="AS2695" s="1">
        <v>30.7</v>
      </c>
      <c r="AT2695" s="1">
        <v>20.4</v>
      </c>
      <c r="AU2695" s="1">
        <v>20.3</v>
      </c>
      <c r="AV2695" s="1">
        <v>13.6</v>
      </c>
      <c r="AW2695" s="1">
        <v>0.0</v>
      </c>
      <c r="AX2695" s="1">
        <v>0.3244</v>
      </c>
      <c r="AY2695" s="1">
        <v>17.6</v>
      </c>
      <c r="AZ2695" s="1">
        <v>15.1</v>
      </c>
      <c r="BA2695" s="1">
        <v>20.9</v>
      </c>
      <c r="BB2695" s="1">
        <v>2.86</v>
      </c>
      <c r="BC2695" s="1" t="s">
        <v>4123</v>
      </c>
      <c r="BD2695" s="1">
        <v>12.5</v>
      </c>
      <c r="BE2695" s="1">
        <v>31.3</v>
      </c>
      <c r="BF2695" s="1">
        <v>39.4</v>
      </c>
      <c r="BG2695" s="1">
        <v>16.8</v>
      </c>
      <c r="BH2695" s="1" t="s">
        <v>4398</v>
      </c>
    </row>
    <row r="2696">
      <c r="A2696" s="1">
        <v>48347.0</v>
      </c>
      <c r="B2696" s="2" t="str">
        <f>IFERROR(__xludf.DUMMYFUNCTION("TO_TEXT(A2696)"),"48347")</f>
        <v>48347</v>
      </c>
      <c r="C2696" s="1">
        <v>65556.0</v>
      </c>
      <c r="D2696" s="1">
        <v>946.538317903592</v>
      </c>
      <c r="E2696" s="1" t="s">
        <v>4399</v>
      </c>
      <c r="F2696" s="1" t="s">
        <v>4400</v>
      </c>
      <c r="G2696" s="1">
        <v>69.2586858450638</v>
      </c>
      <c r="H2696" s="1">
        <v>21.853807264</v>
      </c>
      <c r="I2696" s="1">
        <v>4.294507006</v>
      </c>
      <c r="J2696" s="1">
        <v>7.9009433962</v>
      </c>
      <c r="K2696" s="1">
        <v>17.032011344</v>
      </c>
      <c r="L2696" s="1">
        <v>35.6</v>
      </c>
      <c r="M2696" s="1">
        <v>5.5</v>
      </c>
      <c r="N2696" s="1">
        <v>28.6</v>
      </c>
      <c r="O2696" s="1">
        <v>62.923873287</v>
      </c>
      <c r="P2696" s="1">
        <v>22.8812236619999</v>
      </c>
      <c r="Q2696" s="1">
        <v>70.14334</v>
      </c>
      <c r="R2696" s="1">
        <v>90.6</v>
      </c>
      <c r="S2696" s="1">
        <v>25.5</v>
      </c>
      <c r="T2696" s="1">
        <v>15222.0</v>
      </c>
      <c r="U2696" s="1">
        <v>34.05597162</v>
      </c>
      <c r="V2696" s="1">
        <v>290.91848206</v>
      </c>
      <c r="W2696" s="1">
        <v>18.8387635759999</v>
      </c>
      <c r="X2696" s="1">
        <v>15.879461423</v>
      </c>
      <c r="Y2696" s="1">
        <v>77.375359713</v>
      </c>
      <c r="Z2696" s="1">
        <v>15.1</v>
      </c>
      <c r="AA2696" s="1">
        <v>13.42421487</v>
      </c>
      <c r="AB2696" s="1">
        <v>45357.0</v>
      </c>
      <c r="AC2696" s="1">
        <v>65.008960573</v>
      </c>
      <c r="AD2696" s="1">
        <v>56.2458166</v>
      </c>
      <c r="AE2696" s="1">
        <v>15.671151234</v>
      </c>
      <c r="AF2696" s="1">
        <v>17.6987110229999</v>
      </c>
      <c r="AG2696" s="1">
        <v>0.8811310131</v>
      </c>
      <c r="AH2696" s="1">
        <v>1.5811660148</v>
      </c>
      <c r="AI2696" s="1">
        <v>0.0578289784</v>
      </c>
      <c r="AJ2696" s="1">
        <v>19.728812528</v>
      </c>
      <c r="AK2696" s="1">
        <v>59.219917518</v>
      </c>
      <c r="AL2696" s="1">
        <v>3.8170434669</v>
      </c>
      <c r="AM2696" s="1">
        <v>52.0947786519999</v>
      </c>
      <c r="AN2696" s="1">
        <v>46.460231852</v>
      </c>
      <c r="AO2696" s="1">
        <v>21343.0</v>
      </c>
      <c r="AP2696" s="1">
        <v>24.4</v>
      </c>
      <c r="AQ2696" s="1">
        <v>8.8</v>
      </c>
      <c r="AR2696" s="1">
        <v>18.8</v>
      </c>
      <c r="AS2696" s="1">
        <v>12.8</v>
      </c>
      <c r="AT2696" s="1">
        <v>23.5</v>
      </c>
      <c r="AU2696" s="1">
        <v>15.1</v>
      </c>
      <c r="AV2696" s="1">
        <v>39.8</v>
      </c>
      <c r="AW2696" s="1">
        <v>4.5</v>
      </c>
      <c r="AX2696" s="1">
        <v>0.9557</v>
      </c>
      <c r="AY2696" s="1">
        <v>20.9</v>
      </c>
      <c r="AZ2696" s="1">
        <v>19.0</v>
      </c>
      <c r="BA2696" s="1">
        <v>26.6</v>
      </c>
      <c r="BB2696" s="1">
        <v>3.03</v>
      </c>
      <c r="BC2696" s="1" t="s">
        <v>4123</v>
      </c>
      <c r="BD2696" s="1">
        <v>17.1</v>
      </c>
      <c r="BE2696" s="1">
        <v>28.6</v>
      </c>
      <c r="BF2696" s="1">
        <v>29.8</v>
      </c>
      <c r="BG2696" s="1">
        <v>24.5</v>
      </c>
      <c r="BH2696" s="1" t="s">
        <v>4400</v>
      </c>
    </row>
    <row r="2697">
      <c r="A2697" s="1">
        <v>48349.0</v>
      </c>
      <c r="B2697" s="2" t="str">
        <f>IFERROR(__xludf.DUMMYFUNCTION("TO_TEXT(A2697)"),"48349")</f>
        <v>48349</v>
      </c>
      <c r="C2697" s="1">
        <v>48177.0</v>
      </c>
      <c r="D2697" s="1">
        <v>1009.63176966401</v>
      </c>
      <c r="E2697" s="1" t="s">
        <v>4401</v>
      </c>
      <c r="F2697" s="1" t="s">
        <v>4402</v>
      </c>
      <c r="G2697" s="1">
        <v>47.7173970229092</v>
      </c>
      <c r="H2697" s="1">
        <v>21.094765452</v>
      </c>
      <c r="I2697" s="1">
        <v>4.337164354</v>
      </c>
      <c r="J2697" s="1">
        <v>8.4238573478</v>
      </c>
      <c r="K2697" s="1">
        <v>16.328522955</v>
      </c>
      <c r="L2697" s="1">
        <v>30.4</v>
      </c>
      <c r="M2697" s="1">
        <v>6.6</v>
      </c>
      <c r="N2697" s="1">
        <v>24.8</v>
      </c>
      <c r="O2697" s="1">
        <v>53.160155023</v>
      </c>
      <c r="P2697" s="1">
        <v>22.4375</v>
      </c>
      <c r="Q2697" s="1">
        <v>45.17361</v>
      </c>
      <c r="R2697" s="1">
        <v>94.9</v>
      </c>
      <c r="S2697" s="1">
        <v>27.7</v>
      </c>
      <c r="T2697" s="1">
        <v>12525.0</v>
      </c>
      <c r="U2697" s="1">
        <v>34.674650699</v>
      </c>
      <c r="V2697" s="1">
        <v>353.95965713</v>
      </c>
      <c r="W2697" s="1">
        <v>17.2027570359999</v>
      </c>
      <c r="X2697" s="1">
        <v>11.302068162</v>
      </c>
      <c r="Y2697" s="1">
        <v>75.731494107</v>
      </c>
      <c r="Z2697" s="1">
        <v>9.9</v>
      </c>
      <c r="AA2697" s="1">
        <v>10.504745142</v>
      </c>
      <c r="AB2697" s="1">
        <v>46259.0</v>
      </c>
      <c r="AC2697" s="1">
        <v>69.656887121</v>
      </c>
      <c r="AD2697" s="1">
        <v>69.50048859</v>
      </c>
      <c r="AE2697" s="1">
        <v>11.191754086</v>
      </c>
      <c r="AF2697" s="1">
        <v>12.759003329</v>
      </c>
      <c r="AG2697" s="1">
        <v>1.1399172803</v>
      </c>
      <c r="AH2697" s="1">
        <v>0.7666700293</v>
      </c>
      <c r="AI2697" s="1">
        <v>1.4324624231</v>
      </c>
      <c r="AJ2697" s="1">
        <v>27.995561384</v>
      </c>
      <c r="AK2697" s="1">
        <v>55.387874508</v>
      </c>
      <c r="AL2697" s="1">
        <v>6.7397041538</v>
      </c>
      <c r="AM2697" s="1">
        <v>50.947240997</v>
      </c>
      <c r="AN2697" s="1">
        <v>52.657379281</v>
      </c>
      <c r="AO2697" s="1">
        <v>21347.0</v>
      </c>
      <c r="AP2697" s="1">
        <v>19.9</v>
      </c>
      <c r="AQ2697" s="1">
        <v>10.4</v>
      </c>
      <c r="AR2697" s="1">
        <v>23.2</v>
      </c>
      <c r="AS2697" s="1">
        <v>16.2</v>
      </c>
      <c r="AT2697" s="1">
        <v>26.3</v>
      </c>
      <c r="AU2697" s="1">
        <v>18.9</v>
      </c>
      <c r="AV2697" s="1">
        <v>42.1</v>
      </c>
      <c r="AW2697" s="1">
        <v>6.5</v>
      </c>
      <c r="AX2697" s="1">
        <v>0.9819</v>
      </c>
      <c r="AY2697" s="1">
        <v>13.4</v>
      </c>
      <c r="AZ2697" s="1">
        <v>16.7</v>
      </c>
      <c r="BA2697" s="1">
        <v>24.9</v>
      </c>
      <c r="BB2697" s="1">
        <v>2.56</v>
      </c>
      <c r="BC2697" s="1" t="s">
        <v>4123</v>
      </c>
      <c r="BD2697" s="1">
        <v>21.6</v>
      </c>
      <c r="BE2697" s="1">
        <v>29.0</v>
      </c>
      <c r="BF2697" s="1">
        <v>33.5</v>
      </c>
      <c r="BG2697" s="1">
        <v>15.9</v>
      </c>
      <c r="BH2697" s="1" t="s">
        <v>4402</v>
      </c>
    </row>
    <row r="2698">
      <c r="A2698" s="1">
        <v>48351.0</v>
      </c>
      <c r="B2698" s="2" t="str">
        <f>IFERROR(__xludf.DUMMYFUNCTION("TO_TEXT(A2698)"),"48351")</f>
        <v>48351</v>
      </c>
      <c r="C2698" s="1">
        <v>14138.0</v>
      </c>
      <c r="D2698" s="1">
        <v>933.676700435691</v>
      </c>
      <c r="E2698" s="1" t="s">
        <v>371</v>
      </c>
      <c r="F2698" s="1" t="s">
        <v>4403</v>
      </c>
      <c r="G2698" s="1">
        <v>15.1422863967823</v>
      </c>
      <c r="H2698" s="1">
        <v>16.906913997</v>
      </c>
      <c r="I2698" s="1">
        <v>4.0522320317</v>
      </c>
      <c r="J2698" s="1">
        <v>8.9343379978</v>
      </c>
      <c r="K2698" s="1">
        <v>15.319755978</v>
      </c>
      <c r="L2698" s="1">
        <v>36.4</v>
      </c>
      <c r="M2698" s="1">
        <v>5.6</v>
      </c>
      <c r="N2698" s="1">
        <v>27.8</v>
      </c>
      <c r="O2698" s="1">
        <v>11.152647975</v>
      </c>
      <c r="P2698" s="1">
        <v>17.510286097</v>
      </c>
      <c r="Q2698" s="1">
        <v>48.31939</v>
      </c>
      <c r="R2698" s="1">
        <v>93.4</v>
      </c>
      <c r="S2698" s="1">
        <v>29.2</v>
      </c>
      <c r="T2698" s="1">
        <v>2879.0</v>
      </c>
      <c r="U2698" s="1">
        <v>44.28621049</v>
      </c>
      <c r="V2698" s="1">
        <v>63.514467184</v>
      </c>
      <c r="W2698" s="1">
        <v>6.9114470842</v>
      </c>
      <c r="X2698" s="1">
        <v>4.9010989011</v>
      </c>
      <c r="Y2698" s="1">
        <v>76.447766993</v>
      </c>
      <c r="Z2698" s="1">
        <v>12.3</v>
      </c>
      <c r="AA2698" s="1">
        <v>12.124154114</v>
      </c>
      <c r="AB2698" s="1">
        <v>43367.0</v>
      </c>
      <c r="AC2698" s="1">
        <v>76.827956989</v>
      </c>
      <c r="AD2698" s="1">
        <v>86.440337485</v>
      </c>
      <c r="AE2698" s="1">
        <v>5.8798003905</v>
      </c>
      <c r="AF2698" s="1">
        <v>20.15859159</v>
      </c>
      <c r="AG2698" s="1">
        <v>0.8729812309</v>
      </c>
      <c r="AH2698" s="1">
        <v>0.6183617052</v>
      </c>
      <c r="AI2698" s="1">
        <v>0.0145496872</v>
      </c>
      <c r="AJ2698" s="1">
        <v>3.7247199185</v>
      </c>
      <c r="AK2698" s="1">
        <v>73.039429652</v>
      </c>
      <c r="AL2698" s="1">
        <v>0.3288981911</v>
      </c>
      <c r="AM2698" s="1">
        <v>48.595955187</v>
      </c>
      <c r="AN2698" s="1">
        <v>100.0</v>
      </c>
      <c r="AO2698" s="1">
        <v>19293.0</v>
      </c>
      <c r="AP2698" s="1">
        <v>16.2</v>
      </c>
      <c r="AQ2698" s="1">
        <v>14.2</v>
      </c>
      <c r="AR2698" s="1">
        <v>13.3</v>
      </c>
      <c r="AS2698" s="1">
        <v>17.7</v>
      </c>
      <c r="AT2698" s="1">
        <v>21.4</v>
      </c>
      <c r="AU2698" s="1">
        <v>25.8</v>
      </c>
      <c r="AV2698" s="1">
        <v>26.5</v>
      </c>
      <c r="AW2698" s="1">
        <v>0.3</v>
      </c>
      <c r="AX2698" s="1">
        <v>0.5091</v>
      </c>
      <c r="AY2698" s="1">
        <v>22.8</v>
      </c>
      <c r="AZ2698" s="1">
        <v>20.0</v>
      </c>
      <c r="BA2698" s="1">
        <v>32.1</v>
      </c>
      <c r="BB2698" s="1">
        <v>2.87</v>
      </c>
      <c r="BC2698" s="1" t="s">
        <v>4123</v>
      </c>
      <c r="BD2698" s="1">
        <v>16.6</v>
      </c>
      <c r="BE2698" s="1">
        <v>42.9</v>
      </c>
      <c r="BF2698" s="1">
        <v>30.8</v>
      </c>
      <c r="BG2698" s="1">
        <v>9.7</v>
      </c>
      <c r="BH2698" s="1" t="s">
        <v>4403</v>
      </c>
    </row>
    <row r="2699">
      <c r="A2699" s="1">
        <v>48353.0</v>
      </c>
      <c r="B2699" s="2" t="str">
        <f>IFERROR(__xludf.DUMMYFUNCTION("TO_TEXT(A2699)"),"48353")</f>
        <v>48353</v>
      </c>
      <c r="C2699" s="1">
        <v>15017.0</v>
      </c>
      <c r="D2699" s="1">
        <v>911.996761551378</v>
      </c>
      <c r="E2699" s="1" t="s">
        <v>4404</v>
      </c>
      <c r="F2699" s="1" t="s">
        <v>4405</v>
      </c>
      <c r="G2699" s="1">
        <v>16.4660672417903</v>
      </c>
      <c r="H2699" s="1">
        <v>21.0673467409999</v>
      </c>
      <c r="I2699" s="1">
        <v>4.1070919836</v>
      </c>
      <c r="J2699" s="1">
        <v>8.217270195</v>
      </c>
      <c r="K2699" s="1">
        <v>14.8870253109999</v>
      </c>
      <c r="L2699" s="1">
        <v>35.9</v>
      </c>
      <c r="M2699" s="1">
        <v>7.3</v>
      </c>
      <c r="N2699" s="1">
        <v>36.5</v>
      </c>
      <c r="O2699" s="1">
        <v>76.360410095</v>
      </c>
      <c r="P2699" s="1">
        <v>17.911958172</v>
      </c>
      <c r="Q2699" s="1">
        <v>27.08192</v>
      </c>
      <c r="R2699" s="1">
        <v>92.8</v>
      </c>
      <c r="S2699" s="1">
        <v>26.5</v>
      </c>
      <c r="T2699" s="1">
        <v>3834.0</v>
      </c>
      <c r="U2699" s="1">
        <v>30.699008868</v>
      </c>
      <c r="V2699" s="1">
        <v>393.81563594</v>
      </c>
      <c r="W2699" s="1">
        <v>13.5111111109999</v>
      </c>
      <c r="X2699" s="1">
        <v>8.3482944345</v>
      </c>
      <c r="Y2699" s="1">
        <v>75.478572411</v>
      </c>
      <c r="Z2699" s="1">
        <v>18.9</v>
      </c>
      <c r="AA2699" s="1">
        <v>7.7233300587</v>
      </c>
      <c r="AB2699" s="1">
        <v>42522.0</v>
      </c>
      <c r="AC2699" s="1">
        <v>61.59083875</v>
      </c>
      <c r="AD2699" s="1">
        <v>67.068933992</v>
      </c>
      <c r="AE2699" s="1">
        <v>8.58136838039999</v>
      </c>
      <c r="AF2699" s="1">
        <v>4.3386889024</v>
      </c>
      <c r="AG2699" s="1">
        <v>1.2134770524</v>
      </c>
      <c r="AH2699" s="1">
        <v>0.9016337875</v>
      </c>
      <c r="AI2699" s="1">
        <v>0.1220256254</v>
      </c>
      <c r="AJ2699" s="1">
        <v>38.085553522</v>
      </c>
      <c r="AK2699" s="1">
        <v>55.013219443</v>
      </c>
      <c r="AL2699" s="1">
        <v>3.2079008074</v>
      </c>
      <c r="AM2699" s="1">
        <v>50.037285608</v>
      </c>
      <c r="AN2699" s="1">
        <v>32.656414301</v>
      </c>
      <c r="AO2699" s="1">
        <v>22240.0</v>
      </c>
      <c r="AP2699" s="1">
        <v>17.6</v>
      </c>
      <c r="AQ2699" s="1">
        <v>6.3</v>
      </c>
      <c r="AR2699" s="1">
        <v>19.9</v>
      </c>
      <c r="AS2699" s="1">
        <v>17.0</v>
      </c>
      <c r="AT2699" s="1">
        <v>25.3</v>
      </c>
      <c r="AU2699" s="1">
        <v>17.9</v>
      </c>
      <c r="AV2699" s="1">
        <v>42.3</v>
      </c>
      <c r="AW2699" s="1">
        <v>2.2</v>
      </c>
      <c r="AX2699" s="1">
        <v>0.8953</v>
      </c>
      <c r="AY2699" s="1">
        <v>17.5</v>
      </c>
      <c r="AZ2699" s="1">
        <v>15.7</v>
      </c>
      <c r="BA2699" s="1">
        <v>21.6</v>
      </c>
      <c r="BB2699" s="1">
        <v>2.92</v>
      </c>
      <c r="BC2699" s="1" t="s">
        <v>4123</v>
      </c>
      <c r="BD2699" s="1">
        <v>17.7</v>
      </c>
      <c r="BE2699" s="1">
        <v>35.1</v>
      </c>
      <c r="BF2699" s="1">
        <v>31.9</v>
      </c>
      <c r="BG2699" s="1">
        <v>15.2</v>
      </c>
      <c r="BH2699" s="1" t="s">
        <v>4405</v>
      </c>
    </row>
    <row r="2700">
      <c r="A2700" s="1">
        <v>48355.0</v>
      </c>
      <c r="B2700" s="2" t="str">
        <f>IFERROR(__xludf.DUMMYFUNCTION("TO_TEXT(A2700)"),"48355")</f>
        <v>48355</v>
      </c>
      <c r="C2700" s="1">
        <v>355667.0</v>
      </c>
      <c r="D2700" s="1">
        <v>838.313819967236</v>
      </c>
      <c r="E2700" s="1" t="s">
        <v>4406</v>
      </c>
      <c r="F2700" s="1" t="s">
        <v>4407</v>
      </c>
      <c r="G2700" s="1">
        <v>424.264746123237</v>
      </c>
      <c r="H2700" s="1">
        <v>23.326161652</v>
      </c>
      <c r="I2700" s="1">
        <v>4.0687587461</v>
      </c>
      <c r="J2700" s="1">
        <v>8.6236470101</v>
      </c>
      <c r="K2700" s="1">
        <v>14.3966794729999</v>
      </c>
      <c r="L2700" s="1">
        <v>32.7</v>
      </c>
      <c r="M2700" s="1">
        <v>7.6</v>
      </c>
      <c r="N2700" s="1">
        <v>24.9</v>
      </c>
      <c r="O2700" s="1">
        <v>95.145242973</v>
      </c>
      <c r="P2700" s="1">
        <v>19.008383831</v>
      </c>
      <c r="Q2700" s="1">
        <v>82.77481</v>
      </c>
      <c r="R2700" s="1">
        <v>90.4</v>
      </c>
      <c r="S2700" s="1">
        <v>22.6</v>
      </c>
      <c r="T2700" s="1">
        <v>88744.0</v>
      </c>
      <c r="U2700" s="1">
        <v>39.592535833</v>
      </c>
      <c r="V2700" s="1">
        <v>684.93721178</v>
      </c>
      <c r="W2700" s="1">
        <v>17.887384399</v>
      </c>
      <c r="X2700" s="1">
        <v>12.955353615</v>
      </c>
      <c r="Y2700" s="1">
        <v>78.390236249</v>
      </c>
      <c r="Z2700" s="1">
        <v>13.1</v>
      </c>
      <c r="AA2700" s="1">
        <v>10.494743032</v>
      </c>
      <c r="AB2700" s="1">
        <v>53034.0</v>
      </c>
      <c r="AC2700" s="1">
        <v>72.641777385</v>
      </c>
      <c r="AD2700" s="1">
        <v>57.840932008</v>
      </c>
      <c r="AE2700" s="1">
        <v>13.923363636</v>
      </c>
      <c r="AF2700" s="1">
        <v>3.4789449712</v>
      </c>
      <c r="AG2700" s="1">
        <v>0.8590396533</v>
      </c>
      <c r="AH2700" s="1">
        <v>2.242281203</v>
      </c>
      <c r="AI2700" s="1">
        <v>0.1391246739</v>
      </c>
      <c r="AJ2700" s="1">
        <v>64.158834003</v>
      </c>
      <c r="AK2700" s="1">
        <v>29.011635129</v>
      </c>
      <c r="AL2700" s="1">
        <v>2.6400969564</v>
      </c>
      <c r="AM2700" s="1">
        <v>50.551667978</v>
      </c>
      <c r="AN2700" s="1">
        <v>6.447241956</v>
      </c>
      <c r="AO2700" s="1">
        <v>25826.0</v>
      </c>
      <c r="AP2700" s="1">
        <v>17.0</v>
      </c>
      <c r="AQ2700" s="1">
        <v>6.1</v>
      </c>
      <c r="AR2700" s="1">
        <v>18.7</v>
      </c>
      <c r="AS2700" s="1">
        <v>13.0</v>
      </c>
      <c r="AT2700" s="1">
        <v>25.3</v>
      </c>
      <c r="AU2700" s="1">
        <v>13.9</v>
      </c>
      <c r="AV2700" s="1">
        <v>69.2</v>
      </c>
      <c r="AW2700" s="1">
        <v>3.3</v>
      </c>
      <c r="AX2700" s="1">
        <v>0.8204</v>
      </c>
      <c r="AY2700" s="1">
        <v>16.5</v>
      </c>
      <c r="AZ2700" s="1">
        <v>14.6</v>
      </c>
      <c r="BA2700" s="1">
        <v>21.1</v>
      </c>
      <c r="BB2700" s="1">
        <v>2.78</v>
      </c>
      <c r="BC2700" s="1" t="s">
        <v>4123</v>
      </c>
      <c r="BD2700" s="1">
        <v>17.2</v>
      </c>
      <c r="BE2700" s="1">
        <v>29.3</v>
      </c>
      <c r="BF2700" s="1">
        <v>31.7</v>
      </c>
      <c r="BG2700" s="1">
        <v>21.8</v>
      </c>
      <c r="BH2700" s="1" t="s">
        <v>4407</v>
      </c>
    </row>
    <row r="2701">
      <c r="A2701" s="1">
        <v>48357.0</v>
      </c>
      <c r="B2701" s="2" t="str">
        <f>IFERROR(__xludf.DUMMYFUNCTION("TO_TEXT(A2701)"),"48357")</f>
        <v>48357</v>
      </c>
      <c r="C2701" s="1">
        <v>10577.0</v>
      </c>
      <c r="D2701" s="1">
        <v>917.684184166404</v>
      </c>
      <c r="E2701" s="1" t="s">
        <v>4408</v>
      </c>
      <c r="F2701" s="1" t="s">
        <v>4409</v>
      </c>
      <c r="G2701" s="1">
        <v>11.52575165018</v>
      </c>
      <c r="H2701" s="1">
        <v>20.86742026</v>
      </c>
      <c r="I2701" s="1">
        <v>3.9316858909</v>
      </c>
      <c r="J2701" s="1">
        <v>6.5853658537</v>
      </c>
      <c r="K2701" s="1">
        <v>14.624651397</v>
      </c>
      <c r="L2701" s="1">
        <v>24.4</v>
      </c>
      <c r="M2701" s="1">
        <v>8.7</v>
      </c>
      <c r="N2701" s="1">
        <v>39.5</v>
      </c>
      <c r="O2701" s="1">
        <v>88.3106720139999</v>
      </c>
      <c r="P2701" s="1">
        <v>28.640232975</v>
      </c>
      <c r="Q2701" s="1">
        <v>39.71012</v>
      </c>
      <c r="R2701" s="1">
        <v>97.1</v>
      </c>
      <c r="S2701" s="1">
        <v>15.7</v>
      </c>
      <c r="T2701" s="1">
        <v>3271.0</v>
      </c>
      <c r="U2701" s="1">
        <v>17.853867319</v>
      </c>
      <c r="V2701" s="1">
        <v>269.61568341</v>
      </c>
      <c r="W2701" s="1">
        <v>14.365411437</v>
      </c>
      <c r="X2701" s="1">
        <v>7.2834645669</v>
      </c>
      <c r="Y2701" s="1">
        <v>77.278817827</v>
      </c>
      <c r="Z2701" s="1">
        <v>18.7</v>
      </c>
      <c r="AA2701" s="1">
        <v>2.2722016815</v>
      </c>
      <c r="AB2701" s="1">
        <v>49845.0</v>
      </c>
      <c r="AC2701" s="1">
        <v>58.138489209</v>
      </c>
      <c r="AD2701" s="1">
        <v>72.785361603</v>
      </c>
      <c r="AE2701" s="1">
        <v>10.9718826409999</v>
      </c>
      <c r="AF2701" s="1">
        <v>0.5730370966</v>
      </c>
      <c r="AG2701" s="1">
        <v>1.8598572434</v>
      </c>
      <c r="AH2701" s="1">
        <v>0.6534633558</v>
      </c>
      <c r="AI2701" s="1">
        <v>0.0804262592</v>
      </c>
      <c r="AJ2701" s="1">
        <v>55.383532723</v>
      </c>
      <c r="AK2701" s="1">
        <v>41.892027747</v>
      </c>
      <c r="AL2701" s="1">
        <v>11.277001271</v>
      </c>
      <c r="AM2701" s="1">
        <v>49.431989545</v>
      </c>
      <c r="AN2701" s="1">
        <v>13.90981121</v>
      </c>
      <c r="AO2701" s="1">
        <v>24997.0</v>
      </c>
      <c r="AP2701" s="1">
        <v>12.6</v>
      </c>
      <c r="AQ2701" s="1">
        <v>4.8</v>
      </c>
      <c r="AR2701" s="1">
        <v>24.1</v>
      </c>
      <c r="AS2701" s="1">
        <v>10.0</v>
      </c>
      <c r="AT2701" s="1">
        <v>32.1</v>
      </c>
      <c r="AU2701" s="1">
        <v>10.7</v>
      </c>
      <c r="AV2701" s="1">
        <v>54.6</v>
      </c>
      <c r="AW2701" s="1">
        <v>10.5</v>
      </c>
      <c r="AX2701" s="1">
        <v>0.5877</v>
      </c>
      <c r="AY2701" s="1">
        <v>11.4</v>
      </c>
      <c r="AZ2701" s="1">
        <v>11.6</v>
      </c>
      <c r="BA2701" s="1">
        <v>16.2</v>
      </c>
      <c r="BB2701" s="1">
        <v>2.91</v>
      </c>
      <c r="BC2701" s="1" t="s">
        <v>4123</v>
      </c>
      <c r="BD2701" s="1">
        <v>25.6</v>
      </c>
      <c r="BE2701" s="1">
        <v>33.0</v>
      </c>
      <c r="BF2701" s="1">
        <v>25.8</v>
      </c>
      <c r="BG2701" s="1">
        <v>15.6</v>
      </c>
      <c r="BH2701" s="1" t="s">
        <v>4409</v>
      </c>
    </row>
    <row r="2702">
      <c r="A2702" s="1">
        <v>48359.0</v>
      </c>
      <c r="B2702" s="2" t="str">
        <f>IFERROR(__xludf.DUMMYFUNCTION("TO_TEXT(A2702)"),"48359")</f>
        <v>48359</v>
      </c>
      <c r="C2702" s="1">
        <v>2069.0</v>
      </c>
      <c r="D2702" s="1">
        <v>1500.52331694889</v>
      </c>
      <c r="E2702" s="1" t="s">
        <v>1896</v>
      </c>
      <c r="F2702" s="1" t="s">
        <v>4410</v>
      </c>
      <c r="G2702" s="1">
        <v>1.37885228215382</v>
      </c>
      <c r="H2702" s="1">
        <v>16.317279162</v>
      </c>
      <c r="I2702" s="1">
        <v>3.9457635271</v>
      </c>
      <c r="J2702" s="1">
        <v>7.22891566269999</v>
      </c>
      <c r="K2702" s="1">
        <v>14.869413667</v>
      </c>
      <c r="L2702" s="1">
        <v>23.2</v>
      </c>
      <c r="M2702" s="1">
        <v>4.9</v>
      </c>
      <c r="N2702" s="1">
        <v>22.0</v>
      </c>
      <c r="O2702" s="1">
        <v>23.635477583</v>
      </c>
      <c r="P2702" s="1">
        <v>16.08974359</v>
      </c>
      <c r="Q2702" s="1">
        <v>48.31939</v>
      </c>
      <c r="R2702" s="1">
        <v>97.4</v>
      </c>
      <c r="S2702" s="1">
        <v>25.4</v>
      </c>
      <c r="T2702" s="1">
        <v>270.0</v>
      </c>
      <c r="U2702" s="1">
        <v>14.444444444</v>
      </c>
      <c r="V2702" s="1">
        <v>142.95925661</v>
      </c>
      <c r="W2702" s="1">
        <v>11.3821138209999</v>
      </c>
      <c r="X2702" s="1">
        <v>8.8379705401</v>
      </c>
      <c r="Y2702" s="1">
        <v>79.711047161</v>
      </c>
      <c r="Z2702" s="1">
        <v>5.8</v>
      </c>
      <c r="AA2702" s="1">
        <v>34.530731427</v>
      </c>
      <c r="AB2702" s="1">
        <v>56590.0</v>
      </c>
      <c r="AC2702" s="1">
        <v>47.222222222</v>
      </c>
      <c r="AD2702" s="1">
        <v>77.419354839</v>
      </c>
      <c r="AE2702" s="1">
        <v>10.043668122</v>
      </c>
      <c r="AF2702" s="1">
        <v>3.0502111685</v>
      </c>
      <c r="AG2702" s="1">
        <v>1.0793054904</v>
      </c>
      <c r="AH2702" s="1">
        <v>1.4077897701</v>
      </c>
      <c r="AI2702" s="1">
        <v>0.0469263257</v>
      </c>
      <c r="AJ2702" s="1">
        <v>16.283435007</v>
      </c>
      <c r="AK2702" s="1">
        <v>77.287658376</v>
      </c>
      <c r="AL2702" s="1">
        <v>1.1150532184</v>
      </c>
      <c r="AM2702" s="1">
        <v>47.958704833</v>
      </c>
      <c r="AN2702" s="1">
        <v>100.0</v>
      </c>
      <c r="AO2702" s="1">
        <v>23644.0</v>
      </c>
      <c r="AP2702" s="1">
        <v>13.2</v>
      </c>
      <c r="AQ2702" s="1">
        <v>5.5</v>
      </c>
      <c r="AR2702" s="1">
        <v>15.2</v>
      </c>
      <c r="AS2702" s="1">
        <v>15.7</v>
      </c>
      <c r="AT2702" s="1">
        <v>34.0</v>
      </c>
      <c r="AU2702" s="1">
        <v>15.3</v>
      </c>
      <c r="AV2702" s="1">
        <v>26.6</v>
      </c>
      <c r="AW2702" s="1">
        <v>1.2</v>
      </c>
      <c r="AX2702" s="1">
        <v>0.5632</v>
      </c>
      <c r="AY2702" s="1">
        <v>13.1</v>
      </c>
      <c r="AZ2702" s="1">
        <v>13.5</v>
      </c>
      <c r="BA2702" s="1">
        <v>19.4</v>
      </c>
      <c r="BB2702" s="1">
        <v>3.03</v>
      </c>
      <c r="BC2702" s="1" t="s">
        <v>4123</v>
      </c>
      <c r="BD2702" s="1">
        <v>9.7</v>
      </c>
      <c r="BE2702" s="1">
        <v>37.2</v>
      </c>
      <c r="BF2702" s="1">
        <v>31.1</v>
      </c>
      <c r="BG2702" s="1">
        <v>22.0</v>
      </c>
      <c r="BH2702" s="1" t="s">
        <v>4410</v>
      </c>
    </row>
    <row r="2703">
      <c r="A2703" s="1">
        <v>48361.0</v>
      </c>
      <c r="B2703" s="2" t="str">
        <f>IFERROR(__xludf.DUMMYFUNCTION("TO_TEXT(A2703)"),"48361")</f>
        <v>48361</v>
      </c>
      <c r="C2703" s="1">
        <v>83751.0</v>
      </c>
      <c r="D2703" s="1">
        <v>333.780795197892</v>
      </c>
      <c r="E2703" s="1" t="s">
        <v>475</v>
      </c>
      <c r="F2703" s="1" t="s">
        <v>4411</v>
      </c>
      <c r="G2703" s="1">
        <v>250.916173743147</v>
      </c>
      <c r="H2703" s="1">
        <v>16.922005959</v>
      </c>
      <c r="I2703" s="1">
        <v>4.21768570709999</v>
      </c>
      <c r="J2703" s="1">
        <v>9.4620133552</v>
      </c>
      <c r="K2703" s="1">
        <v>16.419416545</v>
      </c>
      <c r="L2703" s="1">
        <v>40.8</v>
      </c>
      <c r="M2703" s="1">
        <v>6.4</v>
      </c>
      <c r="N2703" s="1">
        <v>38.0</v>
      </c>
      <c r="O2703" s="1">
        <v>63.547050845</v>
      </c>
      <c r="P2703" s="1">
        <v>15.1173196859999</v>
      </c>
      <c r="Q2703" s="1">
        <v>21.16477</v>
      </c>
      <c r="R2703" s="1">
        <v>90.8</v>
      </c>
      <c r="S2703" s="1">
        <v>20.1</v>
      </c>
      <c r="T2703" s="1">
        <v>20595.0</v>
      </c>
      <c r="U2703" s="1">
        <v>34.314153921</v>
      </c>
      <c r="V2703" s="1">
        <v>324.28630188</v>
      </c>
      <c r="W2703" s="1">
        <v>12.829253176</v>
      </c>
      <c r="X2703" s="1">
        <v>9.6768120489</v>
      </c>
      <c r="Y2703" s="1">
        <v>74.015880509</v>
      </c>
      <c r="Z2703" s="1">
        <v>15.3</v>
      </c>
      <c r="AA2703" s="1">
        <v>8.7077429096</v>
      </c>
      <c r="AB2703" s="1">
        <v>56556.0</v>
      </c>
      <c r="AC2703" s="1">
        <v>66.346282205</v>
      </c>
      <c r="AD2703" s="1">
        <v>76.004251461</v>
      </c>
      <c r="AE2703" s="1">
        <v>9.07643829389999</v>
      </c>
      <c r="AF2703" s="1">
        <v>8.519599866</v>
      </c>
      <c r="AG2703" s="1">
        <v>0.7394821232</v>
      </c>
      <c r="AH2703" s="1">
        <v>1.1834107117</v>
      </c>
      <c r="AI2703" s="1">
        <v>0.0993155602</v>
      </c>
      <c r="AJ2703" s="1">
        <v>7.9847317283</v>
      </c>
      <c r="AK2703" s="1">
        <v>80.3726128369999</v>
      </c>
      <c r="AL2703" s="1">
        <v>0.754577258</v>
      </c>
      <c r="AM2703" s="1">
        <v>50.415210836</v>
      </c>
      <c r="AN2703" s="1">
        <v>35.171132862</v>
      </c>
      <c r="AO2703" s="1">
        <v>26611.0</v>
      </c>
      <c r="AP2703" s="1">
        <v>15.2</v>
      </c>
      <c r="AQ2703" s="1">
        <v>7.5</v>
      </c>
      <c r="AR2703" s="1">
        <v>10.8</v>
      </c>
      <c r="AS2703" s="1">
        <v>15.0</v>
      </c>
      <c r="AT2703" s="1">
        <v>24.8</v>
      </c>
      <c r="AU2703" s="1">
        <v>16.6</v>
      </c>
      <c r="AV2703" s="1">
        <v>18.2</v>
      </c>
      <c r="AW2703" s="1">
        <v>0.7</v>
      </c>
      <c r="AX2703" s="1">
        <v>0.5858</v>
      </c>
      <c r="AY2703" s="1">
        <v>12.5</v>
      </c>
      <c r="AZ2703" s="1">
        <v>16.8</v>
      </c>
      <c r="BA2703" s="1">
        <v>26.3</v>
      </c>
      <c r="BB2703" s="1">
        <v>2.85</v>
      </c>
      <c r="BC2703" s="1" t="s">
        <v>4123</v>
      </c>
      <c r="BD2703" s="1">
        <v>12.1</v>
      </c>
      <c r="BE2703" s="1">
        <v>37.2</v>
      </c>
      <c r="BF2703" s="1">
        <v>35.2</v>
      </c>
      <c r="BG2703" s="1">
        <v>15.5</v>
      </c>
      <c r="BH2703" s="1" t="s">
        <v>4411</v>
      </c>
    </row>
    <row r="2704">
      <c r="A2704" s="1">
        <v>48363.0</v>
      </c>
      <c r="B2704" s="2" t="str">
        <f>IFERROR(__xludf.DUMMYFUNCTION("TO_TEXT(A2704)"),"48363")</f>
        <v>48363</v>
      </c>
      <c r="C2704" s="1">
        <v>27922.0</v>
      </c>
      <c r="D2704" s="1">
        <v>952.248679996743</v>
      </c>
      <c r="E2704" s="1" t="s">
        <v>4412</v>
      </c>
      <c r="F2704" s="1" t="s">
        <v>4413</v>
      </c>
      <c r="G2704" s="1">
        <v>29.3221724393417</v>
      </c>
      <c r="H2704" s="1">
        <v>18.90812556</v>
      </c>
      <c r="I2704" s="1">
        <v>4.3152996156</v>
      </c>
      <c r="J2704" s="1">
        <v>7.8571428571</v>
      </c>
      <c r="K2704" s="1">
        <v>15.966305298</v>
      </c>
      <c r="L2704" s="1">
        <v>32.1</v>
      </c>
      <c r="M2704" s="1">
        <v>6.4</v>
      </c>
      <c r="N2704" s="1">
        <v>30.2</v>
      </c>
      <c r="O2704" s="1">
        <v>47.291096012</v>
      </c>
      <c r="P2704" s="1">
        <v>21.962964584</v>
      </c>
      <c r="Q2704" s="1">
        <v>42.0021</v>
      </c>
      <c r="R2704" s="1">
        <v>95.5</v>
      </c>
      <c r="S2704" s="1">
        <v>25.0</v>
      </c>
      <c r="T2704" s="1">
        <v>6520.0</v>
      </c>
      <c r="U2704" s="1">
        <v>38.527607362</v>
      </c>
      <c r="V2704" s="1">
        <v>191.69443549</v>
      </c>
      <c r="W2704" s="1">
        <v>19.107057129</v>
      </c>
      <c r="X2704" s="1">
        <v>13.442940039</v>
      </c>
      <c r="Y2704" s="1">
        <v>75.8744859139999</v>
      </c>
      <c r="Z2704" s="1">
        <v>10.7</v>
      </c>
      <c r="AA2704" s="1">
        <v>13.448595434</v>
      </c>
      <c r="AB2704" s="1">
        <v>46067.0</v>
      </c>
      <c r="AC2704" s="1">
        <v>67.854799913</v>
      </c>
      <c r="AD2704" s="1">
        <v>72.730799069</v>
      </c>
      <c r="AE2704" s="1">
        <v>15.9960059909999</v>
      </c>
      <c r="AF2704" s="1">
        <v>2.3341991342</v>
      </c>
      <c r="AG2704" s="1">
        <v>1.1220779221</v>
      </c>
      <c r="AH2704" s="1">
        <v>0.8588744589</v>
      </c>
      <c r="AI2704" s="1">
        <v>0.096969697</v>
      </c>
      <c r="AJ2704" s="1">
        <v>20.16969697</v>
      </c>
      <c r="AK2704" s="1">
        <v>74.815584416</v>
      </c>
      <c r="AL2704" s="1">
        <v>3.8810123726</v>
      </c>
      <c r="AM2704" s="1">
        <v>50.701298701</v>
      </c>
      <c r="AN2704" s="1">
        <v>50.215218242</v>
      </c>
      <c r="AO2704" s="1">
        <v>24891.0</v>
      </c>
      <c r="AP2704" s="1">
        <v>17.9</v>
      </c>
      <c r="AQ2704" s="1">
        <v>6.7</v>
      </c>
      <c r="AR2704" s="1">
        <v>17.3</v>
      </c>
      <c r="AS2704" s="1">
        <v>18.2</v>
      </c>
      <c r="AT2704" s="1">
        <v>23.8</v>
      </c>
      <c r="AU2704" s="1">
        <v>18.3</v>
      </c>
      <c r="AV2704" s="1">
        <v>24.3</v>
      </c>
      <c r="AW2704" s="1">
        <v>3.8</v>
      </c>
      <c r="AX2704" s="1">
        <v>0.836</v>
      </c>
      <c r="AY2704" s="1">
        <v>17.2</v>
      </c>
      <c r="AZ2704" s="1">
        <v>16.8</v>
      </c>
      <c r="BA2704" s="1">
        <v>25.6</v>
      </c>
      <c r="BB2704" s="1">
        <v>2.84</v>
      </c>
      <c r="BC2704" s="1" t="s">
        <v>4123</v>
      </c>
      <c r="BD2704" s="1">
        <v>15.8</v>
      </c>
      <c r="BE2704" s="1">
        <v>34.1</v>
      </c>
      <c r="BF2704" s="1">
        <v>33.5</v>
      </c>
      <c r="BG2704" s="1">
        <v>16.6</v>
      </c>
      <c r="BH2704" s="1" t="s">
        <v>4413</v>
      </c>
    </row>
    <row r="2705">
      <c r="A2705" s="1">
        <v>48365.0</v>
      </c>
      <c r="B2705" s="2" t="str">
        <f>IFERROR(__xludf.DUMMYFUNCTION("TO_TEXT(A2705)"),"48365")</f>
        <v>48365</v>
      </c>
      <c r="C2705" s="1">
        <v>23771.0</v>
      </c>
      <c r="D2705" s="1">
        <v>811.355009982584</v>
      </c>
      <c r="E2705" s="1" t="s">
        <v>2509</v>
      </c>
      <c r="F2705" s="1" t="s">
        <v>4414</v>
      </c>
      <c r="G2705" s="1">
        <v>29.2979025303735</v>
      </c>
      <c r="H2705" s="1">
        <v>17.923503839</v>
      </c>
      <c r="I2705" s="1">
        <v>4.141908161</v>
      </c>
      <c r="J2705" s="1">
        <v>7.7704418487</v>
      </c>
      <c r="K2705" s="1">
        <v>15.843510038</v>
      </c>
      <c r="L2705" s="1">
        <v>37.2</v>
      </c>
      <c r="M2705" s="1">
        <v>6.5</v>
      </c>
      <c r="N2705" s="1">
        <v>26.4</v>
      </c>
      <c r="O2705" s="1">
        <v>39.380568163</v>
      </c>
      <c r="P2705" s="1">
        <v>18.610381957</v>
      </c>
      <c r="Q2705" s="1">
        <v>34.41896</v>
      </c>
      <c r="R2705" s="1">
        <v>95.3</v>
      </c>
      <c r="S2705" s="1">
        <v>25.9</v>
      </c>
      <c r="T2705" s="1">
        <v>5398.0</v>
      </c>
      <c r="U2705" s="1">
        <v>33.456835865</v>
      </c>
      <c r="V2705" s="1">
        <v>282.66923512</v>
      </c>
      <c r="W2705" s="1">
        <v>11.0050533409999</v>
      </c>
      <c r="X2705" s="1">
        <v>7.74230330669999</v>
      </c>
      <c r="Y2705" s="1">
        <v>74.965255384</v>
      </c>
      <c r="Z2705" s="1">
        <v>16.0</v>
      </c>
      <c r="AA2705" s="1">
        <v>6.868229156</v>
      </c>
      <c r="AB2705" s="1">
        <v>51192.0</v>
      </c>
      <c r="AC2705" s="1">
        <v>50.373038333</v>
      </c>
      <c r="AD2705" s="1">
        <v>74.57799932</v>
      </c>
      <c r="AE2705" s="1">
        <v>9.0051457976</v>
      </c>
      <c r="AF2705" s="1">
        <v>15.66874028</v>
      </c>
      <c r="AG2705" s="1">
        <v>0.7041645067</v>
      </c>
      <c r="AH2705" s="1">
        <v>0.8553654743</v>
      </c>
      <c r="AI2705" s="1">
        <v>0.0561603594</v>
      </c>
      <c r="AJ2705" s="1">
        <v>8.8085363746</v>
      </c>
      <c r="AK2705" s="1">
        <v>72.878866425</v>
      </c>
      <c r="AL2705" s="1">
        <v>1.3948205361</v>
      </c>
      <c r="AM2705" s="1">
        <v>50.509763262</v>
      </c>
      <c r="AN2705" s="1">
        <v>72.718103883</v>
      </c>
      <c r="AO2705" s="1">
        <v>25345.0</v>
      </c>
      <c r="AP2705" s="1">
        <v>14.6</v>
      </c>
      <c r="AQ2705" s="1">
        <v>4.7</v>
      </c>
      <c r="AR2705" s="1">
        <v>15.7</v>
      </c>
      <c r="AS2705" s="1">
        <v>17.0</v>
      </c>
      <c r="AT2705" s="1">
        <v>24.0</v>
      </c>
      <c r="AU2705" s="1">
        <v>17.2</v>
      </c>
      <c r="AV2705" s="1">
        <v>26.4</v>
      </c>
      <c r="AW2705" s="1">
        <v>1.9</v>
      </c>
      <c r="AX2705" s="1">
        <v>0.5033</v>
      </c>
      <c r="AY2705" s="1">
        <v>14.3</v>
      </c>
      <c r="AZ2705" s="1">
        <v>16.8</v>
      </c>
      <c r="BA2705" s="1">
        <v>26.6</v>
      </c>
      <c r="BB2705" s="1">
        <v>2.82</v>
      </c>
      <c r="BC2705" s="1" t="s">
        <v>4123</v>
      </c>
      <c r="BD2705" s="1">
        <v>17.1</v>
      </c>
      <c r="BE2705" s="1">
        <v>31.4</v>
      </c>
      <c r="BF2705" s="1">
        <v>35.3</v>
      </c>
      <c r="BG2705" s="1">
        <v>16.1</v>
      </c>
      <c r="BH2705" s="1" t="s">
        <v>4414</v>
      </c>
    </row>
    <row r="2706">
      <c r="A2706" s="1">
        <v>48367.0</v>
      </c>
      <c r="B2706" s="2" t="str">
        <f>IFERROR(__xludf.DUMMYFUNCTION("TO_TEXT(A2706)"),"48367")</f>
        <v>48367</v>
      </c>
      <c r="C2706" s="1">
        <v>123601.0</v>
      </c>
      <c r="D2706" s="1">
        <v>903.477027869542</v>
      </c>
      <c r="E2706" s="1" t="s">
        <v>4415</v>
      </c>
      <c r="F2706" s="1" t="s">
        <v>4416</v>
      </c>
      <c r="G2706" s="1">
        <v>136.805913362799</v>
      </c>
      <c r="H2706" s="1">
        <v>13.797306127</v>
      </c>
      <c r="I2706" s="1">
        <v>3.7098460456</v>
      </c>
      <c r="J2706" s="1">
        <v>6.7543512658</v>
      </c>
      <c r="K2706" s="1">
        <v>13.861533433</v>
      </c>
      <c r="L2706" s="1">
        <v>34.9</v>
      </c>
      <c r="M2706" s="1">
        <v>7.6</v>
      </c>
      <c r="N2706" s="1">
        <v>29.8</v>
      </c>
      <c r="O2706" s="1">
        <v>52.577249053</v>
      </c>
      <c r="P2706" s="1">
        <v>15.318544809</v>
      </c>
      <c r="Q2706" s="1">
        <v>44.20701</v>
      </c>
      <c r="R2706" s="1">
        <v>96.3</v>
      </c>
      <c r="S2706" s="1">
        <v>11.5</v>
      </c>
      <c r="T2706" s="1">
        <v>32090.0</v>
      </c>
      <c r="U2706" s="1">
        <v>20.420691804</v>
      </c>
      <c r="V2706" s="1">
        <v>130.95367213</v>
      </c>
      <c r="W2706" s="1">
        <v>12.74555119</v>
      </c>
      <c r="X2706" s="1">
        <v>9.7888227745</v>
      </c>
      <c r="Y2706" s="1">
        <v>78.429106007</v>
      </c>
      <c r="Z2706" s="1">
        <v>6.6</v>
      </c>
      <c r="AA2706" s="1">
        <v>5.2551596084</v>
      </c>
      <c r="AB2706" s="1">
        <v>73718.0</v>
      </c>
      <c r="AC2706" s="1">
        <v>33.621517771</v>
      </c>
      <c r="AD2706" s="1">
        <v>77.82171506</v>
      </c>
      <c r="AE2706" s="1">
        <v>10.213112845</v>
      </c>
      <c r="AF2706" s="1">
        <v>1.4265995042</v>
      </c>
      <c r="AG2706" s="1">
        <v>0.9590159788</v>
      </c>
      <c r="AH2706" s="1">
        <v>0.6822238764</v>
      </c>
      <c r="AI2706" s="1">
        <v>0.0657652254</v>
      </c>
      <c r="AJ2706" s="1">
        <v>12.781579955</v>
      </c>
      <c r="AK2706" s="1">
        <v>82.923444941</v>
      </c>
      <c r="AL2706" s="1">
        <v>1.7453554335</v>
      </c>
      <c r="AM2706" s="1">
        <v>50.226564815</v>
      </c>
      <c r="AN2706" s="1">
        <v>56.0845655839999</v>
      </c>
      <c r="AO2706" s="1">
        <v>32274.0</v>
      </c>
      <c r="AP2706" s="1">
        <v>9.4</v>
      </c>
      <c r="AQ2706" s="1">
        <v>5.6</v>
      </c>
      <c r="AR2706" s="1">
        <v>10.7</v>
      </c>
      <c r="AS2706" s="1">
        <v>14.7</v>
      </c>
      <c r="AT2706" s="1">
        <v>24.6</v>
      </c>
      <c r="AU2706" s="1">
        <v>12.6</v>
      </c>
      <c r="AV2706" s="1">
        <v>15.2</v>
      </c>
      <c r="AW2706" s="1">
        <v>1.7</v>
      </c>
      <c r="AX2706" s="1">
        <v>0.2754</v>
      </c>
      <c r="AY2706" s="1">
        <v>8.2</v>
      </c>
      <c r="AZ2706" s="1">
        <v>12.4</v>
      </c>
      <c r="BA2706" s="1">
        <v>18.9</v>
      </c>
      <c r="BB2706" s="1">
        <v>3.09</v>
      </c>
      <c r="BC2706" s="1" t="s">
        <v>4123</v>
      </c>
      <c r="BD2706" s="1">
        <v>11.4</v>
      </c>
      <c r="BE2706" s="1">
        <v>28.8</v>
      </c>
      <c r="BF2706" s="1">
        <v>33.4</v>
      </c>
      <c r="BG2706" s="1">
        <v>26.4</v>
      </c>
      <c r="BH2706" s="1" t="s">
        <v>4416</v>
      </c>
    </row>
    <row r="2707">
      <c r="A2707" s="1">
        <v>48369.0</v>
      </c>
      <c r="B2707" s="2" t="str">
        <f>IFERROR(__xludf.DUMMYFUNCTION("TO_TEXT(A2707)"),"48369")</f>
        <v>48369</v>
      </c>
      <c r="C2707" s="1">
        <v>9921.0</v>
      </c>
      <c r="D2707" s="1">
        <v>880.819184125402</v>
      </c>
      <c r="E2707" s="1" t="s">
        <v>4417</v>
      </c>
      <c r="F2707" s="1" t="s">
        <v>4418</v>
      </c>
      <c r="G2707" s="1">
        <v>11.2633786579602</v>
      </c>
      <c r="H2707" s="1">
        <v>23.954149756</v>
      </c>
      <c r="I2707" s="1">
        <v>3.9821443801</v>
      </c>
      <c r="J2707" s="1">
        <v>6.945681211</v>
      </c>
      <c r="K2707" s="1">
        <v>14.769685464</v>
      </c>
      <c r="L2707" s="1">
        <v>40.2</v>
      </c>
      <c r="M2707" s="1">
        <v>7.2</v>
      </c>
      <c r="N2707" s="1">
        <v>30.9</v>
      </c>
      <c r="O2707" s="1">
        <v>74.457103905</v>
      </c>
      <c r="P2707" s="1">
        <v>28.693688339</v>
      </c>
      <c r="Q2707" s="1">
        <v>20.32107</v>
      </c>
      <c r="R2707" s="1">
        <v>97.9</v>
      </c>
      <c r="S2707" s="1">
        <v>19.2</v>
      </c>
      <c r="T2707" s="1">
        <v>2864.0</v>
      </c>
      <c r="U2707" s="1">
        <v>27.548882682</v>
      </c>
      <c r="V2707" s="1">
        <v>81.728559023</v>
      </c>
      <c r="W2707" s="1">
        <v>16.614906832</v>
      </c>
      <c r="X2707" s="1">
        <v>6.7271589487</v>
      </c>
      <c r="Y2707" s="1">
        <v>78.718893498</v>
      </c>
      <c r="Z2707" s="1">
        <v>9.0</v>
      </c>
      <c r="AA2707" s="1">
        <v>19.933997141</v>
      </c>
      <c r="AB2707" s="1">
        <v>50539.0</v>
      </c>
      <c r="AC2707" s="1">
        <v>74.488926746</v>
      </c>
      <c r="AD2707" s="1">
        <v>69.349005425</v>
      </c>
      <c r="AE2707" s="1">
        <v>7.8854200193</v>
      </c>
      <c r="AF2707" s="1">
        <v>1.003649635</v>
      </c>
      <c r="AG2707" s="1">
        <v>1.6524736415</v>
      </c>
      <c r="AH2707" s="1">
        <v>0.9428223844</v>
      </c>
      <c r="AI2707" s="1">
        <v>0.3345498783</v>
      </c>
      <c r="AJ2707" s="1">
        <v>64.324817518</v>
      </c>
      <c r="AK2707" s="1">
        <v>33.292781833</v>
      </c>
      <c r="AL2707" s="1">
        <v>12.879454465</v>
      </c>
      <c r="AM2707" s="1">
        <v>48.063665856</v>
      </c>
      <c r="AN2707" s="1">
        <v>60.0155808739999</v>
      </c>
      <c r="AO2707" s="1">
        <v>21655.0</v>
      </c>
      <c r="AP2707" s="1">
        <v>16.8</v>
      </c>
      <c r="AQ2707" s="1">
        <v>3.0</v>
      </c>
      <c r="AR2707" s="1">
        <v>31.4</v>
      </c>
      <c r="AS2707" s="1">
        <v>12.6</v>
      </c>
      <c r="AT2707" s="1">
        <v>29.5</v>
      </c>
      <c r="AU2707" s="1">
        <v>13.8</v>
      </c>
      <c r="AV2707" s="1">
        <v>64.3</v>
      </c>
      <c r="AW2707" s="1">
        <v>14.8</v>
      </c>
      <c r="AX2707" s="1">
        <v>0.7609</v>
      </c>
      <c r="AY2707" s="1">
        <v>11.8</v>
      </c>
      <c r="AZ2707" s="1">
        <v>12.5</v>
      </c>
      <c r="BA2707" s="1">
        <v>19.6</v>
      </c>
      <c r="BB2707" s="1">
        <v>3.03</v>
      </c>
      <c r="BC2707" s="1" t="s">
        <v>4123</v>
      </c>
      <c r="BD2707" s="1">
        <v>29.2</v>
      </c>
      <c r="BE2707" s="1">
        <v>31.1</v>
      </c>
      <c r="BF2707" s="1">
        <v>21.8</v>
      </c>
      <c r="BG2707" s="1">
        <v>17.9</v>
      </c>
      <c r="BH2707" s="1" t="s">
        <v>4418</v>
      </c>
    </row>
    <row r="2708">
      <c r="A2708" s="1">
        <v>48371.0</v>
      </c>
      <c r="B2708" s="2" t="str">
        <f>IFERROR(__xludf.DUMMYFUNCTION("TO_TEXT(A2708)"),"48371")</f>
        <v>48371</v>
      </c>
      <c r="C2708" s="1">
        <v>15826.0</v>
      </c>
      <c r="D2708" s="1">
        <v>4763.83263126998</v>
      </c>
      <c r="E2708" s="1" t="s">
        <v>4419</v>
      </c>
      <c r="F2708" s="1" t="s">
        <v>4420</v>
      </c>
      <c r="G2708" s="1">
        <v>3.32211503320195</v>
      </c>
      <c r="H2708" s="1">
        <v>22.371432871</v>
      </c>
      <c r="I2708" s="1">
        <v>3.6960799361</v>
      </c>
      <c r="J2708" s="1">
        <v>9.5693779904</v>
      </c>
      <c r="K2708" s="1">
        <v>13.8405463779999</v>
      </c>
      <c r="L2708" s="1">
        <v>46.2</v>
      </c>
      <c r="M2708" s="1">
        <v>8.6</v>
      </c>
      <c r="N2708" s="1">
        <v>26.2</v>
      </c>
      <c r="O2708" s="1">
        <v>55.49751725</v>
      </c>
      <c r="P2708" s="1">
        <v>22.926237323</v>
      </c>
      <c r="Q2708" s="1">
        <v>44.77421</v>
      </c>
      <c r="R2708" s="1">
        <v>70.1</v>
      </c>
      <c r="S2708" s="1">
        <v>24.3</v>
      </c>
      <c r="T2708" s="1">
        <v>3861.0</v>
      </c>
      <c r="U2708" s="1">
        <v>20.046620047</v>
      </c>
      <c r="V2708" s="1">
        <v>348.41037765</v>
      </c>
      <c r="W2708" s="1">
        <v>12.91810842</v>
      </c>
      <c r="X2708" s="1">
        <v>5.8072009292</v>
      </c>
      <c r="Y2708" s="1">
        <v>78.036363548</v>
      </c>
      <c r="Z2708" s="1">
        <v>10.9</v>
      </c>
      <c r="AA2708" s="1">
        <v>5.9361053827</v>
      </c>
      <c r="AB2708" s="1">
        <v>47008.0</v>
      </c>
      <c r="AC2708" s="1">
        <v>62.484510533</v>
      </c>
      <c r="AD2708" s="1">
        <v>70.989686197</v>
      </c>
      <c r="AE2708" s="1">
        <v>6.1075875029</v>
      </c>
      <c r="AF2708" s="1">
        <v>3.8920436419</v>
      </c>
      <c r="AG2708" s="1">
        <v>1.4100682703</v>
      </c>
      <c r="AH2708" s="1">
        <v>1.1293306961</v>
      </c>
      <c r="AI2708" s="1">
        <v>0.10846679</v>
      </c>
      <c r="AJ2708" s="1">
        <v>68.79984687</v>
      </c>
      <c r="AK2708" s="1">
        <v>25.030306897</v>
      </c>
      <c r="AL2708" s="1">
        <v>8.0231371215</v>
      </c>
      <c r="AM2708" s="1">
        <v>43.137880431</v>
      </c>
      <c r="AN2708" s="1">
        <v>39.77558522</v>
      </c>
      <c r="AO2708" s="1">
        <v>19738.0</v>
      </c>
      <c r="AP2708" s="1">
        <v>9.7</v>
      </c>
      <c r="AQ2708" s="1">
        <v>4.0</v>
      </c>
      <c r="AR2708" s="1">
        <v>31.2</v>
      </c>
      <c r="AS2708" s="1">
        <v>12.4</v>
      </c>
      <c r="AT2708" s="1">
        <v>24.5</v>
      </c>
      <c r="AU2708" s="1">
        <v>12.2</v>
      </c>
      <c r="AV2708" s="1">
        <v>73.6</v>
      </c>
      <c r="AW2708" s="1">
        <v>9.1</v>
      </c>
      <c r="AX2708" s="1">
        <v>0.7529</v>
      </c>
      <c r="AY2708" s="1">
        <v>18.7</v>
      </c>
      <c r="AZ2708" s="1">
        <v>11.8</v>
      </c>
      <c r="BA2708" s="1">
        <v>16.7</v>
      </c>
      <c r="BB2708" s="1">
        <v>2.93</v>
      </c>
      <c r="BC2708" s="1" t="s">
        <v>4123</v>
      </c>
      <c r="BD2708" s="1">
        <v>30.9</v>
      </c>
      <c r="BE2708" s="1">
        <v>35.9</v>
      </c>
      <c r="BF2708" s="1">
        <v>23.3</v>
      </c>
      <c r="BG2708" s="1">
        <v>9.8</v>
      </c>
      <c r="BH2708" s="1" t="s">
        <v>4420</v>
      </c>
    </row>
    <row r="2709">
      <c r="A2709" s="1">
        <v>48373.0</v>
      </c>
      <c r="B2709" s="2" t="str">
        <f>IFERROR(__xludf.DUMMYFUNCTION("TO_TEXT(A2709)"),"48373")</f>
        <v>48373</v>
      </c>
      <c r="C2709" s="1">
        <v>46583.0</v>
      </c>
      <c r="D2709" s="1">
        <v>1057.04427402505</v>
      </c>
      <c r="E2709" s="1" t="s">
        <v>381</v>
      </c>
      <c r="F2709" s="1" t="s">
        <v>4421</v>
      </c>
      <c r="G2709" s="1">
        <v>44.0691096339982</v>
      </c>
      <c r="H2709" s="1">
        <v>19.969311499</v>
      </c>
      <c r="I2709" s="1">
        <v>4.170879371</v>
      </c>
      <c r="J2709" s="1">
        <v>7.0808844109</v>
      </c>
      <c r="K2709" s="1">
        <v>16.389050824</v>
      </c>
      <c r="L2709" s="1">
        <v>43.7</v>
      </c>
      <c r="M2709" s="1">
        <v>6.1</v>
      </c>
      <c r="N2709" s="1">
        <v>30.9</v>
      </c>
      <c r="O2709" s="1">
        <v>39.8784489019999</v>
      </c>
      <c r="P2709" s="1">
        <v>22.4873987019999</v>
      </c>
      <c r="Q2709" s="1">
        <v>58.98865</v>
      </c>
      <c r="R2709" s="1">
        <v>95.7</v>
      </c>
      <c r="S2709" s="1">
        <v>24.7</v>
      </c>
      <c r="T2709" s="1">
        <v>9762.0</v>
      </c>
      <c r="U2709" s="1">
        <v>43.741036673</v>
      </c>
      <c r="V2709" s="1">
        <v>286.01422573</v>
      </c>
      <c r="W2709" s="1">
        <v>15.4862282179999</v>
      </c>
      <c r="X2709" s="1">
        <v>10.559680183</v>
      </c>
      <c r="Y2709" s="1">
        <v>73.346442903</v>
      </c>
      <c r="Z2709" s="1">
        <v>16.0</v>
      </c>
      <c r="AA2709" s="1">
        <v>11.768499933</v>
      </c>
      <c r="AB2709" s="1">
        <v>46017.0</v>
      </c>
      <c r="AC2709" s="1">
        <v>75.7077495</v>
      </c>
      <c r="AD2709" s="1">
        <v>76.397236421</v>
      </c>
      <c r="AE2709" s="1">
        <v>11.0270840659999</v>
      </c>
      <c r="AF2709" s="1">
        <v>9.8139153725</v>
      </c>
      <c r="AG2709" s="1">
        <v>2.3345525774</v>
      </c>
      <c r="AH2709" s="1">
        <v>0.8494733265</v>
      </c>
      <c r="AI2709" s="1">
        <v>0.0879454738</v>
      </c>
      <c r="AJ2709" s="1">
        <v>15.498390998</v>
      </c>
      <c r="AK2709" s="1">
        <v>70.774120046</v>
      </c>
      <c r="AL2709" s="1">
        <v>2.9304515017</v>
      </c>
      <c r="AM2709" s="1">
        <v>46.159381184</v>
      </c>
      <c r="AN2709" s="1">
        <v>77.638561645</v>
      </c>
      <c r="AO2709" s="1">
        <v>21411.0</v>
      </c>
      <c r="AP2709" s="1">
        <v>18.2</v>
      </c>
      <c r="AQ2709" s="1">
        <v>9.4</v>
      </c>
      <c r="AR2709" s="1">
        <v>19.5</v>
      </c>
      <c r="AS2709" s="1">
        <v>19.6</v>
      </c>
      <c r="AT2709" s="1">
        <v>20.5</v>
      </c>
      <c r="AU2709" s="1">
        <v>23.5</v>
      </c>
      <c r="AV2709" s="1">
        <v>28.7</v>
      </c>
      <c r="AW2709" s="1">
        <v>2.9</v>
      </c>
      <c r="AX2709" s="1">
        <v>0.9398</v>
      </c>
      <c r="AY2709" s="1">
        <v>16.7</v>
      </c>
      <c r="AZ2709" s="1">
        <v>18.2</v>
      </c>
      <c r="BA2709" s="1">
        <v>30.0</v>
      </c>
      <c r="BB2709" s="1">
        <v>2.77</v>
      </c>
      <c r="BC2709" s="1" t="s">
        <v>4123</v>
      </c>
      <c r="BD2709" s="1">
        <v>18.4</v>
      </c>
      <c r="BE2709" s="1">
        <v>39.5</v>
      </c>
      <c r="BF2709" s="1">
        <v>29.1</v>
      </c>
      <c r="BG2709" s="1">
        <v>13.1</v>
      </c>
      <c r="BH2709" s="1" t="s">
        <v>4421</v>
      </c>
    </row>
    <row r="2710">
      <c r="A2710" s="1">
        <v>48375.0</v>
      </c>
      <c r="B2710" s="2" t="str">
        <f>IFERROR(__xludf.DUMMYFUNCTION("TO_TEXT(A2710)"),"48375")</f>
        <v>48375</v>
      </c>
      <c r="C2710" s="1">
        <v>121883.0</v>
      </c>
      <c r="D2710" s="1">
        <v>908.402203669046</v>
      </c>
      <c r="E2710" s="1" t="s">
        <v>3792</v>
      </c>
      <c r="F2710" s="1" t="s">
        <v>4422</v>
      </c>
      <c r="G2710" s="1">
        <v>134.172946199066</v>
      </c>
      <c r="H2710" s="1">
        <v>24.1946146869999</v>
      </c>
      <c r="I2710" s="1">
        <v>4.2060456532</v>
      </c>
      <c r="J2710" s="1">
        <v>9.6320023838</v>
      </c>
      <c r="K2710" s="1">
        <v>17.585883715</v>
      </c>
      <c r="L2710" s="1">
        <v>36.8</v>
      </c>
      <c r="M2710" s="1">
        <v>6.7</v>
      </c>
      <c r="N2710" s="1">
        <v>27.8</v>
      </c>
      <c r="O2710" s="1">
        <v>70.904330445</v>
      </c>
      <c r="P2710" s="1">
        <v>23.537066365</v>
      </c>
      <c r="Q2710" s="1">
        <v>74.71484</v>
      </c>
      <c r="R2710" s="1">
        <v>90.3</v>
      </c>
      <c r="S2710" s="1">
        <v>27.7</v>
      </c>
      <c r="T2710" s="1">
        <v>33043.0</v>
      </c>
      <c r="U2710" s="1">
        <v>37.085010441</v>
      </c>
      <c r="V2710" s="1">
        <v>639.79945851</v>
      </c>
      <c r="W2710" s="1">
        <v>19.916579771</v>
      </c>
      <c r="X2710" s="1">
        <v>14.0738997409999</v>
      </c>
      <c r="Y2710" s="1">
        <v>74.276504744</v>
      </c>
      <c r="Z2710" s="1">
        <v>10.6</v>
      </c>
      <c r="AA2710" s="1">
        <v>10.377359642</v>
      </c>
      <c r="AB2710" s="1">
        <v>41912.0</v>
      </c>
      <c r="AC2710" s="1">
        <v>73.617192207</v>
      </c>
      <c r="AD2710" s="1">
        <v>55.331785909</v>
      </c>
      <c r="AE2710" s="1">
        <v>15.384797034</v>
      </c>
      <c r="AF2710" s="1">
        <v>10.000167157</v>
      </c>
      <c r="AG2710" s="1">
        <v>1.3439422305</v>
      </c>
      <c r="AH2710" s="1">
        <v>6.0443968976</v>
      </c>
      <c r="AI2710" s="1">
        <v>0.1328898101</v>
      </c>
      <c r="AJ2710" s="1">
        <v>38.6801283769999</v>
      </c>
      <c r="AK2710" s="1">
        <v>43.435744852</v>
      </c>
      <c r="AL2710" s="1">
        <v>8.9215147942</v>
      </c>
      <c r="AM2710" s="1">
        <v>48.50812383</v>
      </c>
      <c r="AN2710" s="1">
        <v>8.9962254177</v>
      </c>
      <c r="AO2710" s="1">
        <v>20984.0</v>
      </c>
      <c r="AP2710" s="1">
        <v>21.9</v>
      </c>
      <c r="AQ2710" s="1">
        <v>4.6</v>
      </c>
      <c r="AR2710" s="1">
        <v>23.6</v>
      </c>
      <c r="AS2710" s="1">
        <v>11.6</v>
      </c>
      <c r="AT2710" s="1">
        <v>27.6</v>
      </c>
      <c r="AU2710" s="1">
        <v>11.9</v>
      </c>
      <c r="AV2710" s="1">
        <v>54.1</v>
      </c>
      <c r="AW2710" s="1">
        <v>8.6</v>
      </c>
      <c r="AX2710" s="1">
        <v>0.9249</v>
      </c>
      <c r="AY2710" s="1">
        <v>20.3</v>
      </c>
      <c r="AZ2710" s="1">
        <v>15.9</v>
      </c>
      <c r="BA2710" s="1">
        <v>21.8</v>
      </c>
      <c r="BB2710" s="1">
        <v>2.89</v>
      </c>
      <c r="BC2710" s="1" t="s">
        <v>4123</v>
      </c>
      <c r="BD2710" s="1">
        <v>23.0</v>
      </c>
      <c r="BE2710" s="1">
        <v>32.0</v>
      </c>
      <c r="BF2710" s="1">
        <v>30.1</v>
      </c>
      <c r="BG2710" s="1">
        <v>14.9</v>
      </c>
      <c r="BH2710" s="1" t="s">
        <v>4422</v>
      </c>
    </row>
    <row r="2711">
      <c r="A2711" s="1">
        <v>48377.0</v>
      </c>
      <c r="B2711" s="2" t="str">
        <f>IFERROR(__xludf.DUMMYFUNCTION("TO_TEXT(A2711)"),"48377")</f>
        <v>48377</v>
      </c>
      <c r="C2711" s="1">
        <v>7144.0</v>
      </c>
      <c r="D2711" s="1">
        <v>3855.25065040159</v>
      </c>
      <c r="E2711" s="1" t="s">
        <v>4423</v>
      </c>
      <c r="F2711" s="1" t="s">
        <v>4424</v>
      </c>
      <c r="G2711" s="1">
        <v>1.85305720634684</v>
      </c>
      <c r="H2711" s="1">
        <v>34.702353389</v>
      </c>
      <c r="I2711" s="1">
        <v>4.5508500504</v>
      </c>
      <c r="J2711" s="1">
        <v>7.9852579853</v>
      </c>
      <c r="K2711" s="1">
        <v>16.35750904</v>
      </c>
      <c r="L2711" s="1">
        <v>29.5</v>
      </c>
      <c r="M2711" s="1">
        <v>4.4</v>
      </c>
      <c r="N2711" s="1">
        <v>30.0</v>
      </c>
      <c r="O2711" s="1">
        <v>94.576618061</v>
      </c>
      <c r="P2711" s="1">
        <v>29.035792549</v>
      </c>
      <c r="Q2711" s="1">
        <v>27.94857</v>
      </c>
      <c r="R2711" s="1">
        <v>92.3</v>
      </c>
      <c r="S2711" s="1">
        <v>35.2</v>
      </c>
      <c r="T2711" s="1">
        <v>1934.0</v>
      </c>
      <c r="U2711" s="1">
        <v>46.690796277</v>
      </c>
      <c r="V2711" s="1">
        <v>87.1712915879999</v>
      </c>
      <c r="W2711" s="1">
        <v>9.1617933723</v>
      </c>
      <c r="X2711" s="1">
        <v>2.3459244533</v>
      </c>
      <c r="Y2711" s="1">
        <v>89.164252707</v>
      </c>
      <c r="Z2711" s="1">
        <v>19.0</v>
      </c>
      <c r="AA2711" s="1">
        <v>42.799358554</v>
      </c>
      <c r="AB2711" s="1">
        <v>37738.0</v>
      </c>
      <c r="AC2711" s="1">
        <v>89.677010766</v>
      </c>
      <c r="AD2711" s="1">
        <v>53.406928055</v>
      </c>
      <c r="AE2711" s="1">
        <v>9.2693110647</v>
      </c>
      <c r="AF2711" s="1">
        <v>0.9499136442</v>
      </c>
      <c r="AG2711" s="1">
        <v>1.597582038</v>
      </c>
      <c r="AH2711" s="1">
        <v>2.7489925158</v>
      </c>
      <c r="AI2711" s="1">
        <v>0.014392631</v>
      </c>
      <c r="AJ2711" s="1">
        <v>82.973517559</v>
      </c>
      <c r="AK2711" s="1">
        <v>12.3632700059999</v>
      </c>
      <c r="AL2711" s="1">
        <v>30.376303461</v>
      </c>
      <c r="AM2711" s="1">
        <v>48.805411629</v>
      </c>
      <c r="AN2711" s="1">
        <v>40.470708621</v>
      </c>
      <c r="AO2711" s="1">
        <v>16326.0</v>
      </c>
      <c r="AP2711" s="1">
        <v>24.5</v>
      </c>
      <c r="AQ2711" s="1">
        <v>9.2</v>
      </c>
      <c r="AR2711" s="1">
        <v>43.2</v>
      </c>
      <c r="AS2711" s="1">
        <v>20.5</v>
      </c>
      <c r="AT2711" s="1">
        <v>28.2</v>
      </c>
      <c r="AU2711" s="1">
        <v>21.7</v>
      </c>
      <c r="AV2711" s="1">
        <v>85.2</v>
      </c>
      <c r="AW2711" s="1">
        <v>29.9</v>
      </c>
      <c r="AX2711" s="1">
        <v>0.9822</v>
      </c>
      <c r="AY2711" s="1">
        <v>19.2</v>
      </c>
      <c r="AZ2711" s="1">
        <v>21.8</v>
      </c>
      <c r="BA2711" s="1">
        <v>32.3</v>
      </c>
      <c r="BB2711" s="1">
        <v>3.16</v>
      </c>
      <c r="BC2711" s="1" t="s">
        <v>4123</v>
      </c>
      <c r="BD2711" s="1">
        <v>46.6</v>
      </c>
      <c r="BE2711" s="1">
        <v>15.9</v>
      </c>
      <c r="BF2711" s="1">
        <v>16.3</v>
      </c>
      <c r="BG2711" s="1">
        <v>21.2</v>
      </c>
      <c r="BH2711" s="1" t="s">
        <v>4424</v>
      </c>
    </row>
    <row r="2712">
      <c r="A2712" s="1">
        <v>48379.0</v>
      </c>
      <c r="B2712" s="2" t="str">
        <f>IFERROR(__xludf.DUMMYFUNCTION("TO_TEXT(A2712)"),"48379")</f>
        <v>48379</v>
      </c>
      <c r="C2712" s="1">
        <v>11087.0</v>
      </c>
      <c r="D2712" s="1">
        <v>229.452915093732</v>
      </c>
      <c r="E2712" s="1" t="s">
        <v>4425</v>
      </c>
      <c r="F2712" s="1" t="s">
        <v>4426</v>
      </c>
      <c r="G2712" s="1">
        <v>48.3192815200057</v>
      </c>
      <c r="H2712" s="1">
        <v>16.0002234709999</v>
      </c>
      <c r="I2712" s="1">
        <v>4.0091033651</v>
      </c>
      <c r="J2712" s="1">
        <v>7.0175438596</v>
      </c>
      <c r="K2712" s="1">
        <v>14.303197822</v>
      </c>
      <c r="L2712" s="1">
        <v>30.8</v>
      </c>
      <c r="M2712" s="1">
        <v>7.7</v>
      </c>
      <c r="N2712" s="1">
        <v>20.6</v>
      </c>
      <c r="O2712" s="1">
        <v>51.850833791</v>
      </c>
      <c r="P2712" s="1">
        <v>22.643846414</v>
      </c>
      <c r="Q2712" s="1">
        <v>17.00391</v>
      </c>
      <c r="R2712" s="1">
        <v>90.8</v>
      </c>
      <c r="S2712" s="1">
        <v>23.7</v>
      </c>
      <c r="T2712" s="1">
        <v>2303.0</v>
      </c>
      <c r="U2712" s="1">
        <v>30.395136778</v>
      </c>
      <c r="V2712" s="1">
        <v>111.83680773</v>
      </c>
      <c r="W2712" s="1">
        <v>17.294117647</v>
      </c>
      <c r="X2712" s="1">
        <v>12.6040428059999</v>
      </c>
      <c r="Y2712" s="1">
        <v>76.374432902</v>
      </c>
      <c r="Z2712" s="1">
        <v>26.3</v>
      </c>
      <c r="AA2712" s="1">
        <v>6.508531482</v>
      </c>
      <c r="AB2712" s="1">
        <v>47572.0</v>
      </c>
      <c r="AC2712" s="1">
        <v>61.2316715539999</v>
      </c>
      <c r="AD2712" s="1">
        <v>78.665435234</v>
      </c>
      <c r="AE2712" s="1">
        <v>9.9118942731</v>
      </c>
      <c r="AF2712" s="1">
        <v>2.4015132823</v>
      </c>
      <c r="AG2712" s="1">
        <v>1.1349617567</v>
      </c>
      <c r="AH2712" s="1">
        <v>1.0691668723</v>
      </c>
      <c r="AI2712" s="1">
        <v>0.0575705239</v>
      </c>
      <c r="AJ2712" s="1">
        <v>9.2112838227</v>
      </c>
      <c r="AK2712" s="1">
        <v>85.0481125089999</v>
      </c>
      <c r="AL2712" s="1">
        <v>0.6417896764</v>
      </c>
      <c r="AM2712" s="1">
        <v>50.2919648</v>
      </c>
      <c r="AN2712" s="1">
        <v>93.228880337</v>
      </c>
      <c r="AO2712" s="1">
        <v>23577.0</v>
      </c>
      <c r="AP2712" s="1">
        <v>10.7</v>
      </c>
      <c r="AQ2712" s="1">
        <v>6.6</v>
      </c>
      <c r="AR2712" s="1">
        <v>18.1</v>
      </c>
      <c r="AS2712" s="1">
        <v>23.7</v>
      </c>
      <c r="AT2712" s="1">
        <v>20.5</v>
      </c>
      <c r="AU2712" s="1">
        <v>20.1</v>
      </c>
      <c r="AV2712" s="1">
        <v>14.0</v>
      </c>
      <c r="AW2712" s="1">
        <v>0.9</v>
      </c>
      <c r="AX2712" s="1">
        <v>0.5107</v>
      </c>
      <c r="AY2712" s="1">
        <v>13.4</v>
      </c>
      <c r="AZ2712" s="1">
        <v>15.2</v>
      </c>
      <c r="BA2712" s="1">
        <v>21.1</v>
      </c>
      <c r="BB2712" s="1">
        <v>2.95</v>
      </c>
      <c r="BC2712" s="1" t="s">
        <v>4123</v>
      </c>
      <c r="BD2712" s="1">
        <v>14.6</v>
      </c>
      <c r="BE2712" s="1">
        <v>40.6</v>
      </c>
      <c r="BF2712" s="1">
        <v>31.1</v>
      </c>
      <c r="BG2712" s="1">
        <v>13.7</v>
      </c>
      <c r="BH2712" s="1" t="s">
        <v>4426</v>
      </c>
    </row>
    <row r="2713">
      <c r="A2713" s="1">
        <v>48381.0</v>
      </c>
      <c r="B2713" s="2" t="str">
        <f>IFERROR(__xludf.DUMMYFUNCTION("TO_TEXT(A2713)"),"48381")</f>
        <v>48381</v>
      </c>
      <c r="C2713" s="1">
        <v>128603.0</v>
      </c>
      <c r="D2713" s="1">
        <v>911.912540349913</v>
      </c>
      <c r="E2713" s="1" t="s">
        <v>4427</v>
      </c>
      <c r="F2713" s="1" t="s">
        <v>4428</v>
      </c>
      <c r="G2713" s="1">
        <v>141.025585579351</v>
      </c>
      <c r="H2713" s="1">
        <v>14.742233655</v>
      </c>
      <c r="I2713" s="1">
        <v>3.8062181276</v>
      </c>
      <c r="J2713" s="1">
        <v>7.7036013473</v>
      </c>
      <c r="K2713" s="1">
        <v>13.271109503</v>
      </c>
      <c r="L2713" s="1">
        <v>27.2</v>
      </c>
      <c r="M2713" s="1">
        <v>7.9</v>
      </c>
      <c r="N2713" s="1">
        <v>26.6</v>
      </c>
      <c r="O2713" s="1">
        <v>92.009939946</v>
      </c>
      <c r="P2713" s="1">
        <v>13.20793149</v>
      </c>
      <c r="Q2713" s="1">
        <v>59.50521</v>
      </c>
      <c r="R2713" s="1">
        <v>96.2</v>
      </c>
      <c r="S2713" s="1">
        <v>11.4</v>
      </c>
      <c r="T2713" s="1">
        <v>31549.0</v>
      </c>
      <c r="U2713" s="1">
        <v>25.217914989</v>
      </c>
      <c r="V2713" s="1">
        <v>547.33108925</v>
      </c>
      <c r="W2713" s="1">
        <v>11.6883116879999</v>
      </c>
      <c r="X2713" s="1">
        <v>9.2263136119</v>
      </c>
      <c r="Y2713" s="1">
        <v>78.965612416</v>
      </c>
      <c r="Z2713" s="1">
        <v>8.8</v>
      </c>
      <c r="AA2713" s="1">
        <v>3.6243001413</v>
      </c>
      <c r="AB2713" s="1">
        <v>69600.0</v>
      </c>
      <c r="AC2713" s="1">
        <v>39.792006346</v>
      </c>
      <c r="AD2713" s="1">
        <v>70.262467725</v>
      </c>
      <c r="AE2713" s="1">
        <v>8.937815755</v>
      </c>
      <c r="AF2713" s="1">
        <v>3.116583866</v>
      </c>
      <c r="AG2713" s="1">
        <v>0.9701257054</v>
      </c>
      <c r="AH2713" s="1">
        <v>1.8492562614</v>
      </c>
      <c r="AI2713" s="1">
        <v>0.0799876716</v>
      </c>
      <c r="AJ2713" s="1">
        <v>22.266659818</v>
      </c>
      <c r="AK2713" s="1">
        <v>70.7648729369999</v>
      </c>
      <c r="AL2713" s="1">
        <v>1.2938031513</v>
      </c>
      <c r="AM2713" s="1">
        <v>50.815654101</v>
      </c>
      <c r="AN2713" s="1">
        <v>14.375647132</v>
      </c>
      <c r="AO2713" s="1">
        <v>31383.0</v>
      </c>
      <c r="AP2713" s="1">
        <v>10.5</v>
      </c>
      <c r="AQ2713" s="1">
        <v>3.5</v>
      </c>
      <c r="AR2713" s="1">
        <v>8.9</v>
      </c>
      <c r="AS2713" s="1">
        <v>13.4</v>
      </c>
      <c r="AT2713" s="1">
        <v>24.4</v>
      </c>
      <c r="AU2713" s="1">
        <v>11.4</v>
      </c>
      <c r="AV2713" s="1">
        <v>25.7</v>
      </c>
      <c r="AW2713" s="1">
        <v>1.3</v>
      </c>
      <c r="AX2713" s="1">
        <v>0.2509</v>
      </c>
      <c r="AY2713" s="1">
        <v>9.0</v>
      </c>
      <c r="AZ2713" s="1">
        <v>11.9</v>
      </c>
      <c r="BA2713" s="1">
        <v>17.2</v>
      </c>
      <c r="BB2713" s="1">
        <v>3.33</v>
      </c>
      <c r="BC2713" s="1" t="s">
        <v>4123</v>
      </c>
      <c r="BD2713" s="1">
        <v>7.7</v>
      </c>
      <c r="BE2713" s="1">
        <v>22.8</v>
      </c>
      <c r="BF2713" s="1">
        <v>37.1</v>
      </c>
      <c r="BG2713" s="1">
        <v>32.4</v>
      </c>
      <c r="BH2713" s="1" t="s">
        <v>4428</v>
      </c>
    </row>
    <row r="2714">
      <c r="A2714" s="1">
        <v>48383.0</v>
      </c>
      <c r="B2714" s="2" t="str">
        <f>IFERROR(__xludf.DUMMYFUNCTION("TO_TEXT(A2714)"),"48383")</f>
        <v>48383</v>
      </c>
      <c r="C2714" s="1">
        <v>3625.0</v>
      </c>
      <c r="D2714" s="1">
        <v>1175.31345487465</v>
      </c>
      <c r="E2714" s="1" t="s">
        <v>4429</v>
      </c>
      <c r="F2714" s="1" t="s">
        <v>4430</v>
      </c>
      <c r="G2714" s="1">
        <v>3.08428358831867</v>
      </c>
      <c r="H2714" s="1">
        <v>24.816226314</v>
      </c>
      <c r="I2714" s="1">
        <v>3.9698562288</v>
      </c>
      <c r="J2714" s="1">
        <v>7.79510022269999</v>
      </c>
      <c r="K2714" s="1">
        <v>14.999010754</v>
      </c>
      <c r="L2714" s="1">
        <v>28.3</v>
      </c>
      <c r="M2714" s="1">
        <v>8.9</v>
      </c>
      <c r="N2714" s="1">
        <v>19.8</v>
      </c>
      <c r="O2714" s="1">
        <v>92.871992872</v>
      </c>
      <c r="P2714" s="1">
        <v>23.448486701</v>
      </c>
      <c r="Q2714" s="1">
        <v>53.90836</v>
      </c>
      <c r="R2714" s="1">
        <v>88.1</v>
      </c>
      <c r="S2714" s="1">
        <v>13.5</v>
      </c>
      <c r="T2714" s="1">
        <v>1112.0</v>
      </c>
      <c r="U2714" s="1">
        <v>28.776978417</v>
      </c>
      <c r="V2714" s="1">
        <v>52.847139649</v>
      </c>
      <c r="W2714" s="1">
        <v>13.025210084</v>
      </c>
      <c r="X2714" s="1">
        <v>9.5798319328</v>
      </c>
      <c r="Y2714" s="1">
        <v>77.00379462</v>
      </c>
      <c r="Z2714" s="1">
        <v>6.3</v>
      </c>
      <c r="AA2714" s="1">
        <v>2.2033036679</v>
      </c>
      <c r="AB2714" s="1">
        <v>65273.0</v>
      </c>
      <c r="AC2714" s="1">
        <v>63.562281723</v>
      </c>
      <c r="AD2714" s="1">
        <v>69.83435048</v>
      </c>
      <c r="AE2714" s="1">
        <v>8.3708370837</v>
      </c>
      <c r="AF2714" s="1">
        <v>2.4859663192</v>
      </c>
      <c r="AG2714" s="1">
        <v>1.1494252874</v>
      </c>
      <c r="AH2714" s="1">
        <v>0.6415396953</v>
      </c>
      <c r="AI2714" s="1">
        <v>0.0</v>
      </c>
      <c r="AJ2714" s="1">
        <v>68.8585939589999</v>
      </c>
      <c r="AK2714" s="1">
        <v>26.811013098</v>
      </c>
      <c r="AL2714" s="1">
        <v>11.1525229359999</v>
      </c>
      <c r="AM2714" s="1">
        <v>46.511627907</v>
      </c>
      <c r="AN2714" s="1">
        <v>13.305613306</v>
      </c>
      <c r="AO2714" s="1">
        <v>25754.0</v>
      </c>
      <c r="AP2714" s="1">
        <v>17.5</v>
      </c>
      <c r="AQ2714" s="1">
        <v>4.3</v>
      </c>
      <c r="AR2714" s="1">
        <v>28.5</v>
      </c>
      <c r="AS2714" s="1">
        <v>10.5</v>
      </c>
      <c r="AT2714" s="1">
        <v>27.8</v>
      </c>
      <c r="AU2714" s="1">
        <v>9.6</v>
      </c>
      <c r="AV2714" s="1">
        <v>68.1</v>
      </c>
      <c r="AW2714" s="1">
        <v>11.9</v>
      </c>
      <c r="AX2714" s="1">
        <v>0.547</v>
      </c>
      <c r="AY2714" s="1">
        <v>8.9</v>
      </c>
      <c r="AZ2714" s="1">
        <v>11.0</v>
      </c>
      <c r="BA2714" s="1">
        <v>16.0</v>
      </c>
      <c r="BB2714" s="1">
        <v>2.9</v>
      </c>
      <c r="BC2714" s="1" t="s">
        <v>4123</v>
      </c>
      <c r="BD2714" s="1">
        <v>17.8</v>
      </c>
      <c r="BE2714" s="1">
        <v>41.9</v>
      </c>
      <c r="BF2714" s="1">
        <v>29.8</v>
      </c>
      <c r="BG2714" s="1">
        <v>10.5</v>
      </c>
      <c r="BH2714" s="1" t="s">
        <v>4430</v>
      </c>
    </row>
    <row r="2715">
      <c r="A2715" s="1">
        <v>48385.0</v>
      </c>
      <c r="B2715" s="2" t="str">
        <f>IFERROR(__xludf.DUMMYFUNCTION("TO_TEXT(A2715)"),"48385")</f>
        <v>48385</v>
      </c>
      <c r="C2715" s="1">
        <v>3348.0</v>
      </c>
      <c r="D2715" s="1">
        <v>699.158484632412</v>
      </c>
      <c r="E2715" s="1" t="s">
        <v>4431</v>
      </c>
      <c r="F2715" s="1" t="s">
        <v>4432</v>
      </c>
      <c r="G2715" s="1">
        <v>4.7886138459154</v>
      </c>
      <c r="H2715" s="1">
        <v>21.118462783</v>
      </c>
      <c r="I2715" s="1">
        <v>4.3237164867</v>
      </c>
      <c r="J2715" s="1">
        <v>6.8273092369</v>
      </c>
      <c r="K2715" s="1">
        <v>14.842645723</v>
      </c>
      <c r="L2715" s="1">
        <v>25.6</v>
      </c>
      <c r="M2715" s="1">
        <v>3.4</v>
      </c>
      <c r="N2715" s="1">
        <v>25.7</v>
      </c>
      <c r="O2715" s="1">
        <v>74.8564521</v>
      </c>
      <c r="P2715" s="1">
        <v>22.482239866</v>
      </c>
      <c r="Q2715" s="1">
        <v>29.16302</v>
      </c>
      <c r="R2715" s="1">
        <v>74.4</v>
      </c>
      <c r="S2715" s="1">
        <v>35.6</v>
      </c>
      <c r="T2715" s="1">
        <v>668.0</v>
      </c>
      <c r="U2715" s="1">
        <v>57.185628743</v>
      </c>
      <c r="V2715" s="1">
        <v>89.86071589</v>
      </c>
      <c r="W2715" s="1">
        <v>13.025210084</v>
      </c>
      <c r="X2715" s="1">
        <v>11.0169491529999</v>
      </c>
      <c r="Y2715" s="1">
        <v>75.607235546</v>
      </c>
      <c r="Z2715" s="1">
        <v>10.0</v>
      </c>
      <c r="AA2715" s="1">
        <v>45.177249051</v>
      </c>
      <c r="AB2715" s="1">
        <v>39506.0</v>
      </c>
      <c r="AC2715" s="1">
        <v>69.636963696</v>
      </c>
      <c r="AD2715" s="1">
        <v>81.499592502</v>
      </c>
      <c r="AE2715" s="1">
        <v>10.6701940039999</v>
      </c>
      <c r="AF2715" s="1">
        <v>0.8913168488</v>
      </c>
      <c r="AG2715" s="1">
        <v>1.7826336975</v>
      </c>
      <c r="AH2715" s="1">
        <v>0.3737780334</v>
      </c>
      <c r="AI2715" s="1">
        <v>0.3450258769</v>
      </c>
      <c r="AJ2715" s="1">
        <v>27.774583094</v>
      </c>
      <c r="AK2715" s="1">
        <v>68.545140886</v>
      </c>
      <c r="AL2715" s="1">
        <v>1.9614046188</v>
      </c>
      <c r="AM2715" s="1">
        <v>50.172512938</v>
      </c>
      <c r="AN2715" s="1">
        <v>100.0</v>
      </c>
      <c r="AO2715" s="1">
        <v>21135.0</v>
      </c>
      <c r="AP2715" s="1">
        <v>18.4</v>
      </c>
      <c r="AQ2715" s="1">
        <v>6.7</v>
      </c>
      <c r="AR2715" s="1">
        <v>19.7</v>
      </c>
      <c r="AS2715" s="1">
        <v>34.1</v>
      </c>
      <c r="AT2715" s="1">
        <v>19.2</v>
      </c>
      <c r="AU2715" s="1">
        <v>25.4</v>
      </c>
      <c r="AV2715" s="1">
        <v>19.9</v>
      </c>
      <c r="AW2715" s="1">
        <v>3.3</v>
      </c>
      <c r="AX2715" s="1">
        <v>0.7466</v>
      </c>
      <c r="AY2715" s="1">
        <v>17.7</v>
      </c>
      <c r="AZ2715" s="1">
        <v>19.9</v>
      </c>
      <c r="BA2715" s="1">
        <v>32.3</v>
      </c>
      <c r="BB2715" s="1">
        <v>2.58</v>
      </c>
      <c r="BC2715" s="1" t="s">
        <v>4123</v>
      </c>
      <c r="BD2715" s="1">
        <v>16.7</v>
      </c>
      <c r="BE2715" s="1">
        <v>30.4</v>
      </c>
      <c r="BF2715" s="1">
        <v>35.5</v>
      </c>
      <c r="BG2715" s="1">
        <v>17.4</v>
      </c>
      <c r="BH2715" s="1" t="s">
        <v>4432</v>
      </c>
    </row>
    <row r="2716">
      <c r="A2716" s="1">
        <v>48387.0</v>
      </c>
      <c r="B2716" s="2" t="str">
        <f>IFERROR(__xludf.DUMMYFUNCTION("TO_TEXT(A2716)"),"48387")</f>
        <v>48387</v>
      </c>
      <c r="C2716" s="1">
        <v>12455.0</v>
      </c>
      <c r="D2716" s="1">
        <v>1043.87569851732</v>
      </c>
      <c r="E2716" s="1" t="s">
        <v>2006</v>
      </c>
      <c r="F2716" s="1" t="s">
        <v>4433</v>
      </c>
      <c r="G2716" s="1">
        <v>11.9314972249</v>
      </c>
      <c r="H2716" s="1">
        <v>21.349289859</v>
      </c>
      <c r="I2716" s="1">
        <v>4.3910049324</v>
      </c>
      <c r="J2716" s="1">
        <v>9.8765432099</v>
      </c>
      <c r="K2716" s="1">
        <v>16.970871195</v>
      </c>
      <c r="L2716" s="1">
        <v>39.4</v>
      </c>
      <c r="M2716" s="1">
        <v>5.3</v>
      </c>
      <c r="N2716" s="1">
        <v>39.6</v>
      </c>
      <c r="O2716" s="1">
        <v>35.754276827</v>
      </c>
      <c r="P2716" s="1">
        <v>19.631768166</v>
      </c>
      <c r="Q2716" s="1">
        <v>16.35457</v>
      </c>
      <c r="R2716" s="1">
        <v>97.9</v>
      </c>
      <c r="S2716" s="1">
        <v>28.6</v>
      </c>
      <c r="T2716" s="1">
        <v>2455.0</v>
      </c>
      <c r="U2716" s="1">
        <v>33.279022403</v>
      </c>
      <c r="V2716" s="1">
        <v>296.78350846</v>
      </c>
      <c r="W2716" s="1">
        <v>12.003872217</v>
      </c>
      <c r="X2716" s="1">
        <v>10.341463415</v>
      </c>
      <c r="Y2716" s="1">
        <v>75.126435656</v>
      </c>
      <c r="Z2716" s="1">
        <v>18.6</v>
      </c>
      <c r="AA2716" s="1">
        <v>18.418175789</v>
      </c>
      <c r="AB2716" s="1">
        <v>42233.0</v>
      </c>
      <c r="AC2716" s="1">
        <v>66.209829868</v>
      </c>
      <c r="AD2716" s="1">
        <v>75.9310618069999</v>
      </c>
      <c r="AE2716" s="1">
        <v>10.9967845659999</v>
      </c>
      <c r="AF2716" s="1">
        <v>16.336755647</v>
      </c>
      <c r="AG2716" s="1">
        <v>1.5934291581</v>
      </c>
      <c r="AH2716" s="1">
        <v>0.3778234086</v>
      </c>
      <c r="AI2716" s="1">
        <v>0.00821355239999999</v>
      </c>
      <c r="AJ2716" s="1">
        <v>7.4661190965</v>
      </c>
      <c r="AK2716" s="1">
        <v>73.2156057489999</v>
      </c>
      <c r="AL2716" s="1">
        <v>0.1105724249</v>
      </c>
      <c r="AM2716" s="1">
        <v>51.4414784389999</v>
      </c>
      <c r="AN2716" s="1">
        <v>75.730948678</v>
      </c>
      <c r="AO2716" s="1">
        <v>20798.0</v>
      </c>
      <c r="AP2716" s="1">
        <v>16.5</v>
      </c>
      <c r="AQ2716" s="1">
        <v>6.9</v>
      </c>
      <c r="AR2716" s="1">
        <v>19.6</v>
      </c>
      <c r="AS2716" s="1">
        <v>22.7</v>
      </c>
      <c r="AT2716" s="1">
        <v>20.1</v>
      </c>
      <c r="AU2716" s="1">
        <v>21.1</v>
      </c>
      <c r="AV2716" s="1">
        <v>26.7</v>
      </c>
      <c r="AW2716" s="1">
        <v>0.2</v>
      </c>
      <c r="AX2716" s="1">
        <v>0.5428</v>
      </c>
      <c r="AY2716" s="1">
        <v>19.6</v>
      </c>
      <c r="AZ2716" s="1">
        <v>18.8</v>
      </c>
      <c r="BA2716" s="1">
        <v>27.9</v>
      </c>
      <c r="BB2716" s="1">
        <v>2.8</v>
      </c>
      <c r="BC2716" s="1" t="s">
        <v>4123</v>
      </c>
      <c r="BD2716" s="1">
        <v>14.6</v>
      </c>
      <c r="BE2716" s="1">
        <v>40.4</v>
      </c>
      <c r="BF2716" s="1">
        <v>32.6</v>
      </c>
      <c r="BG2716" s="1">
        <v>12.5</v>
      </c>
      <c r="BH2716" s="1" t="s">
        <v>4433</v>
      </c>
    </row>
    <row r="2717">
      <c r="A2717" s="1">
        <v>48389.0</v>
      </c>
      <c r="B2717" s="2" t="str">
        <f>IFERROR(__xludf.DUMMYFUNCTION("TO_TEXT(A2717)"),"48389")</f>
        <v>48389</v>
      </c>
      <c r="C2717" s="1">
        <v>14438.0</v>
      </c>
      <c r="D2717" s="1">
        <v>2635.35244738742</v>
      </c>
      <c r="E2717" s="1" t="s">
        <v>4434</v>
      </c>
      <c r="F2717" s="1" t="s">
        <v>4435</v>
      </c>
      <c r="G2717" s="1">
        <v>5.47858409387072</v>
      </c>
      <c r="H2717" s="1">
        <v>24.792897512</v>
      </c>
      <c r="I2717" s="1">
        <v>3.7331789083</v>
      </c>
      <c r="J2717" s="1">
        <v>8.5629188384</v>
      </c>
      <c r="K2717" s="1">
        <v>14.629754016</v>
      </c>
      <c r="L2717" s="1">
        <v>28.3</v>
      </c>
      <c r="M2717" s="1">
        <v>8.5</v>
      </c>
      <c r="N2717" s="1">
        <v>25.6</v>
      </c>
      <c r="O2717" s="1">
        <v>72.074294421</v>
      </c>
      <c r="P2717" s="1">
        <v>22.325671613</v>
      </c>
      <c r="Q2717" s="1">
        <v>39.26445</v>
      </c>
      <c r="R2717" s="1">
        <v>92.0</v>
      </c>
      <c r="S2717" s="1">
        <v>21.9</v>
      </c>
      <c r="T2717" s="1">
        <v>3330.0</v>
      </c>
      <c r="U2717" s="1">
        <v>22.612612613</v>
      </c>
      <c r="V2717" s="1">
        <v>407.10712437</v>
      </c>
      <c r="W2717" s="1">
        <v>11.5537848609999</v>
      </c>
      <c r="X2717" s="1">
        <v>6.4143853999</v>
      </c>
      <c r="Y2717" s="1">
        <v>78.1643000219999</v>
      </c>
      <c r="Z2717" s="1">
        <v>7.2</v>
      </c>
      <c r="AA2717" s="1">
        <v>9.41568565529999</v>
      </c>
      <c r="AB2717" s="1">
        <v>45341.0</v>
      </c>
      <c r="AC2717" s="1">
        <v>65.110477548</v>
      </c>
      <c r="AD2717" s="1">
        <v>70.697549152</v>
      </c>
      <c r="AE2717" s="1">
        <v>8.0964685616</v>
      </c>
      <c r="AF2717" s="1">
        <v>4.6001911437</v>
      </c>
      <c r="AG2717" s="1">
        <v>0.9111181905</v>
      </c>
      <c r="AH2717" s="1">
        <v>1.5291494106</v>
      </c>
      <c r="AI2717" s="1">
        <v>0.0700860146999999</v>
      </c>
      <c r="AJ2717" s="1">
        <v>75.043007327</v>
      </c>
      <c r="AK2717" s="1">
        <v>18.184135075</v>
      </c>
      <c r="AL2717" s="1">
        <v>14.265546693</v>
      </c>
      <c r="AM2717" s="1">
        <v>38.630136986</v>
      </c>
      <c r="AN2717" s="1">
        <v>14.496118407</v>
      </c>
      <c r="AO2717" s="1">
        <v>18458.0</v>
      </c>
      <c r="AP2717" s="1">
        <v>14.7</v>
      </c>
      <c r="AQ2717" s="1">
        <v>7.7</v>
      </c>
      <c r="AR2717" s="1">
        <v>39.0</v>
      </c>
      <c r="AS2717" s="1">
        <v>12.9</v>
      </c>
      <c r="AT2717" s="1">
        <v>22.7</v>
      </c>
      <c r="AU2717" s="1">
        <v>12.6</v>
      </c>
      <c r="AV2717" s="1">
        <v>81.6</v>
      </c>
      <c r="AW2717" s="1">
        <v>17.0</v>
      </c>
      <c r="AX2717" s="1">
        <v>0.7905</v>
      </c>
      <c r="AY2717" s="1">
        <v>22.1</v>
      </c>
      <c r="AZ2717" s="1">
        <v>10.1</v>
      </c>
      <c r="BA2717" s="1">
        <v>14.3</v>
      </c>
      <c r="BB2717" s="1">
        <v>2.91</v>
      </c>
      <c r="BC2717" s="1" t="s">
        <v>4123</v>
      </c>
      <c r="BD2717" s="1">
        <v>30.3</v>
      </c>
      <c r="BE2717" s="1">
        <v>32.7</v>
      </c>
      <c r="BF2717" s="1">
        <v>24.8</v>
      </c>
      <c r="BG2717" s="1">
        <v>12.3</v>
      </c>
      <c r="BH2717" s="1" t="s">
        <v>4435</v>
      </c>
    </row>
    <row r="2718">
      <c r="A2718" s="1">
        <v>48391.0</v>
      </c>
      <c r="B2718" s="2" t="str">
        <f>IFERROR(__xludf.DUMMYFUNCTION("TO_TEXT(A2718)"),"48391")</f>
        <v>48391</v>
      </c>
      <c r="C2718" s="1">
        <v>7315.0</v>
      </c>
      <c r="D2718" s="1">
        <v>770.484131421018</v>
      </c>
      <c r="E2718" s="1" t="s">
        <v>4436</v>
      </c>
      <c r="F2718" s="1" t="s">
        <v>4437</v>
      </c>
      <c r="G2718" s="1">
        <v>9.49403070314869</v>
      </c>
      <c r="H2718" s="1">
        <v>21.664581318</v>
      </c>
      <c r="I2718" s="1">
        <v>4.0110495305</v>
      </c>
      <c r="J2718" s="1">
        <v>8.6294416244</v>
      </c>
      <c r="K2718" s="1">
        <v>13.9563688729999</v>
      </c>
      <c r="L2718" s="1">
        <v>21.7</v>
      </c>
      <c r="M2718" s="1">
        <v>7.7</v>
      </c>
      <c r="N2718" s="1">
        <v>27.0</v>
      </c>
      <c r="O2718" s="1">
        <v>39.049167005</v>
      </c>
      <c r="P2718" s="1">
        <v>18.264595608</v>
      </c>
      <c r="Q2718" s="1">
        <v>27.68549</v>
      </c>
      <c r="R2718" s="1">
        <v>96.8</v>
      </c>
      <c r="S2718" s="1">
        <v>25.5</v>
      </c>
      <c r="T2718" s="1">
        <v>1699.0</v>
      </c>
      <c r="U2718" s="1">
        <v>37.13949382</v>
      </c>
      <c r="V2718" s="1">
        <v>335.66241951</v>
      </c>
      <c r="W2718" s="1">
        <v>11.050724638</v>
      </c>
      <c r="X2718" s="1">
        <v>6.9092245498</v>
      </c>
      <c r="Y2718" s="1">
        <v>76.871933561</v>
      </c>
      <c r="Z2718" s="1">
        <v>10.5</v>
      </c>
      <c r="AA2718" s="1">
        <v>7.0204708995</v>
      </c>
      <c r="AB2718" s="1">
        <v>44821.0</v>
      </c>
      <c r="AC2718" s="1">
        <v>70.542635659</v>
      </c>
      <c r="AD2718" s="1">
        <v>70.974000776</v>
      </c>
      <c r="AE2718" s="1">
        <v>12.192013594</v>
      </c>
      <c r="AF2718" s="1">
        <v>5.3612059158</v>
      </c>
      <c r="AG2718" s="1">
        <v>1.0523321957</v>
      </c>
      <c r="AH2718" s="1">
        <v>0.9243458476</v>
      </c>
      <c r="AI2718" s="1">
        <v>0.0426621159999999</v>
      </c>
      <c r="AJ2718" s="1">
        <v>50.341296928</v>
      </c>
      <c r="AK2718" s="1">
        <v>41.936860068</v>
      </c>
      <c r="AL2718" s="1">
        <v>1.9065917824</v>
      </c>
      <c r="AM2718" s="1">
        <v>50.938566553</v>
      </c>
      <c r="AN2718" s="1">
        <v>60.6799404039999</v>
      </c>
      <c r="AO2718" s="1">
        <v>24776.0</v>
      </c>
      <c r="AP2718" s="1">
        <v>15.8</v>
      </c>
      <c r="AQ2718" s="1">
        <v>7.5</v>
      </c>
      <c r="AR2718" s="1">
        <v>20.2</v>
      </c>
      <c r="AS2718" s="1">
        <v>21.1</v>
      </c>
      <c r="AT2718" s="1">
        <v>23.5</v>
      </c>
      <c r="AU2718" s="1">
        <v>22.1</v>
      </c>
      <c r="AV2718" s="1">
        <v>57.2</v>
      </c>
      <c r="AW2718" s="1">
        <v>2.7</v>
      </c>
      <c r="AX2718" s="1">
        <v>0.8959</v>
      </c>
      <c r="AY2718" s="1">
        <v>18.0</v>
      </c>
      <c r="AZ2718" s="1">
        <v>17.5</v>
      </c>
      <c r="BA2718" s="1">
        <v>27.6</v>
      </c>
      <c r="BB2718" s="1">
        <v>2.72</v>
      </c>
      <c r="BC2718" s="1" t="s">
        <v>4123</v>
      </c>
      <c r="BD2718" s="1">
        <v>19.7</v>
      </c>
      <c r="BE2718" s="1">
        <v>38.4</v>
      </c>
      <c r="BF2718" s="1">
        <v>30.3</v>
      </c>
      <c r="BG2718" s="1">
        <v>11.5</v>
      </c>
      <c r="BH2718" s="1" t="s">
        <v>4437</v>
      </c>
    </row>
    <row r="2719">
      <c r="A2719" s="1">
        <v>48393.0</v>
      </c>
      <c r="B2719" s="2" t="str">
        <f>IFERROR(__xludf.DUMMYFUNCTION("TO_TEXT(A2719)"),"48393")</f>
        <v>48393</v>
      </c>
      <c r="C2719" s="1">
        <v>939.0</v>
      </c>
      <c r="D2719" s="1">
        <v>924.057316597492</v>
      </c>
      <c r="E2719" s="1" t="s">
        <v>3979</v>
      </c>
      <c r="F2719" s="1" t="s">
        <v>4438</v>
      </c>
      <c r="G2719" s="1">
        <v>1.01617073219822</v>
      </c>
      <c r="H2719" s="1">
        <v>13.020937835</v>
      </c>
      <c r="I2719" s="1">
        <v>3.615481142</v>
      </c>
      <c r="J2719" s="1">
        <v>7.80443539465</v>
      </c>
      <c r="K2719" s="1">
        <v>12.5881056159999</v>
      </c>
      <c r="L2719" s="1">
        <v>23.2</v>
      </c>
      <c r="M2719" s="1">
        <v>7.2</v>
      </c>
      <c r="N2719" s="1">
        <v>20.5</v>
      </c>
      <c r="O2719" s="1">
        <v>60.172228202</v>
      </c>
      <c r="P2719" s="1">
        <v>12.2236671</v>
      </c>
      <c r="Q2719" s="1">
        <v>0.0</v>
      </c>
      <c r="R2719" s="1">
        <v>100.0</v>
      </c>
      <c r="S2719" s="1">
        <v>10.2</v>
      </c>
      <c r="T2719" s="1">
        <v>241.0</v>
      </c>
      <c r="U2719" s="1">
        <v>28.630705394</v>
      </c>
      <c r="V2719" s="1">
        <v>115.80775912</v>
      </c>
      <c r="W2719" s="1">
        <v>4.1176470588</v>
      </c>
      <c r="X2719" s="1">
        <v>3.5294117647</v>
      </c>
      <c r="Y2719" s="1">
        <v>77.482572377</v>
      </c>
      <c r="Z2719" s="1">
        <v>6.1</v>
      </c>
      <c r="AA2719" s="1">
        <v>11.654020452</v>
      </c>
      <c r="AB2719" s="1">
        <v>67470.0</v>
      </c>
      <c r="AC2719" s="1">
        <v>21.00456621</v>
      </c>
      <c r="AD2719" s="1">
        <v>74.59807074</v>
      </c>
      <c r="AE2719" s="1">
        <v>5.0541516245</v>
      </c>
      <c r="AF2719" s="1">
        <v>0.3322259136</v>
      </c>
      <c r="AG2719" s="1">
        <v>0.9966777409</v>
      </c>
      <c r="AH2719" s="1">
        <v>0.2214839424</v>
      </c>
      <c r="AI2719" s="1">
        <v>0.0</v>
      </c>
      <c r="AJ2719" s="1">
        <v>11.184939092</v>
      </c>
      <c r="AK2719" s="1">
        <v>85.825027685</v>
      </c>
      <c r="AL2719" s="1">
        <v>0.0</v>
      </c>
      <c r="AM2719" s="1">
        <v>50.3875968989999</v>
      </c>
      <c r="AN2719" s="1">
        <v>100.0</v>
      </c>
      <c r="AO2719" s="1">
        <v>31655.0</v>
      </c>
      <c r="AP2719" s="1">
        <v>1.8</v>
      </c>
      <c r="AQ2719" s="1">
        <v>2.5</v>
      </c>
      <c r="AR2719" s="1">
        <v>6.1</v>
      </c>
      <c r="AS2719" s="1">
        <v>16.6</v>
      </c>
      <c r="AT2719" s="1">
        <v>30.4</v>
      </c>
      <c r="AU2719" s="1">
        <v>15.8</v>
      </c>
      <c r="AV2719" s="1">
        <v>4.2</v>
      </c>
      <c r="AW2719" s="1">
        <v>0.0</v>
      </c>
      <c r="AX2719" s="1">
        <v>0.0131</v>
      </c>
      <c r="AY2719" s="1">
        <v>7.4</v>
      </c>
      <c r="AZ2719" s="1">
        <v>14.1</v>
      </c>
      <c r="BA2719" s="1">
        <v>21.6</v>
      </c>
      <c r="BB2719" s="1">
        <v>3.18</v>
      </c>
      <c r="BC2719" s="1" t="s">
        <v>4123</v>
      </c>
      <c r="BD2719" s="1">
        <v>7.3</v>
      </c>
      <c r="BE2719" s="1">
        <v>30.4</v>
      </c>
      <c r="BF2719" s="1">
        <v>37.3</v>
      </c>
      <c r="BG2719" s="1">
        <v>25.0</v>
      </c>
      <c r="BH2719" s="1" t="s">
        <v>4438</v>
      </c>
    </row>
    <row r="2720">
      <c r="A2720" s="1">
        <v>48395.0</v>
      </c>
      <c r="B2720" s="2" t="str">
        <f>IFERROR(__xludf.DUMMYFUNCTION("TO_TEXT(A2720)"),"48395")</f>
        <v>48395</v>
      </c>
      <c r="C2720" s="1">
        <v>16537.0</v>
      </c>
      <c r="D2720" s="1">
        <v>855.683736202525</v>
      </c>
      <c r="E2720" s="1" t="s">
        <v>1908</v>
      </c>
      <c r="F2720" s="1" t="s">
        <v>4439</v>
      </c>
      <c r="G2720" s="1">
        <v>19.3260655781425</v>
      </c>
      <c r="H2720" s="1">
        <v>18.975514991</v>
      </c>
      <c r="I2720" s="1">
        <v>4.0754672553</v>
      </c>
      <c r="J2720" s="1">
        <v>9.6556380824</v>
      </c>
      <c r="K2720" s="1">
        <v>14.72178451</v>
      </c>
      <c r="L2720" s="1">
        <v>36.6</v>
      </c>
      <c r="M2720" s="1">
        <v>6.5</v>
      </c>
      <c r="N2720" s="1">
        <v>34.9</v>
      </c>
      <c r="O2720" s="1">
        <v>48.345566117</v>
      </c>
      <c r="P2720" s="1">
        <v>18.615596264</v>
      </c>
      <c r="Q2720" s="1">
        <v>5.81294</v>
      </c>
      <c r="R2720" s="1">
        <v>94.2</v>
      </c>
      <c r="S2720" s="1">
        <v>25.6</v>
      </c>
      <c r="T2720" s="1">
        <v>4054.0</v>
      </c>
      <c r="U2720" s="1">
        <v>31.080414406</v>
      </c>
      <c r="V2720" s="1">
        <v>391.47193447</v>
      </c>
      <c r="W2720" s="1">
        <v>12.097407698</v>
      </c>
      <c r="X2720" s="1">
        <v>9.0620031797</v>
      </c>
      <c r="Y2720" s="1">
        <v>75.810840728</v>
      </c>
      <c r="Z2720" s="1">
        <v>16.0</v>
      </c>
      <c r="AA2720" s="1">
        <v>10.663588016</v>
      </c>
      <c r="AB2720" s="1">
        <v>44917.0</v>
      </c>
      <c r="AC2720" s="1">
        <v>62.297972377</v>
      </c>
      <c r="AD2720" s="1">
        <v>75.574079899</v>
      </c>
      <c r="AE2720" s="1">
        <v>11.18258288</v>
      </c>
      <c r="AF2720" s="1">
        <v>19.208516547</v>
      </c>
      <c r="AG2720" s="1">
        <v>1.0182828049</v>
      </c>
      <c r="AH2720" s="1">
        <v>0.7868548947</v>
      </c>
      <c r="AI2720" s="1">
        <v>0.0694283731</v>
      </c>
      <c r="AJ2720" s="1">
        <v>21.459152974</v>
      </c>
      <c r="AK2720" s="1">
        <v>56.948623004</v>
      </c>
      <c r="AL2720" s="1">
        <v>2.1054616303</v>
      </c>
      <c r="AM2720" s="1">
        <v>50.948854432</v>
      </c>
      <c r="AN2720" s="1">
        <v>73.853928528</v>
      </c>
      <c r="AO2720" s="1">
        <v>22980.0</v>
      </c>
      <c r="AP2720" s="1">
        <v>15.1</v>
      </c>
      <c r="AQ2720" s="1">
        <v>7.9</v>
      </c>
      <c r="AR2720" s="1">
        <v>17.4</v>
      </c>
      <c r="AS2720" s="1">
        <v>18.5</v>
      </c>
      <c r="AT2720" s="1">
        <v>24.4</v>
      </c>
      <c r="AU2720" s="1">
        <v>14.9</v>
      </c>
      <c r="AV2720" s="1">
        <v>41.8</v>
      </c>
      <c r="AW2720" s="1">
        <v>3.0</v>
      </c>
      <c r="AX2720" s="1">
        <v>0.8048</v>
      </c>
      <c r="AY2720" s="1">
        <v>20.7</v>
      </c>
      <c r="AZ2720" s="1">
        <v>14.7</v>
      </c>
      <c r="BA2720" s="1">
        <v>20.9</v>
      </c>
      <c r="BB2720" s="1">
        <v>2.67</v>
      </c>
      <c r="BC2720" s="1" t="s">
        <v>4123</v>
      </c>
      <c r="BD2720" s="1">
        <v>15.5</v>
      </c>
      <c r="BE2720" s="1">
        <v>35.5</v>
      </c>
      <c r="BF2720" s="1">
        <v>32.9</v>
      </c>
      <c r="BG2720" s="1">
        <v>16.1</v>
      </c>
      <c r="BH2720" s="1" t="s">
        <v>4439</v>
      </c>
    </row>
    <row r="2721">
      <c r="A2721" s="1">
        <v>48397.0</v>
      </c>
      <c r="B2721" s="2" t="str">
        <f>IFERROR(__xludf.DUMMYFUNCTION("TO_TEXT(A2721)"),"48397")</f>
        <v>48397</v>
      </c>
      <c r="C2721" s="1">
        <v>88010.0</v>
      </c>
      <c r="D2721" s="1">
        <v>127.106691921512</v>
      </c>
      <c r="E2721" s="1" t="s">
        <v>4440</v>
      </c>
      <c r="F2721" s="1" t="s">
        <v>4441</v>
      </c>
      <c r="G2721" s="1">
        <v>692.410436221139</v>
      </c>
      <c r="H2721" s="1">
        <v>13.494273966</v>
      </c>
      <c r="I2721" s="1">
        <v>3.5725553309</v>
      </c>
      <c r="J2721" s="1">
        <v>7.7940348903</v>
      </c>
      <c r="K2721" s="1">
        <v>12.7679172979999</v>
      </c>
      <c r="L2721" s="1">
        <v>24.9</v>
      </c>
      <c r="M2721" s="1">
        <v>8.1</v>
      </c>
      <c r="N2721" s="1">
        <v>31.8</v>
      </c>
      <c r="O2721" s="1">
        <v>90.16811979</v>
      </c>
      <c r="P2721" s="1">
        <v>13.4236801209999</v>
      </c>
      <c r="Q2721" s="1">
        <v>78.52213</v>
      </c>
      <c r="R2721" s="1">
        <v>97.0</v>
      </c>
      <c r="S2721" s="1">
        <v>6.9</v>
      </c>
      <c r="T2721" s="1">
        <v>25604.0</v>
      </c>
      <c r="U2721" s="1">
        <v>16.692704265</v>
      </c>
      <c r="V2721" s="1">
        <v>97.401159959</v>
      </c>
      <c r="W2721" s="1">
        <v>12.283089486</v>
      </c>
      <c r="X2721" s="1">
        <v>10.323021706</v>
      </c>
      <c r="Y2721" s="1">
        <v>80.875873249</v>
      </c>
      <c r="Z2721" s="1">
        <v>14.7</v>
      </c>
      <c r="AA2721" s="1">
        <v>3.7496116101</v>
      </c>
      <c r="AB2721" s="1">
        <v>102858.0</v>
      </c>
      <c r="AC2721" s="1">
        <v>25.523799291</v>
      </c>
      <c r="AD2721" s="1">
        <v>80.321653133</v>
      </c>
      <c r="AE2721" s="1">
        <v>10.813752481</v>
      </c>
      <c r="AF2721" s="1">
        <v>6.4665149965</v>
      </c>
      <c r="AG2721" s="1">
        <v>0.833523749</v>
      </c>
      <c r="AH2721" s="1">
        <v>3.1453351481</v>
      </c>
      <c r="AI2721" s="1">
        <v>0.11027549</v>
      </c>
      <c r="AJ2721" s="1">
        <v>18.010669899</v>
      </c>
      <c r="AK2721" s="1">
        <v>70.256415351</v>
      </c>
      <c r="AL2721" s="1">
        <v>2.0975676414</v>
      </c>
      <c r="AM2721" s="1">
        <v>50.584658792</v>
      </c>
      <c r="AN2721" s="1">
        <v>16.035845131</v>
      </c>
      <c r="AO2721" s="1">
        <v>37231.0</v>
      </c>
      <c r="AP2721" s="1">
        <v>6.2</v>
      </c>
      <c r="AQ2721" s="1">
        <v>5.4</v>
      </c>
      <c r="AR2721" s="1">
        <v>8.1</v>
      </c>
      <c r="AS2721" s="1">
        <v>11.7</v>
      </c>
      <c r="AT2721" s="1">
        <v>27.9</v>
      </c>
      <c r="AU2721" s="1">
        <v>8.5</v>
      </c>
      <c r="AV2721" s="1">
        <v>27.2</v>
      </c>
      <c r="AW2721" s="1">
        <v>2.6</v>
      </c>
      <c r="AX2721" s="1">
        <v>0.1156</v>
      </c>
      <c r="AY2721" s="1">
        <v>4.8</v>
      </c>
      <c r="AZ2721" s="1">
        <v>10.3</v>
      </c>
      <c r="BA2721" s="1">
        <v>15.7</v>
      </c>
      <c r="BB2721" s="1">
        <v>3.1</v>
      </c>
      <c r="BC2721" s="1" t="s">
        <v>4123</v>
      </c>
      <c r="BD2721" s="1">
        <v>7.3</v>
      </c>
      <c r="BE2721" s="1">
        <v>18.7</v>
      </c>
      <c r="BF2721" s="1">
        <v>33.3</v>
      </c>
      <c r="BG2721" s="1">
        <v>40.7</v>
      </c>
      <c r="BH2721" s="1" t="s">
        <v>4441</v>
      </c>
    </row>
    <row r="2722">
      <c r="A2722" s="1">
        <v>48399.0</v>
      </c>
      <c r="B2722" s="2" t="str">
        <f>IFERROR(__xludf.DUMMYFUNCTION("TO_TEXT(A2722)"),"48399")</f>
        <v>48399</v>
      </c>
      <c r="C2722" s="1">
        <v>10411.0</v>
      </c>
      <c r="D2722" s="1">
        <v>1050.94416744563</v>
      </c>
      <c r="E2722" s="1" t="s">
        <v>4442</v>
      </c>
      <c r="F2722" s="1" t="s">
        <v>4443</v>
      </c>
      <c r="G2722" s="1">
        <v>9.90633025282821</v>
      </c>
      <c r="H2722" s="1">
        <v>20.873449843</v>
      </c>
      <c r="I2722" s="1">
        <v>4.1509502634</v>
      </c>
      <c r="J2722" s="1">
        <v>6.9199457259</v>
      </c>
      <c r="K2722" s="1">
        <v>15.016094594</v>
      </c>
      <c r="L2722" s="1">
        <v>29.0</v>
      </c>
      <c r="M2722" s="1">
        <v>7.1</v>
      </c>
      <c r="N2722" s="1">
        <v>28.5</v>
      </c>
      <c r="O2722" s="1">
        <v>47.585944196</v>
      </c>
      <c r="P2722" s="1">
        <v>20.986580517</v>
      </c>
      <c r="Q2722" s="1">
        <v>68.18625</v>
      </c>
      <c r="R2722" s="1">
        <v>96.4</v>
      </c>
      <c r="S2722" s="1">
        <v>23.9</v>
      </c>
      <c r="T2722" s="1">
        <v>2357.0</v>
      </c>
      <c r="U2722" s="1">
        <v>34.874840899</v>
      </c>
      <c r="V2722" s="1">
        <v>172.53774263</v>
      </c>
      <c r="W2722" s="1">
        <v>9.3667546174</v>
      </c>
      <c r="X2722" s="1">
        <v>7.0493991989</v>
      </c>
      <c r="Y2722" s="1">
        <v>77.478845735</v>
      </c>
      <c r="Z2722" s="1">
        <v>14.4</v>
      </c>
      <c r="AA2722" s="1">
        <v>11.4662135479999</v>
      </c>
      <c r="AB2722" s="1">
        <v>42205.0</v>
      </c>
      <c r="AC2722" s="1">
        <v>55.605832076</v>
      </c>
      <c r="AD2722" s="1">
        <v>69.64523873</v>
      </c>
      <c r="AE2722" s="1">
        <v>9.265442404</v>
      </c>
      <c r="AF2722" s="1">
        <v>1.9249560289</v>
      </c>
      <c r="AG2722" s="1">
        <v>1.64158686729999</v>
      </c>
      <c r="AH2722" s="1">
        <v>1.6709009185</v>
      </c>
      <c r="AI2722" s="1">
        <v>0.048856752</v>
      </c>
      <c r="AJ2722" s="1">
        <v>34.160641001</v>
      </c>
      <c r="AK2722" s="1">
        <v>61.061168654</v>
      </c>
      <c r="AL2722" s="1">
        <v>1.1194413064</v>
      </c>
      <c r="AM2722" s="1">
        <v>49.159663866</v>
      </c>
      <c r="AN2722" s="1">
        <v>40.758023045</v>
      </c>
      <c r="AO2722" s="1">
        <v>22856.0</v>
      </c>
      <c r="AP2722" s="1">
        <v>17.8</v>
      </c>
      <c r="AQ2722" s="1">
        <v>4.6</v>
      </c>
      <c r="AR2722" s="1">
        <v>21.2</v>
      </c>
      <c r="AS2722" s="1">
        <v>20.8</v>
      </c>
      <c r="AT2722" s="1">
        <v>23.8</v>
      </c>
      <c r="AU2722" s="1">
        <v>13.9</v>
      </c>
      <c r="AV2722" s="1">
        <v>37.2</v>
      </c>
      <c r="AW2722" s="1">
        <v>1.0</v>
      </c>
      <c r="AX2722" s="1">
        <v>0.4499</v>
      </c>
      <c r="AY2722" s="1">
        <v>17.2</v>
      </c>
      <c r="AZ2722" s="1">
        <v>14.2</v>
      </c>
      <c r="BA2722" s="1">
        <v>20.4</v>
      </c>
      <c r="BB2722" s="1">
        <v>2.85</v>
      </c>
      <c r="BC2722" s="1" t="s">
        <v>4123</v>
      </c>
      <c r="BD2722" s="1">
        <v>20.8</v>
      </c>
      <c r="BE2722" s="1">
        <v>35.2</v>
      </c>
      <c r="BF2722" s="1">
        <v>25.8</v>
      </c>
      <c r="BG2722" s="1">
        <v>18.1</v>
      </c>
      <c r="BH2722" s="1" t="s">
        <v>4443</v>
      </c>
    </row>
    <row r="2723">
      <c r="A2723" s="1">
        <v>48401.0</v>
      </c>
      <c r="B2723" s="2" t="str">
        <f>IFERROR(__xludf.DUMMYFUNCTION("TO_TEXT(A2723)"),"48401")</f>
        <v>48401</v>
      </c>
      <c r="C2723" s="1">
        <v>53197.0</v>
      </c>
      <c r="D2723" s="1">
        <v>924.036479444756</v>
      </c>
      <c r="E2723" s="1" t="s">
        <v>4444</v>
      </c>
      <c r="F2723" s="1" t="s">
        <v>4445</v>
      </c>
      <c r="G2723" s="1">
        <v>57.5702379542045</v>
      </c>
      <c r="H2723" s="1">
        <v>21.275809968</v>
      </c>
      <c r="I2723" s="1">
        <v>4.1095563763</v>
      </c>
      <c r="J2723" s="1">
        <v>7.1994408201</v>
      </c>
      <c r="K2723" s="1">
        <v>16.745604024</v>
      </c>
      <c r="L2723" s="1">
        <v>38.8</v>
      </c>
      <c r="M2723" s="1">
        <v>6.6</v>
      </c>
      <c r="N2723" s="1">
        <v>32.1</v>
      </c>
      <c r="O2723" s="1">
        <v>41.078192387</v>
      </c>
      <c r="P2723" s="1">
        <v>20.464151039</v>
      </c>
      <c r="Q2723" s="1">
        <v>20.82032</v>
      </c>
      <c r="R2723" s="1">
        <v>95.0</v>
      </c>
      <c r="S2723" s="1">
        <v>20.8</v>
      </c>
      <c r="T2723" s="1">
        <v>12140.0</v>
      </c>
      <c r="U2723" s="1">
        <v>29.439868204</v>
      </c>
      <c r="V2723" s="1">
        <v>379.61369287</v>
      </c>
      <c r="W2723" s="1">
        <v>13.009272267</v>
      </c>
      <c r="X2723" s="1">
        <v>9.8695405559</v>
      </c>
      <c r="Y2723" s="1">
        <v>76.79828009</v>
      </c>
      <c r="Z2723" s="1">
        <v>15.5</v>
      </c>
      <c r="AA2723" s="1">
        <v>8.3226653155</v>
      </c>
      <c r="AB2723" s="1">
        <v>49788.0</v>
      </c>
      <c r="AC2723" s="1">
        <v>65.211913975</v>
      </c>
      <c r="AD2723" s="1">
        <v>76.653674833</v>
      </c>
      <c r="AE2723" s="1">
        <v>9.8530276308</v>
      </c>
      <c r="AF2723" s="1">
        <v>17.16620753</v>
      </c>
      <c r="AG2723" s="1">
        <v>1.0303030303</v>
      </c>
      <c r="AH2723" s="1">
        <v>0.732782369099999</v>
      </c>
      <c r="AI2723" s="1">
        <v>0.0863177227</v>
      </c>
      <c r="AJ2723" s="1">
        <v>17.283746556</v>
      </c>
      <c r="AK2723" s="1">
        <v>63.0376492189999</v>
      </c>
      <c r="AL2723" s="1">
        <v>3.4524470532</v>
      </c>
      <c r="AM2723" s="1">
        <v>46.073461892</v>
      </c>
      <c r="AN2723" s="1">
        <v>65.872867054</v>
      </c>
      <c r="AO2723" s="1">
        <v>22704.0</v>
      </c>
      <c r="AP2723" s="1">
        <v>16.5</v>
      </c>
      <c r="AQ2723" s="1">
        <v>5.9</v>
      </c>
      <c r="AR2723" s="1">
        <v>20.7</v>
      </c>
      <c r="AS2723" s="1">
        <v>15.2</v>
      </c>
      <c r="AT2723" s="1">
        <v>23.3</v>
      </c>
      <c r="AU2723" s="1">
        <v>15.9</v>
      </c>
      <c r="AV2723" s="1">
        <v>35.0</v>
      </c>
      <c r="AW2723" s="1">
        <v>3.0</v>
      </c>
      <c r="AX2723" s="1">
        <v>0.787999999999999</v>
      </c>
      <c r="AY2723" s="1">
        <v>15.4</v>
      </c>
      <c r="AZ2723" s="1">
        <v>15.3</v>
      </c>
      <c r="BA2723" s="1">
        <v>23.4</v>
      </c>
      <c r="BB2723" s="1">
        <v>2.82</v>
      </c>
      <c r="BC2723" s="1" t="s">
        <v>4123</v>
      </c>
      <c r="BD2723" s="1">
        <v>19.4</v>
      </c>
      <c r="BE2723" s="1">
        <v>31.8</v>
      </c>
      <c r="BF2723" s="1">
        <v>33.4</v>
      </c>
      <c r="BG2723" s="1">
        <v>15.5</v>
      </c>
      <c r="BH2723" s="1" t="s">
        <v>4445</v>
      </c>
    </row>
    <row r="2724">
      <c r="A2724" s="1">
        <v>48403.0</v>
      </c>
      <c r="B2724" s="2" t="str">
        <f>IFERROR(__xludf.DUMMYFUNCTION("TO_TEXT(A2724)"),"48403")</f>
        <v>48403</v>
      </c>
      <c r="C2724" s="1">
        <v>10367.0</v>
      </c>
      <c r="D2724" s="1">
        <v>491.407369518234</v>
      </c>
      <c r="E2724" s="1" t="s">
        <v>2009</v>
      </c>
      <c r="F2724" s="1" t="s">
        <v>4446</v>
      </c>
      <c r="G2724" s="1">
        <v>21.0965497122348</v>
      </c>
      <c r="H2724" s="1">
        <v>19.244590381</v>
      </c>
      <c r="I2724" s="1">
        <v>4.4469493842</v>
      </c>
      <c r="J2724" s="1">
        <v>7.7598828697</v>
      </c>
      <c r="K2724" s="1">
        <v>16.001867285</v>
      </c>
      <c r="L2724" s="1">
        <v>32.4</v>
      </c>
      <c r="M2724" s="1">
        <v>6.2</v>
      </c>
      <c r="N2724" s="1">
        <v>27.3</v>
      </c>
      <c r="O2724" s="1">
        <v>84.705556581</v>
      </c>
      <c r="P2724" s="1">
        <v>21.474181011</v>
      </c>
      <c r="Q2724" s="1">
        <v>19.11863</v>
      </c>
      <c r="R2724" s="1">
        <v>94.9</v>
      </c>
      <c r="S2724" s="1">
        <v>28.5</v>
      </c>
      <c r="T2724" s="1">
        <v>1956.0</v>
      </c>
      <c r="U2724" s="1">
        <v>26.8916155419999</v>
      </c>
      <c r="V2724" s="1">
        <v>332.68205101</v>
      </c>
      <c r="W2724" s="1">
        <v>14.6739130429999</v>
      </c>
      <c r="X2724" s="1">
        <v>13.598901099</v>
      </c>
      <c r="Y2724" s="1">
        <v>74.473611065</v>
      </c>
      <c r="Z2724" s="1">
        <v>8.6</v>
      </c>
      <c r="AA2724" s="1">
        <v>5.8926801309</v>
      </c>
      <c r="AB2724" s="1">
        <v>40641.0</v>
      </c>
      <c r="AC2724" s="1">
        <v>68.575772935</v>
      </c>
      <c r="AD2724" s="1">
        <v>88.241034399</v>
      </c>
      <c r="AE2724" s="1">
        <v>14.928425358</v>
      </c>
      <c r="AF2724" s="1">
        <v>6.7239588252</v>
      </c>
      <c r="AG2724" s="1">
        <v>0.9349324771</v>
      </c>
      <c r="AH2724" s="1">
        <v>0.3494192086</v>
      </c>
      <c r="AI2724" s="1">
        <v>0.0566625744</v>
      </c>
      <c r="AJ2724" s="1">
        <v>4.9485314949</v>
      </c>
      <c r="AK2724" s="1">
        <v>85.588818585</v>
      </c>
      <c r="AL2724" s="1">
        <v>0.2098321343</v>
      </c>
      <c r="AM2724" s="1">
        <v>50.769666635</v>
      </c>
      <c r="AN2724" s="1">
        <v>100.0</v>
      </c>
      <c r="AO2724" s="1">
        <v>20120.0</v>
      </c>
      <c r="AP2724" s="1">
        <v>23.2</v>
      </c>
      <c r="AQ2724" s="1">
        <v>8.3</v>
      </c>
      <c r="AR2724" s="1">
        <v>14.6</v>
      </c>
      <c r="AS2724" s="1">
        <v>29.0</v>
      </c>
      <c r="AT2724" s="1">
        <v>20.8</v>
      </c>
      <c r="AU2724" s="1">
        <v>23.0</v>
      </c>
      <c r="AV2724" s="1">
        <v>13.7</v>
      </c>
      <c r="AW2724" s="1">
        <v>0.2</v>
      </c>
      <c r="AX2724" s="1">
        <v>0.6928</v>
      </c>
      <c r="AY2724" s="1">
        <v>17.6</v>
      </c>
      <c r="AZ2724" s="1">
        <v>21.4</v>
      </c>
      <c r="BA2724" s="1">
        <v>38.8</v>
      </c>
      <c r="BB2724" s="1">
        <v>2.96</v>
      </c>
      <c r="BC2724" s="1" t="s">
        <v>4123</v>
      </c>
      <c r="BD2724" s="1">
        <v>15.3</v>
      </c>
      <c r="BE2724" s="1">
        <v>35.6</v>
      </c>
      <c r="BF2724" s="1">
        <v>31.5</v>
      </c>
      <c r="BG2724" s="1">
        <v>17.6</v>
      </c>
      <c r="BH2724" s="1" t="s">
        <v>4446</v>
      </c>
    </row>
    <row r="2725">
      <c r="A2725" s="1">
        <v>48405.0</v>
      </c>
      <c r="B2725" s="2" t="str">
        <f>IFERROR(__xludf.DUMMYFUNCTION("TO_TEXT(A2725)"),"48405")</f>
        <v>48405</v>
      </c>
      <c r="C2725" s="1">
        <v>8556.0</v>
      </c>
      <c r="D2725" s="1">
        <v>530.656728174461</v>
      </c>
      <c r="E2725" s="1" t="s">
        <v>4447</v>
      </c>
      <c r="F2725" s="1" t="s">
        <v>4448</v>
      </c>
      <c r="G2725" s="1">
        <v>16.1234175423233</v>
      </c>
      <c r="H2725" s="1">
        <v>20.578427462</v>
      </c>
      <c r="I2725" s="1">
        <v>4.502659618</v>
      </c>
      <c r="J2725" s="1">
        <v>9.4637223975</v>
      </c>
      <c r="K2725" s="1">
        <v>16.721798038</v>
      </c>
      <c r="L2725" s="1">
        <v>39.7</v>
      </c>
      <c r="M2725" s="1">
        <v>6.1</v>
      </c>
      <c r="N2725" s="1">
        <v>25.6</v>
      </c>
      <c r="O2725" s="1">
        <v>49.734912578</v>
      </c>
      <c r="P2725" s="1">
        <v>18.917134368</v>
      </c>
      <c r="Q2725" s="1">
        <v>24.23361</v>
      </c>
      <c r="R2725" s="1">
        <v>96.2</v>
      </c>
      <c r="S2725" s="1">
        <v>34.3</v>
      </c>
      <c r="T2725" s="1">
        <v>1668.0</v>
      </c>
      <c r="U2725" s="1">
        <v>37.649880096</v>
      </c>
      <c r="V2725" s="1">
        <v>354.85747528</v>
      </c>
      <c r="W2725" s="1">
        <v>17.171717172</v>
      </c>
      <c r="X2725" s="1">
        <v>11.965217391</v>
      </c>
      <c r="Y2725" s="1">
        <v>73.7146483189999</v>
      </c>
      <c r="Z2725" s="1">
        <v>23.7</v>
      </c>
      <c r="AA2725" s="1">
        <v>1.9890442898</v>
      </c>
      <c r="AB2725" s="1">
        <v>38826.0</v>
      </c>
      <c r="AC2725" s="1">
        <v>84.385665529</v>
      </c>
      <c r="AD2725" s="1">
        <v>80.125148987</v>
      </c>
      <c r="AE2725" s="1">
        <v>10.096957539</v>
      </c>
      <c r="AF2725" s="1">
        <v>21.8537414969999</v>
      </c>
      <c r="AG2725" s="1">
        <v>0.7653061224</v>
      </c>
      <c r="AH2725" s="1">
        <v>0.315840622</v>
      </c>
      <c r="AI2725" s="1">
        <v>0.0121477162</v>
      </c>
      <c r="AJ2725" s="1">
        <v>7.0821185617</v>
      </c>
      <c r="AK2725" s="1">
        <v>69.181243926</v>
      </c>
      <c r="AL2725" s="1">
        <v>0.9076011597</v>
      </c>
      <c r="AM2725" s="1">
        <v>50.7774538389999</v>
      </c>
      <c r="AN2725" s="1">
        <v>100.0</v>
      </c>
      <c r="AO2725" s="1">
        <v>19251.0</v>
      </c>
      <c r="AP2725" s="1">
        <v>26.6</v>
      </c>
      <c r="AQ2725" s="1">
        <v>14.1</v>
      </c>
      <c r="AR2725" s="1">
        <v>19.5</v>
      </c>
      <c r="AS2725" s="1">
        <v>25.2</v>
      </c>
      <c r="AT2725" s="1">
        <v>20.4</v>
      </c>
      <c r="AU2725" s="1">
        <v>26.3</v>
      </c>
      <c r="AV2725" s="1">
        <v>31.2</v>
      </c>
      <c r="AW2725" s="1">
        <v>0.3</v>
      </c>
      <c r="AX2725" s="1">
        <v>0.8863</v>
      </c>
      <c r="AY2725" s="1">
        <v>22.5</v>
      </c>
      <c r="AZ2725" s="1">
        <v>22.2</v>
      </c>
      <c r="BA2725" s="1">
        <v>35.8</v>
      </c>
      <c r="BB2725" s="1">
        <v>2.9</v>
      </c>
      <c r="BC2725" s="1" t="s">
        <v>4123</v>
      </c>
      <c r="BD2725" s="1">
        <v>17.7</v>
      </c>
      <c r="BE2725" s="1">
        <v>40.1</v>
      </c>
      <c r="BF2725" s="1">
        <v>28.3</v>
      </c>
      <c r="BG2725" s="1">
        <v>14.0</v>
      </c>
      <c r="BH2725" s="1" t="s">
        <v>4448</v>
      </c>
    </row>
    <row r="2726">
      <c r="A2726" s="1">
        <v>48407.0</v>
      </c>
      <c r="B2726" s="2" t="str">
        <f>IFERROR(__xludf.DUMMYFUNCTION("TO_TEXT(A2726)"),"48407")</f>
        <v>48407</v>
      </c>
      <c r="C2726" s="1">
        <v>27172.0</v>
      </c>
      <c r="D2726" s="1">
        <v>569.242634636622</v>
      </c>
      <c r="E2726" s="1" t="s">
        <v>4449</v>
      </c>
      <c r="F2726" s="1" t="s">
        <v>4450</v>
      </c>
      <c r="G2726" s="1">
        <v>47.7335996052814</v>
      </c>
      <c r="H2726" s="1">
        <v>19.765732006</v>
      </c>
      <c r="I2726" s="1">
        <v>4.2874941121</v>
      </c>
      <c r="J2726" s="1">
        <v>8.3540527101</v>
      </c>
      <c r="K2726" s="1">
        <v>16.528465331</v>
      </c>
      <c r="L2726" s="1">
        <v>30.0</v>
      </c>
      <c r="M2726" s="1">
        <v>7.0</v>
      </c>
      <c r="N2726" s="1">
        <v>26.1</v>
      </c>
      <c r="O2726" s="1">
        <v>74.090357793</v>
      </c>
      <c r="P2726" s="1">
        <v>23.067506914</v>
      </c>
      <c r="Q2726" s="1">
        <v>10.61196</v>
      </c>
      <c r="R2726" s="1">
        <v>91.1</v>
      </c>
      <c r="S2726" s="1">
        <v>28.4</v>
      </c>
      <c r="T2726" s="1">
        <v>5950.0</v>
      </c>
      <c r="U2726" s="1">
        <v>27.613445378</v>
      </c>
      <c r="V2726" s="1">
        <v>206.64935445</v>
      </c>
      <c r="W2726" s="1">
        <v>13.603322949</v>
      </c>
      <c r="X2726" s="1">
        <v>9.14826498419999</v>
      </c>
      <c r="Y2726" s="1">
        <v>76.506526105</v>
      </c>
      <c r="Z2726" s="1">
        <v>14.3</v>
      </c>
      <c r="AA2726" s="1">
        <v>2.9490121944</v>
      </c>
      <c r="AB2726" s="1">
        <v>47028.0</v>
      </c>
      <c r="AC2726" s="1">
        <v>58.551704706</v>
      </c>
      <c r="AD2726" s="1">
        <v>82.165067988</v>
      </c>
      <c r="AE2726" s="1">
        <v>8.8703480075</v>
      </c>
      <c r="AF2726" s="1">
        <v>9.2900170619</v>
      </c>
      <c r="AG2726" s="1">
        <v>0.9854103555</v>
      </c>
      <c r="AH2726" s="1">
        <v>0.5327483547</v>
      </c>
      <c r="AI2726" s="1">
        <v>0.062676277</v>
      </c>
      <c r="AJ2726" s="1">
        <v>13.193356315</v>
      </c>
      <c r="AK2726" s="1">
        <v>74.567359588</v>
      </c>
      <c r="AL2726" s="1">
        <v>2.4774517639</v>
      </c>
      <c r="AM2726" s="1">
        <v>50.384762701</v>
      </c>
      <c r="AN2726" s="1">
        <v>100.0</v>
      </c>
      <c r="AO2726" s="1">
        <v>22563.0</v>
      </c>
      <c r="AP2726" s="1">
        <v>17.2</v>
      </c>
      <c r="AQ2726" s="1">
        <v>7.4</v>
      </c>
      <c r="AR2726" s="1">
        <v>17.2</v>
      </c>
      <c r="AS2726" s="1">
        <v>19.3</v>
      </c>
      <c r="AT2726" s="1">
        <v>22.7</v>
      </c>
      <c r="AU2726" s="1">
        <v>19.8</v>
      </c>
      <c r="AV2726" s="1">
        <v>24.9</v>
      </c>
      <c r="AW2726" s="1">
        <v>1.5</v>
      </c>
      <c r="AX2726" s="1">
        <v>0.7138</v>
      </c>
      <c r="AY2726" s="1">
        <v>16.8</v>
      </c>
      <c r="AZ2726" s="1">
        <v>17.5</v>
      </c>
      <c r="BA2726" s="1">
        <v>27.3</v>
      </c>
      <c r="BB2726" s="1">
        <v>3.3</v>
      </c>
      <c r="BC2726" s="1" t="s">
        <v>4123</v>
      </c>
      <c r="BD2726" s="1">
        <v>15.5</v>
      </c>
      <c r="BE2726" s="1">
        <v>48.0</v>
      </c>
      <c r="BF2726" s="1">
        <v>25.2</v>
      </c>
      <c r="BG2726" s="1">
        <v>11.2</v>
      </c>
      <c r="BH2726" s="1" t="s">
        <v>4450</v>
      </c>
    </row>
    <row r="2727">
      <c r="A2727" s="1">
        <v>48409.0</v>
      </c>
      <c r="B2727" s="2" t="str">
        <f>IFERROR(__xludf.DUMMYFUNCTION("TO_TEXT(A2727)"),"48409")</f>
        <v>48409</v>
      </c>
      <c r="C2727" s="1">
        <v>66706.0</v>
      </c>
      <c r="D2727" s="1">
        <v>693.435694301981</v>
      </c>
      <c r="E2727" s="1" t="s">
        <v>4451</v>
      </c>
      <c r="F2727" s="1" t="s">
        <v>4452</v>
      </c>
      <c r="G2727" s="1">
        <v>96.1963748738761</v>
      </c>
      <c r="H2727" s="1">
        <v>22.99143047</v>
      </c>
      <c r="I2727" s="1">
        <v>3.9192566718</v>
      </c>
      <c r="J2727" s="1">
        <v>8.9127594716</v>
      </c>
      <c r="K2727" s="1">
        <v>15.141419345</v>
      </c>
      <c r="L2727" s="1">
        <v>40.3</v>
      </c>
      <c r="M2727" s="1">
        <v>7.6</v>
      </c>
      <c r="N2727" s="1">
        <v>33.8</v>
      </c>
      <c r="O2727" s="1">
        <v>48.088080983</v>
      </c>
      <c r="P2727" s="1">
        <v>18.87899387</v>
      </c>
      <c r="Q2727" s="1">
        <v>26.77974</v>
      </c>
      <c r="R2727" s="1">
        <v>93.3</v>
      </c>
      <c r="S2727" s="1">
        <v>26.1</v>
      </c>
      <c r="T2727" s="1">
        <v>18048.0</v>
      </c>
      <c r="U2727" s="1">
        <v>37.378102837</v>
      </c>
      <c r="V2727" s="1">
        <v>361.34566014</v>
      </c>
      <c r="W2727" s="1">
        <v>14.310307725</v>
      </c>
      <c r="X2727" s="1">
        <v>8.5267954003</v>
      </c>
      <c r="Y2727" s="1">
        <v>76.206326636</v>
      </c>
      <c r="Z2727" s="1">
        <v>10.4</v>
      </c>
      <c r="AA2727" s="1">
        <v>8.25556601059999</v>
      </c>
      <c r="AB2727" s="1">
        <v>53559.0</v>
      </c>
      <c r="AC2727" s="1">
        <v>73.393985693</v>
      </c>
      <c r="AD2727" s="1">
        <v>67.484105359</v>
      </c>
      <c r="AE2727" s="1">
        <v>10.5695112</v>
      </c>
      <c r="AF2727" s="1">
        <v>1.459046537</v>
      </c>
      <c r="AG2727" s="1">
        <v>1.0165488168</v>
      </c>
      <c r="AH2727" s="1">
        <v>1.2213535049</v>
      </c>
      <c r="AI2727" s="1">
        <v>0.1509873978</v>
      </c>
      <c r="AJ2727" s="1">
        <v>58.388770125</v>
      </c>
      <c r="AK2727" s="1">
        <v>37.785717489</v>
      </c>
      <c r="AL2727" s="1">
        <v>4.1804215849</v>
      </c>
      <c r="AM2727" s="1">
        <v>49.692792968</v>
      </c>
      <c r="AN2727" s="1">
        <v>19.650021604</v>
      </c>
      <c r="AO2727" s="1">
        <v>24008.0</v>
      </c>
      <c r="AP2727" s="1">
        <v>14.3</v>
      </c>
      <c r="AQ2727" s="1">
        <v>5.3</v>
      </c>
      <c r="AR2727" s="1">
        <v>21.9</v>
      </c>
      <c r="AS2727" s="1">
        <v>14.1</v>
      </c>
      <c r="AT2727" s="1">
        <v>27.3</v>
      </c>
      <c r="AU2727" s="1">
        <v>14.7</v>
      </c>
      <c r="AV2727" s="1">
        <v>59.9</v>
      </c>
      <c r="AW2727" s="1">
        <v>4.6</v>
      </c>
      <c r="AX2727" s="1">
        <v>0.7781</v>
      </c>
      <c r="AY2727" s="1">
        <v>14.4</v>
      </c>
      <c r="AZ2727" s="1">
        <v>15.5</v>
      </c>
      <c r="BA2727" s="1">
        <v>24.3</v>
      </c>
      <c r="BB2727" s="1">
        <v>2.79</v>
      </c>
      <c r="BC2727" s="1" t="s">
        <v>4123</v>
      </c>
      <c r="BD2727" s="1">
        <v>20.1</v>
      </c>
      <c r="BE2727" s="1">
        <v>32.7</v>
      </c>
      <c r="BF2727" s="1">
        <v>31.6</v>
      </c>
      <c r="BG2727" s="1">
        <v>15.6</v>
      </c>
      <c r="BH2727" s="1" t="s">
        <v>4452</v>
      </c>
    </row>
    <row r="2728">
      <c r="A2728" s="1">
        <v>48411.0</v>
      </c>
      <c r="B2728" s="2" t="str">
        <f>IFERROR(__xludf.DUMMYFUNCTION("TO_TEXT(A2728)"),"48411")</f>
        <v>48411</v>
      </c>
      <c r="C2728" s="1">
        <v>5881.0</v>
      </c>
      <c r="D2728" s="1">
        <v>1135.3098826411</v>
      </c>
      <c r="E2728" s="1" t="s">
        <v>4453</v>
      </c>
      <c r="F2728" s="1" t="s">
        <v>4454</v>
      </c>
      <c r="G2728" s="1">
        <v>5.18008350840638</v>
      </c>
      <c r="H2728" s="1">
        <v>21.319313332</v>
      </c>
      <c r="I2728" s="1">
        <v>4.2106217311</v>
      </c>
      <c r="J2728" s="1">
        <v>6.0869565217</v>
      </c>
      <c r="K2728" s="1">
        <v>15.79116238</v>
      </c>
      <c r="L2728" s="1">
        <v>25.4</v>
      </c>
      <c r="M2728" s="1">
        <v>6.8</v>
      </c>
      <c r="N2728" s="1">
        <v>27.0</v>
      </c>
      <c r="O2728" s="1">
        <v>46.566628609</v>
      </c>
      <c r="P2728" s="1">
        <v>28.9252105</v>
      </c>
      <c r="Q2728" s="1">
        <v>33.56268</v>
      </c>
      <c r="R2728" s="1">
        <v>98.6</v>
      </c>
      <c r="S2728" s="1">
        <v>28.0</v>
      </c>
      <c r="T2728" s="1">
        <v>1149.0</v>
      </c>
      <c r="U2728" s="1">
        <v>24.369016536</v>
      </c>
      <c r="V2728" s="1">
        <v>109.56595027</v>
      </c>
      <c r="W2728" s="1">
        <v>14.4549763029999</v>
      </c>
      <c r="X2728" s="1">
        <v>12.77302944</v>
      </c>
      <c r="Y2728" s="1">
        <v>77.5099378869999</v>
      </c>
      <c r="Z2728" s="1">
        <v>6.2</v>
      </c>
      <c r="AA2728" s="1">
        <v>12.884154235</v>
      </c>
      <c r="AB2728" s="1">
        <v>43827.0</v>
      </c>
      <c r="AC2728" s="1">
        <v>68.52886406</v>
      </c>
      <c r="AD2728" s="1">
        <v>66.682509506</v>
      </c>
      <c r="AE2728" s="1">
        <v>12.84562212</v>
      </c>
      <c r="AF2728" s="1">
        <v>3.6009250083</v>
      </c>
      <c r="AG2728" s="1">
        <v>1.4040303931</v>
      </c>
      <c r="AH2728" s="1">
        <v>0.545094152599999</v>
      </c>
      <c r="AI2728" s="1">
        <v>0.0</v>
      </c>
      <c r="AJ2728" s="1">
        <v>30.673934589</v>
      </c>
      <c r="AK2728" s="1">
        <v>63.4621737689999</v>
      </c>
      <c r="AL2728" s="1">
        <v>7.5261200638</v>
      </c>
      <c r="AM2728" s="1">
        <v>45.3584407</v>
      </c>
      <c r="AN2728" s="1">
        <v>49.3557331589999</v>
      </c>
      <c r="AO2728" s="1">
        <v>19583.0</v>
      </c>
      <c r="AP2728" s="1">
        <v>18.0</v>
      </c>
      <c r="AQ2728" s="1">
        <v>3.9</v>
      </c>
      <c r="AR2728" s="1">
        <v>25.5</v>
      </c>
      <c r="AS2728" s="1">
        <v>21.8</v>
      </c>
      <c r="AT2728" s="1">
        <v>20.4</v>
      </c>
      <c r="AU2728" s="1">
        <v>16.5</v>
      </c>
      <c r="AV2728" s="1">
        <v>34.0</v>
      </c>
      <c r="AW2728" s="1">
        <v>7.0</v>
      </c>
      <c r="AX2728" s="1">
        <v>0.7259</v>
      </c>
      <c r="AY2728" s="1">
        <v>20.7</v>
      </c>
      <c r="AZ2728" s="1">
        <v>15.3</v>
      </c>
      <c r="BA2728" s="1">
        <v>24.7</v>
      </c>
      <c r="BB2728" s="1">
        <v>2.64</v>
      </c>
      <c r="BC2728" s="1" t="s">
        <v>4123</v>
      </c>
      <c r="BD2728" s="1">
        <v>25.2</v>
      </c>
      <c r="BE2728" s="1">
        <v>34.9</v>
      </c>
      <c r="BF2728" s="1">
        <v>25.8</v>
      </c>
      <c r="BG2728" s="1">
        <v>14.1</v>
      </c>
      <c r="BH2728" s="1" t="s">
        <v>4454</v>
      </c>
    </row>
    <row r="2729">
      <c r="A2729" s="1">
        <v>48413.0</v>
      </c>
      <c r="B2729" s="2" t="str">
        <f>IFERROR(__xludf.DUMMYFUNCTION("TO_TEXT(A2729)"),"48413")</f>
        <v>48413</v>
      </c>
      <c r="C2729" s="1">
        <v>3171.0</v>
      </c>
      <c r="D2729" s="1">
        <v>1310.64102710524</v>
      </c>
      <c r="E2729" s="1" t="s">
        <v>4455</v>
      </c>
      <c r="F2729" s="1" t="s">
        <v>4456</v>
      </c>
      <c r="G2729" s="1">
        <v>2.41942678004187</v>
      </c>
      <c r="H2729" s="1">
        <v>18.309302094</v>
      </c>
      <c r="I2729" s="1">
        <v>3.6006989099</v>
      </c>
      <c r="J2729" s="1">
        <v>5.8823529412</v>
      </c>
      <c r="K2729" s="1">
        <v>11.995239086</v>
      </c>
      <c r="L2729" s="1">
        <v>23.6</v>
      </c>
      <c r="M2729" s="1">
        <v>8.7</v>
      </c>
      <c r="N2729" s="1">
        <v>20.5</v>
      </c>
      <c r="O2729" s="1">
        <v>77.174227102</v>
      </c>
      <c r="P2729" s="1">
        <v>25.582345729</v>
      </c>
      <c r="Q2729" s="1">
        <v>48.31939</v>
      </c>
      <c r="R2729" s="1">
        <v>100.0</v>
      </c>
      <c r="S2729" s="1">
        <v>23.8</v>
      </c>
      <c r="T2729" s="1">
        <v>842.0</v>
      </c>
      <c r="U2729" s="1">
        <v>10.095011876</v>
      </c>
      <c r="V2729" s="1">
        <v>0.0</v>
      </c>
      <c r="W2729" s="1">
        <v>18.348623853</v>
      </c>
      <c r="X2729" s="1">
        <v>8.3333333333</v>
      </c>
      <c r="Y2729" s="1">
        <v>78.234610418</v>
      </c>
      <c r="Z2729" s="1">
        <v>6.2</v>
      </c>
      <c r="AA2729" s="1">
        <v>5.1203758542</v>
      </c>
      <c r="AB2729" s="1">
        <v>47317.0</v>
      </c>
      <c r="AC2729" s="1">
        <v>60.0</v>
      </c>
      <c r="AD2729" s="1">
        <v>78.823529412</v>
      </c>
      <c r="AE2729" s="1">
        <v>8.038277512</v>
      </c>
      <c r="AF2729" s="1">
        <v>1.2780656304</v>
      </c>
      <c r="AG2729" s="1">
        <v>1.0708117444</v>
      </c>
      <c r="AH2729" s="1">
        <v>0.4490500864</v>
      </c>
      <c r="AI2729" s="1">
        <v>0.0</v>
      </c>
      <c r="AJ2729" s="1">
        <v>53.333333333</v>
      </c>
      <c r="AK2729" s="1">
        <v>44.110535406</v>
      </c>
      <c r="AL2729" s="1">
        <v>5.3583855254</v>
      </c>
      <c r="AM2729" s="1">
        <v>50.397236615</v>
      </c>
      <c r="AN2729" s="1">
        <v>100.0</v>
      </c>
      <c r="AO2729" s="1">
        <v>26408.0</v>
      </c>
      <c r="AP2729" s="1">
        <v>13.2</v>
      </c>
      <c r="AQ2729" s="1">
        <v>4.6</v>
      </c>
      <c r="AR2729" s="1">
        <v>23.7</v>
      </c>
      <c r="AS2729" s="1">
        <v>15.3</v>
      </c>
      <c r="AT2729" s="1">
        <v>29.0</v>
      </c>
      <c r="AU2729" s="1">
        <v>10.2</v>
      </c>
      <c r="AV2729" s="1">
        <v>51.5</v>
      </c>
      <c r="AW2729" s="1">
        <v>7.5</v>
      </c>
      <c r="AX2729" s="1">
        <v>0.5224</v>
      </c>
      <c r="AY2729" s="1">
        <v>15.0</v>
      </c>
      <c r="AZ2729" s="1">
        <v>11.8</v>
      </c>
      <c r="BA2729" s="1">
        <v>16.3</v>
      </c>
      <c r="BB2729" s="1">
        <v>2.76</v>
      </c>
      <c r="BC2729" s="1" t="s">
        <v>4123</v>
      </c>
      <c r="BD2729" s="1">
        <v>20.4</v>
      </c>
      <c r="BE2729" s="1">
        <v>24.8</v>
      </c>
      <c r="BF2729" s="1">
        <v>38.2</v>
      </c>
      <c r="BG2729" s="1">
        <v>16.6</v>
      </c>
      <c r="BH2729" s="1" t="s">
        <v>4456</v>
      </c>
    </row>
    <row r="2730">
      <c r="A2730" s="1">
        <v>48415.0</v>
      </c>
      <c r="B2730" s="2" t="str">
        <f>IFERROR(__xludf.DUMMYFUNCTION("TO_TEXT(A2730)"),"48415")</f>
        <v>48415</v>
      </c>
      <c r="C2730" s="1">
        <v>17314.0</v>
      </c>
      <c r="D2730" s="1">
        <v>905.444129528286</v>
      </c>
      <c r="E2730" s="1" t="s">
        <v>4457</v>
      </c>
      <c r="F2730" s="1" t="s">
        <v>4458</v>
      </c>
      <c r="G2730" s="1">
        <v>19.122107521996</v>
      </c>
      <c r="H2730" s="1">
        <v>19.793088498</v>
      </c>
      <c r="I2730" s="1">
        <v>3.8975624274</v>
      </c>
      <c r="J2730" s="1">
        <v>8.7729697688</v>
      </c>
      <c r="K2730" s="1">
        <v>14.650100745</v>
      </c>
      <c r="L2730" s="1">
        <v>29.6</v>
      </c>
      <c r="M2730" s="1">
        <v>7.4</v>
      </c>
      <c r="N2730" s="1">
        <v>33.5</v>
      </c>
      <c r="O2730" s="1">
        <v>40.239938538</v>
      </c>
      <c r="P2730" s="1">
        <v>18.43571097</v>
      </c>
      <c r="Q2730" s="1">
        <v>52.78592</v>
      </c>
      <c r="R2730" s="1">
        <v>90.4</v>
      </c>
      <c r="S2730" s="1">
        <v>21.3</v>
      </c>
      <c r="T2730" s="1">
        <v>4287.0</v>
      </c>
      <c r="U2730" s="1">
        <v>26.988570096</v>
      </c>
      <c r="V2730" s="1">
        <v>298.14299506</v>
      </c>
      <c r="W2730" s="1">
        <v>9.3062605753</v>
      </c>
      <c r="X2730" s="1">
        <v>5.3435114504</v>
      </c>
      <c r="Y2730" s="1">
        <v>77.201107309</v>
      </c>
      <c r="Z2730" s="1">
        <v>8.4</v>
      </c>
      <c r="AA2730" s="1">
        <v>10.7922098409999</v>
      </c>
      <c r="AB2730" s="1">
        <v>53059.0</v>
      </c>
      <c r="AC2730" s="1">
        <v>55.96759115</v>
      </c>
      <c r="AD2730" s="1">
        <v>76.461590755</v>
      </c>
      <c r="AE2730" s="1">
        <v>6.0428849903</v>
      </c>
      <c r="AF2730" s="1">
        <v>4.6602632515</v>
      </c>
      <c r="AG2730" s="1">
        <v>1.3577611763</v>
      </c>
      <c r="AH2730" s="1">
        <v>0.764852365699999</v>
      </c>
      <c r="AI2730" s="1">
        <v>0.0474327048</v>
      </c>
      <c r="AJ2730" s="1">
        <v>40.60832444</v>
      </c>
      <c r="AK2730" s="1">
        <v>52.644373295</v>
      </c>
      <c r="AL2730" s="1">
        <v>2.5096525097</v>
      </c>
      <c r="AM2730" s="1">
        <v>45.7607020039999</v>
      </c>
      <c r="AN2730" s="1">
        <v>31.7002541219999</v>
      </c>
      <c r="AO2730" s="1">
        <v>23758.0</v>
      </c>
      <c r="AP2730" s="1">
        <v>8.1</v>
      </c>
      <c r="AQ2730" s="1">
        <v>4.3</v>
      </c>
      <c r="AR2730" s="1">
        <v>19.3</v>
      </c>
      <c r="AS2730" s="1">
        <v>13.9</v>
      </c>
      <c r="AT2730" s="1">
        <v>25.7</v>
      </c>
      <c r="AU2730" s="1">
        <v>13.9</v>
      </c>
      <c r="AV2730" s="1">
        <v>45.6</v>
      </c>
      <c r="AW2730" s="1">
        <v>3.3</v>
      </c>
      <c r="AX2730" s="1">
        <v>0.5887</v>
      </c>
      <c r="AY2730" s="1">
        <v>14.7</v>
      </c>
      <c r="AZ2730" s="1">
        <v>13.4</v>
      </c>
      <c r="BA2730" s="1">
        <v>19.7</v>
      </c>
      <c r="BB2730" s="1">
        <v>2.95</v>
      </c>
      <c r="BC2730" s="1" t="s">
        <v>4123</v>
      </c>
      <c r="BD2730" s="1">
        <v>21.3</v>
      </c>
      <c r="BE2730" s="1">
        <v>34.3</v>
      </c>
      <c r="BF2730" s="1">
        <v>28.1</v>
      </c>
      <c r="BG2730" s="1">
        <v>16.2</v>
      </c>
      <c r="BH2730" s="1" t="s">
        <v>4458</v>
      </c>
    </row>
    <row r="2731">
      <c r="A2731" s="1">
        <v>48417.0</v>
      </c>
      <c r="B2731" s="2" t="str">
        <f>IFERROR(__xludf.DUMMYFUNCTION("TO_TEXT(A2731)"),"48417")</f>
        <v>48417</v>
      </c>
      <c r="C2731" s="1">
        <v>3323.0</v>
      </c>
      <c r="D2731" s="1">
        <v>914.285387720112</v>
      </c>
      <c r="E2731" s="1" t="s">
        <v>4459</v>
      </c>
      <c r="F2731" s="1" t="s">
        <v>4460</v>
      </c>
      <c r="G2731" s="1">
        <v>3.63453254818643</v>
      </c>
      <c r="H2731" s="1">
        <v>16.495128621</v>
      </c>
      <c r="I2731" s="1">
        <v>4.0572039497</v>
      </c>
      <c r="J2731" s="1">
        <v>7.8189300412</v>
      </c>
      <c r="K2731" s="1">
        <v>14.398259877</v>
      </c>
      <c r="L2731" s="1">
        <v>28.1</v>
      </c>
      <c r="M2731" s="1">
        <v>7.1</v>
      </c>
      <c r="N2731" s="1">
        <v>25.1</v>
      </c>
      <c r="O2731" s="1">
        <v>79.6625222019999</v>
      </c>
      <c r="P2731" s="1">
        <v>20.716981132</v>
      </c>
      <c r="Q2731" s="1">
        <v>30.04808</v>
      </c>
      <c r="R2731" s="1">
        <v>100.0</v>
      </c>
      <c r="S2731" s="1">
        <v>20.5</v>
      </c>
      <c r="T2731" s="1">
        <v>775.0</v>
      </c>
      <c r="U2731" s="1">
        <v>35.225806452</v>
      </c>
      <c r="V2731" s="1">
        <v>103.87297819</v>
      </c>
      <c r="W2731" s="1">
        <v>12.547528517</v>
      </c>
      <c r="X2731" s="1">
        <v>8.752904725</v>
      </c>
      <c r="Y2731" s="1">
        <v>81.925109186</v>
      </c>
      <c r="Z2731" s="1">
        <v>7.7</v>
      </c>
      <c r="AA2731" s="1">
        <v>5.9051262001</v>
      </c>
      <c r="AB2731" s="1">
        <v>57126.0</v>
      </c>
      <c r="AC2731" s="1">
        <v>48.0376766089999</v>
      </c>
      <c r="AD2731" s="1">
        <v>80.794165316</v>
      </c>
      <c r="AE2731" s="1">
        <v>10.329861111</v>
      </c>
      <c r="AF2731" s="1">
        <v>1.0144482017</v>
      </c>
      <c r="AG2731" s="1">
        <v>0.6762988011</v>
      </c>
      <c r="AH2731" s="1">
        <v>0.4303719643</v>
      </c>
      <c r="AI2731" s="1">
        <v>0.0614817092</v>
      </c>
      <c r="AJ2731" s="1">
        <v>10.9437442359999</v>
      </c>
      <c r="AK2731" s="1">
        <v>85.736243468</v>
      </c>
      <c r="AL2731" s="1">
        <v>1.9007731959</v>
      </c>
      <c r="AM2731" s="1">
        <v>51.675376575</v>
      </c>
      <c r="AN2731" s="1">
        <v>100.0</v>
      </c>
      <c r="AO2731" s="1">
        <v>24190.0</v>
      </c>
      <c r="AP2731" s="1">
        <v>18.5</v>
      </c>
      <c r="AQ2731" s="1">
        <v>4.9</v>
      </c>
      <c r="AR2731" s="1">
        <v>15.5</v>
      </c>
      <c r="AS2731" s="1">
        <v>17.2</v>
      </c>
      <c r="AT2731" s="1">
        <v>24.4</v>
      </c>
      <c r="AU2731" s="1">
        <v>18.3</v>
      </c>
      <c r="AV2731" s="1">
        <v>14.2</v>
      </c>
      <c r="AW2731" s="1">
        <v>1.0</v>
      </c>
      <c r="AX2731" s="1">
        <v>0.5505</v>
      </c>
      <c r="AY2731" s="1">
        <v>12.7</v>
      </c>
      <c r="AZ2731" s="1">
        <v>15.1</v>
      </c>
      <c r="BA2731" s="1">
        <v>22.9</v>
      </c>
      <c r="BB2731" s="1">
        <v>2.91</v>
      </c>
      <c r="BC2731" s="1" t="s">
        <v>4123</v>
      </c>
      <c r="BD2731" s="1">
        <v>13.6</v>
      </c>
      <c r="BE2731" s="1">
        <v>21.8</v>
      </c>
      <c r="BF2731" s="1">
        <v>34.1</v>
      </c>
      <c r="BG2731" s="1">
        <v>30.5</v>
      </c>
      <c r="BH2731" s="1" t="s">
        <v>4460</v>
      </c>
    </row>
    <row r="2732">
      <c r="A2732" s="1">
        <v>48419.0</v>
      </c>
      <c r="B2732" s="2" t="str">
        <f>IFERROR(__xludf.DUMMYFUNCTION("TO_TEXT(A2732)"),"48419")</f>
        <v>48419</v>
      </c>
      <c r="C2732" s="1">
        <v>25705.0</v>
      </c>
      <c r="D2732" s="1">
        <v>795.588718211033</v>
      </c>
      <c r="E2732" s="1" t="s">
        <v>176</v>
      </c>
      <c r="F2732" s="1" t="s">
        <v>4461</v>
      </c>
      <c r="G2732" s="1">
        <v>32.3094073754596</v>
      </c>
      <c r="H2732" s="1">
        <v>21.990247704</v>
      </c>
      <c r="I2732" s="1">
        <v>4.3910818645</v>
      </c>
      <c r="J2732" s="1">
        <v>8.2526152654</v>
      </c>
      <c r="K2732" s="1">
        <v>17.439086874</v>
      </c>
      <c r="L2732" s="1">
        <v>26.5</v>
      </c>
      <c r="M2732" s="1">
        <v>6.3</v>
      </c>
      <c r="N2732" s="1">
        <v>30.6</v>
      </c>
      <c r="O2732" s="1">
        <v>42.140836215</v>
      </c>
      <c r="P2732" s="1">
        <v>24.5952528769999</v>
      </c>
      <c r="Q2732" s="1">
        <v>19.59785</v>
      </c>
      <c r="R2732" s="1">
        <v>93.0</v>
      </c>
      <c r="S2732" s="1">
        <v>30.1</v>
      </c>
      <c r="T2732" s="1">
        <v>6832.0</v>
      </c>
      <c r="U2732" s="1">
        <v>34.762880562</v>
      </c>
      <c r="V2732" s="1">
        <v>289.37072057</v>
      </c>
      <c r="W2732" s="1">
        <v>10.14254386</v>
      </c>
      <c r="X2732" s="1">
        <v>8.848758465</v>
      </c>
      <c r="Y2732" s="1">
        <v>75.131509905</v>
      </c>
      <c r="Z2732" s="1">
        <v>10.7</v>
      </c>
      <c r="AA2732" s="1">
        <v>5.7444541258</v>
      </c>
      <c r="AB2732" s="1">
        <v>41961.0</v>
      </c>
      <c r="AC2732" s="1">
        <v>74.401170232</v>
      </c>
      <c r="AD2732" s="1">
        <v>73.956091261</v>
      </c>
      <c r="AE2732" s="1">
        <v>10.090571296</v>
      </c>
      <c r="AF2732" s="1">
        <v>17.196474939</v>
      </c>
      <c r="AG2732" s="1">
        <v>1.0228971595</v>
      </c>
      <c r="AH2732" s="1">
        <v>1.5107404202</v>
      </c>
      <c r="AI2732" s="1">
        <v>0.0786843969</v>
      </c>
      <c r="AJ2732" s="1">
        <v>18.624596742</v>
      </c>
      <c r="AK2732" s="1">
        <v>61.181052797</v>
      </c>
      <c r="AL2732" s="1">
        <v>5.6336245094</v>
      </c>
      <c r="AM2732" s="1">
        <v>50.283263829</v>
      </c>
      <c r="AN2732" s="1">
        <v>79.432568375</v>
      </c>
      <c r="AO2732" s="1">
        <v>20233.0</v>
      </c>
      <c r="AP2732" s="1">
        <v>22.8</v>
      </c>
      <c r="AQ2732" s="1">
        <v>9.6</v>
      </c>
      <c r="AR2732" s="1">
        <v>24.6</v>
      </c>
      <c r="AS2732" s="1">
        <v>15.9</v>
      </c>
      <c r="AT2732" s="1">
        <v>26.9</v>
      </c>
      <c r="AU2732" s="1">
        <v>18.0</v>
      </c>
      <c r="AV2732" s="1">
        <v>37.3</v>
      </c>
      <c r="AW2732" s="1">
        <v>4.0</v>
      </c>
      <c r="AX2732" s="1">
        <v>0.9128</v>
      </c>
      <c r="AY2732" s="1">
        <v>21.4</v>
      </c>
      <c r="AZ2732" s="1">
        <v>19.1</v>
      </c>
      <c r="BA2732" s="1">
        <v>30.1</v>
      </c>
      <c r="BB2732" s="1">
        <v>2.95</v>
      </c>
      <c r="BC2732" s="1" t="s">
        <v>4123</v>
      </c>
      <c r="BD2732" s="1">
        <v>23.6</v>
      </c>
      <c r="BE2732" s="1">
        <v>35.0</v>
      </c>
      <c r="BF2732" s="1">
        <v>27.6</v>
      </c>
      <c r="BG2732" s="1">
        <v>13.8</v>
      </c>
      <c r="BH2732" s="1" t="s">
        <v>4461</v>
      </c>
    </row>
    <row r="2733">
      <c r="A2733" s="1">
        <v>48421.0</v>
      </c>
      <c r="B2733" s="2" t="str">
        <f>IFERROR(__xludf.DUMMYFUNCTION("TO_TEXT(A2733)"),"48421")</f>
        <v>48421</v>
      </c>
      <c r="C2733" s="1">
        <v>3069.0</v>
      </c>
      <c r="D2733" s="1">
        <v>923.035205375278</v>
      </c>
      <c r="E2733" s="1" t="s">
        <v>1732</v>
      </c>
      <c r="F2733" s="1" t="s">
        <v>4462</v>
      </c>
      <c r="G2733" s="1">
        <v>3.32490026613041</v>
      </c>
      <c r="H2733" s="1">
        <v>18.584558011</v>
      </c>
      <c r="I2733" s="1">
        <v>3.7782126334</v>
      </c>
      <c r="J2733" s="1">
        <v>7.24637681159999</v>
      </c>
      <c r="K2733" s="1">
        <v>13.42590776</v>
      </c>
      <c r="L2733" s="1">
        <v>27.7</v>
      </c>
      <c r="M2733" s="1">
        <v>8.2</v>
      </c>
      <c r="N2733" s="1">
        <v>27.2</v>
      </c>
      <c r="O2733" s="1">
        <v>37.607119314</v>
      </c>
      <c r="P2733" s="1">
        <v>29.602470089</v>
      </c>
      <c r="Q2733" s="1">
        <v>48.31939</v>
      </c>
      <c r="R2733" s="1">
        <v>96.2</v>
      </c>
      <c r="S2733" s="1">
        <v>15.9</v>
      </c>
      <c r="T2733" s="1">
        <v>710.0</v>
      </c>
      <c r="U2733" s="1">
        <v>21.126760563</v>
      </c>
      <c r="V2733" s="1">
        <v>145.06769826</v>
      </c>
      <c r="W2733" s="1">
        <v>5.91133004929999</v>
      </c>
      <c r="X2733" s="1">
        <v>5.1434223541</v>
      </c>
      <c r="Y2733" s="1">
        <v>80.065819781</v>
      </c>
      <c r="Z2733" s="1">
        <v>4.2</v>
      </c>
      <c r="AA2733" s="1">
        <v>5.8193865791</v>
      </c>
      <c r="AB2733" s="1">
        <v>57052.0</v>
      </c>
      <c r="AC2733" s="1">
        <v>60.997442455</v>
      </c>
      <c r="AD2733" s="1">
        <v>76.208530806</v>
      </c>
      <c r="AE2733" s="1">
        <v>6.2944162437</v>
      </c>
      <c r="AF2733" s="1">
        <v>1.2341669373</v>
      </c>
      <c r="AG2733" s="1">
        <v>1.20168886</v>
      </c>
      <c r="AH2733" s="1">
        <v>0.876908087</v>
      </c>
      <c r="AI2733" s="1">
        <v>0.0</v>
      </c>
      <c r="AJ2733" s="1">
        <v>43.910360507</v>
      </c>
      <c r="AK2733" s="1">
        <v>53.329002923</v>
      </c>
      <c r="AL2733" s="1">
        <v>7.4616457462</v>
      </c>
      <c r="AM2733" s="1">
        <v>47.9051640139999</v>
      </c>
      <c r="AN2733" s="1">
        <v>100.0</v>
      </c>
      <c r="AO2733" s="1">
        <v>23863.0</v>
      </c>
      <c r="AP2733" s="1">
        <v>13.6</v>
      </c>
      <c r="AQ2733" s="1">
        <v>1.0</v>
      </c>
      <c r="AR2733" s="1">
        <v>25.7</v>
      </c>
      <c r="AS2733" s="1">
        <v>12.8</v>
      </c>
      <c r="AT2733" s="1">
        <v>24.4</v>
      </c>
      <c r="AU2733" s="1">
        <v>16.8</v>
      </c>
      <c r="AV2733" s="1">
        <v>43.3</v>
      </c>
      <c r="AW2733" s="1">
        <v>7.4</v>
      </c>
      <c r="AX2733" s="1">
        <v>0.3407</v>
      </c>
      <c r="AY2733" s="1">
        <v>11.1</v>
      </c>
      <c r="AZ2733" s="1">
        <v>13.9</v>
      </c>
      <c r="BA2733" s="1">
        <v>21.1</v>
      </c>
      <c r="BB2733" s="1">
        <v>2.93</v>
      </c>
      <c r="BC2733" s="1" t="s">
        <v>4123</v>
      </c>
      <c r="BD2733" s="1">
        <v>21.0</v>
      </c>
      <c r="BE2733" s="1">
        <v>30.7</v>
      </c>
      <c r="BF2733" s="1">
        <v>33.3</v>
      </c>
      <c r="BG2733" s="1">
        <v>15.0</v>
      </c>
      <c r="BH2733" s="1" t="s">
        <v>4462</v>
      </c>
    </row>
    <row r="2734">
      <c r="A2734" s="1">
        <v>48423.0</v>
      </c>
      <c r="B2734" s="2" t="str">
        <f>IFERROR(__xludf.DUMMYFUNCTION("TO_TEXT(A2734)"),"48423")</f>
        <v>48423</v>
      </c>
      <c r="C2734" s="1">
        <v>219745.0</v>
      </c>
      <c r="D2734" s="1">
        <v>921.510270429648</v>
      </c>
      <c r="E2734" s="1" t="s">
        <v>1734</v>
      </c>
      <c r="F2734" s="1" t="s">
        <v>4463</v>
      </c>
      <c r="G2734" s="1">
        <v>238.461802381807</v>
      </c>
      <c r="H2734" s="1">
        <v>18.491964908</v>
      </c>
      <c r="I2734" s="1">
        <v>4.1197737777</v>
      </c>
      <c r="J2734" s="1">
        <v>7.7370970747</v>
      </c>
      <c r="K2734" s="1">
        <v>15.871641939</v>
      </c>
      <c r="L2734" s="1">
        <v>34.4</v>
      </c>
      <c r="M2734" s="1">
        <v>6.7</v>
      </c>
      <c r="N2734" s="1">
        <v>27.6</v>
      </c>
      <c r="O2734" s="1">
        <v>72.493491136</v>
      </c>
      <c r="P2734" s="1">
        <v>19.78983487</v>
      </c>
      <c r="Q2734" s="1">
        <v>101.87637</v>
      </c>
      <c r="R2734" s="1">
        <v>92.0</v>
      </c>
      <c r="S2734" s="1">
        <v>22.2</v>
      </c>
      <c r="T2734" s="1">
        <v>55040.0</v>
      </c>
      <c r="U2734" s="1">
        <v>30.3015988369999</v>
      </c>
      <c r="V2734" s="1">
        <v>335.00913661</v>
      </c>
      <c r="W2734" s="1">
        <v>16.376217324</v>
      </c>
      <c r="X2734" s="1">
        <v>12.560730712</v>
      </c>
      <c r="Y2734" s="1">
        <v>78.281316909</v>
      </c>
      <c r="Z2734" s="1">
        <v>13.6</v>
      </c>
      <c r="AA2734" s="1">
        <v>6.5311861561</v>
      </c>
      <c r="AB2734" s="1">
        <v>56848.0</v>
      </c>
      <c r="AC2734" s="1">
        <v>62.402349161</v>
      </c>
      <c r="AD2734" s="1">
        <v>65.864369454</v>
      </c>
      <c r="AE2734" s="1">
        <v>13.126148974</v>
      </c>
      <c r="AF2734" s="1">
        <v>17.2156319359999</v>
      </c>
      <c r="AG2734" s="1">
        <v>0.8283345134</v>
      </c>
      <c r="AH2734" s="1">
        <v>1.7661290673</v>
      </c>
      <c r="AI2734" s="1">
        <v>0.1398656074</v>
      </c>
      <c r="AJ2734" s="1">
        <v>19.866997363</v>
      </c>
      <c r="AK2734" s="1">
        <v>59.307795553</v>
      </c>
      <c r="AL2734" s="1">
        <v>4.8659071492</v>
      </c>
      <c r="AM2734" s="1">
        <v>51.695544716</v>
      </c>
      <c r="AN2734" s="1">
        <v>31.60780873</v>
      </c>
      <c r="AO2734" s="1">
        <v>25299.0</v>
      </c>
      <c r="AP2734" s="1">
        <v>17.0</v>
      </c>
      <c r="AQ2734" s="1">
        <v>6.6</v>
      </c>
      <c r="AR2734" s="1">
        <v>15.3</v>
      </c>
      <c r="AS2734" s="1">
        <v>15.4</v>
      </c>
      <c r="AT2734" s="1">
        <v>25.0</v>
      </c>
      <c r="AU2734" s="1">
        <v>13.3</v>
      </c>
      <c r="AV2734" s="1">
        <v>39.2</v>
      </c>
      <c r="AW2734" s="1">
        <v>4.5</v>
      </c>
      <c r="AX2734" s="1">
        <v>0.7249</v>
      </c>
      <c r="AY2734" s="1">
        <v>12.9</v>
      </c>
      <c r="AZ2734" s="1">
        <v>15.7</v>
      </c>
      <c r="BA2734" s="1">
        <v>23.0</v>
      </c>
      <c r="BB2734" s="1">
        <v>2.92</v>
      </c>
      <c r="BC2734" s="1" t="s">
        <v>4123</v>
      </c>
      <c r="BD2734" s="1">
        <v>14.2</v>
      </c>
      <c r="BE2734" s="1">
        <v>23.4</v>
      </c>
      <c r="BF2734" s="1">
        <v>35.9</v>
      </c>
      <c r="BG2734" s="1">
        <v>26.4</v>
      </c>
      <c r="BH2734" s="1" t="s">
        <v>4463</v>
      </c>
    </row>
    <row r="2735">
      <c r="A2735" s="1">
        <v>48425.0</v>
      </c>
      <c r="B2735" s="2" t="str">
        <f>IFERROR(__xludf.DUMMYFUNCTION("TO_TEXT(A2735)"),"48425")</f>
        <v>48425</v>
      </c>
      <c r="C2735" s="1">
        <v>8673.0</v>
      </c>
      <c r="D2735" s="1">
        <v>186.463011458461</v>
      </c>
      <c r="E2735" s="1" t="s">
        <v>4464</v>
      </c>
      <c r="F2735" s="1" t="s">
        <v>4465</v>
      </c>
      <c r="G2735" s="1">
        <v>46.51324641902</v>
      </c>
      <c r="H2735" s="1">
        <v>17.871938715</v>
      </c>
      <c r="I2735" s="1">
        <v>4.2093203731</v>
      </c>
      <c r="J2735" s="1">
        <v>7.003257329</v>
      </c>
      <c r="K2735" s="1">
        <v>15.392775207</v>
      </c>
      <c r="L2735" s="1">
        <v>29.1</v>
      </c>
      <c r="M2735" s="1">
        <v>7.5</v>
      </c>
      <c r="N2735" s="1">
        <v>24.5</v>
      </c>
      <c r="O2735" s="1">
        <v>70.906949352</v>
      </c>
      <c r="P2735" s="1">
        <v>19.729503625</v>
      </c>
      <c r="Q2735" s="1">
        <v>67.83493</v>
      </c>
      <c r="R2735" s="1">
        <v>87.8</v>
      </c>
      <c r="S2735" s="1">
        <v>14.2</v>
      </c>
      <c r="T2735" s="1">
        <v>1966.0</v>
      </c>
      <c r="U2735" s="1">
        <v>34.89318413</v>
      </c>
      <c r="V2735" s="1">
        <v>108.44129901</v>
      </c>
      <c r="W2735" s="1">
        <v>17.901234568</v>
      </c>
      <c r="X2735" s="1">
        <v>11.0591900309999</v>
      </c>
      <c r="Y2735" s="1">
        <v>77.315324023</v>
      </c>
      <c r="Z2735" s="1">
        <v>7.7</v>
      </c>
      <c r="AA2735" s="1">
        <v>0.0</v>
      </c>
      <c r="AB2735" s="1">
        <v>63929.0</v>
      </c>
      <c r="AC2735" s="1">
        <v>44.123408423</v>
      </c>
      <c r="AD2735" s="1">
        <v>72.182772461</v>
      </c>
      <c r="AE2735" s="1">
        <v>10.643804594</v>
      </c>
      <c r="AF2735" s="1">
        <v>1.0869565217</v>
      </c>
      <c r="AG2735" s="1">
        <v>1.5749778172</v>
      </c>
      <c r="AH2735" s="1">
        <v>1.0980479148</v>
      </c>
      <c r="AI2735" s="1">
        <v>0.0443655723</v>
      </c>
      <c r="AJ2735" s="1">
        <v>18.256433008</v>
      </c>
      <c r="AK2735" s="1">
        <v>77.539929015</v>
      </c>
      <c r="AL2735" s="1">
        <v>0.3641218594</v>
      </c>
      <c r="AM2735" s="1">
        <v>50.732031943</v>
      </c>
      <c r="AN2735" s="1">
        <v>100.0</v>
      </c>
      <c r="AO2735" s="1">
        <v>26547.0</v>
      </c>
      <c r="AP2735" s="1">
        <v>17.6</v>
      </c>
      <c r="AQ2735" s="1">
        <v>3.5</v>
      </c>
      <c r="AR2735" s="1">
        <v>17.3</v>
      </c>
      <c r="AS2735" s="1">
        <v>18.3</v>
      </c>
      <c r="AT2735" s="1">
        <v>23.7</v>
      </c>
      <c r="AU2735" s="1">
        <v>11.6</v>
      </c>
      <c r="AV2735" s="1">
        <v>21.1</v>
      </c>
      <c r="AW2735" s="1">
        <v>4.5</v>
      </c>
      <c r="AX2735" s="1">
        <v>0.6641</v>
      </c>
      <c r="AY2735" s="1">
        <v>9.4</v>
      </c>
      <c r="AZ2735" s="1">
        <v>17.7</v>
      </c>
      <c r="BA2735" s="1">
        <v>26.5</v>
      </c>
      <c r="BB2735" s="1">
        <v>2.85</v>
      </c>
      <c r="BC2735" s="1" t="s">
        <v>4123</v>
      </c>
      <c r="BD2735" s="1">
        <v>10.4</v>
      </c>
      <c r="BE2735" s="1">
        <v>38.5</v>
      </c>
      <c r="BF2735" s="1">
        <v>24.7</v>
      </c>
      <c r="BG2735" s="1">
        <v>26.4</v>
      </c>
      <c r="BH2735" s="1" t="s">
        <v>4465</v>
      </c>
    </row>
    <row r="2736">
      <c r="A2736" s="1">
        <v>48427.0</v>
      </c>
      <c r="B2736" s="2" t="str">
        <f>IFERROR(__xludf.DUMMYFUNCTION("TO_TEXT(A2736)"),"48427")</f>
        <v>48427</v>
      </c>
      <c r="C2736" s="1">
        <v>63008.0</v>
      </c>
      <c r="D2736" s="1">
        <v>1223.17856614689</v>
      </c>
      <c r="E2736" s="1" t="s">
        <v>4466</v>
      </c>
      <c r="F2736" s="1" t="s">
        <v>4467</v>
      </c>
      <c r="G2736" s="1">
        <v>51.5116939945082</v>
      </c>
      <c r="H2736" s="1">
        <v>38.887129293</v>
      </c>
      <c r="I2736" s="1">
        <v>4.7521186129</v>
      </c>
      <c r="J2736" s="1">
        <v>8.7623707328</v>
      </c>
      <c r="K2736" s="1">
        <v>18.830082122</v>
      </c>
      <c r="L2736" s="1">
        <v>38.4</v>
      </c>
      <c r="M2736" s="1">
        <v>5.4</v>
      </c>
      <c r="N2736" s="1">
        <v>27.6</v>
      </c>
      <c r="O2736" s="1">
        <v>25.009841228</v>
      </c>
      <c r="P2736" s="1">
        <v>28.887085137</v>
      </c>
      <c r="Q2736" s="1">
        <v>20.16942</v>
      </c>
      <c r="R2736" s="1">
        <v>92.8</v>
      </c>
      <c r="S2736" s="1">
        <v>45.3</v>
      </c>
      <c r="T2736" s="1">
        <v>21164.0</v>
      </c>
      <c r="U2736" s="1">
        <v>41.8115668119999</v>
      </c>
      <c r="V2736" s="1">
        <v>262.69909515</v>
      </c>
      <c r="W2736" s="1">
        <v>22.503082614</v>
      </c>
      <c r="X2736" s="1">
        <v>10.275627129</v>
      </c>
      <c r="Y2736" s="1">
        <v>79.066900675</v>
      </c>
      <c r="Z2736" s="1">
        <v>10.6</v>
      </c>
      <c r="AA2736" s="1">
        <v>32.756313154</v>
      </c>
      <c r="AB2736" s="1">
        <v>30490.0</v>
      </c>
      <c r="AC2736" s="1">
        <v>89.321107188</v>
      </c>
      <c r="AD2736" s="1">
        <v>73.956152235</v>
      </c>
      <c r="AE2736" s="1">
        <v>10.677270061</v>
      </c>
      <c r="AF2736" s="1">
        <v>0.1286323131</v>
      </c>
      <c r="AG2736" s="1">
        <v>0.4060441689</v>
      </c>
      <c r="AH2736" s="1">
        <v>0.2309182487</v>
      </c>
      <c r="AI2736" s="1">
        <v>0.0201472298</v>
      </c>
      <c r="AJ2736" s="1">
        <v>96.359550562</v>
      </c>
      <c r="AK2736" s="1">
        <v>3.2654010074</v>
      </c>
      <c r="AL2736" s="1">
        <v>28.770414737</v>
      </c>
      <c r="AM2736" s="1">
        <v>51.290197598</v>
      </c>
      <c r="AN2736" s="1">
        <v>23.705878494</v>
      </c>
      <c r="AO2736" s="1">
        <v>12663.0</v>
      </c>
      <c r="AP2736" s="1">
        <v>37.6</v>
      </c>
      <c r="AQ2736" s="1">
        <v>14.2</v>
      </c>
      <c r="AR2736" s="1">
        <v>51.5</v>
      </c>
      <c r="AS2736" s="1">
        <v>11.2</v>
      </c>
      <c r="AT2736" s="1">
        <v>33.3</v>
      </c>
      <c r="AU2736" s="1">
        <v>18.0</v>
      </c>
      <c r="AV2736" s="1">
        <v>99.2</v>
      </c>
      <c r="AW2736" s="1">
        <v>30.8</v>
      </c>
      <c r="AX2736" s="1">
        <v>0.9803</v>
      </c>
      <c r="AY2736" s="1">
        <v>32.5</v>
      </c>
      <c r="AZ2736" s="1">
        <v>21.5</v>
      </c>
      <c r="BA2736" s="1">
        <v>33.2</v>
      </c>
      <c r="BB2736" s="1">
        <v>2.56</v>
      </c>
      <c r="BC2736" s="1" t="s">
        <v>4123</v>
      </c>
      <c r="BD2736" s="1">
        <v>46.7</v>
      </c>
      <c r="BE2736" s="1">
        <v>26.3</v>
      </c>
      <c r="BF2736" s="1">
        <v>17.1</v>
      </c>
      <c r="BG2736" s="1">
        <v>9.9</v>
      </c>
      <c r="BH2736" s="1" t="s">
        <v>4467</v>
      </c>
    </row>
    <row r="2737">
      <c r="A2737" s="1">
        <v>48429.0</v>
      </c>
      <c r="B2737" s="2" t="str">
        <f>IFERROR(__xludf.DUMMYFUNCTION("TO_TEXT(A2737)"),"48429")</f>
        <v>48429</v>
      </c>
      <c r="C2737" s="1">
        <v>9787.0</v>
      </c>
      <c r="D2737" s="1">
        <v>896.719053675381</v>
      </c>
      <c r="E2737" s="1" t="s">
        <v>1006</v>
      </c>
      <c r="F2737" s="1" t="s">
        <v>4468</v>
      </c>
      <c r="G2737" s="1">
        <v>10.9142322334805</v>
      </c>
      <c r="H2737" s="1">
        <v>19.996193352</v>
      </c>
      <c r="I2737" s="1">
        <v>4.2435264192</v>
      </c>
      <c r="J2737" s="1">
        <v>8.3682008368</v>
      </c>
      <c r="K2737" s="1">
        <v>16.143652313</v>
      </c>
      <c r="L2737" s="1">
        <v>30.7</v>
      </c>
      <c r="M2737" s="1">
        <v>6.5</v>
      </c>
      <c r="N2737" s="1">
        <v>32.8</v>
      </c>
      <c r="O2737" s="1">
        <v>56.344755971</v>
      </c>
      <c r="P2737" s="1">
        <v>26.114185843</v>
      </c>
      <c r="Q2737" s="1">
        <v>32.13023</v>
      </c>
      <c r="R2737" s="1">
        <v>87.5</v>
      </c>
      <c r="S2737" s="1">
        <v>30.4</v>
      </c>
      <c r="T2737" s="1">
        <v>2109.0</v>
      </c>
      <c r="U2737" s="1">
        <v>37.221431958</v>
      </c>
      <c r="V2737" s="1">
        <v>188.08103606</v>
      </c>
      <c r="W2737" s="1">
        <v>12.4251497009999</v>
      </c>
      <c r="X2737" s="1">
        <v>8.2134292566</v>
      </c>
      <c r="Y2737" s="1">
        <v>76.123756217</v>
      </c>
      <c r="Z2737" s="1">
        <v>8.1</v>
      </c>
      <c r="AA2737" s="1">
        <v>12.5443380559999</v>
      </c>
      <c r="AB2737" s="1">
        <v>43115.0</v>
      </c>
      <c r="AC2737" s="1">
        <v>63.091272485</v>
      </c>
      <c r="AD2737" s="1">
        <v>80.875152999</v>
      </c>
      <c r="AE2737" s="1">
        <v>9.0704406562</v>
      </c>
      <c r="AF2737" s="1">
        <v>2.5548605958</v>
      </c>
      <c r="AG2737" s="1">
        <v>1.3357362451</v>
      </c>
      <c r="AH2737" s="1">
        <v>0.9328951553</v>
      </c>
      <c r="AI2737" s="1">
        <v>0.0424043252</v>
      </c>
      <c r="AJ2737" s="1">
        <v>23.894837273</v>
      </c>
      <c r="AK2737" s="1">
        <v>71.027244779</v>
      </c>
      <c r="AL2737" s="1">
        <v>1.8329022827</v>
      </c>
      <c r="AM2737" s="1">
        <v>47.100604262</v>
      </c>
      <c r="AN2737" s="1">
        <v>39.366562825</v>
      </c>
      <c r="AO2737" s="1">
        <v>22307.0</v>
      </c>
      <c r="AP2737" s="1">
        <v>22.0</v>
      </c>
      <c r="AQ2737" s="1">
        <v>6.0</v>
      </c>
      <c r="AR2737" s="1">
        <v>22.9</v>
      </c>
      <c r="AS2737" s="1">
        <v>18.2</v>
      </c>
      <c r="AT2737" s="1">
        <v>22.5</v>
      </c>
      <c r="AU2737" s="1">
        <v>16.6</v>
      </c>
      <c r="AV2737" s="1">
        <v>28.1</v>
      </c>
      <c r="AW2737" s="1">
        <v>3.7</v>
      </c>
      <c r="AX2737" s="1">
        <v>0.8615</v>
      </c>
      <c r="AY2737" s="1">
        <v>17.0</v>
      </c>
      <c r="AZ2737" s="1">
        <v>17.7</v>
      </c>
      <c r="BA2737" s="1">
        <v>28.6</v>
      </c>
      <c r="BB2737" s="1">
        <v>2.97</v>
      </c>
      <c r="BC2737" s="1" t="s">
        <v>4123</v>
      </c>
      <c r="BD2737" s="1">
        <v>21.5</v>
      </c>
      <c r="BE2737" s="1">
        <v>28.6</v>
      </c>
      <c r="BF2737" s="1">
        <v>33.7</v>
      </c>
      <c r="BG2737" s="1">
        <v>16.2</v>
      </c>
      <c r="BH2737" s="1" t="s">
        <v>4468</v>
      </c>
    </row>
    <row r="2738">
      <c r="A2738" s="1">
        <v>48431.0</v>
      </c>
      <c r="B2738" s="2" t="str">
        <f>IFERROR(__xludf.DUMMYFUNCTION("TO_TEXT(A2738)"),"48431")</f>
        <v>48431</v>
      </c>
      <c r="C2738" s="1">
        <v>1233.0</v>
      </c>
      <c r="D2738" s="1">
        <v>923.448947259152</v>
      </c>
      <c r="E2738" s="1" t="s">
        <v>4469</v>
      </c>
      <c r="F2738" s="1" t="s">
        <v>4470</v>
      </c>
      <c r="G2738" s="1">
        <v>1.33521187463542</v>
      </c>
      <c r="H2738" s="1">
        <v>21.379731391</v>
      </c>
      <c r="I2738" s="1">
        <v>4.0793541881</v>
      </c>
      <c r="J2738" s="1">
        <v>7.80443539465</v>
      </c>
      <c r="K2738" s="1">
        <v>15.259652541</v>
      </c>
      <c r="L2738" s="1">
        <v>24.9</v>
      </c>
      <c r="M2738" s="1">
        <v>4.4</v>
      </c>
      <c r="N2738" s="1">
        <v>23.0</v>
      </c>
      <c r="O2738" s="1">
        <v>55.380577428</v>
      </c>
      <c r="P2738" s="1">
        <v>22.315592904</v>
      </c>
      <c r="Q2738" s="1">
        <v>0.0</v>
      </c>
      <c r="R2738" s="1">
        <v>100.0</v>
      </c>
      <c r="S2738" s="1">
        <v>17.3</v>
      </c>
      <c r="T2738" s="1">
        <v>327.0</v>
      </c>
      <c r="U2738" s="1">
        <v>65.443425076</v>
      </c>
      <c r="V2738" s="1">
        <v>113.42155009</v>
      </c>
      <c r="W2738" s="1">
        <v>7.6923076923</v>
      </c>
      <c r="X2738" s="1">
        <v>3.3259423503</v>
      </c>
      <c r="Y2738" s="1">
        <v>77.482572377</v>
      </c>
      <c r="Z2738" s="1">
        <v>10.7</v>
      </c>
      <c r="AA2738" s="1">
        <v>47.256097855</v>
      </c>
      <c r="AB2738" s="1">
        <v>59064.0</v>
      </c>
      <c r="AC2738" s="1">
        <v>39.735099338</v>
      </c>
      <c r="AD2738" s="1">
        <v>86.147186147</v>
      </c>
      <c r="AE2738" s="1">
        <v>2.9411764706</v>
      </c>
      <c r="AF2738" s="1">
        <v>1.8306636156</v>
      </c>
      <c r="AG2738" s="1">
        <v>2.0594965675</v>
      </c>
      <c r="AH2738" s="1">
        <v>0.5339435545</v>
      </c>
      <c r="AI2738" s="1">
        <v>0.0762776506</v>
      </c>
      <c r="AJ2738" s="1">
        <v>40.655987796</v>
      </c>
      <c r="AK2738" s="1">
        <v>54.767353166</v>
      </c>
      <c r="AL2738" s="1">
        <v>0.2798507463</v>
      </c>
      <c r="AM2738" s="1">
        <v>49.046529367</v>
      </c>
      <c r="AN2738" s="1">
        <v>100.0</v>
      </c>
      <c r="AO2738" s="1">
        <v>25104.0</v>
      </c>
      <c r="AP2738" s="1">
        <v>15.5</v>
      </c>
      <c r="AQ2738" s="1">
        <v>1.3</v>
      </c>
      <c r="AR2738" s="1">
        <v>14.2</v>
      </c>
      <c r="AS2738" s="1">
        <v>12.9</v>
      </c>
      <c r="AT2738" s="1">
        <v>27.5</v>
      </c>
      <c r="AU2738" s="1">
        <v>10.8</v>
      </c>
      <c r="AV2738" s="1">
        <v>39.0</v>
      </c>
      <c r="AW2738" s="1">
        <v>2.6</v>
      </c>
      <c r="AX2738" s="1">
        <v>0.4409</v>
      </c>
      <c r="AY2738" s="1">
        <v>10.7</v>
      </c>
      <c r="AZ2738" s="1">
        <v>10.0</v>
      </c>
      <c r="BA2738" s="1">
        <v>15.9</v>
      </c>
      <c r="BB2738" s="1">
        <v>2.91</v>
      </c>
      <c r="BC2738" s="1" t="s">
        <v>4123</v>
      </c>
      <c r="BD2738" s="1">
        <v>10.6</v>
      </c>
      <c r="BE2738" s="1">
        <v>52.0</v>
      </c>
      <c r="BF2738" s="1">
        <v>27.9</v>
      </c>
      <c r="BG2738" s="1">
        <v>9.5</v>
      </c>
      <c r="BH2738" s="1" t="s">
        <v>4470</v>
      </c>
    </row>
    <row r="2739">
      <c r="A2739" s="1">
        <v>48433.0</v>
      </c>
      <c r="B2739" s="2" t="str">
        <f>IFERROR(__xludf.DUMMYFUNCTION("TO_TEXT(A2739)"),"48433")</f>
        <v>48433</v>
      </c>
      <c r="C2739" s="1">
        <v>1233.0</v>
      </c>
      <c r="D2739" s="1">
        <v>916.312210864012</v>
      </c>
      <c r="E2739" s="1" t="s">
        <v>4471</v>
      </c>
      <c r="F2739" s="1" t="s">
        <v>4472</v>
      </c>
      <c r="G2739" s="1">
        <v>1.34561122877253</v>
      </c>
      <c r="H2739" s="1">
        <v>17.35799808</v>
      </c>
      <c r="I2739" s="1">
        <v>4.026179906</v>
      </c>
      <c r="J2739" s="1">
        <v>7.80443539465</v>
      </c>
      <c r="K2739" s="1">
        <v>13.468019502</v>
      </c>
      <c r="L2739" s="1">
        <v>26.9</v>
      </c>
      <c r="M2739" s="1">
        <v>7.6</v>
      </c>
      <c r="N2739" s="1">
        <v>23.0</v>
      </c>
      <c r="O2739" s="1">
        <v>53.087248322</v>
      </c>
      <c r="P2739" s="1">
        <v>22.319688109</v>
      </c>
      <c r="Q2739" s="1">
        <v>72.04611</v>
      </c>
      <c r="R2739" s="1">
        <v>100.0</v>
      </c>
      <c r="S2739" s="1">
        <v>17.8</v>
      </c>
      <c r="T2739" s="1">
        <v>308.0</v>
      </c>
      <c r="U2739" s="1">
        <v>31.493506494</v>
      </c>
      <c r="V2739" s="1">
        <v>70.997515087</v>
      </c>
      <c r="W2739" s="1">
        <v>11.0</v>
      </c>
      <c r="X2739" s="1">
        <v>3.8</v>
      </c>
      <c r="Y2739" s="1">
        <v>77.482572377</v>
      </c>
      <c r="Z2739" s="1">
        <v>7.5</v>
      </c>
      <c r="AA2739" s="1">
        <v>4.9488650471</v>
      </c>
      <c r="AB2739" s="1">
        <v>46915.0</v>
      </c>
      <c r="AC2739" s="1">
        <v>44.49339207</v>
      </c>
      <c r="AD2739" s="1">
        <v>75.60137457</v>
      </c>
      <c r="AE2739" s="1">
        <v>4.1176470588</v>
      </c>
      <c r="AF2739" s="1">
        <v>3.0837004405</v>
      </c>
      <c r="AG2739" s="1">
        <v>1.6886930984</v>
      </c>
      <c r="AH2739" s="1">
        <v>1.6152716593</v>
      </c>
      <c r="AI2739" s="1">
        <v>0.0</v>
      </c>
      <c r="AJ2739" s="1">
        <v>18.869309838</v>
      </c>
      <c r="AK2739" s="1">
        <v>74.302496329</v>
      </c>
      <c r="AL2739" s="1">
        <v>0.2269288956</v>
      </c>
      <c r="AM2739" s="1">
        <v>51.174743025</v>
      </c>
      <c r="AN2739" s="1">
        <v>100.0</v>
      </c>
      <c r="AO2739" s="1">
        <v>24285.0</v>
      </c>
      <c r="AP2739" s="1">
        <v>18.9</v>
      </c>
      <c r="AQ2739" s="1">
        <v>6.9</v>
      </c>
      <c r="AR2739" s="1">
        <v>20.5</v>
      </c>
      <c r="AS2739" s="1">
        <v>23.8</v>
      </c>
      <c r="AT2739" s="1">
        <v>26.3</v>
      </c>
      <c r="AU2739" s="1">
        <v>23.0</v>
      </c>
      <c r="AV2739" s="1">
        <v>28.1</v>
      </c>
      <c r="AW2739" s="1">
        <v>2.4</v>
      </c>
      <c r="AX2739" s="1">
        <v>0.8459</v>
      </c>
      <c r="AY2739" s="1">
        <v>15.1</v>
      </c>
      <c r="AZ2739" s="1">
        <v>15.7</v>
      </c>
      <c r="BA2739" s="1">
        <v>23.4</v>
      </c>
      <c r="BB2739" s="1">
        <v>2.86</v>
      </c>
      <c r="BC2739" s="1" t="s">
        <v>4123</v>
      </c>
      <c r="BD2739" s="1">
        <v>18.7</v>
      </c>
      <c r="BE2739" s="1">
        <v>34.4</v>
      </c>
      <c r="BF2739" s="1">
        <v>32.1</v>
      </c>
      <c r="BG2739" s="1">
        <v>14.8</v>
      </c>
      <c r="BH2739" s="1" t="s">
        <v>4472</v>
      </c>
    </row>
    <row r="2740">
      <c r="A2740" s="1">
        <v>48435.0</v>
      </c>
      <c r="B2740" s="2" t="str">
        <f>IFERROR(__xludf.DUMMYFUNCTION("TO_TEXT(A2740)"),"48435")</f>
        <v>48435</v>
      </c>
      <c r="C2740" s="1">
        <v>3936.0</v>
      </c>
      <c r="D2740" s="1">
        <v>1453.93451487261</v>
      </c>
      <c r="E2740" s="1" t="s">
        <v>4473</v>
      </c>
      <c r="F2740" s="1" t="s">
        <v>4474</v>
      </c>
      <c r="G2740" s="1">
        <v>2.70713705448066</v>
      </c>
      <c r="H2740" s="1">
        <v>18.878810936</v>
      </c>
      <c r="I2740" s="1">
        <v>3.5482591823</v>
      </c>
      <c r="J2740" s="1">
        <v>8.0428954424</v>
      </c>
      <c r="K2740" s="1">
        <v>11.573098794</v>
      </c>
      <c r="L2740" s="1">
        <v>32.6</v>
      </c>
      <c r="M2740" s="1">
        <v>8.9</v>
      </c>
      <c r="N2740" s="1">
        <v>21.6</v>
      </c>
      <c r="O2740" s="1">
        <v>84.9563953489999</v>
      </c>
      <c r="P2740" s="1">
        <v>21.792789867</v>
      </c>
      <c r="Q2740" s="1">
        <v>79.63897</v>
      </c>
      <c r="R2740" s="1">
        <v>96.3</v>
      </c>
      <c r="S2740" s="1">
        <v>22.6</v>
      </c>
      <c r="T2740" s="1">
        <v>953.0</v>
      </c>
      <c r="U2740" s="1">
        <v>33.5781741869999</v>
      </c>
      <c r="V2740" s="1">
        <v>139.32868904</v>
      </c>
      <c r="W2740" s="1">
        <v>12.5</v>
      </c>
      <c r="X2740" s="1">
        <v>7.074829932</v>
      </c>
      <c r="Y2740" s="1">
        <v>81.390709761</v>
      </c>
      <c r="Z2740" s="1">
        <v>8.1</v>
      </c>
      <c r="AA2740" s="1">
        <v>3.5434255077</v>
      </c>
      <c r="AB2740" s="1">
        <v>54774.0</v>
      </c>
      <c r="AC2740" s="1">
        <v>58.384332925</v>
      </c>
      <c r="AD2740" s="1">
        <v>67.318059299</v>
      </c>
      <c r="AE2740" s="1">
        <v>4.7436878347</v>
      </c>
      <c r="AF2740" s="1">
        <v>0.4789781799</v>
      </c>
      <c r="AG2740" s="1">
        <v>1.1176157531</v>
      </c>
      <c r="AH2740" s="1">
        <v>0.5854177754</v>
      </c>
      <c r="AI2740" s="1">
        <v>0.0266098989</v>
      </c>
      <c r="AJ2740" s="1">
        <v>63.118680149</v>
      </c>
      <c r="AK2740" s="1">
        <v>35.683874401</v>
      </c>
      <c r="AL2740" s="1">
        <v>5.9523809524</v>
      </c>
      <c r="AM2740" s="1">
        <v>48.908994146</v>
      </c>
      <c r="AN2740" s="1">
        <v>18.798449612</v>
      </c>
      <c r="AO2740" s="1">
        <v>28140.0</v>
      </c>
      <c r="AP2740" s="1">
        <v>9.2</v>
      </c>
      <c r="AQ2740" s="1">
        <v>6.6</v>
      </c>
      <c r="AR2740" s="1">
        <v>23.4</v>
      </c>
      <c r="AS2740" s="1">
        <v>16.5</v>
      </c>
      <c r="AT2740" s="1">
        <v>27.6</v>
      </c>
      <c r="AU2740" s="1">
        <v>8.6</v>
      </c>
      <c r="AV2740" s="1">
        <v>59.3</v>
      </c>
      <c r="AW2740" s="1">
        <v>6.0</v>
      </c>
      <c r="AX2740" s="1">
        <v>0.5294</v>
      </c>
      <c r="AY2740" s="1">
        <v>13.1</v>
      </c>
      <c r="AZ2740" s="1">
        <v>10.7</v>
      </c>
      <c r="BA2740" s="1">
        <v>15.5</v>
      </c>
      <c r="BB2740" s="1">
        <v>2.53</v>
      </c>
      <c r="BC2740" s="1" t="s">
        <v>4123</v>
      </c>
      <c r="BD2740" s="1">
        <v>26.1</v>
      </c>
      <c r="BE2740" s="1">
        <v>33.0</v>
      </c>
      <c r="BF2740" s="1">
        <v>23.8</v>
      </c>
      <c r="BG2740" s="1">
        <v>17.1</v>
      </c>
      <c r="BH2740" s="1" t="s">
        <v>4474</v>
      </c>
    </row>
    <row r="2741">
      <c r="A2741" s="1">
        <v>48437.0</v>
      </c>
      <c r="B2741" s="2" t="str">
        <f>IFERROR(__xludf.DUMMYFUNCTION("TO_TEXT(A2741)"),"48437")</f>
        <v>48437</v>
      </c>
      <c r="C2741" s="1">
        <v>7639.0</v>
      </c>
      <c r="D2741" s="1">
        <v>890.15920540591</v>
      </c>
      <c r="E2741" s="1" t="s">
        <v>4475</v>
      </c>
      <c r="F2741" s="1" t="s">
        <v>4476</v>
      </c>
      <c r="G2741" s="1">
        <v>8.58161096757589</v>
      </c>
      <c r="H2741" s="1">
        <v>25.073724278</v>
      </c>
      <c r="I2741" s="1">
        <v>4.3295888535</v>
      </c>
      <c r="J2741" s="1">
        <v>7.91476407909999</v>
      </c>
      <c r="K2741" s="1">
        <v>16.7929808329999</v>
      </c>
      <c r="L2741" s="1">
        <v>24.2</v>
      </c>
      <c r="M2741" s="1">
        <v>7.2</v>
      </c>
      <c r="N2741" s="1">
        <v>30.0</v>
      </c>
      <c r="O2741" s="1">
        <v>54.023427553</v>
      </c>
      <c r="P2741" s="1">
        <v>22.46967228</v>
      </c>
      <c r="Q2741" s="1">
        <v>13.30672</v>
      </c>
      <c r="R2741" s="1">
        <v>92.2</v>
      </c>
      <c r="S2741" s="1">
        <v>29.2</v>
      </c>
      <c r="T2741" s="1">
        <v>1900.0</v>
      </c>
      <c r="U2741" s="1">
        <v>38.631578947</v>
      </c>
      <c r="V2741" s="1">
        <v>518.74712719</v>
      </c>
      <c r="W2741" s="1">
        <v>14.068441065</v>
      </c>
      <c r="X2741" s="1">
        <v>8.4198385236</v>
      </c>
      <c r="Y2741" s="1">
        <v>75.780000776</v>
      </c>
      <c r="Z2741" s="1">
        <v>6.5</v>
      </c>
      <c r="AA2741" s="1">
        <v>8.0119142149</v>
      </c>
      <c r="AB2741" s="1">
        <v>43084.0</v>
      </c>
      <c r="AC2741" s="1">
        <v>71.809169765</v>
      </c>
      <c r="AD2741" s="1">
        <v>71.08194113</v>
      </c>
      <c r="AE2741" s="1">
        <v>10.046629928</v>
      </c>
      <c r="AF2741" s="1">
        <v>7.5984990619</v>
      </c>
      <c r="AG2741" s="1">
        <v>1.6885553471</v>
      </c>
      <c r="AH2741" s="1">
        <v>0.6834628786</v>
      </c>
      <c r="AI2741" s="1">
        <v>0.0804073975</v>
      </c>
      <c r="AJ2741" s="1">
        <v>44.532296971</v>
      </c>
      <c r="AK2741" s="1">
        <v>45.725006701</v>
      </c>
      <c r="AL2741" s="1">
        <v>4.3385186242</v>
      </c>
      <c r="AM2741" s="1">
        <v>46.730099169</v>
      </c>
      <c r="AN2741" s="1">
        <v>37.573211103</v>
      </c>
      <c r="AO2741" s="1">
        <v>18699.0</v>
      </c>
      <c r="AP2741" s="1">
        <v>23.4</v>
      </c>
      <c r="AQ2741" s="1">
        <v>5.1</v>
      </c>
      <c r="AR2741" s="1">
        <v>19.5</v>
      </c>
      <c r="AS2741" s="1">
        <v>17.9</v>
      </c>
      <c r="AT2741" s="1">
        <v>25.6</v>
      </c>
      <c r="AU2741" s="1">
        <v>18.3</v>
      </c>
      <c r="AV2741" s="1">
        <v>51.6</v>
      </c>
      <c r="AW2741" s="1">
        <v>2.9</v>
      </c>
      <c r="AX2741" s="1">
        <v>0.8965</v>
      </c>
      <c r="AY2741" s="1">
        <v>20.6</v>
      </c>
      <c r="AZ2741" s="1">
        <v>17.0</v>
      </c>
      <c r="BA2741" s="1">
        <v>26.8</v>
      </c>
      <c r="BB2741" s="1">
        <v>3.02</v>
      </c>
      <c r="BC2741" s="1" t="s">
        <v>4123</v>
      </c>
      <c r="BD2741" s="1">
        <v>26.7</v>
      </c>
      <c r="BE2741" s="1">
        <v>29.9</v>
      </c>
      <c r="BF2741" s="1">
        <v>28.1</v>
      </c>
      <c r="BG2741" s="1">
        <v>15.3</v>
      </c>
      <c r="BH2741" s="1" t="s">
        <v>4476</v>
      </c>
    </row>
    <row r="2742">
      <c r="A2742" s="1">
        <v>48439.0</v>
      </c>
      <c r="B2742" s="2" t="str">
        <f>IFERROR(__xludf.DUMMYFUNCTION("TO_TEXT(A2742)"),"48439")</f>
        <v>48439</v>
      </c>
      <c r="C2742" s="1">
        <v>1947529.0</v>
      </c>
      <c r="D2742" s="1">
        <v>863.64968146915</v>
      </c>
      <c r="E2742" s="1" t="s">
        <v>4477</v>
      </c>
      <c r="F2742" s="1" t="s">
        <v>4478</v>
      </c>
      <c r="G2742" s="1">
        <v>2254.99880540345</v>
      </c>
      <c r="H2742" s="1">
        <v>19.945542049</v>
      </c>
      <c r="I2742" s="1">
        <v>3.8784872366</v>
      </c>
      <c r="J2742" s="1">
        <v>8.344893005</v>
      </c>
      <c r="K2742" s="1">
        <v>14.0489996729999</v>
      </c>
      <c r="L2742" s="1">
        <v>29.5</v>
      </c>
      <c r="M2742" s="1">
        <v>7.0</v>
      </c>
      <c r="N2742" s="1">
        <v>24.9</v>
      </c>
      <c r="O2742" s="1">
        <v>93.863133584</v>
      </c>
      <c r="P2742" s="1">
        <v>18.357155472</v>
      </c>
      <c r="Q2742" s="1">
        <v>58.21439</v>
      </c>
      <c r="R2742" s="1">
        <v>90.5</v>
      </c>
      <c r="S2742" s="1">
        <v>16.8</v>
      </c>
      <c r="T2742" s="1">
        <v>537120.0</v>
      </c>
      <c r="U2742" s="1">
        <v>33.014782544</v>
      </c>
      <c r="V2742" s="1">
        <v>402.71780245</v>
      </c>
      <c r="W2742" s="1">
        <v>17.257838981</v>
      </c>
      <c r="X2742" s="1">
        <v>13.016066104</v>
      </c>
      <c r="Y2742" s="1">
        <v>79.145421384</v>
      </c>
      <c r="Z2742" s="1">
        <v>10.4</v>
      </c>
      <c r="AA2742" s="1">
        <v>8.0331215373</v>
      </c>
      <c r="AB2742" s="1">
        <v>66059.0</v>
      </c>
      <c r="AC2742" s="1">
        <v>54.7042597239999</v>
      </c>
      <c r="AD2742" s="1">
        <v>60.473966194</v>
      </c>
      <c r="AE2742" s="1">
        <v>13.101415474</v>
      </c>
      <c r="AF2742" s="1">
        <v>16.698442299</v>
      </c>
      <c r="AG2742" s="1">
        <v>0.882619137</v>
      </c>
      <c r="AH2742" s="1">
        <v>5.8369317738</v>
      </c>
      <c r="AI2742" s="1">
        <v>0.2464829771</v>
      </c>
      <c r="AJ2742" s="1">
        <v>29.2209190619999</v>
      </c>
      <c r="AK2742" s="1">
        <v>45.921519705</v>
      </c>
      <c r="AL2742" s="1">
        <v>6.2266093588</v>
      </c>
      <c r="AM2742" s="1">
        <v>51.072865241</v>
      </c>
      <c r="AN2742" s="1">
        <v>1.2882013273</v>
      </c>
      <c r="AO2742" s="1">
        <v>29791.0</v>
      </c>
      <c r="AP2742" s="1">
        <v>14.4</v>
      </c>
      <c r="AQ2742" s="1">
        <v>6.0</v>
      </c>
      <c r="AR2742" s="1">
        <v>14.8</v>
      </c>
      <c r="AS2742" s="1">
        <v>10.2</v>
      </c>
      <c r="AT2742" s="1">
        <v>27.1</v>
      </c>
      <c r="AU2742" s="1">
        <v>10.3</v>
      </c>
      <c r="AV2742" s="1">
        <v>50.8</v>
      </c>
      <c r="AW2742" s="1">
        <v>6.4</v>
      </c>
      <c r="AX2742" s="1">
        <v>0.5406</v>
      </c>
      <c r="AY2742" s="1">
        <v>10.2</v>
      </c>
      <c r="AZ2742" s="1">
        <v>13.9</v>
      </c>
      <c r="BA2742" s="1">
        <v>19.8</v>
      </c>
      <c r="BB2742" s="1">
        <v>2.91</v>
      </c>
      <c r="BC2742" s="1" t="s">
        <v>4123</v>
      </c>
      <c r="BD2742" s="1">
        <v>13.9</v>
      </c>
      <c r="BE2742" s="1">
        <v>24.0</v>
      </c>
      <c r="BF2742" s="1">
        <v>29.9</v>
      </c>
      <c r="BG2742" s="1">
        <v>32.3</v>
      </c>
      <c r="BH2742" s="1" t="s">
        <v>4478</v>
      </c>
    </row>
    <row r="2743">
      <c r="A2743" s="1">
        <v>48441.0</v>
      </c>
      <c r="B2743" s="2" t="str">
        <f>IFERROR(__xludf.DUMMYFUNCTION("TO_TEXT(A2743)"),"48441")</f>
        <v>48441</v>
      </c>
      <c r="C2743" s="1">
        <v>135234.0</v>
      </c>
      <c r="D2743" s="1">
        <v>915.5510856748</v>
      </c>
      <c r="E2743" s="1" t="s">
        <v>786</v>
      </c>
      <c r="F2743" s="1" t="s">
        <v>4479</v>
      </c>
      <c r="G2743" s="1">
        <v>147.707759966585</v>
      </c>
      <c r="H2743" s="1">
        <v>18.742844154</v>
      </c>
      <c r="I2743" s="1">
        <v>4.1120371232</v>
      </c>
      <c r="J2743" s="1">
        <v>8.8202790441</v>
      </c>
      <c r="K2743" s="1">
        <v>15.277754787</v>
      </c>
      <c r="L2743" s="1">
        <v>32.0</v>
      </c>
      <c r="M2743" s="1">
        <v>6.5</v>
      </c>
      <c r="N2743" s="1">
        <v>28.0</v>
      </c>
      <c r="O2743" s="1">
        <v>84.133043359</v>
      </c>
      <c r="P2743" s="1">
        <v>16.625780947</v>
      </c>
      <c r="Q2743" s="1">
        <v>71.17177</v>
      </c>
      <c r="R2743" s="1">
        <v>90.3</v>
      </c>
      <c r="S2743" s="1">
        <v>22.1</v>
      </c>
      <c r="T2743" s="1">
        <v>33190.0</v>
      </c>
      <c r="U2743" s="1">
        <v>35.055739681</v>
      </c>
      <c r="V2743" s="1">
        <v>426.20264466</v>
      </c>
      <c r="W2743" s="1">
        <v>15.4576682159999</v>
      </c>
      <c r="X2743" s="1">
        <v>12.6154793679999</v>
      </c>
      <c r="Y2743" s="1">
        <v>75.804963106</v>
      </c>
      <c r="Z2743" s="1">
        <v>7.9</v>
      </c>
      <c r="AA2743" s="1">
        <v>12.323721116</v>
      </c>
      <c r="AB2743" s="1">
        <v>48040.0</v>
      </c>
      <c r="AC2743" s="1">
        <v>60.007380982</v>
      </c>
      <c r="AD2743" s="1">
        <v>58.6415262119999</v>
      </c>
      <c r="AE2743" s="1">
        <v>12.163703172</v>
      </c>
      <c r="AF2743" s="1">
        <v>7.34888113919999</v>
      </c>
      <c r="AG2743" s="1">
        <v>1.0171461784</v>
      </c>
      <c r="AH2743" s="1">
        <v>2.4317058994</v>
      </c>
      <c r="AI2743" s="1">
        <v>0.1482127289</v>
      </c>
      <c r="AJ2743" s="1">
        <v>24.757337983</v>
      </c>
      <c r="AK2743" s="1">
        <v>62.969340308</v>
      </c>
      <c r="AL2743" s="1">
        <v>2.2076873129</v>
      </c>
      <c r="AM2743" s="1">
        <v>51.1580935769999</v>
      </c>
      <c r="AN2743" s="1">
        <v>16.033488966</v>
      </c>
      <c r="AO2743" s="1">
        <v>24328.0</v>
      </c>
      <c r="AP2743" s="1">
        <v>17.5</v>
      </c>
      <c r="AQ2743" s="1">
        <v>5.5</v>
      </c>
      <c r="AR2743" s="1">
        <v>13.2</v>
      </c>
      <c r="AS2743" s="1">
        <v>13.9</v>
      </c>
      <c r="AT2743" s="1">
        <v>24.6</v>
      </c>
      <c r="AU2743" s="1">
        <v>16.3</v>
      </c>
      <c r="AV2743" s="1">
        <v>34.9</v>
      </c>
      <c r="AW2743" s="1">
        <v>2.2</v>
      </c>
      <c r="AX2743" s="1">
        <v>0.7151</v>
      </c>
      <c r="AY2743" s="1">
        <v>14.0</v>
      </c>
      <c r="AZ2743" s="1">
        <v>15.8</v>
      </c>
      <c r="BA2743" s="1">
        <v>22.2</v>
      </c>
      <c r="BB2743" s="1">
        <v>2.91</v>
      </c>
      <c r="BC2743" s="1" t="s">
        <v>4123</v>
      </c>
      <c r="BD2743" s="1">
        <v>10.7</v>
      </c>
      <c r="BE2743" s="1">
        <v>31.0</v>
      </c>
      <c r="BF2743" s="1">
        <v>33.1</v>
      </c>
      <c r="BG2743" s="1">
        <v>25.2</v>
      </c>
      <c r="BH2743" s="1" t="s">
        <v>4479</v>
      </c>
    </row>
    <row r="2744">
      <c r="A2744" s="1">
        <v>48443.0</v>
      </c>
      <c r="B2744" s="2" t="str">
        <f>IFERROR(__xludf.DUMMYFUNCTION("TO_TEXT(A2744)"),"48443")</f>
        <v>48443</v>
      </c>
      <c r="C2744" s="1">
        <v>778.0</v>
      </c>
      <c r="D2744" s="1">
        <v>2358.01580588572</v>
      </c>
      <c r="E2744" s="1" t="s">
        <v>1020</v>
      </c>
      <c r="F2744" s="1" t="s">
        <v>4480</v>
      </c>
      <c r="G2744" s="1">
        <v>0.329938416043724</v>
      </c>
      <c r="H2744" s="1">
        <v>24.987693111</v>
      </c>
      <c r="I2744" s="1">
        <v>4.2518677448</v>
      </c>
      <c r="J2744" s="1">
        <v>7.80443539465</v>
      </c>
      <c r="K2744" s="1">
        <v>14.644991617</v>
      </c>
      <c r="L2744" s="1">
        <v>25.9</v>
      </c>
      <c r="M2744" s="1">
        <v>5.0</v>
      </c>
      <c r="N2744" s="1">
        <v>29.8</v>
      </c>
      <c r="O2744" s="1">
        <v>0.0</v>
      </c>
      <c r="P2744" s="1">
        <v>27.739726027</v>
      </c>
      <c r="Q2744" s="1">
        <v>0.0</v>
      </c>
      <c r="R2744" s="1">
        <v>91.7</v>
      </c>
      <c r="S2744" s="1">
        <v>22.8</v>
      </c>
      <c r="T2744" s="1">
        <v>113.0</v>
      </c>
      <c r="U2744" s="1">
        <v>33.628318584</v>
      </c>
      <c r="V2744" s="1">
        <v>177.5147929</v>
      </c>
      <c r="W2744" s="1">
        <v>3.5443037975</v>
      </c>
      <c r="X2744" s="1">
        <v>3.6363636364</v>
      </c>
      <c r="Y2744" s="1">
        <v>77.482572377</v>
      </c>
      <c r="Z2744" s="1">
        <v>11.0</v>
      </c>
      <c r="AA2744" s="1">
        <v>38.442521667</v>
      </c>
      <c r="AB2744" s="1">
        <v>41413.0</v>
      </c>
      <c r="AC2744" s="1">
        <v>49.305555556</v>
      </c>
      <c r="AD2744" s="1">
        <v>83.585858586</v>
      </c>
      <c r="AE2744" s="1">
        <v>8.504398827</v>
      </c>
      <c r="AF2744" s="1">
        <v>0.9720534629</v>
      </c>
      <c r="AG2744" s="1">
        <v>3.5236938032</v>
      </c>
      <c r="AH2744" s="1">
        <v>0.9720534629</v>
      </c>
      <c r="AI2744" s="1">
        <v>0.0</v>
      </c>
      <c r="AJ2744" s="1">
        <v>54.313487242</v>
      </c>
      <c r="AK2744" s="1">
        <v>40.826245443</v>
      </c>
      <c r="AL2744" s="1">
        <v>4.4496487119</v>
      </c>
      <c r="AM2744" s="1">
        <v>48.845686513</v>
      </c>
      <c r="AN2744" s="1">
        <v>100.0</v>
      </c>
      <c r="AO2744" s="1">
        <v>25147.0</v>
      </c>
      <c r="AP2744" s="1">
        <v>24.9</v>
      </c>
      <c r="AQ2744" s="1">
        <v>5.1</v>
      </c>
      <c r="AR2744" s="1">
        <v>23.6</v>
      </c>
      <c r="AS2744" s="1">
        <v>32.0</v>
      </c>
      <c r="AT2744" s="1">
        <v>14.1</v>
      </c>
      <c r="AU2744" s="1">
        <v>17.5</v>
      </c>
      <c r="AV2744" s="1">
        <v>71.3</v>
      </c>
      <c r="AW2744" s="1">
        <v>5.7</v>
      </c>
      <c r="AX2744" s="1">
        <v>0.5285</v>
      </c>
      <c r="AY2744" s="1">
        <v>17.5</v>
      </c>
      <c r="AZ2744" s="1">
        <v>13.0</v>
      </c>
      <c r="BA2744" s="1">
        <v>19.2</v>
      </c>
      <c r="BB2744" s="1">
        <v>2.59</v>
      </c>
      <c r="BC2744" s="1" t="s">
        <v>4123</v>
      </c>
      <c r="BD2744" s="1">
        <v>13.5</v>
      </c>
      <c r="BE2744" s="1">
        <v>26.8</v>
      </c>
      <c r="BF2744" s="1">
        <v>41.2</v>
      </c>
      <c r="BG2744" s="1">
        <v>18.4</v>
      </c>
      <c r="BH2744" s="1" t="s">
        <v>4480</v>
      </c>
    </row>
    <row r="2745">
      <c r="A2745" s="1">
        <v>48445.0</v>
      </c>
      <c r="B2745" s="2" t="str">
        <f>IFERROR(__xludf.DUMMYFUNCTION("TO_TEXT(A2745)"),"48445")</f>
        <v>48445</v>
      </c>
      <c r="C2745" s="1">
        <v>12724.0</v>
      </c>
      <c r="D2745" s="1">
        <v>888.838938111154</v>
      </c>
      <c r="E2745" s="1" t="s">
        <v>4481</v>
      </c>
      <c r="F2745" s="1" t="s">
        <v>4482</v>
      </c>
      <c r="G2745" s="1">
        <v>14.3153044431643</v>
      </c>
      <c r="H2745" s="1">
        <v>24.199254143</v>
      </c>
      <c r="I2745" s="1">
        <v>4.129073667</v>
      </c>
      <c r="J2745" s="1">
        <v>9.941089838</v>
      </c>
      <c r="K2745" s="1">
        <v>15.778872927</v>
      </c>
      <c r="L2745" s="1">
        <v>34.4</v>
      </c>
      <c r="M2745" s="1">
        <v>7.0</v>
      </c>
      <c r="N2745" s="1">
        <v>26.5</v>
      </c>
      <c r="O2745" s="1">
        <v>74.824124575</v>
      </c>
      <c r="P2745" s="1">
        <v>24.531024531</v>
      </c>
      <c r="Q2745" s="1">
        <v>31.45891</v>
      </c>
      <c r="R2745" s="1">
        <v>96.2</v>
      </c>
      <c r="S2745" s="1">
        <v>32.6</v>
      </c>
      <c r="T2745" s="1">
        <v>3451.0</v>
      </c>
      <c r="U2745" s="1">
        <v>33.700376702</v>
      </c>
      <c r="V2745" s="1">
        <v>254.18426404</v>
      </c>
      <c r="W2745" s="1">
        <v>13.523131673</v>
      </c>
      <c r="X2745" s="1">
        <v>6.7699642431</v>
      </c>
      <c r="Y2745" s="1">
        <v>75.5221864419999</v>
      </c>
      <c r="Z2745" s="1">
        <v>6.0</v>
      </c>
      <c r="AA2745" s="1">
        <v>18.206407067</v>
      </c>
      <c r="AB2745" s="1">
        <v>41268.0</v>
      </c>
      <c r="AC2745" s="1">
        <v>77.6880577989999</v>
      </c>
      <c r="AD2745" s="1">
        <v>68.7206137089999</v>
      </c>
      <c r="AE2745" s="1">
        <v>10.306258322</v>
      </c>
      <c r="AF2745" s="1">
        <v>4.0530642142</v>
      </c>
      <c r="AG2745" s="1">
        <v>1.2696345731</v>
      </c>
      <c r="AH2745" s="1">
        <v>0.5697078213</v>
      </c>
      <c r="AI2745" s="1">
        <v>0.0813868316</v>
      </c>
      <c r="AJ2745" s="1">
        <v>55.872059901</v>
      </c>
      <c r="AK2745" s="1">
        <v>38.5692195</v>
      </c>
      <c r="AL2745" s="1">
        <v>7.5213233394</v>
      </c>
      <c r="AM2745" s="1">
        <v>47.774070155</v>
      </c>
      <c r="AN2745" s="1">
        <v>24.669986562</v>
      </c>
      <c r="AO2745" s="1">
        <v>21936.0</v>
      </c>
      <c r="AP2745" s="1">
        <v>13.7</v>
      </c>
      <c r="AQ2745" s="1">
        <v>7.0</v>
      </c>
      <c r="AR2745" s="1">
        <v>30.8</v>
      </c>
      <c r="AS2745" s="1">
        <v>14.5</v>
      </c>
      <c r="AT2745" s="1">
        <v>27.1</v>
      </c>
      <c r="AU2745" s="1">
        <v>15.7</v>
      </c>
      <c r="AV2745" s="1">
        <v>58.6</v>
      </c>
      <c r="AW2745" s="1">
        <v>6.8</v>
      </c>
      <c r="AX2745" s="1">
        <v>0.8886</v>
      </c>
      <c r="AY2745" s="1">
        <v>21.6</v>
      </c>
      <c r="AZ2745" s="1">
        <v>15.0</v>
      </c>
      <c r="BA2745" s="1">
        <v>22.9</v>
      </c>
      <c r="BB2745" s="1">
        <v>3.06</v>
      </c>
      <c r="BC2745" s="1" t="s">
        <v>4123</v>
      </c>
      <c r="BD2745" s="1">
        <v>31.6</v>
      </c>
      <c r="BE2745" s="1">
        <v>31.7</v>
      </c>
      <c r="BF2745" s="1">
        <v>25.3</v>
      </c>
      <c r="BG2745" s="1">
        <v>11.4</v>
      </c>
      <c r="BH2745" s="1" t="s">
        <v>4482</v>
      </c>
    </row>
    <row r="2746">
      <c r="A2746" s="1">
        <v>48447.0</v>
      </c>
      <c r="B2746" s="2" t="str">
        <f>IFERROR(__xludf.DUMMYFUNCTION("TO_TEXT(A2746)"),"48447")</f>
        <v>48447</v>
      </c>
      <c r="C2746" s="1">
        <v>1520.0</v>
      </c>
      <c r="D2746" s="1">
        <v>912.551861555084</v>
      </c>
      <c r="E2746" s="1" t="s">
        <v>4483</v>
      </c>
      <c r="F2746" s="1" t="s">
        <v>4484</v>
      </c>
      <c r="G2746" s="1">
        <v>1.6656587576401</v>
      </c>
      <c r="H2746" s="1">
        <v>16.923999688</v>
      </c>
      <c r="I2746" s="1">
        <v>4.0858063645</v>
      </c>
      <c r="J2746" s="1">
        <v>7.80443539465</v>
      </c>
      <c r="K2746" s="1">
        <v>13.737391593</v>
      </c>
      <c r="L2746" s="1">
        <v>25.5</v>
      </c>
      <c r="M2746" s="1">
        <v>4.7</v>
      </c>
      <c r="N2746" s="1">
        <v>25.8</v>
      </c>
      <c r="O2746" s="1">
        <v>57.343083486</v>
      </c>
      <c r="P2746" s="1">
        <v>27.3465703969999</v>
      </c>
      <c r="Q2746" s="1">
        <v>65.48788</v>
      </c>
      <c r="R2746" s="1">
        <v>96.2</v>
      </c>
      <c r="S2746" s="1">
        <v>24.3</v>
      </c>
      <c r="T2746" s="1">
        <v>308.0</v>
      </c>
      <c r="U2746" s="1">
        <v>39.285714286</v>
      </c>
      <c r="V2746" s="1">
        <v>0.0</v>
      </c>
      <c r="W2746" s="1">
        <v>9.6551724138</v>
      </c>
      <c r="X2746" s="1">
        <v>8.0</v>
      </c>
      <c r="Y2746" s="1">
        <v>77.482572377</v>
      </c>
      <c r="Z2746" s="1">
        <v>6.5</v>
      </c>
      <c r="AA2746" s="1">
        <v>32.216064208</v>
      </c>
      <c r="AB2746" s="1">
        <v>42701.0</v>
      </c>
      <c r="AC2746" s="1">
        <v>62.0</v>
      </c>
      <c r="AD2746" s="1">
        <v>70.839260313</v>
      </c>
      <c r="AE2746" s="1">
        <v>7.26429675429999</v>
      </c>
      <c r="AF2746" s="1">
        <v>0.9240924092</v>
      </c>
      <c r="AG2746" s="1">
        <v>1.1881188119</v>
      </c>
      <c r="AH2746" s="1">
        <v>0.4620462046</v>
      </c>
      <c r="AI2746" s="1">
        <v>0.0</v>
      </c>
      <c r="AJ2746" s="1">
        <v>14.455445545</v>
      </c>
      <c r="AK2746" s="1">
        <v>82.376237624</v>
      </c>
      <c r="AL2746" s="1">
        <v>0.2697235334</v>
      </c>
      <c r="AM2746" s="1">
        <v>53.267326733</v>
      </c>
      <c r="AN2746" s="1">
        <v>100.0</v>
      </c>
      <c r="AO2746" s="1">
        <v>28860.0</v>
      </c>
      <c r="AP2746" s="1">
        <v>13.3</v>
      </c>
      <c r="AQ2746" s="1">
        <v>3.1</v>
      </c>
      <c r="AR2746" s="1">
        <v>19.4</v>
      </c>
      <c r="AS2746" s="1">
        <v>28.0</v>
      </c>
      <c r="AT2746" s="1">
        <v>18.4</v>
      </c>
      <c r="AU2746" s="1">
        <v>21.3</v>
      </c>
      <c r="AV2746" s="1">
        <v>18.9</v>
      </c>
      <c r="AW2746" s="1">
        <v>1.2</v>
      </c>
      <c r="AX2746" s="1">
        <v>0.2515</v>
      </c>
      <c r="AY2746" s="1">
        <v>13.9</v>
      </c>
      <c r="AZ2746" s="1">
        <v>16.5</v>
      </c>
      <c r="BA2746" s="1">
        <v>23.3</v>
      </c>
      <c r="BB2746" s="1">
        <v>2.97</v>
      </c>
      <c r="BC2746" s="1" t="s">
        <v>4123</v>
      </c>
      <c r="BD2746" s="1">
        <v>13.4</v>
      </c>
      <c r="BE2746" s="1">
        <v>35.7</v>
      </c>
      <c r="BF2746" s="1">
        <v>29.2</v>
      </c>
      <c r="BG2746" s="1">
        <v>21.7</v>
      </c>
      <c r="BH2746" s="1" t="s">
        <v>4484</v>
      </c>
    </row>
    <row r="2747">
      <c r="A2747" s="1">
        <v>48449.0</v>
      </c>
      <c r="B2747" s="2" t="str">
        <f>IFERROR(__xludf.DUMMYFUNCTION("TO_TEXT(A2747)"),"48449")</f>
        <v>48449</v>
      </c>
      <c r="C2747" s="1">
        <v>32592.0</v>
      </c>
      <c r="D2747" s="1">
        <v>406.057144029914</v>
      </c>
      <c r="E2747" s="1" t="s">
        <v>4485</v>
      </c>
      <c r="F2747" s="1" t="s">
        <v>4486</v>
      </c>
      <c r="G2747" s="1">
        <v>80.2645649243865</v>
      </c>
      <c r="H2747" s="1">
        <v>22.79427087</v>
      </c>
      <c r="I2747" s="1">
        <v>4.2618400667</v>
      </c>
      <c r="J2747" s="1">
        <v>6.7123678949</v>
      </c>
      <c r="K2747" s="1">
        <v>16.197378193</v>
      </c>
      <c r="L2747" s="1">
        <v>31.0</v>
      </c>
      <c r="M2747" s="1">
        <v>7.3</v>
      </c>
      <c r="N2747" s="1">
        <v>35.2</v>
      </c>
      <c r="O2747" s="1">
        <v>49.195892868</v>
      </c>
      <c r="P2747" s="1">
        <v>25.204688909</v>
      </c>
      <c r="Q2747" s="1">
        <v>54.7046</v>
      </c>
      <c r="R2747" s="1">
        <v>97.0</v>
      </c>
      <c r="S2747" s="1">
        <v>29.7</v>
      </c>
      <c r="T2747" s="1">
        <v>9513.0</v>
      </c>
      <c r="U2747" s="1">
        <v>32.240092505</v>
      </c>
      <c r="V2747" s="1">
        <v>353.02747807</v>
      </c>
      <c r="W2747" s="1">
        <v>16.312056738</v>
      </c>
      <c r="X2747" s="1">
        <v>7.8177458034</v>
      </c>
      <c r="Y2747" s="1">
        <v>77.641878584</v>
      </c>
      <c r="Z2747" s="1">
        <v>11.3</v>
      </c>
      <c r="AA2747" s="1">
        <v>6.4560418104</v>
      </c>
      <c r="AB2747" s="1">
        <v>45604.0</v>
      </c>
      <c r="AC2747" s="1">
        <v>68.670796959</v>
      </c>
      <c r="AD2747" s="1">
        <v>66.242752946</v>
      </c>
      <c r="AE2747" s="1">
        <v>9.1288724871</v>
      </c>
      <c r="AF2747" s="1">
        <v>9.0454999546</v>
      </c>
      <c r="AG2747" s="1">
        <v>2.4066842249</v>
      </c>
      <c r="AH2747" s="1">
        <v>1.2351285079</v>
      </c>
      <c r="AI2747" s="1">
        <v>0.1695274423</v>
      </c>
      <c r="AJ2747" s="1">
        <v>44.061998607</v>
      </c>
      <c r="AK2747" s="1">
        <v>44.334453425</v>
      </c>
      <c r="AL2747" s="1">
        <v>8.9150880911</v>
      </c>
      <c r="AM2747" s="1">
        <v>51.0005146369999</v>
      </c>
      <c r="AN2747" s="1">
        <v>50.556689553</v>
      </c>
      <c r="AO2747" s="1">
        <v>20043.0</v>
      </c>
      <c r="AP2747" s="1">
        <v>20.8</v>
      </c>
      <c r="AQ2747" s="1">
        <v>6.6</v>
      </c>
      <c r="AR2747" s="1">
        <v>27.9</v>
      </c>
      <c r="AS2747" s="1">
        <v>13.3</v>
      </c>
      <c r="AT2747" s="1">
        <v>29.2</v>
      </c>
      <c r="AU2747" s="1">
        <v>14.8</v>
      </c>
      <c r="AV2747" s="1">
        <v>53.0</v>
      </c>
      <c r="AW2747" s="1">
        <v>11.1</v>
      </c>
      <c r="AX2747" s="1">
        <v>0.8571</v>
      </c>
      <c r="AY2747" s="1">
        <v>16.3</v>
      </c>
      <c r="AZ2747" s="1">
        <v>16.5</v>
      </c>
      <c r="BA2747" s="1">
        <v>24.5</v>
      </c>
      <c r="BB2747" s="1">
        <v>2.86</v>
      </c>
      <c r="BC2747" s="1" t="s">
        <v>4123</v>
      </c>
      <c r="BD2747" s="1">
        <v>23.3</v>
      </c>
      <c r="BE2747" s="1">
        <v>33.4</v>
      </c>
      <c r="BF2747" s="1">
        <v>26.9</v>
      </c>
      <c r="BG2747" s="1">
        <v>16.3</v>
      </c>
      <c r="BH2747" s="1" t="s">
        <v>4486</v>
      </c>
    </row>
    <row r="2748">
      <c r="A2748" s="1">
        <v>48451.0</v>
      </c>
      <c r="B2748" s="2" t="str">
        <f>IFERROR(__xludf.DUMMYFUNCTION("TO_TEXT(A2748)"),"48451")</f>
        <v>48451</v>
      </c>
      <c r="C2748" s="1">
        <v>116264.0</v>
      </c>
      <c r="D2748" s="1">
        <v>1521.9900290732</v>
      </c>
      <c r="E2748" s="1" t="s">
        <v>4487</v>
      </c>
      <c r="F2748" s="1" t="s">
        <v>4488</v>
      </c>
      <c r="G2748" s="1">
        <v>76.3894623349127</v>
      </c>
      <c r="H2748" s="1">
        <v>19.214423845</v>
      </c>
      <c r="I2748" s="1">
        <v>3.8369165191</v>
      </c>
      <c r="J2748" s="1">
        <v>8.1738183798</v>
      </c>
      <c r="K2748" s="1">
        <v>14.144435869</v>
      </c>
      <c r="L2748" s="1">
        <v>29.1</v>
      </c>
      <c r="M2748" s="1">
        <v>6.8</v>
      </c>
      <c r="N2748" s="1">
        <v>24.8</v>
      </c>
      <c r="O2748" s="1">
        <v>76.856220061</v>
      </c>
      <c r="P2748" s="1">
        <v>17.940988685</v>
      </c>
      <c r="Q2748" s="1">
        <v>66.09105</v>
      </c>
      <c r="R2748" s="1">
        <v>92.5</v>
      </c>
      <c r="S2748" s="1">
        <v>23.7</v>
      </c>
      <c r="T2748" s="1">
        <v>27685.0</v>
      </c>
      <c r="U2748" s="1">
        <v>32.653061224</v>
      </c>
      <c r="V2748" s="1">
        <v>317.54230722</v>
      </c>
      <c r="W2748" s="1">
        <v>14.15377511</v>
      </c>
      <c r="X2748" s="1">
        <v>11.371080955</v>
      </c>
      <c r="Y2748" s="1">
        <v>77.836641796</v>
      </c>
      <c r="Z2748" s="1">
        <v>12.3</v>
      </c>
      <c r="AA2748" s="1">
        <v>16.603718964</v>
      </c>
      <c r="AB2748" s="1">
        <v>51393.0</v>
      </c>
      <c r="AC2748" s="1">
        <v>52.343710325</v>
      </c>
      <c r="AD2748" s="1">
        <v>62.509563887</v>
      </c>
      <c r="AE2748" s="1">
        <v>11.559152697</v>
      </c>
      <c r="AF2748" s="1">
        <v>3.6111651677</v>
      </c>
      <c r="AG2748" s="1">
        <v>1.1295467429</v>
      </c>
      <c r="AH2748" s="1">
        <v>1.4375280271</v>
      </c>
      <c r="AI2748" s="1">
        <v>0.1582211543</v>
      </c>
      <c r="AJ2748" s="1">
        <v>40.475848006</v>
      </c>
      <c r="AK2748" s="1">
        <v>52.749409844</v>
      </c>
      <c r="AL2748" s="1">
        <v>2.2619058499</v>
      </c>
      <c r="AM2748" s="1">
        <v>50.279636853</v>
      </c>
      <c r="AN2748" s="1">
        <v>15.64087676</v>
      </c>
      <c r="AO2748" s="1">
        <v>26252.0</v>
      </c>
      <c r="AP2748" s="1">
        <v>13.8</v>
      </c>
      <c r="AQ2748" s="1">
        <v>3.9</v>
      </c>
      <c r="AR2748" s="1">
        <v>16.7</v>
      </c>
      <c r="AS2748" s="1">
        <v>14.4</v>
      </c>
      <c r="AT2748" s="1">
        <v>23.5</v>
      </c>
      <c r="AU2748" s="1">
        <v>14.1</v>
      </c>
      <c r="AV2748" s="1">
        <v>44.9</v>
      </c>
      <c r="AW2748" s="1">
        <v>2.6</v>
      </c>
      <c r="AX2748" s="1">
        <v>0.6262</v>
      </c>
      <c r="AY2748" s="1">
        <v>12.9</v>
      </c>
      <c r="AZ2748" s="1">
        <v>14.0</v>
      </c>
      <c r="BA2748" s="1">
        <v>20.1</v>
      </c>
      <c r="BB2748" s="1">
        <v>2.75</v>
      </c>
      <c r="BC2748" s="1" t="s">
        <v>4123</v>
      </c>
      <c r="BD2748" s="1">
        <v>13.7</v>
      </c>
      <c r="BE2748" s="1">
        <v>30.2</v>
      </c>
      <c r="BF2748" s="1">
        <v>31.6</v>
      </c>
      <c r="BG2748" s="1">
        <v>24.5</v>
      </c>
      <c r="BH2748" s="1" t="s">
        <v>4488</v>
      </c>
    </row>
    <row r="2749">
      <c r="A2749" s="1">
        <v>48453.0</v>
      </c>
      <c r="B2749" s="2" t="str">
        <f>IFERROR(__xludf.DUMMYFUNCTION("TO_TEXT(A2749)"),"48453")</f>
        <v>48453</v>
      </c>
      <c r="C2749" s="1">
        <v>1148176.0</v>
      </c>
      <c r="D2749" s="1">
        <v>991.792175403694</v>
      </c>
      <c r="E2749" s="1" t="s">
        <v>4489</v>
      </c>
      <c r="F2749" s="1" t="s">
        <v>4490</v>
      </c>
      <c r="G2749" s="1">
        <v>1157.67801811166</v>
      </c>
      <c r="H2749" s="1">
        <v>14.874787084</v>
      </c>
      <c r="I2749" s="1">
        <v>3.4757679714</v>
      </c>
      <c r="J2749" s="1">
        <v>7.6838142128</v>
      </c>
      <c r="K2749" s="1">
        <v>12.481495582</v>
      </c>
      <c r="L2749" s="1">
        <v>21.8</v>
      </c>
      <c r="M2749" s="1">
        <v>7.3</v>
      </c>
      <c r="N2749" s="1">
        <v>16.6</v>
      </c>
      <c r="O2749" s="1">
        <v>93.174429299</v>
      </c>
      <c r="P2749" s="1">
        <v>14.561108782</v>
      </c>
      <c r="Q2749" s="1">
        <v>85.025</v>
      </c>
      <c r="R2749" s="1">
        <v>89.3</v>
      </c>
      <c r="S2749" s="1">
        <v>15.2</v>
      </c>
      <c r="T2749" s="1">
        <v>267115.0</v>
      </c>
      <c r="U2749" s="1">
        <v>29.225988806</v>
      </c>
      <c r="V2749" s="1">
        <v>370.13237701</v>
      </c>
      <c r="W2749" s="1">
        <v>20.006623575</v>
      </c>
      <c r="X2749" s="1">
        <v>16.075902385</v>
      </c>
      <c r="Y2749" s="1">
        <v>81.7779587019999</v>
      </c>
      <c r="Z2749" s="1">
        <v>7.0</v>
      </c>
      <c r="AA2749" s="1">
        <v>7.19199857059999</v>
      </c>
      <c r="AB2749" s="1">
        <v>76255.0</v>
      </c>
      <c r="AC2749" s="1">
        <v>48.171145926</v>
      </c>
      <c r="AD2749" s="1">
        <v>52.17368545</v>
      </c>
      <c r="AE2749" s="1">
        <v>15.774787817</v>
      </c>
      <c r="AF2749" s="1">
        <v>7.9882730073</v>
      </c>
      <c r="AG2749" s="1">
        <v>1.2213081475</v>
      </c>
      <c r="AH2749" s="1">
        <v>7.28028105059999</v>
      </c>
      <c r="AI2749" s="1">
        <v>0.1214020819</v>
      </c>
      <c r="AJ2749" s="1">
        <v>33.8578874919999</v>
      </c>
      <c r="AK2749" s="1">
        <v>48.8346281019999</v>
      </c>
      <c r="AL2749" s="1">
        <v>6.6506583423</v>
      </c>
      <c r="AM2749" s="1">
        <v>49.447884793</v>
      </c>
      <c r="AN2749" s="1">
        <v>5.463522171</v>
      </c>
      <c r="AO2749" s="1">
        <v>36649.0</v>
      </c>
      <c r="AP2749" s="1">
        <v>15.2</v>
      </c>
      <c r="AQ2749" s="1">
        <v>5.2</v>
      </c>
      <c r="AR2749" s="1">
        <v>11.8</v>
      </c>
      <c r="AS2749" s="1">
        <v>8.5</v>
      </c>
      <c r="AT2749" s="1">
        <v>23.0</v>
      </c>
      <c r="AU2749" s="1">
        <v>8.7</v>
      </c>
      <c r="AV2749" s="1">
        <v>50.3</v>
      </c>
      <c r="AW2749" s="1">
        <v>7.3</v>
      </c>
      <c r="AX2749" s="1">
        <v>0.4419</v>
      </c>
      <c r="AY2749" s="1">
        <v>10.8</v>
      </c>
      <c r="AZ2749" s="1">
        <v>12.9</v>
      </c>
      <c r="BA2749" s="1">
        <v>17.2</v>
      </c>
      <c r="BB2749" s="1">
        <v>3.31</v>
      </c>
      <c r="BC2749" s="1" t="s">
        <v>4123</v>
      </c>
      <c r="BD2749" s="1">
        <v>10.7</v>
      </c>
      <c r="BE2749" s="1">
        <v>16.5</v>
      </c>
      <c r="BF2749" s="1">
        <v>22.9</v>
      </c>
      <c r="BG2749" s="1">
        <v>50.0</v>
      </c>
      <c r="BH2749" s="1" t="s">
        <v>4490</v>
      </c>
    </row>
    <row r="2750">
      <c r="A2750" s="1">
        <v>48455.0</v>
      </c>
      <c r="B2750" s="2" t="str">
        <f>IFERROR(__xludf.DUMMYFUNCTION("TO_TEXT(A2750)"),"48455")</f>
        <v>48455</v>
      </c>
      <c r="C2750" s="1">
        <v>14360.0</v>
      </c>
      <c r="D2750" s="1">
        <v>693.628583525244</v>
      </c>
      <c r="E2750" s="1" t="s">
        <v>520</v>
      </c>
      <c r="F2750" s="1" t="s">
        <v>4491</v>
      </c>
      <c r="G2750" s="1">
        <v>20.7027223806404</v>
      </c>
      <c r="H2750" s="1">
        <v>20.181359844</v>
      </c>
      <c r="I2750" s="1">
        <v>4.5671606752</v>
      </c>
      <c r="J2750" s="1">
        <v>7.3422957601</v>
      </c>
      <c r="K2750" s="1">
        <v>16.632064225</v>
      </c>
      <c r="L2750" s="1">
        <v>39.6</v>
      </c>
      <c r="M2750" s="1">
        <v>7.0</v>
      </c>
      <c r="N2750" s="1">
        <v>28.8</v>
      </c>
      <c r="O2750" s="1">
        <v>80.706205005</v>
      </c>
      <c r="P2750" s="1">
        <v>20.36606894</v>
      </c>
      <c r="Q2750" s="1">
        <v>13.63605</v>
      </c>
      <c r="R2750" s="1">
        <v>94.2</v>
      </c>
      <c r="S2750" s="1">
        <v>30.3</v>
      </c>
      <c r="T2750" s="1">
        <v>2949.0</v>
      </c>
      <c r="U2750" s="1">
        <v>34.316717531</v>
      </c>
      <c r="V2750" s="1">
        <v>188.46878726</v>
      </c>
      <c r="W2750" s="1">
        <v>13.278388278</v>
      </c>
      <c r="X2750" s="1">
        <v>9.8684210526</v>
      </c>
      <c r="Y2750" s="1">
        <v>72.739209033</v>
      </c>
      <c r="Z2750" s="1">
        <v>29.3</v>
      </c>
      <c r="AA2750" s="1">
        <v>0.912679691</v>
      </c>
      <c r="AB2750" s="1">
        <v>40486.0</v>
      </c>
      <c r="AC2750" s="1">
        <v>68.199398367</v>
      </c>
      <c r="AD2750" s="1">
        <v>79.249746536</v>
      </c>
      <c r="AE2750" s="1">
        <v>9.3421287217</v>
      </c>
      <c r="AF2750" s="1">
        <v>9.19945725919999</v>
      </c>
      <c r="AG2750" s="1">
        <v>0.8955223881</v>
      </c>
      <c r="AH2750" s="1">
        <v>0.5630936228</v>
      </c>
      <c r="AI2750" s="1">
        <v>0.0474898236</v>
      </c>
      <c r="AJ2750" s="1">
        <v>10.5156037989999</v>
      </c>
      <c r="AK2750" s="1">
        <v>77.598371777</v>
      </c>
      <c r="AL2750" s="1">
        <v>2.0436065338</v>
      </c>
      <c r="AM2750" s="1">
        <v>51.797829037</v>
      </c>
      <c r="AN2750" s="1">
        <v>77.236887213</v>
      </c>
      <c r="AO2750" s="1">
        <v>19661.0</v>
      </c>
      <c r="AP2750" s="1">
        <v>15.5</v>
      </c>
      <c r="AQ2750" s="1">
        <v>10.2</v>
      </c>
      <c r="AR2750" s="1">
        <v>16.3</v>
      </c>
      <c r="AS2750" s="1">
        <v>26.2</v>
      </c>
      <c r="AT2750" s="1">
        <v>20.1</v>
      </c>
      <c r="AU2750" s="1">
        <v>28.1</v>
      </c>
      <c r="AV2750" s="1">
        <v>20.6</v>
      </c>
      <c r="AW2750" s="1">
        <v>1.3</v>
      </c>
      <c r="AX2750" s="1">
        <v>0.6794</v>
      </c>
      <c r="AY2750" s="1">
        <v>17.9</v>
      </c>
      <c r="AZ2750" s="1">
        <v>19.3</v>
      </c>
      <c r="BA2750" s="1">
        <v>31.2</v>
      </c>
      <c r="BB2750" s="1">
        <v>2.78</v>
      </c>
      <c r="BC2750" s="1" t="s">
        <v>4123</v>
      </c>
      <c r="BD2750" s="1">
        <v>16.9</v>
      </c>
      <c r="BE2750" s="1">
        <v>35.9</v>
      </c>
      <c r="BF2750" s="1">
        <v>34.3</v>
      </c>
      <c r="BG2750" s="1">
        <v>12.9</v>
      </c>
      <c r="BH2750" s="1" t="s">
        <v>4491</v>
      </c>
    </row>
    <row r="2751">
      <c r="A2751" s="1">
        <v>48457.0</v>
      </c>
      <c r="B2751" s="2" t="str">
        <f>IFERROR(__xludf.DUMMYFUNCTION("TO_TEXT(A2751)"),"48457")</f>
        <v>48457</v>
      </c>
      <c r="C2751" s="1">
        <v>21371.0</v>
      </c>
      <c r="D2751" s="1">
        <v>924.49456900435</v>
      </c>
      <c r="E2751" s="1" t="s">
        <v>4492</v>
      </c>
      <c r="F2751" s="1" t="s">
        <v>4493</v>
      </c>
      <c r="G2751" s="1">
        <v>23.1164148676566</v>
      </c>
      <c r="H2751" s="1">
        <v>17.056772932</v>
      </c>
      <c r="I2751" s="1">
        <v>3.9974455428</v>
      </c>
      <c r="J2751" s="1">
        <v>8.8315217391</v>
      </c>
      <c r="K2751" s="1">
        <v>15.101168377</v>
      </c>
      <c r="L2751" s="1">
        <v>33.2</v>
      </c>
      <c r="M2751" s="1">
        <v>5.4</v>
      </c>
      <c r="N2751" s="1">
        <v>33.7</v>
      </c>
      <c r="O2751" s="1">
        <v>51.87907746</v>
      </c>
      <c r="P2751" s="1">
        <v>17.096427612</v>
      </c>
      <c r="Q2751" s="1">
        <v>23.21371</v>
      </c>
      <c r="R2751" s="1">
        <v>95.6</v>
      </c>
      <c r="S2751" s="1">
        <v>26.4</v>
      </c>
      <c r="T2751" s="1">
        <v>4031.0</v>
      </c>
      <c r="U2751" s="1">
        <v>27.5862068969999</v>
      </c>
      <c r="V2751" s="1">
        <v>297.08992234</v>
      </c>
      <c r="W2751" s="1">
        <v>13.337713535</v>
      </c>
      <c r="X2751" s="1">
        <v>8.2119205298</v>
      </c>
      <c r="Y2751" s="1">
        <v>75.713668212</v>
      </c>
      <c r="Z2751" s="1">
        <v>6.8</v>
      </c>
      <c r="AA2751" s="1">
        <v>18.8567107</v>
      </c>
      <c r="AB2751" s="1">
        <v>44041.0</v>
      </c>
      <c r="AC2751" s="1">
        <v>63.814904493</v>
      </c>
      <c r="AD2751" s="1">
        <v>85.327635328</v>
      </c>
      <c r="AE2751" s="1">
        <v>9.8500749625</v>
      </c>
      <c r="AF2751" s="1">
        <v>10.762352507</v>
      </c>
      <c r="AG2751" s="1">
        <v>0.8434734513</v>
      </c>
      <c r="AH2751" s="1">
        <v>0.6130162242</v>
      </c>
      <c r="AI2751" s="1">
        <v>0.0460914454</v>
      </c>
      <c r="AJ2751" s="1">
        <v>8.1259218289</v>
      </c>
      <c r="AK2751" s="1">
        <v>78.493731563</v>
      </c>
      <c r="AL2751" s="1">
        <v>1.2728251824</v>
      </c>
      <c r="AM2751" s="1">
        <v>46.105272861</v>
      </c>
      <c r="AN2751" s="1">
        <v>78.131030047</v>
      </c>
      <c r="AO2751" s="1">
        <v>20720.0</v>
      </c>
      <c r="AP2751" s="1">
        <v>15.7</v>
      </c>
      <c r="AQ2751" s="1">
        <v>10.3</v>
      </c>
      <c r="AR2751" s="1">
        <v>15.6</v>
      </c>
      <c r="AS2751" s="1">
        <v>20.8</v>
      </c>
      <c r="AT2751" s="1">
        <v>19.4</v>
      </c>
      <c r="AU2751" s="1">
        <v>23.6</v>
      </c>
      <c r="AV2751" s="1">
        <v>20.3</v>
      </c>
      <c r="AW2751" s="1">
        <v>1.2</v>
      </c>
      <c r="AX2751" s="1">
        <v>0.8348</v>
      </c>
      <c r="AY2751" s="1">
        <v>17.2</v>
      </c>
      <c r="AZ2751" s="1">
        <v>19.0</v>
      </c>
      <c r="BA2751" s="1">
        <v>30.4</v>
      </c>
      <c r="BB2751" s="1">
        <v>2.8</v>
      </c>
      <c r="BC2751" s="1" t="s">
        <v>4123</v>
      </c>
      <c r="BD2751" s="1">
        <v>18.0</v>
      </c>
      <c r="BE2751" s="1">
        <v>43.0</v>
      </c>
      <c r="BF2751" s="1">
        <v>25.6</v>
      </c>
      <c r="BG2751" s="1">
        <v>13.4</v>
      </c>
      <c r="BH2751" s="1" t="s">
        <v>4493</v>
      </c>
    </row>
    <row r="2752">
      <c r="A2752" s="1">
        <v>48459.0</v>
      </c>
      <c r="B2752" s="2" t="str">
        <f>IFERROR(__xludf.DUMMYFUNCTION("TO_TEXT(A2752)"),"48459")</f>
        <v>48459</v>
      </c>
      <c r="C2752" s="1">
        <v>40295.0</v>
      </c>
      <c r="D2752" s="1">
        <v>582.933532404876</v>
      </c>
      <c r="E2752" s="1" t="s">
        <v>4494</v>
      </c>
      <c r="F2752" s="1" t="s">
        <v>4495</v>
      </c>
      <c r="G2752" s="1">
        <v>69.1245189374578</v>
      </c>
      <c r="H2752" s="1">
        <v>16.163369223</v>
      </c>
      <c r="I2752" s="1">
        <v>4.0494014884</v>
      </c>
      <c r="J2752" s="1">
        <v>7.4209245742</v>
      </c>
      <c r="K2752" s="1">
        <v>15.19085237</v>
      </c>
      <c r="L2752" s="1">
        <v>30.8</v>
      </c>
      <c r="M2752" s="1">
        <v>6.9</v>
      </c>
      <c r="N2752" s="1">
        <v>30.0</v>
      </c>
      <c r="O2752" s="1">
        <v>26.256073673</v>
      </c>
      <c r="P2752" s="1">
        <v>18.181276798</v>
      </c>
      <c r="Q2752" s="1">
        <v>29.06906</v>
      </c>
      <c r="R2752" s="1">
        <v>95.2</v>
      </c>
      <c r="S2752" s="1">
        <v>21.1</v>
      </c>
      <c r="T2752" s="1">
        <v>9757.0</v>
      </c>
      <c r="U2752" s="1">
        <v>26.575791739</v>
      </c>
      <c r="V2752" s="1">
        <v>298.69717191</v>
      </c>
      <c r="W2752" s="1">
        <v>13.522238164</v>
      </c>
      <c r="X2752" s="1">
        <v>8.4936479129</v>
      </c>
      <c r="Y2752" s="1">
        <v>74.979200661</v>
      </c>
      <c r="Z2752" s="1">
        <v>18.2</v>
      </c>
      <c r="AA2752" s="1">
        <v>5.1110778488</v>
      </c>
      <c r="AB2752" s="1">
        <v>48554.0</v>
      </c>
      <c r="AC2752" s="1">
        <v>59.480025365</v>
      </c>
      <c r="AD2752" s="1">
        <v>78.0991735539999</v>
      </c>
      <c r="AE2752" s="1">
        <v>9.992486852</v>
      </c>
      <c r="AF2752" s="1">
        <v>7.77993213769999</v>
      </c>
      <c r="AG2752" s="1">
        <v>1.0591371789</v>
      </c>
      <c r="AH2752" s="1">
        <v>0.5210857974</v>
      </c>
      <c r="AI2752" s="1">
        <v>0.0581677169</v>
      </c>
      <c r="AJ2752" s="1">
        <v>9.04507998059999</v>
      </c>
      <c r="AK2752" s="1">
        <v>80.249636452</v>
      </c>
      <c r="AL2752" s="1">
        <v>1.1407341514</v>
      </c>
      <c r="AM2752" s="1">
        <v>50.588948134</v>
      </c>
      <c r="AN2752" s="1">
        <v>79.2999058739999</v>
      </c>
      <c r="AO2752" s="1">
        <v>23215.0</v>
      </c>
      <c r="AP2752" s="1">
        <v>13.5</v>
      </c>
      <c r="AQ2752" s="1">
        <v>7.7</v>
      </c>
      <c r="AR2752" s="1">
        <v>16.6</v>
      </c>
      <c r="AS2752" s="1">
        <v>16.8</v>
      </c>
      <c r="AT2752" s="1">
        <v>24.3</v>
      </c>
      <c r="AU2752" s="1">
        <v>18.3</v>
      </c>
      <c r="AV2752" s="1">
        <v>19.1</v>
      </c>
      <c r="AW2752" s="1">
        <v>1.4</v>
      </c>
      <c r="AX2752" s="1">
        <v>0.5941</v>
      </c>
      <c r="AY2752" s="1">
        <v>14.9</v>
      </c>
      <c r="AZ2752" s="1">
        <v>15.9</v>
      </c>
      <c r="BA2752" s="1">
        <v>24.3</v>
      </c>
      <c r="BB2752" s="1">
        <v>2.92</v>
      </c>
      <c r="BC2752" s="1" t="s">
        <v>4123</v>
      </c>
      <c r="BD2752" s="1">
        <v>14.2</v>
      </c>
      <c r="BE2752" s="1">
        <v>34.4</v>
      </c>
      <c r="BF2752" s="1">
        <v>34.3</v>
      </c>
      <c r="BG2752" s="1">
        <v>17.1</v>
      </c>
      <c r="BH2752" s="1" t="s">
        <v>4495</v>
      </c>
    </row>
    <row r="2753">
      <c r="A2753" s="1">
        <v>48461.0</v>
      </c>
      <c r="B2753" s="2" t="str">
        <f>IFERROR(__xludf.DUMMYFUNCTION("TO_TEXT(A2753)"),"48461")</f>
        <v>48461</v>
      </c>
      <c r="C2753" s="1">
        <v>3475.0</v>
      </c>
      <c r="D2753" s="1">
        <v>1241.3220230673</v>
      </c>
      <c r="E2753" s="1" t="s">
        <v>4496</v>
      </c>
      <c r="F2753" s="1" t="s">
        <v>4497</v>
      </c>
      <c r="G2753" s="1">
        <v>2.79943474410717</v>
      </c>
      <c r="H2753" s="1">
        <v>21.696459044</v>
      </c>
      <c r="I2753" s="1">
        <v>3.9679608185</v>
      </c>
      <c r="J2753" s="1">
        <v>9.4488188976</v>
      </c>
      <c r="K2753" s="1">
        <v>14.404818284</v>
      </c>
      <c r="L2753" s="1">
        <v>24.0</v>
      </c>
      <c r="M2753" s="1">
        <v>7.6</v>
      </c>
      <c r="N2753" s="1">
        <v>21.5</v>
      </c>
      <c r="O2753" s="1">
        <v>65.871833085</v>
      </c>
      <c r="P2753" s="1">
        <v>22.6209548219999</v>
      </c>
      <c r="Q2753" s="1">
        <v>54.60005</v>
      </c>
      <c r="R2753" s="1">
        <v>93.0</v>
      </c>
      <c r="S2753" s="1">
        <v>20.2</v>
      </c>
      <c r="T2753" s="1">
        <v>1056.0</v>
      </c>
      <c r="U2753" s="1">
        <v>33.049242424</v>
      </c>
      <c r="V2753" s="1">
        <v>84.400056267</v>
      </c>
      <c r="W2753" s="1">
        <v>13.438735178</v>
      </c>
      <c r="X2753" s="1">
        <v>6.66666666669999</v>
      </c>
      <c r="Y2753" s="1">
        <v>78.125154959</v>
      </c>
      <c r="Z2753" s="1">
        <v>7.1</v>
      </c>
      <c r="AA2753" s="1">
        <v>9.0665124722</v>
      </c>
      <c r="AB2753" s="1">
        <v>53867.0</v>
      </c>
      <c r="AC2753" s="1">
        <v>57.3410404619999</v>
      </c>
      <c r="AD2753" s="1">
        <v>72.950191571</v>
      </c>
      <c r="AE2753" s="1">
        <v>6.4945878435</v>
      </c>
      <c r="AF2753" s="1">
        <v>2.1247616453</v>
      </c>
      <c r="AG2753" s="1">
        <v>2.6150912558</v>
      </c>
      <c r="AH2753" s="1">
        <v>0.6810133479</v>
      </c>
      <c r="AI2753" s="1">
        <v>0.0</v>
      </c>
      <c r="AJ2753" s="1">
        <v>53.745573413</v>
      </c>
      <c r="AK2753" s="1">
        <v>41.759738491</v>
      </c>
      <c r="AL2753" s="1">
        <v>8.16884300029999</v>
      </c>
      <c r="AM2753" s="1">
        <v>48.7605557069999</v>
      </c>
      <c r="AN2753" s="1">
        <v>100.0</v>
      </c>
      <c r="AO2753" s="1">
        <v>24254.0</v>
      </c>
      <c r="AP2753" s="1">
        <v>20.4</v>
      </c>
      <c r="AQ2753" s="1">
        <v>4.5</v>
      </c>
      <c r="AR2753" s="1">
        <v>24.6</v>
      </c>
      <c r="AS2753" s="1">
        <v>13.7</v>
      </c>
      <c r="AT2753" s="1">
        <v>30.7</v>
      </c>
      <c r="AU2753" s="1">
        <v>12.6</v>
      </c>
      <c r="AV2753" s="1">
        <v>58.3</v>
      </c>
      <c r="AW2753" s="1">
        <v>8.4</v>
      </c>
      <c r="AX2753" s="1">
        <v>0.7093</v>
      </c>
      <c r="AY2753" s="1">
        <v>13.8</v>
      </c>
      <c r="AZ2753" s="1">
        <v>13.3</v>
      </c>
      <c r="BA2753" s="1">
        <v>21.1</v>
      </c>
      <c r="BB2753" s="1">
        <v>2.92</v>
      </c>
      <c r="BC2753" s="1" t="s">
        <v>4123</v>
      </c>
      <c r="BD2753" s="1">
        <v>24.4</v>
      </c>
      <c r="BE2753" s="1">
        <v>41.2</v>
      </c>
      <c r="BF2753" s="1">
        <v>24.7</v>
      </c>
      <c r="BG2753" s="1">
        <v>9.6</v>
      </c>
      <c r="BH2753" s="1" t="s">
        <v>4497</v>
      </c>
    </row>
    <row r="2754">
      <c r="A2754" s="1">
        <v>48463.0</v>
      </c>
      <c r="B2754" s="2" t="str">
        <f>IFERROR(__xludf.DUMMYFUNCTION("TO_TEXT(A2754)"),"48463")</f>
        <v>48463</v>
      </c>
      <c r="C2754" s="1">
        <v>27055.0</v>
      </c>
      <c r="D2754" s="1">
        <v>1551.94459559549</v>
      </c>
      <c r="E2754" s="1" t="s">
        <v>4498</v>
      </c>
      <c r="F2754" s="1" t="s">
        <v>4499</v>
      </c>
      <c r="G2754" s="1">
        <v>17.4329676953568</v>
      </c>
      <c r="H2754" s="1">
        <v>27.027628569</v>
      </c>
      <c r="I2754" s="1">
        <v>4.18151782589999</v>
      </c>
      <c r="J2754" s="1">
        <v>7.1071428571</v>
      </c>
      <c r="K2754" s="1">
        <v>15.015463597</v>
      </c>
      <c r="L2754" s="1">
        <v>31.4</v>
      </c>
      <c r="M2754" s="1">
        <v>7.1</v>
      </c>
      <c r="N2754" s="1">
        <v>30.3</v>
      </c>
      <c r="O2754" s="1">
        <v>76.637000568</v>
      </c>
      <c r="P2754" s="1">
        <v>22.478582113</v>
      </c>
      <c r="Q2754" s="1">
        <v>44.22822</v>
      </c>
      <c r="R2754" s="1">
        <v>88.5</v>
      </c>
      <c r="S2754" s="1">
        <v>35.0</v>
      </c>
      <c r="T2754" s="1">
        <v>7343.0</v>
      </c>
      <c r="U2754" s="1">
        <v>49.938717146</v>
      </c>
      <c r="V2754" s="1">
        <v>267.54627084</v>
      </c>
      <c r="W2754" s="1">
        <v>15.276145711</v>
      </c>
      <c r="X2754" s="1">
        <v>9.2899408284</v>
      </c>
      <c r="Y2754" s="1">
        <v>79.012660848</v>
      </c>
      <c r="Z2754" s="1">
        <v>15.7</v>
      </c>
      <c r="AA2754" s="1">
        <v>21.880167126</v>
      </c>
      <c r="AB2754" s="1">
        <v>39725.0</v>
      </c>
      <c r="AC2754" s="1">
        <v>65.834238147</v>
      </c>
      <c r="AD2754" s="1">
        <v>73.972129448</v>
      </c>
      <c r="AE2754" s="1">
        <v>9.0588092049</v>
      </c>
      <c r="AF2754" s="1">
        <v>0.6481412501</v>
      </c>
      <c r="AG2754" s="1">
        <v>1.2702078522</v>
      </c>
      <c r="AH2754" s="1">
        <v>0.9126126797</v>
      </c>
      <c r="AI2754" s="1">
        <v>0.1005736423</v>
      </c>
      <c r="AJ2754" s="1">
        <v>72.100126648</v>
      </c>
      <c r="AK2754" s="1">
        <v>25.825076361</v>
      </c>
      <c r="AL2754" s="1">
        <v>8.1790185178</v>
      </c>
      <c r="AM2754" s="1">
        <v>50.7971392389999</v>
      </c>
      <c r="AN2754" s="1">
        <v>31.3842075359999</v>
      </c>
      <c r="AO2754" s="1">
        <v>18294.0</v>
      </c>
      <c r="AP2754" s="1">
        <v>20.7</v>
      </c>
      <c r="AQ2754" s="1">
        <v>6.4</v>
      </c>
      <c r="AR2754" s="1">
        <v>30.7</v>
      </c>
      <c r="AS2754" s="1">
        <v>16.0</v>
      </c>
      <c r="AT2754" s="1">
        <v>28.0</v>
      </c>
      <c r="AU2754" s="1">
        <v>13.4</v>
      </c>
      <c r="AV2754" s="1">
        <v>72.4</v>
      </c>
      <c r="AW2754" s="1">
        <v>8.2</v>
      </c>
      <c r="AX2754" s="1">
        <v>0.9322</v>
      </c>
      <c r="AY2754" s="1">
        <v>19.8</v>
      </c>
      <c r="AZ2754" s="1">
        <v>13.7</v>
      </c>
      <c r="BA2754" s="1">
        <v>20.8</v>
      </c>
      <c r="BB2754" s="1">
        <v>2.29</v>
      </c>
      <c r="BC2754" s="1" t="s">
        <v>4123</v>
      </c>
      <c r="BD2754" s="1">
        <v>24.2</v>
      </c>
      <c r="BE2754" s="1">
        <v>29.3</v>
      </c>
      <c r="BF2754" s="1">
        <v>28.6</v>
      </c>
      <c r="BG2754" s="1">
        <v>17.9</v>
      </c>
      <c r="BH2754" s="1" t="s">
        <v>4499</v>
      </c>
    </row>
    <row r="2755">
      <c r="A2755" s="1">
        <v>48465.0</v>
      </c>
      <c r="B2755" s="2" t="str">
        <f>IFERROR(__xludf.DUMMYFUNCTION("TO_TEXT(A2755)"),"48465")</f>
        <v>48465</v>
      </c>
      <c r="C2755" s="1">
        <v>48862.0</v>
      </c>
      <c r="D2755" s="1">
        <v>3144.74815425875</v>
      </c>
      <c r="E2755" s="1" t="s">
        <v>4500</v>
      </c>
      <c r="F2755" s="1" t="s">
        <v>4501</v>
      </c>
      <c r="G2755" s="1">
        <v>15.5376512213955</v>
      </c>
      <c r="H2755" s="1">
        <v>29.44514613</v>
      </c>
      <c r="I2755" s="1">
        <v>4.1618372798</v>
      </c>
      <c r="J2755" s="1">
        <v>6.4690026954</v>
      </c>
      <c r="K2755" s="1">
        <v>15.773577733</v>
      </c>
      <c r="L2755" s="1">
        <v>25.2</v>
      </c>
      <c r="M2755" s="1">
        <v>7.3</v>
      </c>
      <c r="N2755" s="1">
        <v>24.3</v>
      </c>
      <c r="O2755" s="1">
        <v>81.969762066</v>
      </c>
      <c r="P2755" s="1">
        <v>22.902697065</v>
      </c>
      <c r="Q2755" s="1">
        <v>28.45239</v>
      </c>
      <c r="R2755" s="1">
        <v>82.9</v>
      </c>
      <c r="S2755" s="1">
        <v>28.9</v>
      </c>
      <c r="T2755" s="1">
        <v>14001.0</v>
      </c>
      <c r="U2755" s="1">
        <v>33.526176702</v>
      </c>
      <c r="V2755" s="1">
        <v>138.1498158</v>
      </c>
      <c r="W2755" s="1">
        <v>16.661101836</v>
      </c>
      <c r="X2755" s="1">
        <v>9.5189701897</v>
      </c>
      <c r="Y2755" s="1">
        <v>79.082539992</v>
      </c>
      <c r="Z2755" s="1">
        <v>8.3</v>
      </c>
      <c r="AA2755" s="1">
        <v>18.46318798</v>
      </c>
      <c r="AB2755" s="1">
        <v>44276.0</v>
      </c>
      <c r="AC2755" s="1">
        <v>72.558181328</v>
      </c>
      <c r="AD2755" s="1">
        <v>62.952880938</v>
      </c>
      <c r="AE2755" s="1">
        <v>10.6142241379999</v>
      </c>
      <c r="AF2755" s="1">
        <v>1.3066980979</v>
      </c>
      <c r="AG2755" s="1">
        <v>0.9795155259</v>
      </c>
      <c r="AH2755" s="1">
        <v>0.7803609169</v>
      </c>
      <c r="AI2755" s="1">
        <v>0.1747683304</v>
      </c>
      <c r="AJ2755" s="1">
        <v>82.502845066</v>
      </c>
      <c r="AK2755" s="1">
        <v>14.690700699</v>
      </c>
      <c r="AL2755" s="1">
        <v>13.319950931</v>
      </c>
      <c r="AM2755" s="1">
        <v>48.878231182</v>
      </c>
      <c r="AN2755" s="1">
        <v>10.157736451</v>
      </c>
      <c r="AO2755" s="1">
        <v>19522.0</v>
      </c>
      <c r="AP2755" s="1">
        <v>20.9</v>
      </c>
      <c r="AQ2755" s="1">
        <v>8.4</v>
      </c>
      <c r="AR2755" s="1">
        <v>33.1</v>
      </c>
      <c r="AS2755" s="1">
        <v>13.6</v>
      </c>
      <c r="AT2755" s="1">
        <v>29.2</v>
      </c>
      <c r="AU2755" s="1">
        <v>13.3</v>
      </c>
      <c r="AV2755" s="1">
        <v>83.5</v>
      </c>
      <c r="AW2755" s="1">
        <v>15.6</v>
      </c>
      <c r="AX2755" s="1">
        <v>0.9675</v>
      </c>
      <c r="AY2755" s="1">
        <v>20.8</v>
      </c>
      <c r="AZ2755" s="1">
        <v>14.8</v>
      </c>
      <c r="BA2755" s="1">
        <v>21.3</v>
      </c>
      <c r="BB2755" s="1">
        <v>2.33</v>
      </c>
      <c r="BC2755" s="1" t="s">
        <v>4123</v>
      </c>
      <c r="BD2755" s="1">
        <v>31.8</v>
      </c>
      <c r="BE2755" s="1">
        <v>24.4</v>
      </c>
      <c r="BF2755" s="1">
        <v>25.4</v>
      </c>
      <c r="BG2755" s="1">
        <v>18.4</v>
      </c>
      <c r="BH2755" s="1" t="s">
        <v>4501</v>
      </c>
    </row>
    <row r="2756">
      <c r="A2756" s="1">
        <v>48467.0</v>
      </c>
      <c r="B2756" s="2" t="str">
        <f>IFERROR(__xludf.DUMMYFUNCTION("TO_TEXT(A2756)"),"48467")</f>
        <v>48467</v>
      </c>
      <c r="C2756" s="1">
        <v>53070.0</v>
      </c>
      <c r="D2756" s="1">
        <v>842.565561677666</v>
      </c>
      <c r="E2756" s="1" t="s">
        <v>4502</v>
      </c>
      <c r="F2756" s="1" t="s">
        <v>4503</v>
      </c>
      <c r="G2756" s="1">
        <v>62.9861964620654</v>
      </c>
      <c r="H2756" s="1">
        <v>16.517652958</v>
      </c>
      <c r="I2756" s="1">
        <v>3.9906749153</v>
      </c>
      <c r="J2756" s="1">
        <v>6.7780654272</v>
      </c>
      <c r="K2756" s="1">
        <v>14.351332927</v>
      </c>
      <c r="L2756" s="1">
        <v>26.0</v>
      </c>
      <c r="M2756" s="1">
        <v>7.3</v>
      </c>
      <c r="N2756" s="1">
        <v>27.2</v>
      </c>
      <c r="O2756" s="1">
        <v>37.012875863</v>
      </c>
      <c r="P2756" s="1">
        <v>21.26090332</v>
      </c>
      <c r="Q2756" s="1">
        <v>18.12185</v>
      </c>
      <c r="R2756" s="1">
        <v>92.4</v>
      </c>
      <c r="S2756" s="1">
        <v>20.8</v>
      </c>
      <c r="T2756" s="1">
        <v>12372.0</v>
      </c>
      <c r="U2756" s="1">
        <v>25.598124798</v>
      </c>
      <c r="V2756" s="1">
        <v>118.14474637</v>
      </c>
      <c r="W2756" s="1">
        <v>13.50996852</v>
      </c>
      <c r="X2756" s="1">
        <v>10.711451997</v>
      </c>
      <c r="Y2756" s="1">
        <v>76.415048787</v>
      </c>
      <c r="Z2756" s="1">
        <v>11.5</v>
      </c>
      <c r="AA2756" s="1">
        <v>3.5966423638</v>
      </c>
      <c r="AB2756" s="1">
        <v>51152.0</v>
      </c>
      <c r="AC2756" s="1">
        <v>53.309147956</v>
      </c>
      <c r="AD2756" s="1">
        <v>77.226612287</v>
      </c>
      <c r="AE2756" s="1">
        <v>9.9525561064</v>
      </c>
      <c r="AF2756" s="1">
        <v>2.6848033703</v>
      </c>
      <c r="AG2756" s="1">
        <v>0.9461075706</v>
      </c>
      <c r="AH2756" s="1">
        <v>0.4980453061</v>
      </c>
      <c r="AI2756" s="1">
        <v>0.160659776099999</v>
      </c>
      <c r="AJ2756" s="1">
        <v>11.24618433</v>
      </c>
      <c r="AK2756" s="1">
        <v>83.362787626</v>
      </c>
      <c r="AL2756" s="1">
        <v>1.363512408</v>
      </c>
      <c r="AM2756" s="1">
        <v>51.154072725</v>
      </c>
      <c r="AN2756" s="1">
        <v>75.018543525</v>
      </c>
      <c r="AO2756" s="1">
        <v>24399.0</v>
      </c>
      <c r="AP2756" s="1">
        <v>15.8</v>
      </c>
      <c r="AQ2756" s="1">
        <v>5.9</v>
      </c>
      <c r="AR2756" s="1">
        <v>17.7</v>
      </c>
      <c r="AS2756" s="1">
        <v>19.9</v>
      </c>
      <c r="AT2756" s="1">
        <v>23.2</v>
      </c>
      <c r="AU2756" s="1">
        <v>17.8</v>
      </c>
      <c r="AV2756" s="1">
        <v>15.4</v>
      </c>
      <c r="AW2756" s="1">
        <v>1.7</v>
      </c>
      <c r="AX2756" s="1">
        <v>0.5368</v>
      </c>
      <c r="AY2756" s="1">
        <v>13.6</v>
      </c>
      <c r="AZ2756" s="1">
        <v>16.0</v>
      </c>
      <c r="BA2756" s="1">
        <v>24.2</v>
      </c>
      <c r="BB2756" s="1">
        <v>2.99</v>
      </c>
      <c r="BC2756" s="1" t="s">
        <v>4123</v>
      </c>
      <c r="BD2756" s="1">
        <v>15.4</v>
      </c>
      <c r="BE2756" s="1">
        <v>34.2</v>
      </c>
      <c r="BF2756" s="1">
        <v>34.6</v>
      </c>
      <c r="BG2756" s="1">
        <v>15.8</v>
      </c>
      <c r="BH2756" s="1" t="s">
        <v>4503</v>
      </c>
    </row>
    <row r="2757">
      <c r="A2757" s="1">
        <v>48469.0</v>
      </c>
      <c r="B2757" s="2" t="str">
        <f>IFERROR(__xludf.DUMMYFUNCTION("TO_TEXT(A2757)"),"48469")</f>
        <v>48469</v>
      </c>
      <c r="C2757" s="1">
        <v>90989.0</v>
      </c>
      <c r="D2757" s="1">
        <v>882.105970585228</v>
      </c>
      <c r="E2757" s="1" t="s">
        <v>4504</v>
      </c>
      <c r="F2757" s="1" t="s">
        <v>4505</v>
      </c>
      <c r="G2757" s="1">
        <v>103.149738278762</v>
      </c>
      <c r="H2757" s="1">
        <v>21.961190023</v>
      </c>
      <c r="I2757" s="1">
        <v>4.0729185095</v>
      </c>
      <c r="J2757" s="1">
        <v>8.0605655756</v>
      </c>
      <c r="K2757" s="1">
        <v>14.51170796</v>
      </c>
      <c r="L2757" s="1">
        <v>36.4</v>
      </c>
      <c r="M2757" s="1">
        <v>7.4</v>
      </c>
      <c r="N2757" s="1">
        <v>29.8</v>
      </c>
      <c r="O2757" s="1">
        <v>79.053610314</v>
      </c>
      <c r="P2757" s="1">
        <v>18.655000723</v>
      </c>
      <c r="Q2757" s="1">
        <v>78.18948</v>
      </c>
      <c r="R2757" s="1">
        <v>86.7</v>
      </c>
      <c r="S2757" s="1">
        <v>21.4</v>
      </c>
      <c r="T2757" s="1">
        <v>23098.0</v>
      </c>
      <c r="U2757" s="1">
        <v>33.950991428</v>
      </c>
      <c r="V2757" s="1">
        <v>425.42826987</v>
      </c>
      <c r="W2757" s="1">
        <v>15.008457635</v>
      </c>
      <c r="X2757" s="1">
        <v>9.8709777709</v>
      </c>
      <c r="Y2757" s="1">
        <v>78.435141347</v>
      </c>
      <c r="Z2757" s="1">
        <v>18.2</v>
      </c>
      <c r="AA2757" s="1">
        <v>9.49918946419999</v>
      </c>
      <c r="AB2757" s="1">
        <v>51646.0</v>
      </c>
      <c r="AC2757" s="1">
        <v>67.742143641</v>
      </c>
      <c r="AD2757" s="1">
        <v>65.852384464</v>
      </c>
      <c r="AE2757" s="1">
        <v>11.727180399</v>
      </c>
      <c r="AF2757" s="1">
        <v>5.7304286413</v>
      </c>
      <c r="AG2757" s="1">
        <v>0.9289944043</v>
      </c>
      <c r="AH2757" s="1">
        <v>1.4331504319</v>
      </c>
      <c r="AI2757" s="1">
        <v>0.086923453</v>
      </c>
      <c r="AJ2757" s="1">
        <v>47.388493508</v>
      </c>
      <c r="AK2757" s="1">
        <v>44.3135763569999</v>
      </c>
      <c r="AL2757" s="1">
        <v>3.1673731294</v>
      </c>
      <c r="AM2757" s="1">
        <v>51.003422611</v>
      </c>
      <c r="AN2757" s="1">
        <v>26.626571267</v>
      </c>
      <c r="AO2757" s="1">
        <v>27509.0</v>
      </c>
      <c r="AP2757" s="1">
        <v>14.7</v>
      </c>
      <c r="AQ2757" s="1">
        <v>5.5</v>
      </c>
      <c r="AR2757" s="1">
        <v>16.4</v>
      </c>
      <c r="AS2757" s="1">
        <v>14.6</v>
      </c>
      <c r="AT2757" s="1">
        <v>25.9</v>
      </c>
      <c r="AU2757" s="1">
        <v>15.0</v>
      </c>
      <c r="AV2757" s="1">
        <v>54.0</v>
      </c>
      <c r="AW2757" s="1">
        <v>3.0</v>
      </c>
      <c r="AX2757" s="1">
        <v>0.7424</v>
      </c>
      <c r="AY2757" s="1">
        <v>14.3</v>
      </c>
      <c r="AZ2757" s="1">
        <v>14.5</v>
      </c>
      <c r="BA2757" s="1">
        <v>20.9</v>
      </c>
      <c r="BB2757" s="1">
        <v>2.49</v>
      </c>
      <c r="BC2757" s="1" t="s">
        <v>4123</v>
      </c>
      <c r="BD2757" s="1">
        <v>16.2</v>
      </c>
      <c r="BE2757" s="1">
        <v>30.8</v>
      </c>
      <c r="BF2757" s="1">
        <v>33.0</v>
      </c>
      <c r="BG2757" s="1">
        <v>20.0</v>
      </c>
      <c r="BH2757" s="1" t="s">
        <v>4505</v>
      </c>
    </row>
    <row r="2758">
      <c r="A2758" s="1">
        <v>48471.0</v>
      </c>
      <c r="B2758" s="2" t="str">
        <f>IFERROR(__xludf.DUMMYFUNCTION("TO_TEXT(A2758)"),"48471")</f>
        <v>48471</v>
      </c>
      <c r="C2758" s="1">
        <v>69926.0</v>
      </c>
      <c r="D2758" s="1">
        <v>784.1861157221</v>
      </c>
      <c r="E2758" s="1" t="s">
        <v>186</v>
      </c>
      <c r="F2758" s="1" t="s">
        <v>4506</v>
      </c>
      <c r="G2758" s="1">
        <v>89.1701582035921</v>
      </c>
      <c r="H2758" s="1">
        <v>21.203360984</v>
      </c>
      <c r="I2758" s="1">
        <v>4.1318091231</v>
      </c>
      <c r="J2758" s="1">
        <v>7.91448715029999</v>
      </c>
      <c r="K2758" s="1">
        <v>17.241100101</v>
      </c>
      <c r="L2758" s="1">
        <v>35.9</v>
      </c>
      <c r="M2758" s="1">
        <v>5.4</v>
      </c>
      <c r="N2758" s="1">
        <v>30.6</v>
      </c>
      <c r="O2758" s="1">
        <v>76.880682572</v>
      </c>
      <c r="P2758" s="1">
        <v>19.293122329</v>
      </c>
      <c r="Q2758" s="1">
        <v>27.68358</v>
      </c>
      <c r="R2758" s="1">
        <v>76.7</v>
      </c>
      <c r="S2758" s="1">
        <v>28.3</v>
      </c>
      <c r="T2758" s="1">
        <v>10681.0</v>
      </c>
      <c r="U2758" s="1">
        <v>27.572324689</v>
      </c>
      <c r="V2758" s="1">
        <v>375.17708786</v>
      </c>
      <c r="W2758" s="1">
        <v>18.820971249</v>
      </c>
      <c r="X2758" s="1">
        <v>17.341935484</v>
      </c>
      <c r="Y2758" s="1">
        <v>78.425540141</v>
      </c>
      <c r="Z2758" s="1">
        <v>15.8</v>
      </c>
      <c r="AA2758" s="1">
        <v>12.2900113729999</v>
      </c>
      <c r="AB2758" s="1">
        <v>43681.0</v>
      </c>
      <c r="AC2758" s="1">
        <v>49.175824176</v>
      </c>
      <c r="AD2758" s="1">
        <v>51.169347384</v>
      </c>
      <c r="AE2758" s="1">
        <v>20.868147544</v>
      </c>
      <c r="AF2758" s="1">
        <v>22.850441501</v>
      </c>
      <c r="AG2758" s="1">
        <v>0.8360927152</v>
      </c>
      <c r="AH2758" s="1">
        <v>1.1796357616</v>
      </c>
      <c r="AI2758" s="1">
        <v>0.1200331126</v>
      </c>
      <c r="AJ2758" s="1">
        <v>18.113962472</v>
      </c>
      <c r="AK2758" s="1">
        <v>56.3617549669999</v>
      </c>
      <c r="AL2758" s="1">
        <v>3.0064748096</v>
      </c>
      <c r="AM2758" s="1">
        <v>41.799116998</v>
      </c>
      <c r="AN2758" s="1">
        <v>45.582882657</v>
      </c>
      <c r="AO2758" s="1">
        <v>16419.0</v>
      </c>
      <c r="AP2758" s="1">
        <v>24.0</v>
      </c>
      <c r="AQ2758" s="1">
        <v>4.2</v>
      </c>
      <c r="AR2758" s="1">
        <v>17.4</v>
      </c>
      <c r="AS2758" s="1">
        <v>11.4</v>
      </c>
      <c r="AT2758" s="1">
        <v>15.5</v>
      </c>
      <c r="AU2758" s="1">
        <v>9.4</v>
      </c>
      <c r="AV2758" s="1">
        <v>42.7</v>
      </c>
      <c r="AW2758" s="1">
        <v>2.7</v>
      </c>
      <c r="AX2758" s="1">
        <v>0.6835</v>
      </c>
      <c r="AY2758" s="1">
        <v>21.4</v>
      </c>
      <c r="AZ2758" s="1">
        <v>16.1</v>
      </c>
      <c r="BA2758" s="1">
        <v>23.0</v>
      </c>
      <c r="BB2758" s="1">
        <v>2.74</v>
      </c>
      <c r="BC2758" s="1" t="s">
        <v>4123</v>
      </c>
      <c r="BD2758" s="1">
        <v>14.0</v>
      </c>
      <c r="BE2758" s="1">
        <v>39.9</v>
      </c>
      <c r="BF2758" s="1">
        <v>25.4</v>
      </c>
      <c r="BG2758" s="1">
        <v>20.8</v>
      </c>
      <c r="BH2758" s="1" t="s">
        <v>4506</v>
      </c>
    </row>
    <row r="2759">
      <c r="A2759" s="1">
        <v>48473.0</v>
      </c>
      <c r="B2759" s="2" t="str">
        <f>IFERROR(__xludf.DUMMYFUNCTION("TO_TEXT(A2759)"),"48473")</f>
        <v>48473</v>
      </c>
      <c r="C2759" s="1">
        <v>47049.0</v>
      </c>
      <c r="D2759" s="1">
        <v>513.336234153478</v>
      </c>
      <c r="E2759" s="1" t="s">
        <v>4507</v>
      </c>
      <c r="F2759" s="1" t="s">
        <v>4508</v>
      </c>
      <c r="G2759" s="1">
        <v>91.6533781753914</v>
      </c>
      <c r="H2759" s="1">
        <v>21.251302725</v>
      </c>
      <c r="I2759" s="1">
        <v>4.1921806058</v>
      </c>
      <c r="J2759" s="1">
        <v>7.7939835916</v>
      </c>
      <c r="K2759" s="1">
        <v>16.27770044</v>
      </c>
      <c r="L2759" s="1">
        <v>36.1</v>
      </c>
      <c r="M2759" s="1">
        <v>6.3</v>
      </c>
      <c r="N2759" s="1">
        <v>31.5</v>
      </c>
      <c r="O2759" s="1">
        <v>24.020368013</v>
      </c>
      <c r="P2759" s="1">
        <v>24.0583735319999</v>
      </c>
      <c r="Q2759" s="1">
        <v>11.69431</v>
      </c>
      <c r="R2759" s="1">
        <v>95.1</v>
      </c>
      <c r="S2759" s="1">
        <v>19.9</v>
      </c>
      <c r="T2759" s="1">
        <v>12074.0</v>
      </c>
      <c r="U2759" s="1">
        <v>27.008447905</v>
      </c>
      <c r="V2759" s="1">
        <v>344.07027818</v>
      </c>
      <c r="W2759" s="1">
        <v>21.342329545</v>
      </c>
      <c r="X2759" s="1">
        <v>14.460431655</v>
      </c>
      <c r="Y2759" s="1">
        <v>79.384208517</v>
      </c>
      <c r="Z2759" s="1">
        <v>11.1</v>
      </c>
      <c r="AA2759" s="1">
        <v>11.341099724</v>
      </c>
      <c r="AB2759" s="1">
        <v>59807.0</v>
      </c>
      <c r="AC2759" s="1">
        <v>71.279861204</v>
      </c>
      <c r="AD2759" s="1">
        <v>67.643682042</v>
      </c>
      <c r="AE2759" s="1">
        <v>13.230383973</v>
      </c>
      <c r="AF2759" s="1">
        <v>23.568497534</v>
      </c>
      <c r="AG2759" s="1">
        <v>1.3891503219</v>
      </c>
      <c r="AH2759" s="1">
        <v>1.2366826036</v>
      </c>
      <c r="AI2759" s="1">
        <v>0.1091744155</v>
      </c>
      <c r="AJ2759" s="1">
        <v>30.8022437219999</v>
      </c>
      <c r="AK2759" s="1">
        <v>43.058013026</v>
      </c>
      <c r="AL2759" s="1">
        <v>6.7294491162</v>
      </c>
      <c r="AM2759" s="1">
        <v>50.152467718</v>
      </c>
      <c r="AN2759" s="1">
        <v>61.641013772</v>
      </c>
      <c r="AO2759" s="1">
        <v>23338.0</v>
      </c>
      <c r="AP2759" s="1">
        <v>19.0</v>
      </c>
      <c r="AQ2759" s="1">
        <v>9.0</v>
      </c>
      <c r="AR2759" s="1">
        <v>21.6</v>
      </c>
      <c r="AS2759" s="1">
        <v>11.4</v>
      </c>
      <c r="AT2759" s="1">
        <v>24.0</v>
      </c>
      <c r="AU2759" s="1">
        <v>14.2</v>
      </c>
      <c r="AV2759" s="1">
        <v>56.8</v>
      </c>
      <c r="AW2759" s="1">
        <v>6.0</v>
      </c>
      <c r="AX2759" s="1">
        <v>0.8943</v>
      </c>
      <c r="AY2759" s="1">
        <v>13.2</v>
      </c>
      <c r="AZ2759" s="1">
        <v>14.9</v>
      </c>
      <c r="BA2759" s="1">
        <v>21.4</v>
      </c>
      <c r="BB2759" s="1">
        <v>3.23</v>
      </c>
      <c r="BC2759" s="1" t="s">
        <v>4123</v>
      </c>
      <c r="BD2759" s="1">
        <v>17.5</v>
      </c>
      <c r="BE2759" s="1">
        <v>32.5</v>
      </c>
      <c r="BF2759" s="1">
        <v>28.9</v>
      </c>
      <c r="BG2759" s="1">
        <v>21.1</v>
      </c>
      <c r="BH2759" s="1" t="s">
        <v>4508</v>
      </c>
    </row>
    <row r="2760">
      <c r="A2760" s="1">
        <v>48475.0</v>
      </c>
      <c r="B2760" s="2" t="str">
        <f>IFERROR(__xludf.DUMMYFUNCTION("TO_TEXT(A2760)"),"48475")</f>
        <v>48475</v>
      </c>
      <c r="C2760" s="1">
        <v>11396.0</v>
      </c>
      <c r="D2760" s="1">
        <v>835.602368865078</v>
      </c>
      <c r="E2760" s="1" t="s">
        <v>3412</v>
      </c>
      <c r="F2760" s="1" t="s">
        <v>4509</v>
      </c>
      <c r="G2760" s="1">
        <v>13.6380656932294</v>
      </c>
      <c r="H2760" s="1">
        <v>20.966641957</v>
      </c>
      <c r="I2760" s="1">
        <v>3.9100931665</v>
      </c>
      <c r="J2760" s="1">
        <v>9.9845201238</v>
      </c>
      <c r="K2760" s="1">
        <v>14.068025582</v>
      </c>
      <c r="L2760" s="1">
        <v>42.2</v>
      </c>
      <c r="M2760" s="1">
        <v>8.5</v>
      </c>
      <c r="N2760" s="1">
        <v>30.6</v>
      </c>
      <c r="O2760" s="1">
        <v>81.900919497</v>
      </c>
      <c r="P2760" s="1">
        <v>21.269384821</v>
      </c>
      <c r="Q2760" s="1">
        <v>26.15063</v>
      </c>
      <c r="R2760" s="1">
        <v>94.8</v>
      </c>
      <c r="S2760" s="1">
        <v>17.7</v>
      </c>
      <c r="T2760" s="1">
        <v>3168.0</v>
      </c>
      <c r="U2760" s="1">
        <v>17.803030303</v>
      </c>
      <c r="V2760" s="1">
        <v>495.38776905</v>
      </c>
      <c r="W2760" s="1">
        <v>9.2993630573</v>
      </c>
      <c r="X2760" s="1">
        <v>7.4074074074</v>
      </c>
      <c r="Y2760" s="1">
        <v>74.844064659</v>
      </c>
      <c r="Z2760" s="1">
        <v>21.7</v>
      </c>
      <c r="AA2760" s="1">
        <v>3.5700363284</v>
      </c>
      <c r="AB2760" s="1">
        <v>53621.0</v>
      </c>
      <c r="AC2760" s="1">
        <v>51.606425703</v>
      </c>
      <c r="AD2760" s="1">
        <v>71.006066734</v>
      </c>
      <c r="AE2760" s="1">
        <v>8.8091353997</v>
      </c>
      <c r="AF2760" s="1">
        <v>3.9249146758</v>
      </c>
      <c r="AG2760" s="1">
        <v>1.476109215</v>
      </c>
      <c r="AH2760" s="1">
        <v>0.6228668942</v>
      </c>
      <c r="AI2760" s="1">
        <v>0.0853242321</v>
      </c>
      <c r="AJ2760" s="1">
        <v>54.343003413</v>
      </c>
      <c r="AK2760" s="1">
        <v>39.428327645</v>
      </c>
      <c r="AL2760" s="1">
        <v>4.8426150121</v>
      </c>
      <c r="AM2760" s="1">
        <v>49.675767918</v>
      </c>
      <c r="AN2760" s="1">
        <v>27.88515669</v>
      </c>
      <c r="AO2760" s="1">
        <v>26091.0</v>
      </c>
      <c r="AP2760" s="1">
        <v>16.6</v>
      </c>
      <c r="AQ2760" s="1">
        <v>5.2</v>
      </c>
      <c r="AR2760" s="1">
        <v>23.0</v>
      </c>
      <c r="AS2760" s="1">
        <v>14.4</v>
      </c>
      <c r="AT2760" s="1">
        <v>27.7</v>
      </c>
      <c r="AU2760" s="1">
        <v>13.6</v>
      </c>
      <c r="AV2760" s="1">
        <v>57.8</v>
      </c>
      <c r="AW2760" s="1">
        <v>4.9</v>
      </c>
      <c r="AX2760" s="1">
        <v>0.6046</v>
      </c>
      <c r="AY2760" s="1">
        <v>12.4</v>
      </c>
      <c r="AZ2760" s="1">
        <v>11.9</v>
      </c>
      <c r="BA2760" s="1">
        <v>16.9</v>
      </c>
      <c r="BB2760" s="1">
        <v>2.87</v>
      </c>
      <c r="BC2760" s="1" t="s">
        <v>4123</v>
      </c>
      <c r="BD2760" s="1">
        <v>21.4</v>
      </c>
      <c r="BE2760" s="1">
        <v>36.2</v>
      </c>
      <c r="BF2760" s="1">
        <v>29.9</v>
      </c>
      <c r="BG2760" s="1">
        <v>12.5</v>
      </c>
      <c r="BH2760" s="1" t="s">
        <v>4509</v>
      </c>
    </row>
    <row r="2761">
      <c r="A2761" s="1">
        <v>48477.0</v>
      </c>
      <c r="B2761" s="2" t="str">
        <f>IFERROR(__xludf.DUMMYFUNCTION("TO_TEXT(A2761)"),"48477")</f>
        <v>48477</v>
      </c>
      <c r="C2761" s="1">
        <v>34544.0</v>
      </c>
      <c r="D2761" s="1">
        <v>603.959929561258</v>
      </c>
      <c r="E2761" s="1" t="s">
        <v>188</v>
      </c>
      <c r="F2761" s="1" t="s">
        <v>4510</v>
      </c>
      <c r="G2761" s="1">
        <v>57.1958474548042</v>
      </c>
      <c r="H2761" s="1">
        <v>18.14988956</v>
      </c>
      <c r="I2761" s="1">
        <v>4.0022507545</v>
      </c>
      <c r="J2761" s="1">
        <v>7.9422382671</v>
      </c>
      <c r="K2761" s="1">
        <v>14.541904622</v>
      </c>
      <c r="L2761" s="1">
        <v>29.6</v>
      </c>
      <c r="M2761" s="1">
        <v>7.3</v>
      </c>
      <c r="N2761" s="1">
        <v>34.6</v>
      </c>
      <c r="O2761" s="1">
        <v>61.216560887</v>
      </c>
      <c r="P2761" s="1">
        <v>19.660717033</v>
      </c>
      <c r="Q2761" s="1">
        <v>59.92638</v>
      </c>
      <c r="R2761" s="1">
        <v>90.8</v>
      </c>
      <c r="S2761" s="1">
        <v>19.5</v>
      </c>
      <c r="T2761" s="1">
        <v>7567.0</v>
      </c>
      <c r="U2761" s="1">
        <v>31.610942249</v>
      </c>
      <c r="V2761" s="1">
        <v>236.42025141</v>
      </c>
      <c r="W2761" s="1">
        <v>13.7672090109999</v>
      </c>
      <c r="X2761" s="1">
        <v>10.485933504</v>
      </c>
      <c r="Y2761" s="1">
        <v>80.211442246</v>
      </c>
      <c r="Z2761" s="1">
        <v>16.0</v>
      </c>
      <c r="AA2761" s="1">
        <v>2.9806317112</v>
      </c>
      <c r="AB2761" s="1">
        <v>54332.0</v>
      </c>
      <c r="AC2761" s="1">
        <v>54.079211535</v>
      </c>
      <c r="AD2761" s="1">
        <v>74.162022454</v>
      </c>
      <c r="AE2761" s="1">
        <v>12.519227482</v>
      </c>
      <c r="AF2761" s="1">
        <v>16.722684288</v>
      </c>
      <c r="AG2761" s="1">
        <v>0.5554289621</v>
      </c>
      <c r="AH2761" s="1">
        <v>1.8770650564</v>
      </c>
      <c r="AI2761" s="1">
        <v>0.0541187194</v>
      </c>
      <c r="AJ2761" s="1">
        <v>16.395123619</v>
      </c>
      <c r="AK2761" s="1">
        <v>63.8373020389999</v>
      </c>
      <c r="AL2761" s="1">
        <v>2.7890885712</v>
      </c>
      <c r="AM2761" s="1">
        <v>50.922866583</v>
      </c>
      <c r="AN2761" s="1">
        <v>53.490717124</v>
      </c>
      <c r="AO2761" s="1">
        <v>25976.0</v>
      </c>
      <c r="AP2761" s="1">
        <v>14.4</v>
      </c>
      <c r="AQ2761" s="1">
        <v>4.9</v>
      </c>
      <c r="AR2761" s="1">
        <v>17.4</v>
      </c>
      <c r="AS2761" s="1">
        <v>19.9</v>
      </c>
      <c r="AT2761" s="1">
        <v>21.8</v>
      </c>
      <c r="AU2761" s="1">
        <v>14.8</v>
      </c>
      <c r="AV2761" s="1">
        <v>35.2</v>
      </c>
      <c r="AW2761" s="1">
        <v>2.2</v>
      </c>
      <c r="AX2761" s="1">
        <v>0.653</v>
      </c>
      <c r="AY2761" s="1">
        <v>10.6</v>
      </c>
      <c r="AZ2761" s="1">
        <v>15.4</v>
      </c>
      <c r="BA2761" s="1">
        <v>23.0</v>
      </c>
      <c r="BB2761" s="1">
        <v>2.75</v>
      </c>
      <c r="BC2761" s="1" t="s">
        <v>4123</v>
      </c>
      <c r="BD2761" s="1">
        <v>13.3</v>
      </c>
      <c r="BE2761" s="1">
        <v>31.0</v>
      </c>
      <c r="BF2761" s="1">
        <v>28.9</v>
      </c>
      <c r="BG2761" s="1">
        <v>26.8</v>
      </c>
      <c r="BH2761" s="1" t="s">
        <v>4510</v>
      </c>
    </row>
    <row r="2762">
      <c r="A2762" s="1">
        <v>48479.0</v>
      </c>
      <c r="B2762" s="2" t="str">
        <f>IFERROR(__xludf.DUMMYFUNCTION("TO_TEXT(A2762)"),"48479")</f>
        <v>48479</v>
      </c>
      <c r="C2762" s="1">
        <v>266006.0</v>
      </c>
      <c r="D2762" s="1">
        <v>3361.4760980156</v>
      </c>
      <c r="E2762" s="1" t="s">
        <v>4511</v>
      </c>
      <c r="F2762" s="1" t="s">
        <v>4512</v>
      </c>
      <c r="G2762" s="1">
        <v>79.1336877739612</v>
      </c>
      <c r="H2762" s="1">
        <v>34.752485638</v>
      </c>
      <c r="I2762" s="1">
        <v>4.5340938811</v>
      </c>
      <c r="J2762" s="1">
        <v>8.0857228767</v>
      </c>
      <c r="K2762" s="1">
        <v>18.4260316379999</v>
      </c>
      <c r="L2762" s="1">
        <v>37.8</v>
      </c>
      <c r="M2762" s="1">
        <v>7.8</v>
      </c>
      <c r="N2762" s="1">
        <v>29.3</v>
      </c>
      <c r="O2762" s="1">
        <v>87.509987855</v>
      </c>
      <c r="P2762" s="1">
        <v>28.566076575</v>
      </c>
      <c r="Q2762" s="1">
        <v>32.3879</v>
      </c>
      <c r="R2762" s="1">
        <v>92.5</v>
      </c>
      <c r="S2762" s="1">
        <v>34.6</v>
      </c>
      <c r="T2762" s="1">
        <v>90988.0</v>
      </c>
      <c r="U2762" s="1">
        <v>39.064492021</v>
      </c>
      <c r="V2762" s="1">
        <v>381.81649847</v>
      </c>
      <c r="W2762" s="1">
        <v>29.997186665</v>
      </c>
      <c r="X2762" s="1">
        <v>17.8761454329999</v>
      </c>
      <c r="Y2762" s="1">
        <v>80.344890089</v>
      </c>
      <c r="Z2762" s="1">
        <v>6.5</v>
      </c>
      <c r="AA2762" s="1">
        <v>12.71274785</v>
      </c>
      <c r="AB2762" s="1">
        <v>44919.0</v>
      </c>
      <c r="AC2762" s="1">
        <v>82.325494588</v>
      </c>
      <c r="AD2762" s="1">
        <v>62.4730175539999</v>
      </c>
      <c r="AE2762" s="1">
        <v>17.589746564</v>
      </c>
      <c r="AF2762" s="1">
        <v>0.2939364285</v>
      </c>
      <c r="AG2762" s="1">
        <v>0.5824363017</v>
      </c>
      <c r="AH2762" s="1">
        <v>0.6476749665</v>
      </c>
      <c r="AI2762" s="1">
        <v>0.0529158059</v>
      </c>
      <c r="AJ2762" s="1">
        <v>95.455402124</v>
      </c>
      <c r="AK2762" s="1">
        <v>3.5660179044</v>
      </c>
      <c r="AL2762" s="1">
        <v>21.163551345</v>
      </c>
      <c r="AM2762" s="1">
        <v>50.866949368</v>
      </c>
      <c r="AN2762" s="1">
        <v>2.5996388392</v>
      </c>
      <c r="AO2762" s="1">
        <v>15691.0</v>
      </c>
      <c r="AP2762" s="1">
        <v>32.1</v>
      </c>
      <c r="AQ2762" s="1">
        <v>5.9</v>
      </c>
      <c r="AR2762" s="1">
        <v>34.3</v>
      </c>
      <c r="AS2762" s="1">
        <v>8.6</v>
      </c>
      <c r="AT2762" s="1">
        <v>34.2</v>
      </c>
      <c r="AU2762" s="1">
        <v>11.9</v>
      </c>
      <c r="AV2762" s="1">
        <v>96.5</v>
      </c>
      <c r="AW2762" s="1">
        <v>22.0</v>
      </c>
      <c r="AX2762" s="1">
        <v>0.9478</v>
      </c>
      <c r="AY2762" s="1">
        <v>20.9</v>
      </c>
      <c r="AZ2762" s="1">
        <v>16.1</v>
      </c>
      <c r="BA2762" s="1">
        <v>23.3</v>
      </c>
      <c r="BB2762" s="1">
        <v>2.62</v>
      </c>
      <c r="BC2762" s="1" t="s">
        <v>4123</v>
      </c>
      <c r="BD2762" s="1">
        <v>32.4</v>
      </c>
      <c r="BE2762" s="1">
        <v>25.3</v>
      </c>
      <c r="BF2762" s="1">
        <v>23.3</v>
      </c>
      <c r="BG2762" s="1">
        <v>18.9</v>
      </c>
      <c r="BH2762" s="1" t="s">
        <v>4512</v>
      </c>
    </row>
    <row r="2763">
      <c r="A2763" s="1">
        <v>48481.0</v>
      </c>
      <c r="B2763" s="2" t="str">
        <f>IFERROR(__xludf.DUMMYFUNCTION("TO_TEXT(A2763)"),"48481")</f>
        <v>48481</v>
      </c>
      <c r="C2763" s="1">
        <v>41377.0</v>
      </c>
      <c r="D2763" s="1">
        <v>1086.15004433531</v>
      </c>
      <c r="E2763" s="1" t="s">
        <v>4513</v>
      </c>
      <c r="F2763" s="1" t="s">
        <v>4514</v>
      </c>
      <c r="G2763" s="1">
        <v>38.0951050140788</v>
      </c>
      <c r="H2763" s="1">
        <v>23.01881359</v>
      </c>
      <c r="I2763" s="1">
        <v>4.1877621448</v>
      </c>
      <c r="J2763" s="1">
        <v>9.4440213252</v>
      </c>
      <c r="K2763" s="1">
        <v>15.445720424</v>
      </c>
      <c r="L2763" s="1">
        <v>36.7</v>
      </c>
      <c r="M2763" s="1">
        <v>7.3</v>
      </c>
      <c r="N2763" s="1">
        <v>26.8</v>
      </c>
      <c r="O2763" s="1">
        <v>62.65503876</v>
      </c>
      <c r="P2763" s="1">
        <v>21.6511264259999</v>
      </c>
      <c r="Q2763" s="1">
        <v>38.12429</v>
      </c>
      <c r="R2763" s="1">
        <v>96.0</v>
      </c>
      <c r="S2763" s="1">
        <v>26.0</v>
      </c>
      <c r="T2763" s="1">
        <v>10755.0</v>
      </c>
      <c r="U2763" s="1">
        <v>36.727103673</v>
      </c>
      <c r="V2763" s="1">
        <v>439.15209864</v>
      </c>
      <c r="W2763" s="1">
        <v>14.753004005</v>
      </c>
      <c r="X2763" s="1">
        <v>10.512474713</v>
      </c>
      <c r="Y2763" s="1">
        <v>76.949106973</v>
      </c>
      <c r="Z2763" s="1">
        <v>15.1</v>
      </c>
      <c r="AA2763" s="1">
        <v>6.8109522149</v>
      </c>
      <c r="AB2763" s="1">
        <v>48040.0</v>
      </c>
      <c r="AC2763" s="1">
        <v>65.348309236</v>
      </c>
      <c r="AD2763" s="1">
        <v>66.990036707</v>
      </c>
      <c r="AE2763" s="1">
        <v>12.133516862</v>
      </c>
      <c r="AF2763" s="1">
        <v>12.751387587</v>
      </c>
      <c r="AG2763" s="1">
        <v>0.778490593199999</v>
      </c>
      <c r="AH2763" s="1">
        <v>0.5574377087</v>
      </c>
      <c r="AI2763" s="1">
        <v>0.0504577236</v>
      </c>
      <c r="AJ2763" s="1">
        <v>41.997645306</v>
      </c>
      <c r="AK2763" s="1">
        <v>43.9486772869999</v>
      </c>
      <c r="AL2763" s="1">
        <v>6.0169403987</v>
      </c>
      <c r="AM2763" s="1">
        <v>50.743650736</v>
      </c>
      <c r="AN2763" s="1">
        <v>49.895833333</v>
      </c>
      <c r="AO2763" s="1">
        <v>23245.0</v>
      </c>
      <c r="AP2763" s="1">
        <v>17.7</v>
      </c>
      <c r="AQ2763" s="1">
        <v>5.7</v>
      </c>
      <c r="AR2763" s="1">
        <v>22.0</v>
      </c>
      <c r="AS2763" s="1">
        <v>15.8</v>
      </c>
      <c r="AT2763" s="1">
        <v>26.0</v>
      </c>
      <c r="AU2763" s="1">
        <v>14.9</v>
      </c>
      <c r="AV2763" s="1">
        <v>54.2</v>
      </c>
      <c r="AW2763" s="1">
        <v>5.1</v>
      </c>
      <c r="AX2763" s="1">
        <v>0.8325</v>
      </c>
      <c r="AY2763" s="1">
        <v>16.4</v>
      </c>
      <c r="AZ2763" s="1">
        <v>15.2</v>
      </c>
      <c r="BA2763" s="1">
        <v>23.4</v>
      </c>
      <c r="BB2763" s="1">
        <v>2.53</v>
      </c>
      <c r="BC2763" s="1" t="s">
        <v>4123</v>
      </c>
      <c r="BD2763" s="1">
        <v>21.7</v>
      </c>
      <c r="BE2763" s="1">
        <v>27.5</v>
      </c>
      <c r="BF2763" s="1">
        <v>32.7</v>
      </c>
      <c r="BG2763" s="1">
        <v>18.0</v>
      </c>
      <c r="BH2763" s="1" t="s">
        <v>4514</v>
      </c>
    </row>
    <row r="2764">
      <c r="A2764" s="1">
        <v>48483.0</v>
      </c>
      <c r="B2764" s="2" t="str">
        <f>IFERROR(__xludf.DUMMYFUNCTION("TO_TEXT(A2764)"),"48483")</f>
        <v>48483</v>
      </c>
      <c r="C2764" s="1">
        <v>5642.0</v>
      </c>
      <c r="D2764" s="1">
        <v>914.522574425834</v>
      </c>
      <c r="E2764" s="1" t="s">
        <v>1052</v>
      </c>
      <c r="F2764" s="1" t="s">
        <v>4515</v>
      </c>
      <c r="G2764" s="1">
        <v>6.16933923532966</v>
      </c>
      <c r="H2764" s="1">
        <v>19.00447502</v>
      </c>
      <c r="I2764" s="1">
        <v>4.157467124</v>
      </c>
      <c r="J2764" s="1">
        <v>6.8311195446</v>
      </c>
      <c r="K2764" s="1">
        <v>15.3309997129999</v>
      </c>
      <c r="L2764" s="1">
        <v>25.9</v>
      </c>
      <c r="M2764" s="1">
        <v>7.4</v>
      </c>
      <c r="N2764" s="1">
        <v>24.9</v>
      </c>
      <c r="O2764" s="1">
        <v>62.883548983</v>
      </c>
      <c r="P2764" s="1">
        <v>24.750869061</v>
      </c>
      <c r="Q2764" s="1">
        <v>37.32736</v>
      </c>
      <c r="R2764" s="1">
        <v>95.1</v>
      </c>
      <c r="S2764" s="1">
        <v>20.9</v>
      </c>
      <c r="T2764" s="1">
        <v>1404.0</v>
      </c>
      <c r="U2764" s="1">
        <v>32.122507123</v>
      </c>
      <c r="V2764" s="1">
        <v>120.91898428</v>
      </c>
      <c r="W2764" s="1">
        <v>13.30472103</v>
      </c>
      <c r="X2764" s="1">
        <v>6.6205106015</v>
      </c>
      <c r="Y2764" s="1">
        <v>74.547429548</v>
      </c>
      <c r="Z2764" s="1">
        <v>6.3</v>
      </c>
      <c r="AA2764" s="1">
        <v>2.7737342341</v>
      </c>
      <c r="AB2764" s="1">
        <v>48018.0</v>
      </c>
      <c r="AC2764" s="1">
        <v>50.900900901</v>
      </c>
      <c r="AD2764" s="1">
        <v>62.7772848269999</v>
      </c>
      <c r="AE2764" s="1">
        <v>11.416184971</v>
      </c>
      <c r="AF2764" s="1">
        <v>2.6584473127</v>
      </c>
      <c r="AG2764" s="1">
        <v>1.7337699865</v>
      </c>
      <c r="AH2764" s="1">
        <v>0.8861491042</v>
      </c>
      <c r="AI2764" s="1">
        <v>0.0</v>
      </c>
      <c r="AJ2764" s="1">
        <v>25.5827393569999</v>
      </c>
      <c r="AK2764" s="1">
        <v>68.657291466</v>
      </c>
      <c r="AL2764" s="1">
        <v>5.0784313725</v>
      </c>
      <c r="AM2764" s="1">
        <v>49.662878058</v>
      </c>
      <c r="AN2764" s="1">
        <v>100.0</v>
      </c>
      <c r="AO2764" s="1">
        <v>26736.0</v>
      </c>
      <c r="AP2764" s="1">
        <v>17.2</v>
      </c>
      <c r="AQ2764" s="1">
        <v>5.4</v>
      </c>
      <c r="AR2764" s="1">
        <v>19.7</v>
      </c>
      <c r="AS2764" s="1">
        <v>17.8</v>
      </c>
      <c r="AT2764" s="1">
        <v>26.0</v>
      </c>
      <c r="AU2764" s="1">
        <v>15.3</v>
      </c>
      <c r="AV2764" s="1">
        <v>31.6</v>
      </c>
      <c r="AW2764" s="1">
        <v>4.6</v>
      </c>
      <c r="AX2764" s="1">
        <v>0.5883</v>
      </c>
      <c r="AY2764" s="1">
        <v>11.6</v>
      </c>
      <c r="AZ2764" s="1">
        <v>16.3</v>
      </c>
      <c r="BA2764" s="1">
        <v>24.5</v>
      </c>
      <c r="BB2764" s="1">
        <v>3.07</v>
      </c>
      <c r="BC2764" s="1" t="s">
        <v>4123</v>
      </c>
      <c r="BD2764" s="1">
        <v>19.8</v>
      </c>
      <c r="BE2764" s="1">
        <v>30.0</v>
      </c>
      <c r="BF2764" s="1">
        <v>33.4</v>
      </c>
      <c r="BG2764" s="1">
        <v>16.8</v>
      </c>
      <c r="BH2764" s="1" t="s">
        <v>4515</v>
      </c>
    </row>
    <row r="2765">
      <c r="A2765" s="1">
        <v>48485.0</v>
      </c>
      <c r="B2765" s="2" t="str">
        <f>IFERROR(__xludf.DUMMYFUNCTION("TO_TEXT(A2765)"),"48485")</f>
        <v>48485</v>
      </c>
      <c r="C2765" s="1">
        <v>132148.0</v>
      </c>
      <c r="D2765" s="1">
        <v>627.780005576636</v>
      </c>
      <c r="E2765" s="1" t="s">
        <v>1752</v>
      </c>
      <c r="F2765" s="1" t="s">
        <v>4516</v>
      </c>
      <c r="G2765" s="1">
        <v>210.500491933664</v>
      </c>
      <c r="H2765" s="1">
        <v>22.87832167</v>
      </c>
      <c r="I2765" s="1">
        <v>4.5026783624</v>
      </c>
      <c r="J2765" s="1">
        <v>8.2245649264</v>
      </c>
      <c r="K2765" s="1">
        <v>17.725334105</v>
      </c>
      <c r="L2765" s="1">
        <v>35.2</v>
      </c>
      <c r="M2765" s="1">
        <v>6.1</v>
      </c>
      <c r="N2765" s="1">
        <v>30.8</v>
      </c>
      <c r="O2765" s="1">
        <v>69.066920152</v>
      </c>
      <c r="P2765" s="1">
        <v>17.58426411</v>
      </c>
      <c r="Q2765" s="1">
        <v>71.9697</v>
      </c>
      <c r="R2765" s="1">
        <v>96.8</v>
      </c>
      <c r="S2765" s="1">
        <v>22.4</v>
      </c>
      <c r="T2765" s="1">
        <v>29446.0</v>
      </c>
      <c r="U2765" s="1">
        <v>36.853902058</v>
      </c>
      <c r="V2765" s="1">
        <v>380.28771919</v>
      </c>
      <c r="W2765" s="1">
        <v>15.735883986</v>
      </c>
      <c r="X2765" s="1">
        <v>12.682367653</v>
      </c>
      <c r="Y2765" s="1">
        <v>75.476002688</v>
      </c>
      <c r="Z2765" s="1">
        <v>14.4</v>
      </c>
      <c r="AA2765" s="1">
        <v>12.918464349</v>
      </c>
      <c r="AB2765" s="1">
        <v>47477.0</v>
      </c>
      <c r="AC2765" s="1">
        <v>61.217079783</v>
      </c>
      <c r="AD2765" s="1">
        <v>61.070676315</v>
      </c>
      <c r="AE2765" s="1">
        <v>14.711858545</v>
      </c>
      <c r="AF2765" s="1">
        <v>10.569875212</v>
      </c>
      <c r="AG2765" s="1">
        <v>1.3622183184</v>
      </c>
      <c r="AH2765" s="1">
        <v>2.1830324691</v>
      </c>
      <c r="AI2765" s="1">
        <v>0.143112430299999</v>
      </c>
      <c r="AJ2765" s="1">
        <v>19.442088684</v>
      </c>
      <c r="AK2765" s="1">
        <v>64.814029561</v>
      </c>
      <c r="AL2765" s="1">
        <v>2.0064772202</v>
      </c>
      <c r="AM2765" s="1">
        <v>48.2546341169999</v>
      </c>
      <c r="AN2765" s="1">
        <v>10.666920152</v>
      </c>
      <c r="AO2765" s="1">
        <v>23239.0</v>
      </c>
      <c r="AP2765" s="1">
        <v>18.5</v>
      </c>
      <c r="AQ2765" s="1">
        <v>5.2</v>
      </c>
      <c r="AR2765" s="1">
        <v>14.0</v>
      </c>
      <c r="AS2765" s="1">
        <v>13.9</v>
      </c>
      <c r="AT2765" s="1">
        <v>22.5</v>
      </c>
      <c r="AU2765" s="1">
        <v>15.4</v>
      </c>
      <c r="AV2765" s="1">
        <v>33.3</v>
      </c>
      <c r="AW2765" s="1">
        <v>2.2</v>
      </c>
      <c r="AX2765" s="1">
        <v>0.7622</v>
      </c>
      <c r="AY2765" s="1">
        <v>13.9</v>
      </c>
      <c r="AZ2765" s="1">
        <v>17.2</v>
      </c>
      <c r="BA2765" s="1">
        <v>24.8</v>
      </c>
      <c r="BB2765" s="1">
        <v>2.85</v>
      </c>
      <c r="BC2765" s="1" t="s">
        <v>4123</v>
      </c>
      <c r="BD2765" s="1">
        <v>13.4</v>
      </c>
      <c r="BE2765" s="1">
        <v>31.7</v>
      </c>
      <c r="BF2765" s="1">
        <v>31.8</v>
      </c>
      <c r="BG2765" s="1">
        <v>23.1</v>
      </c>
      <c r="BH2765" s="1" t="s">
        <v>4516</v>
      </c>
    </row>
    <row r="2766">
      <c r="A2766" s="1">
        <v>48487.0</v>
      </c>
      <c r="B2766" s="2" t="str">
        <f>IFERROR(__xludf.DUMMYFUNCTION("TO_TEXT(A2766)"),"48487")</f>
        <v>48487</v>
      </c>
      <c r="C2766" s="1">
        <v>13061.0</v>
      </c>
      <c r="D2766" s="1">
        <v>970.867409946262</v>
      </c>
      <c r="E2766" s="1" t="s">
        <v>4517</v>
      </c>
      <c r="F2766" s="1" t="s">
        <v>4518</v>
      </c>
      <c r="G2766" s="1">
        <v>13.4529183554765</v>
      </c>
      <c r="H2766" s="1">
        <v>21.00965408</v>
      </c>
      <c r="I2766" s="1">
        <v>4.29040284779999</v>
      </c>
      <c r="J2766" s="1">
        <v>8.5237258348</v>
      </c>
      <c r="K2766" s="1">
        <v>16.160630403</v>
      </c>
      <c r="L2766" s="1">
        <v>34.1</v>
      </c>
      <c r="M2766" s="1">
        <v>6.5</v>
      </c>
      <c r="N2766" s="1">
        <v>28.6</v>
      </c>
      <c r="O2766" s="1">
        <v>28.518655338</v>
      </c>
      <c r="P2766" s="1">
        <v>21.949550254</v>
      </c>
      <c r="Q2766" s="1">
        <v>47.00721</v>
      </c>
      <c r="R2766" s="1">
        <v>84.7</v>
      </c>
      <c r="S2766" s="1">
        <v>23.6</v>
      </c>
      <c r="T2766" s="1">
        <v>2872.0</v>
      </c>
      <c r="U2766" s="1">
        <v>47.353760446</v>
      </c>
      <c r="V2766" s="1">
        <v>322.69217471</v>
      </c>
      <c r="W2766" s="1">
        <v>13.314176245</v>
      </c>
      <c r="X2766" s="1">
        <v>8.5714285714</v>
      </c>
      <c r="Y2766" s="1">
        <v>76.004375551</v>
      </c>
      <c r="Z2766" s="1">
        <v>14.4</v>
      </c>
      <c r="AA2766" s="1">
        <v>12.589786486</v>
      </c>
      <c r="AB2766" s="1">
        <v>44735.0</v>
      </c>
      <c r="AC2766" s="1">
        <v>60.43814433</v>
      </c>
      <c r="AD2766" s="1">
        <v>62.720881626</v>
      </c>
      <c r="AE2766" s="1">
        <v>8.32340087409999</v>
      </c>
      <c r="AF2766" s="1">
        <v>7.3946957878</v>
      </c>
      <c r="AG2766" s="1">
        <v>1.69266770669999</v>
      </c>
      <c r="AH2766" s="1">
        <v>2.8081123245</v>
      </c>
      <c r="AI2766" s="1">
        <v>0.0702028081</v>
      </c>
      <c r="AJ2766" s="1">
        <v>29.516380655</v>
      </c>
      <c r="AK2766" s="1">
        <v>57.620904836</v>
      </c>
      <c r="AL2766" s="1">
        <v>3.0000817461</v>
      </c>
      <c r="AM2766" s="1">
        <v>50.483619345</v>
      </c>
      <c r="AN2766" s="1">
        <v>21.891392686</v>
      </c>
      <c r="AO2766" s="1">
        <v>21638.0</v>
      </c>
      <c r="AP2766" s="1">
        <v>16.4</v>
      </c>
      <c r="AQ2766" s="1">
        <v>6.1</v>
      </c>
      <c r="AR2766" s="1">
        <v>22.0</v>
      </c>
      <c r="AS2766" s="1">
        <v>16.6</v>
      </c>
      <c r="AT2766" s="1">
        <v>23.6</v>
      </c>
      <c r="AU2766" s="1">
        <v>19.8</v>
      </c>
      <c r="AV2766" s="1">
        <v>39.8</v>
      </c>
      <c r="AW2766" s="1">
        <v>2.1</v>
      </c>
      <c r="AX2766" s="1">
        <v>0.9013</v>
      </c>
      <c r="AY2766" s="1">
        <v>14.9</v>
      </c>
      <c r="AZ2766" s="1">
        <v>18.5</v>
      </c>
      <c r="BA2766" s="1">
        <v>27.1</v>
      </c>
      <c r="BB2766" s="1">
        <v>2.88</v>
      </c>
      <c r="BC2766" s="1" t="s">
        <v>4123</v>
      </c>
      <c r="BD2766" s="1">
        <v>22.8</v>
      </c>
      <c r="BE2766" s="1">
        <v>34.0</v>
      </c>
      <c r="BF2766" s="1">
        <v>28.0</v>
      </c>
      <c r="BG2766" s="1">
        <v>15.2</v>
      </c>
      <c r="BH2766" s="1" t="s">
        <v>4518</v>
      </c>
    </row>
    <row r="2767">
      <c r="A2767" s="1">
        <v>48489.0</v>
      </c>
      <c r="B2767" s="2" t="str">
        <f>IFERROR(__xludf.DUMMYFUNCTION("TO_TEXT(A2767)"),"48489")</f>
        <v>48489</v>
      </c>
      <c r="C2767" s="1">
        <v>21944.0</v>
      </c>
      <c r="D2767" s="1">
        <v>590.586224238554</v>
      </c>
      <c r="E2767" s="1" t="s">
        <v>4519</v>
      </c>
      <c r="F2767" s="1" t="s">
        <v>4520</v>
      </c>
      <c r="G2767" s="1">
        <v>37.1563018224689</v>
      </c>
      <c r="H2767" s="1">
        <v>37.482950081</v>
      </c>
      <c r="I2767" s="1">
        <v>4.5407004925</v>
      </c>
      <c r="J2767" s="1">
        <v>8.6486486486</v>
      </c>
      <c r="K2767" s="1">
        <v>18.972376919</v>
      </c>
      <c r="L2767" s="1">
        <v>40.3</v>
      </c>
      <c r="M2767" s="1">
        <v>7.3</v>
      </c>
      <c r="N2767" s="1">
        <v>28.5</v>
      </c>
      <c r="O2767" s="1">
        <v>33.514050782</v>
      </c>
      <c r="P2767" s="1">
        <v>22.316402887</v>
      </c>
      <c r="Q2767" s="1">
        <v>37.06449</v>
      </c>
      <c r="R2767" s="1">
        <v>88.3</v>
      </c>
      <c r="S2767" s="1">
        <v>44.5</v>
      </c>
      <c r="T2767" s="1">
        <v>5212.0</v>
      </c>
      <c r="U2767" s="1">
        <v>45.60629317</v>
      </c>
      <c r="V2767" s="1">
        <v>730.77713581</v>
      </c>
      <c r="W2767" s="1">
        <v>17.155172414</v>
      </c>
      <c r="X2767" s="1">
        <v>9.4259259259</v>
      </c>
      <c r="Y2767" s="1">
        <v>77.663524446</v>
      </c>
      <c r="Z2767" s="1">
        <v>24.0</v>
      </c>
      <c r="AA2767" s="1">
        <v>8.7546476974</v>
      </c>
      <c r="AB2767" s="1">
        <v>33171.0</v>
      </c>
      <c r="AC2767" s="1">
        <v>82.95059151</v>
      </c>
      <c r="AD2767" s="1">
        <v>74.784853701</v>
      </c>
      <c r="AE2767" s="1">
        <v>10.879454132</v>
      </c>
      <c r="AF2767" s="1">
        <v>1.9428305833</v>
      </c>
      <c r="AG2767" s="1">
        <v>0.6971880084</v>
      </c>
      <c r="AH2767" s="1">
        <v>0.8738089705</v>
      </c>
      <c r="AI2767" s="1">
        <v>0.0604229607</v>
      </c>
      <c r="AJ2767" s="1">
        <v>88.403439461</v>
      </c>
      <c r="AK2767" s="1">
        <v>8.6451313037</v>
      </c>
      <c r="AL2767" s="1">
        <v>11.22519159</v>
      </c>
      <c r="AM2767" s="1">
        <v>44.722286777</v>
      </c>
      <c r="AN2767" s="1">
        <v>34.57576579</v>
      </c>
      <c r="AO2767" s="1">
        <v>12564.0</v>
      </c>
      <c r="AP2767" s="1">
        <v>37.2</v>
      </c>
      <c r="AQ2767" s="1">
        <v>13.4</v>
      </c>
      <c r="AR2767" s="1">
        <v>36.9</v>
      </c>
      <c r="AS2767" s="1">
        <v>14.0</v>
      </c>
      <c r="AT2767" s="1">
        <v>25.1</v>
      </c>
      <c r="AU2767" s="1">
        <v>18.2</v>
      </c>
      <c r="AV2767" s="1">
        <v>88.9</v>
      </c>
      <c r="AW2767" s="1">
        <v>12.3</v>
      </c>
      <c r="AX2767" s="1">
        <v>0.9952</v>
      </c>
      <c r="AY2767" s="1">
        <v>30.5</v>
      </c>
      <c r="AZ2767" s="1">
        <v>21.0</v>
      </c>
      <c r="BA2767" s="1">
        <v>33.9</v>
      </c>
      <c r="BB2767" s="1">
        <v>2.17</v>
      </c>
      <c r="BC2767" s="1" t="s">
        <v>4123</v>
      </c>
      <c r="BD2767" s="1">
        <v>34.3</v>
      </c>
      <c r="BE2767" s="1">
        <v>35.7</v>
      </c>
      <c r="BF2767" s="1">
        <v>21.2</v>
      </c>
      <c r="BG2767" s="1">
        <v>8.9</v>
      </c>
      <c r="BH2767" s="1" t="s">
        <v>4520</v>
      </c>
    </row>
    <row r="2768">
      <c r="A2768" s="1">
        <v>48491.0</v>
      </c>
      <c r="B2768" s="2" t="str">
        <f>IFERROR(__xludf.DUMMYFUNCTION("TO_TEXT(A2768)"),"48491")</f>
        <v>48491</v>
      </c>
      <c r="C2768" s="1">
        <v>490619.0</v>
      </c>
      <c r="D2768" s="1">
        <v>1118.33259970725</v>
      </c>
      <c r="E2768" s="1" t="s">
        <v>1302</v>
      </c>
      <c r="F2768" s="1" t="s">
        <v>4521</v>
      </c>
      <c r="G2768" s="1">
        <v>438.70580194875</v>
      </c>
      <c r="H2768" s="1">
        <v>15.092646502</v>
      </c>
      <c r="I2768" s="1">
        <v>3.731825483</v>
      </c>
      <c r="J2768" s="1">
        <v>7.39431103549999</v>
      </c>
      <c r="K2768" s="1">
        <v>12.565249776</v>
      </c>
      <c r="L2768" s="1">
        <v>30.0</v>
      </c>
      <c r="M2768" s="1">
        <v>7.7</v>
      </c>
      <c r="N2768" s="1">
        <v>19.8</v>
      </c>
      <c r="O2768" s="1">
        <v>87.269298924</v>
      </c>
      <c r="P2768" s="1">
        <v>11.404540581</v>
      </c>
      <c r="Q2768" s="1">
        <v>68.67015</v>
      </c>
      <c r="R2768" s="1">
        <v>94.7</v>
      </c>
      <c r="S2768" s="1">
        <v>7.9</v>
      </c>
      <c r="T2768" s="1">
        <v>137654.0</v>
      </c>
      <c r="U2768" s="1">
        <v>21.57147631</v>
      </c>
      <c r="V2768" s="1">
        <v>164.90051101</v>
      </c>
      <c r="W2768" s="1">
        <v>12.340940003</v>
      </c>
      <c r="X2768" s="1">
        <v>9.9292941607</v>
      </c>
      <c r="Y2768" s="1">
        <v>81.9852930489999</v>
      </c>
      <c r="Z2768" s="1">
        <v>8.9</v>
      </c>
      <c r="AA2768" s="1">
        <v>7.9937750446</v>
      </c>
      <c r="AB2768" s="1">
        <v>87817.0</v>
      </c>
      <c r="AC2768" s="1">
        <v>29.369333598</v>
      </c>
      <c r="AD2768" s="1">
        <v>68.794991817</v>
      </c>
      <c r="AE2768" s="1">
        <v>10.100611102</v>
      </c>
      <c r="AF2768" s="1">
        <v>6.5240445441</v>
      </c>
      <c r="AG2768" s="1">
        <v>0.8635673058</v>
      </c>
      <c r="AH2768" s="1">
        <v>7.6681741745</v>
      </c>
      <c r="AI2768" s="1">
        <v>0.1589853172</v>
      </c>
      <c r="AJ2768" s="1">
        <v>24.762007273</v>
      </c>
      <c r="AK2768" s="1">
        <v>58.649171812</v>
      </c>
      <c r="AL2768" s="1">
        <v>2.97202655</v>
      </c>
      <c r="AM2768" s="1">
        <v>50.755665506</v>
      </c>
      <c r="AN2768" s="1">
        <v>11.98994982</v>
      </c>
      <c r="AO2768" s="1">
        <v>32705.0</v>
      </c>
      <c r="AP2768" s="1">
        <v>7.2</v>
      </c>
      <c r="AQ2768" s="1">
        <v>5.3</v>
      </c>
      <c r="AR2768" s="1">
        <v>7.1</v>
      </c>
      <c r="AS2768" s="1">
        <v>10.9</v>
      </c>
      <c r="AT2768" s="1">
        <v>27.1</v>
      </c>
      <c r="AU2768" s="1">
        <v>9.3</v>
      </c>
      <c r="AV2768" s="1">
        <v>38.3</v>
      </c>
      <c r="AW2768" s="1">
        <v>3.2</v>
      </c>
      <c r="AX2768" s="1">
        <v>0.1917</v>
      </c>
      <c r="AY2768" s="1">
        <v>5.4</v>
      </c>
      <c r="AZ2768" s="1">
        <v>11.2</v>
      </c>
      <c r="BA2768" s="1">
        <v>16.0</v>
      </c>
      <c r="BB2768" s="1">
        <v>3.23</v>
      </c>
      <c r="BC2768" s="1" t="s">
        <v>4123</v>
      </c>
      <c r="BD2768" s="1">
        <v>6.8</v>
      </c>
      <c r="BE2768" s="1">
        <v>20.5</v>
      </c>
      <c r="BF2768" s="1">
        <v>31.4</v>
      </c>
      <c r="BG2768" s="1">
        <v>41.3</v>
      </c>
      <c r="BH2768" s="1" t="s">
        <v>4521</v>
      </c>
    </row>
    <row r="2769">
      <c r="A2769" s="1">
        <v>48493.0</v>
      </c>
      <c r="B2769" s="2" t="str">
        <f>IFERROR(__xludf.DUMMYFUNCTION("TO_TEXT(A2769)"),"48493")</f>
        <v>48493</v>
      </c>
      <c r="C2769" s="1">
        <v>46444.0</v>
      </c>
      <c r="D2769" s="1">
        <v>803.734187394087</v>
      </c>
      <c r="E2769" s="1" t="s">
        <v>1754</v>
      </c>
      <c r="F2769" s="1" t="s">
        <v>4522</v>
      </c>
      <c r="G2769" s="1">
        <v>57.7852736992354</v>
      </c>
      <c r="H2769" s="1">
        <v>17.345491405</v>
      </c>
      <c r="I2769" s="1">
        <v>3.7934069526</v>
      </c>
      <c r="J2769" s="1">
        <v>7.1641791045</v>
      </c>
      <c r="K2769" s="1">
        <v>13.170295705</v>
      </c>
      <c r="L2769" s="1">
        <v>33.5</v>
      </c>
      <c r="M2769" s="1">
        <v>8.8</v>
      </c>
      <c r="N2769" s="1">
        <v>33.9</v>
      </c>
      <c r="O2769" s="1">
        <v>31.553194464</v>
      </c>
      <c r="P2769" s="1">
        <v>16.586023447</v>
      </c>
      <c r="Q2769" s="1">
        <v>48.67759</v>
      </c>
      <c r="R2769" s="1">
        <v>94.4</v>
      </c>
      <c r="S2769" s="1">
        <v>14.6</v>
      </c>
      <c r="T2769" s="1">
        <v>11752.0</v>
      </c>
      <c r="U2769" s="1">
        <v>24.115044248</v>
      </c>
      <c r="V2769" s="1">
        <v>135.19651024</v>
      </c>
      <c r="W2769" s="1">
        <v>12.342487884</v>
      </c>
      <c r="X2769" s="1">
        <v>8.0377481289</v>
      </c>
      <c r="Y2769" s="1">
        <v>79.512737001</v>
      </c>
      <c r="Z2769" s="1">
        <v>12.7</v>
      </c>
      <c r="AA2769" s="1">
        <v>1.3089763296</v>
      </c>
      <c r="AB2769" s="1">
        <v>71207.0</v>
      </c>
      <c r="AC2769" s="1">
        <v>40.26446281</v>
      </c>
      <c r="AD2769" s="1">
        <v>82.781289507</v>
      </c>
      <c r="AE2769" s="1">
        <v>8.8659520974</v>
      </c>
      <c r="AF2769" s="1">
        <v>1.4475151322</v>
      </c>
      <c r="AG2769" s="1">
        <v>0.991557821</v>
      </c>
      <c r="AH2769" s="1">
        <v>0.5953329086</v>
      </c>
      <c r="AI2769" s="1">
        <v>0.0816342784</v>
      </c>
      <c r="AJ2769" s="1">
        <v>39.998805352</v>
      </c>
      <c r="AK2769" s="1">
        <v>56.721885951</v>
      </c>
      <c r="AL2769" s="1">
        <v>3.348332451</v>
      </c>
      <c r="AM2769" s="1">
        <v>49.874561962</v>
      </c>
      <c r="AN2769" s="1">
        <v>85.861410131</v>
      </c>
      <c r="AO2769" s="1">
        <v>28419.0</v>
      </c>
      <c r="AP2769" s="1">
        <v>10.5</v>
      </c>
      <c r="AQ2769" s="1">
        <v>6.2</v>
      </c>
      <c r="AR2769" s="1">
        <v>15.1</v>
      </c>
      <c r="AS2769" s="1">
        <v>14.6</v>
      </c>
      <c r="AT2769" s="1">
        <v>24.8</v>
      </c>
      <c r="AU2769" s="1">
        <v>12.1</v>
      </c>
      <c r="AV2769" s="1">
        <v>41.9</v>
      </c>
      <c r="AW2769" s="1">
        <v>2.7</v>
      </c>
      <c r="AX2769" s="1">
        <v>0.4346</v>
      </c>
      <c r="AY2769" s="1">
        <v>8.3</v>
      </c>
      <c r="AZ2769" s="1">
        <v>11.4</v>
      </c>
      <c r="BA2769" s="1">
        <v>17.4</v>
      </c>
      <c r="BB2769" s="1">
        <v>2.67</v>
      </c>
      <c r="BC2769" s="1" t="s">
        <v>4123</v>
      </c>
      <c r="BD2769" s="1">
        <v>12.4</v>
      </c>
      <c r="BE2769" s="1">
        <v>36.1</v>
      </c>
      <c r="BF2769" s="1">
        <v>29.7</v>
      </c>
      <c r="BG2769" s="1">
        <v>21.8</v>
      </c>
      <c r="BH2769" s="1" t="s">
        <v>4522</v>
      </c>
    </row>
    <row r="2770">
      <c r="A2770" s="1">
        <v>48495.0</v>
      </c>
      <c r="B2770" s="2" t="str">
        <f>IFERROR(__xludf.DUMMYFUNCTION("TO_TEXT(A2770)"),"48495")</f>
        <v>48495</v>
      </c>
      <c r="C2770" s="1">
        <v>7723.0</v>
      </c>
      <c r="D2770" s="1">
        <v>841.116122800504</v>
      </c>
      <c r="E2770" s="1" t="s">
        <v>4523</v>
      </c>
      <c r="F2770" s="1" t="s">
        <v>4524</v>
      </c>
      <c r="G2770" s="1">
        <v>9.18184753644502</v>
      </c>
      <c r="H2770" s="1">
        <v>23.752164326</v>
      </c>
      <c r="I2770" s="1">
        <v>4.0032127182</v>
      </c>
      <c r="J2770" s="1">
        <v>7.4324324324</v>
      </c>
      <c r="K2770" s="1">
        <v>15.13600526</v>
      </c>
      <c r="L2770" s="1">
        <v>37.4</v>
      </c>
      <c r="M2770" s="1">
        <v>8.7</v>
      </c>
      <c r="N2770" s="1">
        <v>25.7</v>
      </c>
      <c r="O2770" s="1">
        <v>97.566807314</v>
      </c>
      <c r="P2770" s="1">
        <v>21.693771095</v>
      </c>
      <c r="Q2770" s="1">
        <v>26.40613</v>
      </c>
      <c r="R2770" s="1">
        <v>99.0</v>
      </c>
      <c r="S2770" s="1">
        <v>20.1</v>
      </c>
      <c r="T2770" s="1">
        <v>2353.0</v>
      </c>
      <c r="U2770" s="1">
        <v>26.731831704</v>
      </c>
      <c r="V2770" s="1">
        <v>125.16427812</v>
      </c>
      <c r="W2770" s="1">
        <v>12.3809523809999</v>
      </c>
      <c r="X2770" s="1">
        <v>7.0363288719</v>
      </c>
      <c r="Y2770" s="1">
        <v>74.577652699</v>
      </c>
      <c r="Z2770" s="1">
        <v>9.7</v>
      </c>
      <c r="AA2770" s="1">
        <v>0.2816899257</v>
      </c>
      <c r="AB2770" s="1">
        <v>56781.0</v>
      </c>
      <c r="AC2770" s="1">
        <v>60.259179266</v>
      </c>
      <c r="AD2770" s="1">
        <v>81.609642302</v>
      </c>
      <c r="AE2770" s="1">
        <v>8.1526104418</v>
      </c>
      <c r="AF2770" s="1">
        <v>2.0336787565</v>
      </c>
      <c r="AG2770" s="1">
        <v>2.0466321244</v>
      </c>
      <c r="AH2770" s="1">
        <v>0.9067357513</v>
      </c>
      <c r="AI2770" s="1">
        <v>0.0388601036</v>
      </c>
      <c r="AJ2770" s="1">
        <v>60.8290155439999</v>
      </c>
      <c r="AK2770" s="1">
        <v>34.857512953</v>
      </c>
      <c r="AL2770" s="1">
        <v>9.81406402909999</v>
      </c>
      <c r="AM2770" s="1">
        <v>48.691709845</v>
      </c>
      <c r="AN2770" s="1">
        <v>18.129395218</v>
      </c>
      <c r="AO2770" s="1">
        <v>23051.0</v>
      </c>
      <c r="AP2770" s="1">
        <v>17.3</v>
      </c>
      <c r="AQ2770" s="1">
        <v>4.1</v>
      </c>
      <c r="AR2770" s="1">
        <v>31.9</v>
      </c>
      <c r="AS2770" s="1">
        <v>11.1</v>
      </c>
      <c r="AT2770" s="1">
        <v>29.9</v>
      </c>
      <c r="AU2770" s="1">
        <v>13.0</v>
      </c>
      <c r="AV2770" s="1">
        <v>62.2</v>
      </c>
      <c r="AW2770" s="1">
        <v>10.4</v>
      </c>
      <c r="AX2770" s="1">
        <v>0.7332</v>
      </c>
      <c r="AY2770" s="1">
        <v>12.5</v>
      </c>
      <c r="AZ2770" s="1">
        <v>12.0</v>
      </c>
      <c r="BA2770" s="1">
        <v>17.7</v>
      </c>
      <c r="BB2770" s="1">
        <v>2.95</v>
      </c>
      <c r="BC2770" s="1" t="s">
        <v>4123</v>
      </c>
      <c r="BD2770" s="1">
        <v>30.8</v>
      </c>
      <c r="BE2770" s="1">
        <v>30.3</v>
      </c>
      <c r="BF2770" s="1">
        <v>30.7</v>
      </c>
      <c r="BG2770" s="1">
        <v>8.2</v>
      </c>
      <c r="BH2770" s="1" t="s">
        <v>4524</v>
      </c>
    </row>
    <row r="2771">
      <c r="A2771" s="1">
        <v>48497.0</v>
      </c>
      <c r="B2771" s="2" t="str">
        <f>IFERROR(__xludf.DUMMYFUNCTION("TO_TEXT(A2771)"),"48497")</f>
        <v>48497</v>
      </c>
      <c r="C2771" s="1">
        <v>62089.0</v>
      </c>
      <c r="D2771" s="1">
        <v>904.391242887856</v>
      </c>
      <c r="E2771" s="1" t="s">
        <v>4525</v>
      </c>
      <c r="F2771" s="1" t="s">
        <v>4526</v>
      </c>
      <c r="G2771" s="1">
        <v>68.6528098190564</v>
      </c>
      <c r="H2771" s="1">
        <v>16.5586819229999</v>
      </c>
      <c r="I2771" s="1">
        <v>3.8811884726</v>
      </c>
      <c r="J2771" s="1">
        <v>6.3923585599</v>
      </c>
      <c r="K2771" s="1">
        <v>14.610213349</v>
      </c>
      <c r="L2771" s="1">
        <v>33.3</v>
      </c>
      <c r="M2771" s="1">
        <v>7.8</v>
      </c>
      <c r="N2771" s="1">
        <v>30.7</v>
      </c>
      <c r="O2771" s="1">
        <v>38.410540024</v>
      </c>
      <c r="P2771" s="1">
        <v>22.697054319</v>
      </c>
      <c r="Q2771" s="1">
        <v>40.79721</v>
      </c>
      <c r="R2771" s="1">
        <v>96.6</v>
      </c>
      <c r="S2771" s="1">
        <v>14.1</v>
      </c>
      <c r="T2771" s="1">
        <v>15965.0</v>
      </c>
      <c r="U2771" s="1">
        <v>24.84810523</v>
      </c>
      <c r="V2771" s="1">
        <v>161.85874436</v>
      </c>
      <c r="W2771" s="1">
        <v>12.695449242</v>
      </c>
      <c r="X2771" s="1">
        <v>8.9260480452</v>
      </c>
      <c r="Y2771" s="1">
        <v>76.231586933</v>
      </c>
      <c r="Z2771" s="1">
        <v>20.5</v>
      </c>
      <c r="AA2771" s="1">
        <v>1.817148768</v>
      </c>
      <c r="AB2771" s="1">
        <v>66387.0</v>
      </c>
      <c r="AC2771" s="1">
        <v>46.325243976</v>
      </c>
      <c r="AD2771" s="1">
        <v>76.911231884</v>
      </c>
      <c r="AE2771" s="1">
        <v>10.384269982</v>
      </c>
      <c r="AF2771" s="1">
        <v>1.2956591758</v>
      </c>
      <c r="AG2771" s="1">
        <v>1.109728424</v>
      </c>
      <c r="AH2771" s="1">
        <v>0.6412414904</v>
      </c>
      <c r="AI2771" s="1">
        <v>0.0775931483999999</v>
      </c>
      <c r="AJ2771" s="1">
        <v>19.702803601</v>
      </c>
      <c r="AK2771" s="1">
        <v>76.326769636</v>
      </c>
      <c r="AL2771" s="1">
        <v>2.7860185293</v>
      </c>
      <c r="AM2771" s="1">
        <v>49.9904838589999</v>
      </c>
      <c r="AN2771" s="1">
        <v>72.107497421</v>
      </c>
      <c r="AO2771" s="1">
        <v>27104.0</v>
      </c>
      <c r="AP2771" s="1">
        <v>12.5</v>
      </c>
      <c r="AQ2771" s="1">
        <v>6.6</v>
      </c>
      <c r="AR2771" s="1">
        <v>15.4</v>
      </c>
      <c r="AS2771" s="1">
        <v>14.2</v>
      </c>
      <c r="AT2771" s="1">
        <v>25.3</v>
      </c>
      <c r="AU2771" s="1">
        <v>16.8</v>
      </c>
      <c r="AV2771" s="1">
        <v>22.0</v>
      </c>
      <c r="AW2771" s="1">
        <v>2.4</v>
      </c>
      <c r="AX2771" s="1">
        <v>0.5113</v>
      </c>
      <c r="AY2771" s="1">
        <v>8.3</v>
      </c>
      <c r="AZ2771" s="1">
        <v>14.6</v>
      </c>
      <c r="BA2771" s="1">
        <v>23.2</v>
      </c>
      <c r="BB2771" s="1">
        <v>3.01</v>
      </c>
      <c r="BC2771" s="1" t="s">
        <v>4123</v>
      </c>
      <c r="BD2771" s="1">
        <v>14.7</v>
      </c>
      <c r="BE2771" s="1">
        <v>34.8</v>
      </c>
      <c r="BF2771" s="1">
        <v>32.5</v>
      </c>
      <c r="BG2771" s="1">
        <v>18.0</v>
      </c>
      <c r="BH2771" s="1" t="s">
        <v>4526</v>
      </c>
    </row>
    <row r="2772">
      <c r="A2772" s="1">
        <v>48499.0</v>
      </c>
      <c r="B2772" s="2" t="str">
        <f>IFERROR(__xludf.DUMMYFUNCTION("TO_TEXT(A2772)"),"48499")</f>
        <v>48499</v>
      </c>
      <c r="C2772" s="1">
        <v>43198.0</v>
      </c>
      <c r="D2772" s="1">
        <v>645.2360368437</v>
      </c>
      <c r="E2772" s="1" t="s">
        <v>3537</v>
      </c>
      <c r="F2772" s="1" t="s">
        <v>4527</v>
      </c>
      <c r="G2772" s="1">
        <v>66.9491434658727</v>
      </c>
      <c r="H2772" s="1">
        <v>15.970259565</v>
      </c>
      <c r="I2772" s="1">
        <v>3.9629685407</v>
      </c>
      <c r="J2772" s="1">
        <v>6.2521830248</v>
      </c>
      <c r="K2772" s="1">
        <v>13.611787946</v>
      </c>
      <c r="L2772" s="1">
        <v>28.0</v>
      </c>
      <c r="M2772" s="1">
        <v>7.2</v>
      </c>
      <c r="N2772" s="1">
        <v>31.9</v>
      </c>
      <c r="O2772" s="1">
        <v>39.455247355</v>
      </c>
      <c r="P2772" s="1">
        <v>20.521918648</v>
      </c>
      <c r="Q2772" s="1">
        <v>47.38909</v>
      </c>
      <c r="R2772" s="1">
        <v>94.7</v>
      </c>
      <c r="S2772" s="1">
        <v>24.9</v>
      </c>
      <c r="T2772" s="1">
        <v>8458.0</v>
      </c>
      <c r="U2772" s="1">
        <v>36.072357531</v>
      </c>
      <c r="V2772" s="1">
        <v>175.19840349</v>
      </c>
      <c r="W2772" s="1">
        <v>15.097856477</v>
      </c>
      <c r="X2772" s="1">
        <v>11.511919699</v>
      </c>
      <c r="Y2772" s="1">
        <v>77.027776953</v>
      </c>
      <c r="Z2772" s="1">
        <v>17.9</v>
      </c>
      <c r="AA2772" s="1">
        <v>3.7295378102</v>
      </c>
      <c r="AB2772" s="1">
        <v>48384.0</v>
      </c>
      <c r="AC2772" s="1">
        <v>58.102893891</v>
      </c>
      <c r="AD2772" s="1">
        <v>79.977012885</v>
      </c>
      <c r="AE2772" s="1">
        <v>13.325314933</v>
      </c>
      <c r="AF2772" s="1">
        <v>5.1474661526</v>
      </c>
      <c r="AG2772" s="1">
        <v>1.0414589288</v>
      </c>
      <c r="AH2772" s="1">
        <v>0.580557956099999</v>
      </c>
      <c r="AI2772" s="1">
        <v>0.0664761017999999</v>
      </c>
      <c r="AJ2772" s="1">
        <v>10.270557734</v>
      </c>
      <c r="AK2772" s="1">
        <v>82.166677746</v>
      </c>
      <c r="AL2772" s="1">
        <v>1.5044269021</v>
      </c>
      <c r="AM2772" s="1">
        <v>50.395532806</v>
      </c>
      <c r="AN2772" s="1">
        <v>74.199313697</v>
      </c>
      <c r="AO2772" s="1">
        <v>25353.0</v>
      </c>
      <c r="AP2772" s="1">
        <v>13.3</v>
      </c>
      <c r="AQ2772" s="1">
        <v>9.3</v>
      </c>
      <c r="AR2772" s="1">
        <v>14.9</v>
      </c>
      <c r="AS2772" s="1">
        <v>26.3</v>
      </c>
      <c r="AT2772" s="1">
        <v>19.6</v>
      </c>
      <c r="AU2772" s="1">
        <v>22.0</v>
      </c>
      <c r="AV2772" s="1">
        <v>16.5</v>
      </c>
      <c r="AW2772" s="1">
        <v>1.1</v>
      </c>
      <c r="AX2772" s="1">
        <v>0.5823</v>
      </c>
      <c r="AY2772" s="1">
        <v>14.3</v>
      </c>
      <c r="AZ2772" s="1">
        <v>16.8</v>
      </c>
      <c r="BA2772" s="1">
        <v>27.3</v>
      </c>
      <c r="BB2772" s="1">
        <v>3.07</v>
      </c>
      <c r="BC2772" s="1" t="s">
        <v>4123</v>
      </c>
      <c r="BD2772" s="1">
        <v>15.3</v>
      </c>
      <c r="BE2772" s="1">
        <v>33.4</v>
      </c>
      <c r="BF2772" s="1">
        <v>34.7</v>
      </c>
      <c r="BG2772" s="1">
        <v>16.6</v>
      </c>
      <c r="BH2772" s="1" t="s">
        <v>4527</v>
      </c>
    </row>
    <row r="2773">
      <c r="A2773" s="1">
        <v>48501.0</v>
      </c>
      <c r="B2773" s="2" t="str">
        <f>IFERROR(__xludf.DUMMYFUNCTION("TO_TEXT(A2773)"),"48501")</f>
        <v>48501</v>
      </c>
      <c r="C2773" s="1">
        <v>8316.0</v>
      </c>
      <c r="D2773" s="1">
        <v>799.71473854653</v>
      </c>
      <c r="E2773" s="1" t="s">
        <v>4528</v>
      </c>
      <c r="F2773" s="1" t="s">
        <v>4529</v>
      </c>
      <c r="G2773" s="1">
        <v>10.3987079381758</v>
      </c>
      <c r="H2773" s="1">
        <v>22.3692293019999</v>
      </c>
      <c r="I2773" s="1">
        <v>3.9187845601</v>
      </c>
      <c r="J2773" s="1">
        <v>6.35062611809999</v>
      </c>
      <c r="K2773" s="1">
        <v>13.830263694</v>
      </c>
      <c r="L2773" s="1">
        <v>33.0</v>
      </c>
      <c r="M2773" s="1">
        <v>8.7</v>
      </c>
      <c r="N2773" s="1">
        <v>27.9</v>
      </c>
      <c r="O2773" s="1">
        <v>66.89935271</v>
      </c>
      <c r="P2773" s="1">
        <v>24.194617526</v>
      </c>
      <c r="Q2773" s="1">
        <v>35.01401</v>
      </c>
      <c r="R2773" s="1">
        <v>97.5</v>
      </c>
      <c r="S2773" s="1">
        <v>16.3</v>
      </c>
      <c r="T2773" s="1">
        <v>2827.0</v>
      </c>
      <c r="U2773" s="1">
        <v>9.0555359038</v>
      </c>
      <c r="V2773" s="1">
        <v>182.36366845</v>
      </c>
      <c r="W2773" s="1">
        <v>14.392523364</v>
      </c>
      <c r="X2773" s="1">
        <v>4.9149338374</v>
      </c>
      <c r="Y2773" s="1">
        <v>78.2209672</v>
      </c>
      <c r="Z2773" s="1">
        <v>9.5</v>
      </c>
      <c r="AA2773" s="1">
        <v>6.8616970961</v>
      </c>
      <c r="AB2773" s="1">
        <v>61560.0</v>
      </c>
      <c r="AC2773" s="1">
        <v>56.434253627</v>
      </c>
      <c r="AD2773" s="1">
        <v>79.260089686</v>
      </c>
      <c r="AE2773" s="1">
        <v>4.6948356808</v>
      </c>
      <c r="AF2773" s="1">
        <v>0.9079269002</v>
      </c>
      <c r="AG2773" s="1">
        <v>1.7227330928</v>
      </c>
      <c r="AH2773" s="1">
        <v>0.5354440694</v>
      </c>
      <c r="AI2773" s="1">
        <v>0.0349202654</v>
      </c>
      <c r="AJ2773" s="1">
        <v>66.895588406</v>
      </c>
      <c r="AK2773" s="1">
        <v>30.543592131</v>
      </c>
      <c r="AL2773" s="1">
        <v>14.021571649</v>
      </c>
      <c r="AM2773" s="1">
        <v>48.9582120819999</v>
      </c>
      <c r="AN2773" s="1">
        <v>37.327071963</v>
      </c>
      <c r="AO2773" s="1">
        <v>22871.0</v>
      </c>
      <c r="AP2773" s="1">
        <v>12.0</v>
      </c>
      <c r="AQ2773" s="1">
        <v>9.1</v>
      </c>
      <c r="AR2773" s="1">
        <v>28.6</v>
      </c>
      <c r="AS2773" s="1">
        <v>11.4</v>
      </c>
      <c r="AT2773" s="1">
        <v>32.3</v>
      </c>
      <c r="AU2773" s="1">
        <v>10.9</v>
      </c>
      <c r="AV2773" s="1">
        <v>65.7</v>
      </c>
      <c r="AW2773" s="1">
        <v>16.9</v>
      </c>
      <c r="AX2773" s="1">
        <v>0.7125</v>
      </c>
      <c r="AY2773" s="1">
        <v>10.6</v>
      </c>
      <c r="AZ2773" s="1">
        <v>9.3</v>
      </c>
      <c r="BA2773" s="1">
        <v>13.3</v>
      </c>
      <c r="BB2773" s="1">
        <v>3.08</v>
      </c>
      <c r="BC2773" s="1" t="s">
        <v>4123</v>
      </c>
      <c r="BD2773" s="1">
        <v>36.5</v>
      </c>
      <c r="BE2773" s="1">
        <v>26.2</v>
      </c>
      <c r="BF2773" s="1">
        <v>24.6</v>
      </c>
      <c r="BG2773" s="1">
        <v>12.7</v>
      </c>
      <c r="BH2773" s="1" t="s">
        <v>4529</v>
      </c>
    </row>
    <row r="2774">
      <c r="A2774" s="1">
        <v>48503.0</v>
      </c>
      <c r="B2774" s="2" t="str">
        <f>IFERROR(__xludf.DUMMYFUNCTION("TO_TEXT(A2774)"),"48503")</f>
        <v>48503</v>
      </c>
      <c r="C2774" s="1">
        <v>18275.0</v>
      </c>
      <c r="D2774" s="1">
        <v>914.468641381862</v>
      </c>
      <c r="E2774" s="1" t="s">
        <v>4530</v>
      </c>
      <c r="F2774" s="1" t="s">
        <v>4531</v>
      </c>
      <c r="G2774" s="1">
        <v>19.9842828644013</v>
      </c>
      <c r="H2774" s="1">
        <v>18.090563813</v>
      </c>
      <c r="I2774" s="1">
        <v>4.2318416277</v>
      </c>
      <c r="J2774" s="1">
        <v>4.7433398311</v>
      </c>
      <c r="K2774" s="1">
        <v>15.943558128</v>
      </c>
      <c r="L2774" s="1">
        <v>34.3</v>
      </c>
      <c r="M2774" s="1">
        <v>6.6</v>
      </c>
      <c r="N2774" s="1">
        <v>29.1</v>
      </c>
      <c r="O2774" s="1">
        <v>59.929919137</v>
      </c>
      <c r="P2774" s="1">
        <v>23.0698917169999</v>
      </c>
      <c r="Q2774" s="1">
        <v>66.74454</v>
      </c>
      <c r="R2774" s="1">
        <v>96.7</v>
      </c>
      <c r="S2774" s="1">
        <v>20.4</v>
      </c>
      <c r="T2774" s="1">
        <v>4232.0</v>
      </c>
      <c r="U2774" s="1">
        <v>33.766540643</v>
      </c>
      <c r="V2774" s="1">
        <v>169.44520361</v>
      </c>
      <c r="W2774" s="1">
        <v>9.5871238628</v>
      </c>
      <c r="X2774" s="1">
        <v>6.6995768688</v>
      </c>
      <c r="Y2774" s="1">
        <v>74.358174057</v>
      </c>
      <c r="Z2774" s="1">
        <v>18.8</v>
      </c>
      <c r="AA2774" s="1">
        <v>13.410079015</v>
      </c>
      <c r="AB2774" s="1">
        <v>49301.0</v>
      </c>
      <c r="AC2774" s="1">
        <v>56.629417095</v>
      </c>
      <c r="AD2774" s="1">
        <v>78.071780436</v>
      </c>
      <c r="AE2774" s="1">
        <v>9.2257001647</v>
      </c>
      <c r="AF2774" s="1">
        <v>1.246882793</v>
      </c>
      <c r="AG2774" s="1">
        <v>1.2801330008</v>
      </c>
      <c r="AH2774" s="1">
        <v>0.8700471045</v>
      </c>
      <c r="AI2774" s="1">
        <v>0.0665004156</v>
      </c>
      <c r="AJ2774" s="1">
        <v>19.085619285</v>
      </c>
      <c r="AK2774" s="1">
        <v>77.306733167</v>
      </c>
      <c r="AL2774" s="1">
        <v>1.5275248223</v>
      </c>
      <c r="AM2774" s="1">
        <v>50.473815461</v>
      </c>
      <c r="AN2774" s="1">
        <v>33.568733154</v>
      </c>
      <c r="AO2774" s="1">
        <v>25837.0</v>
      </c>
      <c r="AP2774" s="1">
        <v>15.3</v>
      </c>
      <c r="AQ2774" s="1">
        <v>4.0</v>
      </c>
      <c r="AR2774" s="1">
        <v>18.4</v>
      </c>
      <c r="AS2774" s="1">
        <v>19.4</v>
      </c>
      <c r="AT2774" s="1">
        <v>24.1</v>
      </c>
      <c r="AU2774" s="1">
        <v>15.5</v>
      </c>
      <c r="AV2774" s="1">
        <v>20.9</v>
      </c>
      <c r="AW2774" s="1">
        <v>2.4</v>
      </c>
      <c r="AX2774" s="1">
        <v>0.5899</v>
      </c>
      <c r="AY2774" s="1">
        <v>13.6</v>
      </c>
      <c r="AZ2774" s="1">
        <v>14.0</v>
      </c>
      <c r="BA2774" s="1">
        <v>21.9</v>
      </c>
      <c r="BB2774" s="1">
        <v>2.88</v>
      </c>
      <c r="BC2774" s="1" t="s">
        <v>4123</v>
      </c>
      <c r="BD2774" s="1">
        <v>17.0</v>
      </c>
      <c r="BE2774" s="1">
        <v>33.7</v>
      </c>
      <c r="BF2774" s="1">
        <v>30.0</v>
      </c>
      <c r="BG2774" s="1">
        <v>19.3</v>
      </c>
      <c r="BH2774" s="1" t="s">
        <v>4531</v>
      </c>
    </row>
    <row r="2775">
      <c r="A2775" s="1">
        <v>48505.0</v>
      </c>
      <c r="B2775" s="2" t="str">
        <f>IFERROR(__xludf.DUMMYFUNCTION("TO_TEXT(A2775)"),"48505")</f>
        <v>48505</v>
      </c>
      <c r="C2775" s="1">
        <v>14335.0</v>
      </c>
      <c r="D2775" s="1">
        <v>998.41198029444</v>
      </c>
      <c r="E2775" s="1" t="s">
        <v>4532</v>
      </c>
      <c r="F2775" s="1" t="s">
        <v>4533</v>
      </c>
      <c r="G2775" s="1">
        <v>14.3578004700749</v>
      </c>
      <c r="H2775" s="1">
        <v>35.610705448</v>
      </c>
      <c r="I2775" s="1">
        <v>4.5257966809</v>
      </c>
      <c r="J2775" s="1">
        <v>8.5869565217</v>
      </c>
      <c r="K2775" s="1">
        <v>17.2754876809999</v>
      </c>
      <c r="L2775" s="1">
        <v>31.2</v>
      </c>
      <c r="M2775" s="1">
        <v>6.2</v>
      </c>
      <c r="N2775" s="1">
        <v>19.7</v>
      </c>
      <c r="O2775" s="1">
        <v>45.327436154</v>
      </c>
      <c r="P2775" s="1">
        <v>29.21439597</v>
      </c>
      <c r="Q2775" s="1">
        <v>6.98227</v>
      </c>
      <c r="R2775" s="1">
        <v>90.4</v>
      </c>
      <c r="S2775" s="1">
        <v>49.1</v>
      </c>
      <c r="T2775" s="1">
        <v>4754.0</v>
      </c>
      <c r="U2775" s="1">
        <v>39.882204459</v>
      </c>
      <c r="V2775" s="1">
        <v>96.041709542</v>
      </c>
      <c r="W2775" s="1">
        <v>23.0</v>
      </c>
      <c r="X2775" s="1">
        <v>9.6412556054</v>
      </c>
      <c r="Y2775" s="1">
        <v>78.278232938</v>
      </c>
      <c r="Z2775" s="1">
        <v>4.7</v>
      </c>
      <c r="AA2775" s="1">
        <v>27.0671228209999</v>
      </c>
      <c r="AB2775" s="1">
        <v>33160.0</v>
      </c>
      <c r="AC2775" s="1">
        <v>83.300198807</v>
      </c>
      <c r="AD2775" s="1">
        <v>70.442678774</v>
      </c>
      <c r="AE2775" s="1">
        <v>11.341734618</v>
      </c>
      <c r="AF2775" s="1">
        <v>0.2043692741</v>
      </c>
      <c r="AG2775" s="1">
        <v>0.4792107118</v>
      </c>
      <c r="AH2775" s="1">
        <v>0.2677942213</v>
      </c>
      <c r="AI2775" s="1">
        <v>0.0070472163</v>
      </c>
      <c r="AJ2775" s="1">
        <v>94.59478506</v>
      </c>
      <c r="AK2775" s="1">
        <v>4.7568710359</v>
      </c>
      <c r="AL2775" s="1">
        <v>24.389115856</v>
      </c>
      <c r="AM2775" s="1">
        <v>50.084566596</v>
      </c>
      <c r="AN2775" s="1">
        <v>23.534027679</v>
      </c>
      <c r="AO2775" s="1">
        <v>16007.0</v>
      </c>
      <c r="AP2775" s="1">
        <v>34.1</v>
      </c>
      <c r="AQ2775" s="1">
        <v>12.6</v>
      </c>
      <c r="AR2775" s="1">
        <v>49.7</v>
      </c>
      <c r="AS2775" s="1">
        <v>11.7</v>
      </c>
      <c r="AT2775" s="1">
        <v>33.8</v>
      </c>
      <c r="AU2775" s="1">
        <v>16.2</v>
      </c>
      <c r="AV2775" s="1">
        <v>94.1</v>
      </c>
      <c r="AW2775" s="1">
        <v>25.6</v>
      </c>
      <c r="AX2775" s="1">
        <v>0.9796</v>
      </c>
      <c r="AY2775" s="1">
        <v>30.1</v>
      </c>
      <c r="AZ2775" s="1">
        <v>20.8</v>
      </c>
      <c r="BA2775" s="1">
        <v>31.5</v>
      </c>
      <c r="BB2775" s="1">
        <v>2.42</v>
      </c>
      <c r="BC2775" s="1" t="s">
        <v>4123</v>
      </c>
      <c r="BD2775" s="1">
        <v>38.1</v>
      </c>
      <c r="BE2775" s="1">
        <v>30.8</v>
      </c>
      <c r="BF2775" s="1">
        <v>19.5</v>
      </c>
      <c r="BG2775" s="1">
        <v>11.6</v>
      </c>
      <c r="BH2775" s="1" t="s">
        <v>4533</v>
      </c>
    </row>
    <row r="2776">
      <c r="A2776" s="1">
        <v>48507.0</v>
      </c>
      <c r="B2776" s="2" t="str">
        <f>IFERROR(__xludf.DUMMYFUNCTION("TO_TEXT(A2776)"),"48507")</f>
        <v>48507</v>
      </c>
      <c r="C2776" s="1">
        <v>12107.0</v>
      </c>
      <c r="D2776" s="1">
        <v>1297.40626213165</v>
      </c>
      <c r="E2776" s="1" t="s">
        <v>4534</v>
      </c>
      <c r="F2776" s="1" t="s">
        <v>4535</v>
      </c>
      <c r="G2776" s="1">
        <v>9.33169536279876</v>
      </c>
      <c r="H2776" s="1">
        <v>40.990687303</v>
      </c>
      <c r="I2776" s="1">
        <v>4.8835489362</v>
      </c>
      <c r="J2776" s="1">
        <v>8.8482074752</v>
      </c>
      <c r="K2776" s="1">
        <v>19.871283588</v>
      </c>
      <c r="L2776" s="1">
        <v>24.2</v>
      </c>
      <c r="M2776" s="1">
        <v>6.2</v>
      </c>
      <c r="N2776" s="1">
        <v>20.0</v>
      </c>
      <c r="O2776" s="1">
        <v>58.50817847</v>
      </c>
      <c r="P2776" s="1">
        <v>19.24863247</v>
      </c>
      <c r="Q2776" s="1">
        <v>16.7392</v>
      </c>
      <c r="R2776" s="1">
        <v>92.2</v>
      </c>
      <c r="S2776" s="1">
        <v>44.5</v>
      </c>
      <c r="T2776" s="1">
        <v>3583.0</v>
      </c>
      <c r="U2776" s="1">
        <v>63.04772537</v>
      </c>
      <c r="V2776" s="1">
        <v>176.55367232</v>
      </c>
      <c r="W2776" s="1">
        <v>23.0769230769999</v>
      </c>
      <c r="X2776" s="1">
        <v>15.533980583</v>
      </c>
      <c r="Y2776" s="1">
        <v>75.848908227</v>
      </c>
      <c r="Z2776" s="1">
        <v>4.1</v>
      </c>
      <c r="AA2776" s="1">
        <v>20.188013045</v>
      </c>
      <c r="AB2776" s="1">
        <v>30076.0</v>
      </c>
      <c r="AC2776" s="1">
        <v>79.671618452</v>
      </c>
      <c r="AD2776" s="1">
        <v>70.618409803</v>
      </c>
      <c r="AE2776" s="1">
        <v>9.9392097264</v>
      </c>
      <c r="AF2776" s="1">
        <v>0.5925060502</v>
      </c>
      <c r="AG2776" s="1">
        <v>1.1516314779</v>
      </c>
      <c r="AH2776" s="1">
        <v>0.2586998248</v>
      </c>
      <c r="AI2776" s="1">
        <v>0.1585579571</v>
      </c>
      <c r="AJ2776" s="1">
        <v>93.874655762</v>
      </c>
      <c r="AK2776" s="1">
        <v>5.0154385379</v>
      </c>
      <c r="AL2776" s="1">
        <v>7.9778689988</v>
      </c>
      <c r="AM2776" s="1">
        <v>49.420011683</v>
      </c>
      <c r="AN2776" s="1">
        <v>38.032028775</v>
      </c>
      <c r="AO2776" s="1">
        <v>13393.0</v>
      </c>
      <c r="AP2776" s="1">
        <v>35.8</v>
      </c>
      <c r="AQ2776" s="1">
        <v>12.0</v>
      </c>
      <c r="AR2776" s="1">
        <v>40.8</v>
      </c>
      <c r="AS2776" s="1">
        <v>12.5</v>
      </c>
      <c r="AT2776" s="1">
        <v>30.5</v>
      </c>
      <c r="AU2776" s="1">
        <v>24.4</v>
      </c>
      <c r="AV2776" s="1">
        <v>94.2</v>
      </c>
      <c r="AW2776" s="1">
        <v>9.9</v>
      </c>
      <c r="AX2776" s="1">
        <v>0.9987</v>
      </c>
      <c r="AY2776" s="1">
        <v>29.6</v>
      </c>
      <c r="AZ2776" s="1">
        <v>22.5</v>
      </c>
      <c r="BA2776" s="1">
        <v>39.7</v>
      </c>
      <c r="BB2776" s="1">
        <v>2.43</v>
      </c>
      <c r="BC2776" s="1" t="s">
        <v>4123</v>
      </c>
      <c r="BD2776" s="1">
        <v>33.1</v>
      </c>
      <c r="BE2776" s="1">
        <v>32.7</v>
      </c>
      <c r="BF2776" s="1">
        <v>23.3</v>
      </c>
      <c r="BG2776" s="1">
        <v>10.9</v>
      </c>
      <c r="BH2776" s="1" t="s">
        <v>4535</v>
      </c>
    </row>
    <row r="2777">
      <c r="A2777" s="1">
        <v>49001.0</v>
      </c>
      <c r="B2777" s="2" t="str">
        <f>IFERROR(__xludf.DUMMYFUNCTION("TO_TEXT(A2777)"),"49001")</f>
        <v>49001</v>
      </c>
      <c r="C2777" s="1">
        <v>6437.0</v>
      </c>
      <c r="D2777" s="1">
        <v>2582.89952697682</v>
      </c>
      <c r="E2777" s="1" t="s">
        <v>3547</v>
      </c>
      <c r="F2777" s="1" t="s">
        <v>4536</v>
      </c>
      <c r="G2777" s="1">
        <v>2.4921604316271</v>
      </c>
      <c r="H2777" s="1">
        <v>13.729959845</v>
      </c>
      <c r="I2777" s="1">
        <v>3.8819958928</v>
      </c>
      <c r="J2777" s="1">
        <v>7.95755968169999</v>
      </c>
      <c r="K2777" s="1">
        <v>10.702726876</v>
      </c>
      <c r="L2777" s="1">
        <v>24.6</v>
      </c>
      <c r="M2777" s="1">
        <v>7.9</v>
      </c>
      <c r="N2777" s="1">
        <v>20.1</v>
      </c>
      <c r="O2777" s="1">
        <v>77.6286015989999</v>
      </c>
      <c r="P2777" s="1">
        <v>12.497685614</v>
      </c>
      <c r="Q2777" s="1">
        <v>78.2962699999999</v>
      </c>
      <c r="R2777" s="1">
        <v>85.0</v>
      </c>
      <c r="S2777" s="1">
        <v>13.7</v>
      </c>
      <c r="T2777" s="1">
        <v>2053.0</v>
      </c>
      <c r="U2777" s="1">
        <v>11.495372625</v>
      </c>
      <c r="V2777" s="1">
        <v>53.966540745</v>
      </c>
      <c r="W2777" s="1">
        <v>10.840707965</v>
      </c>
      <c r="X2777" s="1">
        <v>5.1121076233</v>
      </c>
      <c r="Y2777" s="1">
        <v>76.69076433</v>
      </c>
      <c r="Z2777" s="1">
        <v>8.9</v>
      </c>
      <c r="AA2777" s="1">
        <v>3.9754011007</v>
      </c>
      <c r="AB2777" s="1">
        <v>55940.0</v>
      </c>
      <c r="AC2777" s="1">
        <v>48.7049905239999</v>
      </c>
      <c r="AD2777" s="1">
        <v>74.044795784</v>
      </c>
      <c r="AE2777" s="1">
        <v>7.5792374828</v>
      </c>
      <c r="AF2777" s="1">
        <v>0.1823708207</v>
      </c>
      <c r="AG2777" s="1">
        <v>2.2796352584</v>
      </c>
      <c r="AH2777" s="1">
        <v>0.866261398199999</v>
      </c>
      <c r="AI2777" s="1">
        <v>0.3799392097</v>
      </c>
      <c r="AJ2777" s="1">
        <v>11.732522796</v>
      </c>
      <c r="AK2777" s="1">
        <v>84.498480243</v>
      </c>
      <c r="AL2777" s="1">
        <v>2.6548672566</v>
      </c>
      <c r="AM2777" s="1">
        <v>48.9209726439999</v>
      </c>
      <c r="AN2777" s="1">
        <v>56.524362649</v>
      </c>
      <c r="AO2777" s="1">
        <v>21394.0</v>
      </c>
      <c r="AP2777" s="1">
        <v>11.7</v>
      </c>
      <c r="AQ2777" s="1">
        <v>3.7</v>
      </c>
      <c r="AR2777" s="1">
        <v>8.7</v>
      </c>
      <c r="AS2777" s="1">
        <v>13.4</v>
      </c>
      <c r="AT2777" s="1">
        <v>32.3</v>
      </c>
      <c r="AU2777" s="1">
        <v>11.0</v>
      </c>
      <c r="AV2777" s="1">
        <v>11.3</v>
      </c>
      <c r="AW2777" s="1">
        <v>2.0</v>
      </c>
      <c r="AX2777" s="1">
        <v>0.2315</v>
      </c>
      <c r="AY2777" s="1">
        <v>8.9</v>
      </c>
      <c r="AZ2777" s="1">
        <v>11.4</v>
      </c>
      <c r="BA2777" s="1">
        <v>15.0</v>
      </c>
      <c r="BB2777" s="1">
        <v>3.12</v>
      </c>
      <c r="BC2777" s="1" t="s">
        <v>4537</v>
      </c>
      <c r="BD2777" s="1">
        <v>11.1</v>
      </c>
      <c r="BE2777" s="1">
        <v>32.6</v>
      </c>
      <c r="BF2777" s="1">
        <v>35.3</v>
      </c>
      <c r="BG2777" s="1">
        <v>21.1</v>
      </c>
      <c r="BH2777" s="1" t="s">
        <v>4536</v>
      </c>
    </row>
    <row r="2778">
      <c r="A2778" s="1">
        <v>49003.0</v>
      </c>
      <c r="B2778" s="2" t="str">
        <f>IFERROR(__xludf.DUMMYFUNCTION("TO_TEXT(A2778)"),"49003")</f>
        <v>49003</v>
      </c>
      <c r="C2778" s="1">
        <v>51528.0</v>
      </c>
      <c r="D2778" s="1">
        <v>5745.57791834581</v>
      </c>
      <c r="E2778" s="1" t="s">
        <v>4538</v>
      </c>
      <c r="F2778" s="1" t="s">
        <v>4539</v>
      </c>
      <c r="G2778" s="1">
        <v>8.96828843543649</v>
      </c>
      <c r="H2778" s="1">
        <v>13.292846008</v>
      </c>
      <c r="I2778" s="1">
        <v>3.7662431811</v>
      </c>
      <c r="J2778" s="1">
        <v>6.61184762539999</v>
      </c>
      <c r="K2778" s="1">
        <v>9.6577185179</v>
      </c>
      <c r="L2778" s="1">
        <v>32.0</v>
      </c>
      <c r="M2778" s="1">
        <v>7.8</v>
      </c>
      <c r="N2778" s="1">
        <v>22.7</v>
      </c>
      <c r="O2778" s="1">
        <v>76.4002000999999</v>
      </c>
      <c r="P2778" s="1">
        <v>8.7801220949</v>
      </c>
      <c r="Q2778" s="1">
        <v>29.58635</v>
      </c>
      <c r="R2778" s="1">
        <v>84.0</v>
      </c>
      <c r="S2778" s="1">
        <v>9.2</v>
      </c>
      <c r="T2778" s="1">
        <v>16967.0</v>
      </c>
      <c r="U2778" s="1">
        <v>15.07632463</v>
      </c>
      <c r="V2778" s="1">
        <v>130.06112873</v>
      </c>
      <c r="W2778" s="1">
        <v>9.3065145602</v>
      </c>
      <c r="X2778" s="1">
        <v>7.33111178429999</v>
      </c>
      <c r="Y2778" s="1">
        <v>78.662392285</v>
      </c>
      <c r="Z2778" s="1">
        <v>9.0</v>
      </c>
      <c r="AA2778" s="1">
        <v>6.5286511918</v>
      </c>
      <c r="AB2778" s="1">
        <v>62689.0</v>
      </c>
      <c r="AC2778" s="1">
        <v>36.736178468</v>
      </c>
      <c r="AD2778" s="1">
        <v>76.430470466</v>
      </c>
      <c r="AE2778" s="1">
        <v>8.0188401531</v>
      </c>
      <c r="AF2778" s="1">
        <v>0.38944495</v>
      </c>
      <c r="AG2778" s="1">
        <v>1.1501364877</v>
      </c>
      <c r="AH2778" s="1">
        <v>0.9190172884</v>
      </c>
      <c r="AI2778" s="1">
        <v>0.1965423112</v>
      </c>
      <c r="AJ2778" s="1">
        <v>9.5068243858</v>
      </c>
      <c r="AK2778" s="1">
        <v>86.955414013</v>
      </c>
      <c r="AL2778" s="1">
        <v>1.1562957314</v>
      </c>
      <c r="AM2778" s="1">
        <v>49.3139217469999</v>
      </c>
      <c r="AN2778" s="1">
        <v>31.099549775</v>
      </c>
      <c r="AO2778" s="1">
        <v>21854.0</v>
      </c>
      <c r="AP2778" s="1">
        <v>10.3</v>
      </c>
      <c r="AQ2778" s="1">
        <v>6.0</v>
      </c>
      <c r="AR2778" s="1">
        <v>7.0</v>
      </c>
      <c r="AS2778" s="1">
        <v>12.5</v>
      </c>
      <c r="AT2778" s="1">
        <v>32.8</v>
      </c>
      <c r="AU2778" s="1">
        <v>13.0</v>
      </c>
      <c r="AV2778" s="1">
        <v>12.5</v>
      </c>
      <c r="AW2778" s="1">
        <v>0.9</v>
      </c>
      <c r="AX2778" s="1">
        <v>0.1923</v>
      </c>
      <c r="AY2778" s="1">
        <v>7.5</v>
      </c>
      <c r="AZ2778" s="1">
        <v>11.6</v>
      </c>
      <c r="BA2778" s="1">
        <v>14.6</v>
      </c>
      <c r="BB2778" s="1">
        <v>3.08</v>
      </c>
      <c r="BC2778" s="1" t="s">
        <v>4537</v>
      </c>
      <c r="BD2778" s="1">
        <v>6.9</v>
      </c>
      <c r="BE2778" s="1">
        <v>31.0</v>
      </c>
      <c r="BF2778" s="1">
        <v>38.1</v>
      </c>
      <c r="BG2778" s="1">
        <v>23.9</v>
      </c>
      <c r="BH2778" s="1" t="s">
        <v>4539</v>
      </c>
    </row>
    <row r="2779">
      <c r="A2779" s="1">
        <v>49005.0</v>
      </c>
      <c r="B2779" s="2" t="str">
        <f>IFERROR(__xludf.DUMMYFUNCTION("TO_TEXT(A2779)"),"49005")</f>
        <v>49005</v>
      </c>
      <c r="C2779" s="1">
        <v>118824.0</v>
      </c>
      <c r="D2779" s="1">
        <v>1164.74444814812</v>
      </c>
      <c r="E2779" s="1" t="s">
        <v>4540</v>
      </c>
      <c r="F2779" s="1" t="s">
        <v>4541</v>
      </c>
      <c r="G2779" s="1">
        <v>102.01722806142</v>
      </c>
      <c r="H2779" s="1">
        <v>12.329312929</v>
      </c>
      <c r="I2779" s="1">
        <v>3.7712264792</v>
      </c>
      <c r="J2779" s="1">
        <v>6.43977103039999</v>
      </c>
      <c r="K2779" s="1">
        <v>8.6107850519</v>
      </c>
      <c r="L2779" s="1">
        <v>25.6</v>
      </c>
      <c r="M2779" s="1">
        <v>7.1</v>
      </c>
      <c r="N2779" s="1">
        <v>14.6</v>
      </c>
      <c r="O2779" s="1">
        <v>85.972340577</v>
      </c>
      <c r="P2779" s="1">
        <v>10.115817309</v>
      </c>
      <c r="Q2779" s="1">
        <v>45.80594</v>
      </c>
      <c r="R2779" s="1">
        <v>92.423541698</v>
      </c>
      <c r="S2779" s="1">
        <v>11.6</v>
      </c>
      <c r="T2779" s="1">
        <v>37435.0</v>
      </c>
      <c r="U2779" s="1">
        <v>14.4169894479999</v>
      </c>
      <c r="V2779" s="1">
        <v>65.176058384</v>
      </c>
      <c r="W2779" s="1">
        <v>14.267904142</v>
      </c>
      <c r="X2779" s="1">
        <v>11.500210113</v>
      </c>
      <c r="Y2779" s="1">
        <v>81.401185338</v>
      </c>
      <c r="Z2779" s="1">
        <v>5.8</v>
      </c>
      <c r="AA2779" s="1">
        <v>9.7603704621</v>
      </c>
      <c r="AB2779" s="1">
        <v>60315.0</v>
      </c>
      <c r="AC2779" s="1">
        <v>37.5075895569999</v>
      </c>
      <c r="AD2779" s="1">
        <v>62.613892947</v>
      </c>
      <c r="AE2779" s="1">
        <v>11.830932422</v>
      </c>
      <c r="AF2779" s="1">
        <v>0.8719740611</v>
      </c>
      <c r="AG2779" s="1">
        <v>1.0136304971</v>
      </c>
      <c r="AH2779" s="1">
        <v>2.590738817</v>
      </c>
      <c r="AI2779" s="1">
        <v>0.4918626247</v>
      </c>
      <c r="AJ2779" s="1">
        <v>10.856391853</v>
      </c>
      <c r="AK2779" s="1">
        <v>83.3372682339999</v>
      </c>
      <c r="AL2779" s="1">
        <v>1.8290986439</v>
      </c>
      <c r="AM2779" s="1">
        <v>49.895331633</v>
      </c>
      <c r="AN2779" s="1">
        <v>15.687579889</v>
      </c>
      <c r="AO2779" s="1">
        <v>21055.0</v>
      </c>
      <c r="AP2779" s="1">
        <v>15.0</v>
      </c>
      <c r="AQ2779" s="1">
        <v>4.5</v>
      </c>
      <c r="AR2779" s="1">
        <v>7.0</v>
      </c>
      <c r="AS2779" s="1">
        <v>8.6</v>
      </c>
      <c r="AT2779" s="1">
        <v>31.0</v>
      </c>
      <c r="AU2779" s="1">
        <v>9.0</v>
      </c>
      <c r="AV2779" s="1">
        <v>16.1</v>
      </c>
      <c r="AW2779" s="1">
        <v>1.9</v>
      </c>
      <c r="AX2779" s="1">
        <v>0.3136</v>
      </c>
      <c r="AY2779" s="1">
        <v>13.1</v>
      </c>
      <c r="AZ2779" s="1">
        <v>11.9</v>
      </c>
      <c r="BA2779" s="1">
        <v>13.6</v>
      </c>
      <c r="BB2779" s="1">
        <v>2.9</v>
      </c>
      <c r="BC2779" s="1" t="s">
        <v>4537</v>
      </c>
      <c r="BD2779" s="1">
        <v>6.9</v>
      </c>
      <c r="BE2779" s="1">
        <v>20.2</v>
      </c>
      <c r="BF2779" s="1">
        <v>34.6</v>
      </c>
      <c r="BG2779" s="1">
        <v>38.3</v>
      </c>
      <c r="BH2779" s="1" t="s">
        <v>4541</v>
      </c>
    </row>
    <row r="2780">
      <c r="A2780" s="1">
        <v>49007.0</v>
      </c>
      <c r="B2780" s="2" t="str">
        <f>IFERROR(__xludf.DUMMYFUNCTION("TO_TEXT(A2780)"),"49007")</f>
        <v>49007</v>
      </c>
      <c r="C2780" s="1">
        <v>20733.0</v>
      </c>
      <c r="D2780" s="1">
        <v>1479.18294396272</v>
      </c>
      <c r="E2780" s="1" t="s">
        <v>2716</v>
      </c>
      <c r="F2780" s="1" t="s">
        <v>4542</v>
      </c>
      <c r="G2780" s="1">
        <v>14.0165218133575</v>
      </c>
      <c r="H2780" s="1">
        <v>16.054026363</v>
      </c>
      <c r="I2780" s="1">
        <v>4.2230436444</v>
      </c>
      <c r="J2780" s="1">
        <v>10.447761194</v>
      </c>
      <c r="K2780" s="1">
        <v>12.187792529</v>
      </c>
      <c r="L2780" s="1">
        <v>27.3</v>
      </c>
      <c r="M2780" s="1">
        <v>7.0</v>
      </c>
      <c r="N2780" s="1">
        <v>23.3</v>
      </c>
      <c r="O2780" s="1">
        <v>72.443115451</v>
      </c>
      <c r="P2780" s="1">
        <v>10.312250782</v>
      </c>
      <c r="Q2780" s="1">
        <v>54.20054</v>
      </c>
      <c r="R2780" s="1">
        <v>95.0</v>
      </c>
      <c r="S2780" s="1">
        <v>17.0</v>
      </c>
      <c r="T2780" s="1">
        <v>5395.0</v>
      </c>
      <c r="U2780" s="1">
        <v>27.414272475</v>
      </c>
      <c r="V2780" s="1">
        <v>131.44058885</v>
      </c>
      <c r="W2780" s="1">
        <v>14.009038089</v>
      </c>
      <c r="X2780" s="1">
        <v>10.104302477</v>
      </c>
      <c r="Y2780" s="1">
        <v>75.581990633</v>
      </c>
      <c r="Z2780" s="1">
        <v>9.7</v>
      </c>
      <c r="AA2780" s="1">
        <v>10.736899848</v>
      </c>
      <c r="AB2780" s="1">
        <v>51394.0</v>
      </c>
      <c r="AC2780" s="1">
        <v>47.376349485</v>
      </c>
      <c r="AD2780" s="1">
        <v>72.909229985</v>
      </c>
      <c r="AE2780" s="1">
        <v>12.564068866</v>
      </c>
      <c r="AF2780" s="1">
        <v>0.5476343184</v>
      </c>
      <c r="AG2780" s="1">
        <v>1.51462825</v>
      </c>
      <c r="AH2780" s="1">
        <v>0.685776308599999</v>
      </c>
      <c r="AI2780" s="1">
        <v>0.2516157679</v>
      </c>
      <c r="AJ2780" s="1">
        <v>13.31590113</v>
      </c>
      <c r="AK2780" s="1">
        <v>83.043070699</v>
      </c>
      <c r="AL2780" s="1">
        <v>0.5728400252</v>
      </c>
      <c r="AM2780" s="1">
        <v>50.3428881539999</v>
      </c>
      <c r="AN2780" s="1">
        <v>33.71489978</v>
      </c>
      <c r="AO2780" s="1">
        <v>21953.0</v>
      </c>
      <c r="AP2780" s="1">
        <v>15.5</v>
      </c>
      <c r="AQ2780" s="1">
        <v>7.6</v>
      </c>
      <c r="AR2780" s="1">
        <v>12.1</v>
      </c>
      <c r="AS2780" s="1">
        <v>15.2</v>
      </c>
      <c r="AT2780" s="1">
        <v>26.7</v>
      </c>
      <c r="AU2780" s="1">
        <v>15.2</v>
      </c>
      <c r="AV2780" s="1">
        <v>16.8</v>
      </c>
      <c r="AW2780" s="1">
        <v>0.6</v>
      </c>
      <c r="AX2780" s="1">
        <v>0.6001</v>
      </c>
      <c r="AY2780" s="1">
        <v>16.4</v>
      </c>
      <c r="AZ2780" s="1">
        <v>14.8</v>
      </c>
      <c r="BA2780" s="1">
        <v>18.0</v>
      </c>
      <c r="BB2780" s="1">
        <v>2.95</v>
      </c>
      <c r="BC2780" s="1" t="s">
        <v>4537</v>
      </c>
      <c r="BD2780" s="1">
        <v>8.4</v>
      </c>
      <c r="BE2780" s="1">
        <v>27.1</v>
      </c>
      <c r="BF2780" s="1">
        <v>47.3</v>
      </c>
      <c r="BG2780" s="1">
        <v>17.1</v>
      </c>
      <c r="BH2780" s="1" t="s">
        <v>4542</v>
      </c>
    </row>
    <row r="2781">
      <c r="A2781" s="1">
        <v>49009.0</v>
      </c>
      <c r="B2781" s="2" t="str">
        <f>IFERROR(__xludf.DUMMYFUNCTION("TO_TEXT(A2781)"),"49009")</f>
        <v>49009</v>
      </c>
      <c r="C2781" s="1">
        <v>751.0</v>
      </c>
      <c r="D2781" s="1">
        <v>696.902753581874</v>
      </c>
      <c r="E2781" s="1" t="s">
        <v>4543</v>
      </c>
      <c r="F2781" s="1" t="s">
        <v>4544</v>
      </c>
      <c r="G2781" s="1">
        <v>1.07762524418232</v>
      </c>
      <c r="H2781" s="1">
        <v>9.7085352533</v>
      </c>
      <c r="I2781" s="1">
        <v>3.2408949373</v>
      </c>
      <c r="J2781" s="1">
        <v>7.80443539465</v>
      </c>
      <c r="K2781" s="1">
        <v>7.37151366299999</v>
      </c>
      <c r="L2781" s="1">
        <v>27.8</v>
      </c>
      <c r="M2781" s="1">
        <v>7.0</v>
      </c>
      <c r="N2781" s="1">
        <v>19.8</v>
      </c>
      <c r="O2781" s="1">
        <v>99.338999056</v>
      </c>
      <c r="P2781" s="1">
        <v>8.7516087516</v>
      </c>
      <c r="Q2781" s="1">
        <v>0.0</v>
      </c>
      <c r="R2781" s="1">
        <v>89.912280702</v>
      </c>
      <c r="S2781" s="1">
        <v>7.4</v>
      </c>
      <c r="T2781" s="1">
        <v>122.0</v>
      </c>
      <c r="U2781" s="1">
        <v>3.2786885246</v>
      </c>
      <c r="V2781" s="1">
        <v>87.108013937</v>
      </c>
      <c r="W2781" s="1">
        <v>8.8372093023</v>
      </c>
      <c r="X2781" s="1">
        <v>6.63507109</v>
      </c>
      <c r="Y2781" s="1">
        <v>77.482572377</v>
      </c>
      <c r="Z2781" s="1">
        <v>11.2</v>
      </c>
      <c r="AA2781" s="1">
        <v>20.3672786709999</v>
      </c>
      <c r="AB2781" s="1">
        <v>58910.0</v>
      </c>
      <c r="AC2781" s="1">
        <v>20.833333333</v>
      </c>
      <c r="AD2781" s="1">
        <v>88.965517241</v>
      </c>
      <c r="AE2781" s="1">
        <v>4.3165467626</v>
      </c>
      <c r="AF2781" s="1">
        <v>0.0</v>
      </c>
      <c r="AG2781" s="1">
        <v>1.73469387759999</v>
      </c>
      <c r="AH2781" s="1">
        <v>0.5102040816</v>
      </c>
      <c r="AI2781" s="1">
        <v>0.1020408163</v>
      </c>
      <c r="AJ2781" s="1">
        <v>4.0816326531</v>
      </c>
      <c r="AK2781" s="1">
        <v>92.448979592</v>
      </c>
      <c r="AL2781" s="1">
        <v>0.8517887564</v>
      </c>
      <c r="AM2781" s="1">
        <v>43.265306122</v>
      </c>
      <c r="AN2781" s="1">
        <v>100.0</v>
      </c>
      <c r="AO2781" s="1">
        <v>27182.0</v>
      </c>
      <c r="AP2781" s="1">
        <v>4.8</v>
      </c>
      <c r="AQ2781" s="1">
        <v>4.9</v>
      </c>
      <c r="AR2781" s="1">
        <v>4.9</v>
      </c>
      <c r="AS2781" s="1">
        <v>20.2</v>
      </c>
      <c r="AT2781" s="1">
        <v>19.7</v>
      </c>
      <c r="AU2781" s="1">
        <v>12.4</v>
      </c>
      <c r="AV2781" s="1">
        <v>4.1</v>
      </c>
      <c r="AW2781" s="1">
        <v>0.8</v>
      </c>
      <c r="AX2781" s="1">
        <v>0.0777</v>
      </c>
      <c r="AY2781" s="1">
        <v>6.7</v>
      </c>
      <c r="AZ2781" s="1">
        <v>9.3</v>
      </c>
      <c r="BA2781" s="1">
        <v>17.4</v>
      </c>
      <c r="BB2781" s="1">
        <v>3.47</v>
      </c>
      <c r="BC2781" s="1" t="s">
        <v>4537</v>
      </c>
      <c r="BD2781" s="1">
        <v>6.0</v>
      </c>
      <c r="BE2781" s="1">
        <v>40.0</v>
      </c>
      <c r="BF2781" s="1">
        <v>40.5</v>
      </c>
      <c r="BG2781" s="1">
        <v>13.4</v>
      </c>
      <c r="BH2781" s="1" t="s">
        <v>4544</v>
      </c>
    </row>
    <row r="2782">
      <c r="A2782" s="1">
        <v>49011.0</v>
      </c>
      <c r="B2782" s="2" t="str">
        <f>IFERROR(__xludf.DUMMYFUNCTION("TO_TEXT(A2782)"),"49011")</f>
        <v>49011</v>
      </c>
      <c r="C2782" s="1">
        <v>329292.0</v>
      </c>
      <c r="D2782" s="1">
        <v>299.009909315656</v>
      </c>
      <c r="E2782" s="1" t="s">
        <v>1479</v>
      </c>
      <c r="F2782" s="1" t="s">
        <v>4545</v>
      </c>
      <c r="G2782" s="1">
        <v>1101.27453887281</v>
      </c>
      <c r="H2782" s="1">
        <v>11.089903829</v>
      </c>
      <c r="I2782" s="1">
        <v>3.6789518521</v>
      </c>
      <c r="J2782" s="1">
        <v>6.68076322809999</v>
      </c>
      <c r="K2782" s="1">
        <v>8.8437250992</v>
      </c>
      <c r="L2782" s="1">
        <v>26.3</v>
      </c>
      <c r="M2782" s="1">
        <v>8.1</v>
      </c>
      <c r="N2782" s="1">
        <v>17.7</v>
      </c>
      <c r="O2782" s="1">
        <v>93.949667024</v>
      </c>
      <c r="P2782" s="1">
        <v>6.9584091417</v>
      </c>
      <c r="Q2782" s="1">
        <v>47.4633</v>
      </c>
      <c r="R2782" s="1">
        <v>95.0</v>
      </c>
      <c r="S2782" s="1">
        <v>6.4</v>
      </c>
      <c r="T2782" s="1">
        <v>111032.0</v>
      </c>
      <c r="U2782" s="1">
        <v>14.194106204</v>
      </c>
      <c r="V2782" s="1">
        <v>103.31904982</v>
      </c>
      <c r="W2782" s="1">
        <v>11.156339515</v>
      </c>
      <c r="X2782" s="1">
        <v>8.4652338812</v>
      </c>
      <c r="Y2782" s="1">
        <v>80.559910379</v>
      </c>
      <c r="Z2782" s="1">
        <v>7.6</v>
      </c>
      <c r="AA2782" s="1">
        <v>6.14056982549999</v>
      </c>
      <c r="AB2782" s="1">
        <v>84381.0</v>
      </c>
      <c r="AC2782" s="1">
        <v>21.350321505</v>
      </c>
      <c r="AD2782" s="1">
        <v>77.598794537</v>
      </c>
      <c r="AE2782" s="1">
        <v>7.7535574914</v>
      </c>
      <c r="AF2782" s="1">
        <v>1.2066656621</v>
      </c>
      <c r="AG2782" s="1">
        <v>0.759710332</v>
      </c>
      <c r="AH2782" s="1">
        <v>2.095458513</v>
      </c>
      <c r="AI2782" s="1">
        <v>0.8020744186</v>
      </c>
      <c r="AJ2782" s="1">
        <v>9.9294026664</v>
      </c>
      <c r="AK2782" s="1">
        <v>83.509281715</v>
      </c>
      <c r="AL2782" s="1">
        <v>0.8700412159</v>
      </c>
      <c r="AM2782" s="1">
        <v>49.501724417</v>
      </c>
      <c r="AN2782" s="1">
        <v>0.9194757226</v>
      </c>
      <c r="AO2782" s="1">
        <v>27059.0</v>
      </c>
      <c r="AP2782" s="1">
        <v>7.2</v>
      </c>
      <c r="AQ2782" s="1">
        <v>3.7</v>
      </c>
      <c r="AR2782" s="1">
        <v>4.5</v>
      </c>
      <c r="AS2782" s="1">
        <v>9.1</v>
      </c>
      <c r="AT2782" s="1">
        <v>33.3</v>
      </c>
      <c r="AU2782" s="1">
        <v>9.5</v>
      </c>
      <c r="AV2782" s="1">
        <v>15.3</v>
      </c>
      <c r="AW2782" s="1">
        <v>0.9</v>
      </c>
      <c r="AX2782" s="1">
        <v>0.0961</v>
      </c>
      <c r="AY2782" s="1">
        <v>5.5</v>
      </c>
      <c r="AZ2782" s="1">
        <v>9.5</v>
      </c>
      <c r="BA2782" s="1">
        <v>11.3</v>
      </c>
      <c r="BB2782" s="1">
        <v>3.1</v>
      </c>
      <c r="BC2782" s="1" t="s">
        <v>4537</v>
      </c>
      <c r="BD2782" s="1">
        <v>4.4</v>
      </c>
      <c r="BE2782" s="1">
        <v>21.2</v>
      </c>
      <c r="BF2782" s="1">
        <v>36.7</v>
      </c>
      <c r="BG2782" s="1">
        <v>37.8</v>
      </c>
      <c r="BH2782" s="1" t="s">
        <v>4545</v>
      </c>
    </row>
    <row r="2783">
      <c r="A2783" s="1">
        <v>49013.0</v>
      </c>
      <c r="B2783" s="2" t="str">
        <f>IFERROR(__xludf.DUMMYFUNCTION("TO_TEXT(A2783)"),"49013")</f>
        <v>49013</v>
      </c>
      <c r="C2783" s="1">
        <v>20078.0</v>
      </c>
      <c r="D2783" s="1">
        <v>3235.34251556708</v>
      </c>
      <c r="E2783" s="1" t="s">
        <v>4546</v>
      </c>
      <c r="F2783" s="1" t="s">
        <v>4547</v>
      </c>
      <c r="G2783" s="1">
        <v>6.20583443743384</v>
      </c>
      <c r="H2783" s="1">
        <v>13.79511336</v>
      </c>
      <c r="I2783" s="1">
        <v>3.9625147117</v>
      </c>
      <c r="J2783" s="1">
        <v>7.5471698113</v>
      </c>
      <c r="K2783" s="1">
        <v>11.3474147529999</v>
      </c>
      <c r="L2783" s="1">
        <v>29.6</v>
      </c>
      <c r="M2783" s="1">
        <v>7.3</v>
      </c>
      <c r="N2783" s="1">
        <v>21.9</v>
      </c>
      <c r="O2783" s="1">
        <v>53.555113667</v>
      </c>
      <c r="P2783" s="1">
        <v>15.5422519</v>
      </c>
      <c r="Q2783" s="1">
        <v>44.94158</v>
      </c>
      <c r="R2783" s="1">
        <v>88.0</v>
      </c>
      <c r="S2783" s="1">
        <v>13.6</v>
      </c>
      <c r="T2783" s="1">
        <v>6775.0</v>
      </c>
      <c r="U2783" s="1">
        <v>18.022140221</v>
      </c>
      <c r="V2783" s="1">
        <v>423.89940086</v>
      </c>
      <c r="W2783" s="1">
        <v>13.6882129279999</v>
      </c>
      <c r="X2783" s="1">
        <v>9.2425401683</v>
      </c>
      <c r="Y2783" s="1">
        <v>77.031667208</v>
      </c>
      <c r="Z2783" s="1">
        <v>8.5</v>
      </c>
      <c r="AA2783" s="1">
        <v>7.3956052567</v>
      </c>
      <c r="AB2783" s="1">
        <v>60767.0</v>
      </c>
      <c r="AC2783" s="1">
        <v>42.494172494</v>
      </c>
      <c r="AD2783" s="1">
        <v>74.638771824</v>
      </c>
      <c r="AE2783" s="1">
        <v>9.1455696203</v>
      </c>
      <c r="AF2783" s="1">
        <v>0.3155680224</v>
      </c>
      <c r="AG2783" s="1">
        <v>4.6583850932</v>
      </c>
      <c r="AH2783" s="1">
        <v>0.5009016229</v>
      </c>
      <c r="AI2783" s="1">
        <v>0.3406131036</v>
      </c>
      <c r="AJ2783" s="1">
        <v>8.2999398918</v>
      </c>
      <c r="AK2783" s="1">
        <v>84.96293328</v>
      </c>
      <c r="AL2783" s="1">
        <v>1.2458836443</v>
      </c>
      <c r="AM2783" s="1">
        <v>49.393909036</v>
      </c>
      <c r="AN2783" s="1">
        <v>68.210888375</v>
      </c>
      <c r="AO2783" s="1">
        <v>22941.0</v>
      </c>
      <c r="AP2783" s="1">
        <v>12.1</v>
      </c>
      <c r="AQ2783" s="1">
        <v>5.9</v>
      </c>
      <c r="AR2783" s="1">
        <v>12.7</v>
      </c>
      <c r="AS2783" s="1">
        <v>11.0</v>
      </c>
      <c r="AT2783" s="1">
        <v>34.4</v>
      </c>
      <c r="AU2783" s="1">
        <v>11.1</v>
      </c>
      <c r="AV2783" s="1">
        <v>14.3</v>
      </c>
      <c r="AW2783" s="1">
        <v>1.5</v>
      </c>
      <c r="AX2783" s="1">
        <v>0.3623</v>
      </c>
      <c r="AY2783" s="1">
        <v>14.2</v>
      </c>
      <c r="AZ2783" s="1">
        <v>13.6</v>
      </c>
      <c r="BA2783" s="1">
        <v>17.2</v>
      </c>
      <c r="BB2783" s="1">
        <v>3.43</v>
      </c>
      <c r="BC2783" s="1" t="s">
        <v>4537</v>
      </c>
      <c r="BD2783" s="1">
        <v>11.2</v>
      </c>
      <c r="BE2783" s="1">
        <v>36.7</v>
      </c>
      <c r="BF2783" s="1">
        <v>37.4</v>
      </c>
      <c r="BG2783" s="1">
        <v>14.7</v>
      </c>
      <c r="BH2783" s="1" t="s">
        <v>4547</v>
      </c>
    </row>
    <row r="2784">
      <c r="A2784" s="1">
        <v>49015.0</v>
      </c>
      <c r="B2784" s="2" t="str">
        <f>IFERROR(__xludf.DUMMYFUNCTION("TO_TEXT(A2784)"),"49015")</f>
        <v>49015</v>
      </c>
      <c r="C2784" s="1">
        <v>10570.0</v>
      </c>
      <c r="D2784" s="1">
        <v>4462.27457694019</v>
      </c>
      <c r="E2784" s="1" t="s">
        <v>4548</v>
      </c>
      <c r="F2784" s="1" t="s">
        <v>4549</v>
      </c>
      <c r="G2784" s="1">
        <v>2.36874710817278</v>
      </c>
      <c r="H2784" s="1">
        <v>13.037483004</v>
      </c>
      <c r="I2784" s="1">
        <v>3.8561950116</v>
      </c>
      <c r="J2784" s="1">
        <v>7.62620837809999</v>
      </c>
      <c r="K2784" s="1">
        <v>11.552694972</v>
      </c>
      <c r="L2784" s="1">
        <v>31.0</v>
      </c>
      <c r="M2784" s="1">
        <v>7.9</v>
      </c>
      <c r="N2784" s="1">
        <v>19.5</v>
      </c>
      <c r="O2784" s="1">
        <v>43.3035714289999</v>
      </c>
      <c r="P2784" s="1">
        <v>9.0767198943</v>
      </c>
      <c r="Q2784" s="1">
        <v>9.92359</v>
      </c>
      <c r="R2784" s="1">
        <v>94.0</v>
      </c>
      <c r="S2784" s="1">
        <v>16.6</v>
      </c>
      <c r="T2784" s="1">
        <v>3112.0</v>
      </c>
      <c r="U2784" s="1">
        <v>18.059125964</v>
      </c>
      <c r="V2784" s="1">
        <v>166.60319878</v>
      </c>
      <c r="W2784" s="1">
        <v>9.2460881935</v>
      </c>
      <c r="X2784" s="1">
        <v>5.85365853659999</v>
      </c>
      <c r="Y2784" s="1">
        <v>76.1437036689999</v>
      </c>
      <c r="Z2784" s="1">
        <v>9.8</v>
      </c>
      <c r="AA2784" s="1">
        <v>1.482188448</v>
      </c>
      <c r="AB2784" s="1">
        <v>54213.0</v>
      </c>
      <c r="AC2784" s="1">
        <v>49.65095986</v>
      </c>
      <c r="AD2784" s="1">
        <v>78.796322095</v>
      </c>
      <c r="AE2784" s="1">
        <v>3.9583333333</v>
      </c>
      <c r="AF2784" s="1">
        <v>0.3095666068</v>
      </c>
      <c r="AG2784" s="1">
        <v>1.0884761334</v>
      </c>
      <c r="AH2784" s="1">
        <v>0.5292590373</v>
      </c>
      <c r="AI2784" s="1">
        <v>0.0998601957</v>
      </c>
      <c r="AJ2784" s="1">
        <v>6.2812063112</v>
      </c>
      <c r="AK2784" s="1">
        <v>90.842820052</v>
      </c>
      <c r="AL2784" s="1">
        <v>0.5965463108</v>
      </c>
      <c r="AM2784" s="1">
        <v>48.9714399839999</v>
      </c>
      <c r="AN2784" s="1">
        <v>73.642492711</v>
      </c>
      <c r="AO2784" s="1">
        <v>20280.0</v>
      </c>
      <c r="AP2784" s="1">
        <v>12.0</v>
      </c>
      <c r="AQ2784" s="1">
        <v>4.4</v>
      </c>
      <c r="AR2784" s="1">
        <v>8.0</v>
      </c>
      <c r="AS2784" s="1">
        <v>14.4</v>
      </c>
      <c r="AT2784" s="1">
        <v>31.8</v>
      </c>
      <c r="AU2784" s="1">
        <v>15.7</v>
      </c>
      <c r="AV2784" s="1">
        <v>8.6</v>
      </c>
      <c r="AW2784" s="1">
        <v>0.8</v>
      </c>
      <c r="AX2784" s="1">
        <v>0.212</v>
      </c>
      <c r="AY2784" s="1">
        <v>10.9</v>
      </c>
      <c r="AZ2784" s="1">
        <v>14.1</v>
      </c>
      <c r="BA2784" s="1">
        <v>19.7</v>
      </c>
      <c r="BB2784" s="1">
        <v>3.1</v>
      </c>
      <c r="BC2784" s="1" t="s">
        <v>4537</v>
      </c>
      <c r="BD2784" s="1">
        <v>6.2</v>
      </c>
      <c r="BE2784" s="1">
        <v>30.2</v>
      </c>
      <c r="BF2784" s="1">
        <v>47.3</v>
      </c>
      <c r="BG2784" s="1">
        <v>16.3</v>
      </c>
      <c r="BH2784" s="1" t="s">
        <v>4549</v>
      </c>
    </row>
    <row r="2785">
      <c r="A2785" s="1">
        <v>49017.0</v>
      </c>
      <c r="B2785" s="2" t="str">
        <f>IFERROR(__xludf.DUMMYFUNCTION("TO_TEXT(A2785)"),"49017")</f>
        <v>49017</v>
      </c>
      <c r="C2785" s="1">
        <v>5020.0</v>
      </c>
      <c r="D2785" s="1">
        <v>5175.1461702445</v>
      </c>
      <c r="E2785" s="1" t="s">
        <v>579</v>
      </c>
      <c r="F2785" s="1" t="s">
        <v>4550</v>
      </c>
      <c r="G2785" s="1">
        <v>0.970020910493977</v>
      </c>
      <c r="H2785" s="1">
        <v>14.0578708309999</v>
      </c>
      <c r="I2785" s="1">
        <v>3.9778198432</v>
      </c>
      <c r="J2785" s="1">
        <v>7.2815533981</v>
      </c>
      <c r="K2785" s="1">
        <v>10.320546618</v>
      </c>
      <c r="L2785" s="1">
        <v>24.1</v>
      </c>
      <c r="M2785" s="1">
        <v>5.5</v>
      </c>
      <c r="N2785" s="1">
        <v>22.8</v>
      </c>
      <c r="O2785" s="1">
        <v>39.11446249</v>
      </c>
      <c r="P2785" s="1">
        <v>16.295302013</v>
      </c>
      <c r="Q2785" s="1">
        <v>59.07838</v>
      </c>
      <c r="R2785" s="1">
        <v>93.0</v>
      </c>
      <c r="S2785" s="1">
        <v>19.1</v>
      </c>
      <c r="T2785" s="1">
        <v>1186.0</v>
      </c>
      <c r="U2785" s="1">
        <v>23.355817875</v>
      </c>
      <c r="V2785" s="1">
        <v>204.509002055</v>
      </c>
      <c r="W2785" s="1">
        <v>11.782477341</v>
      </c>
      <c r="X2785" s="1">
        <v>9.1131498471</v>
      </c>
      <c r="Y2785" s="1">
        <v>75.945011883</v>
      </c>
      <c r="Z2785" s="1">
        <v>8.4</v>
      </c>
      <c r="AA2785" s="1">
        <v>25.163438389</v>
      </c>
      <c r="AB2785" s="1">
        <v>51028.0</v>
      </c>
      <c r="AC2785" s="1">
        <v>48.715313464</v>
      </c>
      <c r="AD2785" s="1">
        <v>78.575531304</v>
      </c>
      <c r="AE2785" s="1">
        <v>12.76849642</v>
      </c>
      <c r="AF2785" s="1">
        <v>0.3543307087</v>
      </c>
      <c r="AG2785" s="1">
        <v>2.6771653543</v>
      </c>
      <c r="AH2785" s="1">
        <v>1.5354330709</v>
      </c>
      <c r="AI2785" s="1">
        <v>0.4133858268</v>
      </c>
      <c r="AJ2785" s="1">
        <v>6.2598425197</v>
      </c>
      <c r="AK2785" s="1">
        <v>88.11023622</v>
      </c>
      <c r="AL2785" s="1">
        <v>1.2078830261</v>
      </c>
      <c r="AM2785" s="1">
        <v>47.933070866</v>
      </c>
      <c r="AN2785" s="1">
        <v>100.0</v>
      </c>
      <c r="AO2785" s="1">
        <v>21006.0</v>
      </c>
      <c r="AP2785" s="1">
        <v>13.5</v>
      </c>
      <c r="AQ2785" s="1">
        <v>6.1</v>
      </c>
      <c r="AR2785" s="1">
        <v>9.3</v>
      </c>
      <c r="AS2785" s="1">
        <v>18.9</v>
      </c>
      <c r="AT2785" s="1">
        <v>25.6</v>
      </c>
      <c r="AU2785" s="1">
        <v>15.1</v>
      </c>
      <c r="AV2785" s="1">
        <v>10.0</v>
      </c>
      <c r="AW2785" s="1">
        <v>0.7</v>
      </c>
      <c r="AX2785" s="1">
        <v>0.4355</v>
      </c>
      <c r="AY2785" s="1">
        <v>9.4</v>
      </c>
      <c r="AZ2785" s="1">
        <v>17.0</v>
      </c>
      <c r="BA2785" s="1">
        <v>26.6</v>
      </c>
      <c r="BB2785" s="1">
        <v>3.13</v>
      </c>
      <c r="BC2785" s="1" t="s">
        <v>4537</v>
      </c>
      <c r="BD2785" s="1">
        <v>7.3</v>
      </c>
      <c r="BE2785" s="1">
        <v>36.2</v>
      </c>
      <c r="BF2785" s="1">
        <v>30.6</v>
      </c>
      <c r="BG2785" s="1">
        <v>25.9</v>
      </c>
      <c r="BH2785" s="1" t="s">
        <v>4550</v>
      </c>
    </row>
    <row r="2786">
      <c r="A2786" s="1">
        <v>49019.0</v>
      </c>
      <c r="B2786" s="2" t="str">
        <f>IFERROR(__xludf.DUMMYFUNCTION("TO_TEXT(A2786)"),"49019")</f>
        <v>49019</v>
      </c>
      <c r="C2786" s="1">
        <v>9428.0</v>
      </c>
      <c r="D2786" s="1">
        <v>3672.84839607147</v>
      </c>
      <c r="E2786" s="1" t="s">
        <v>583</v>
      </c>
      <c r="F2786" s="1" t="s">
        <v>4551</v>
      </c>
      <c r="G2786" s="1">
        <v>2.56694504736006</v>
      </c>
      <c r="H2786" s="1">
        <v>13.6840223029999</v>
      </c>
      <c r="I2786" s="1">
        <v>3.9113894956</v>
      </c>
      <c r="J2786" s="1">
        <v>7.9656862745</v>
      </c>
      <c r="K2786" s="1">
        <v>11.110919179</v>
      </c>
      <c r="L2786" s="1">
        <v>23.6</v>
      </c>
      <c r="M2786" s="1">
        <v>7.1</v>
      </c>
      <c r="N2786" s="1">
        <v>14.4</v>
      </c>
      <c r="O2786" s="1">
        <v>95.089430894</v>
      </c>
      <c r="P2786" s="1">
        <v>13.194533146</v>
      </c>
      <c r="Q2786" s="1">
        <v>134.38081</v>
      </c>
      <c r="R2786" s="1">
        <v>83.0</v>
      </c>
      <c r="S2786" s="1">
        <v>16.2</v>
      </c>
      <c r="T2786" s="1">
        <v>1897.0</v>
      </c>
      <c r="U2786" s="1">
        <v>37.743806009</v>
      </c>
      <c r="V2786" s="1">
        <v>268.57654432</v>
      </c>
      <c r="W2786" s="1">
        <v>13.87434555</v>
      </c>
      <c r="X2786" s="1">
        <v>11.0965372509999</v>
      </c>
      <c r="Y2786" s="1">
        <v>77.579456313</v>
      </c>
      <c r="Z2786" s="1">
        <v>9.5</v>
      </c>
      <c r="AA2786" s="1">
        <v>9.1996906588</v>
      </c>
      <c r="AB2786" s="1">
        <v>50750.0</v>
      </c>
      <c r="AC2786" s="1">
        <v>47.580645161</v>
      </c>
      <c r="AD2786" s="1">
        <v>64.727908138</v>
      </c>
      <c r="AE2786" s="1">
        <v>11.0044121459999</v>
      </c>
      <c r="AF2786" s="1">
        <v>0.634985661599999</v>
      </c>
      <c r="AG2786" s="1">
        <v>4.8852929127</v>
      </c>
      <c r="AH2786" s="1">
        <v>1.33142154849999</v>
      </c>
      <c r="AI2786" s="1">
        <v>0.1229004506</v>
      </c>
      <c r="AJ2786" s="1">
        <v>10.89717329</v>
      </c>
      <c r="AK2786" s="1">
        <v>81.7697664889999</v>
      </c>
      <c r="AL2786" s="1">
        <v>3.072533743</v>
      </c>
      <c r="AM2786" s="1">
        <v>49.477673085</v>
      </c>
      <c r="AN2786" s="1">
        <v>25.387533875</v>
      </c>
      <c r="AO2786" s="1">
        <v>23927.0</v>
      </c>
      <c r="AP2786" s="1">
        <v>17.0</v>
      </c>
      <c r="AQ2786" s="1">
        <v>7.3</v>
      </c>
      <c r="AR2786" s="1">
        <v>8.5</v>
      </c>
      <c r="AS2786" s="1">
        <v>15.8</v>
      </c>
      <c r="AT2786" s="1">
        <v>22.5</v>
      </c>
      <c r="AU2786" s="1">
        <v>11.9</v>
      </c>
      <c r="AV2786" s="1">
        <v>12.1</v>
      </c>
      <c r="AW2786" s="1">
        <v>0.0</v>
      </c>
      <c r="AX2786" s="1">
        <v>0.3664</v>
      </c>
      <c r="AY2786" s="1">
        <v>12.2</v>
      </c>
      <c r="AZ2786" s="1">
        <v>13.1</v>
      </c>
      <c r="BA2786" s="1">
        <v>14.5</v>
      </c>
      <c r="BB2786" s="1">
        <v>3.33</v>
      </c>
      <c r="BC2786" s="1" t="s">
        <v>4537</v>
      </c>
      <c r="BD2786" s="1">
        <v>6.7</v>
      </c>
      <c r="BE2786" s="1">
        <v>28.5</v>
      </c>
      <c r="BF2786" s="1">
        <v>36.2</v>
      </c>
      <c r="BG2786" s="1">
        <v>28.6</v>
      </c>
      <c r="BH2786" s="1" t="s">
        <v>4551</v>
      </c>
    </row>
    <row r="2787">
      <c r="A2787" s="1">
        <v>49021.0</v>
      </c>
      <c r="B2787" s="2" t="str">
        <f>IFERROR(__xludf.DUMMYFUNCTION("TO_TEXT(A2787)"),"49021")</f>
        <v>49021</v>
      </c>
      <c r="C2787" s="1">
        <v>47751.0</v>
      </c>
      <c r="D2787" s="1">
        <v>3296.33595275796</v>
      </c>
      <c r="E2787" s="1" t="s">
        <v>2203</v>
      </c>
      <c r="F2787" s="1" t="s">
        <v>4552</v>
      </c>
      <c r="G2787" s="1">
        <v>14.4860841505089</v>
      </c>
      <c r="H2787" s="1">
        <v>14.933329239</v>
      </c>
      <c r="I2787" s="1">
        <v>4.3297534179</v>
      </c>
      <c r="J2787" s="1">
        <v>7.8911095796</v>
      </c>
      <c r="K2787" s="1">
        <v>11.425816622</v>
      </c>
      <c r="L2787" s="1">
        <v>25.8</v>
      </c>
      <c r="M2787" s="1">
        <v>6.3</v>
      </c>
      <c r="N2787" s="1">
        <v>19.7</v>
      </c>
      <c r="O2787" s="1">
        <v>61.655438338</v>
      </c>
      <c r="P2787" s="1">
        <v>13.706122637</v>
      </c>
      <c r="Q2787" s="1">
        <v>37.25417</v>
      </c>
      <c r="R2787" s="1">
        <v>90.0</v>
      </c>
      <c r="S2787" s="1">
        <v>16.4</v>
      </c>
      <c r="T2787" s="1">
        <v>14323.0</v>
      </c>
      <c r="U2787" s="1">
        <v>21.503874887</v>
      </c>
      <c r="V2787" s="1">
        <v>278.12210289</v>
      </c>
      <c r="W2787" s="1">
        <v>14.431295201</v>
      </c>
      <c r="X2787" s="1">
        <v>12.878535774</v>
      </c>
      <c r="Y2787" s="1">
        <v>78.700172888</v>
      </c>
      <c r="Z2787" s="1">
        <v>8.3</v>
      </c>
      <c r="AA2787" s="1">
        <v>13.790797628</v>
      </c>
      <c r="AB2787" s="1">
        <v>51393.0</v>
      </c>
      <c r="AC2787" s="1">
        <v>46.102030708</v>
      </c>
      <c r="AD2787" s="1">
        <v>64.3051098489999</v>
      </c>
      <c r="AE2787" s="1">
        <v>13.0966017559999</v>
      </c>
      <c r="AF2787" s="1">
        <v>0.5930838465</v>
      </c>
      <c r="AG2787" s="1">
        <v>2.4064424443</v>
      </c>
      <c r="AH2787" s="1">
        <v>0.9379441023</v>
      </c>
      <c r="AI2787" s="1">
        <v>0.3922311701</v>
      </c>
      <c r="AJ2787" s="1">
        <v>8.7977261961</v>
      </c>
      <c r="AK2787" s="1">
        <v>85.872098532</v>
      </c>
      <c r="AL2787" s="1">
        <v>1.211030912</v>
      </c>
      <c r="AM2787" s="1">
        <v>50.046423496</v>
      </c>
      <c r="AN2787" s="1">
        <v>22.554859953</v>
      </c>
      <c r="AO2787" s="1">
        <v>19085.0</v>
      </c>
      <c r="AP2787" s="1">
        <v>21.5</v>
      </c>
      <c r="AQ2787" s="1">
        <v>8.1</v>
      </c>
      <c r="AR2787" s="1">
        <v>7.9</v>
      </c>
      <c r="AS2787" s="1">
        <v>11.5</v>
      </c>
      <c r="AT2787" s="1">
        <v>29.2</v>
      </c>
      <c r="AU2787" s="1">
        <v>10.9</v>
      </c>
      <c r="AV2787" s="1">
        <v>13.4</v>
      </c>
      <c r="AW2787" s="1">
        <v>1.7</v>
      </c>
      <c r="AX2787" s="1">
        <v>0.4928</v>
      </c>
      <c r="AY2787" s="1">
        <v>13.1</v>
      </c>
      <c r="AZ2787" s="1">
        <v>14.6</v>
      </c>
      <c r="BA2787" s="1">
        <v>18.0</v>
      </c>
      <c r="BB2787" s="1">
        <v>2.97</v>
      </c>
      <c r="BC2787" s="1" t="s">
        <v>4537</v>
      </c>
      <c r="BD2787" s="1">
        <v>7.1</v>
      </c>
      <c r="BE2787" s="1">
        <v>23.6</v>
      </c>
      <c r="BF2787" s="1">
        <v>39.5</v>
      </c>
      <c r="BG2787" s="1">
        <v>29.8</v>
      </c>
      <c r="BH2787" s="1" t="s">
        <v>4552</v>
      </c>
    </row>
    <row r="2788">
      <c r="A2788" s="1">
        <v>49023.0</v>
      </c>
      <c r="B2788" s="2" t="str">
        <f>IFERROR(__xludf.DUMMYFUNCTION("TO_TEXT(A2788)"),"49023")</f>
        <v>49023</v>
      </c>
      <c r="C2788" s="1">
        <v>10507.0</v>
      </c>
      <c r="D2788" s="1">
        <v>3391.67728024057</v>
      </c>
      <c r="E2788" s="1" t="s">
        <v>4553</v>
      </c>
      <c r="F2788" s="1" t="s">
        <v>4554</v>
      </c>
      <c r="G2788" s="1">
        <v>3.09787728367091</v>
      </c>
      <c r="H2788" s="1">
        <v>13.495552292</v>
      </c>
      <c r="I2788" s="1">
        <v>4.0119317921</v>
      </c>
      <c r="J2788" s="1">
        <v>6.6513761468</v>
      </c>
      <c r="K2788" s="1">
        <v>10.299850982</v>
      </c>
      <c r="L2788" s="1">
        <v>29.0</v>
      </c>
      <c r="M2788" s="1">
        <v>6.9</v>
      </c>
      <c r="N2788" s="1">
        <v>19.1</v>
      </c>
      <c r="O2788" s="1">
        <v>69.480772985</v>
      </c>
      <c r="P2788" s="1">
        <v>10.640474729</v>
      </c>
      <c r="Q2788" s="1">
        <v>62.2222199999999</v>
      </c>
      <c r="R2788" s="1">
        <v>95.453066333</v>
      </c>
      <c r="S2788" s="1">
        <v>10.7</v>
      </c>
      <c r="T2788" s="1">
        <v>3752.0</v>
      </c>
      <c r="U2788" s="1">
        <v>21.348614072</v>
      </c>
      <c r="V2788" s="1">
        <v>85.3201877039999</v>
      </c>
      <c r="W2788" s="1">
        <v>13.470681458</v>
      </c>
      <c r="X2788" s="1">
        <v>8.5323145495</v>
      </c>
      <c r="Y2788" s="1">
        <v>78.080364809</v>
      </c>
      <c r="Z2788" s="1">
        <v>7.3</v>
      </c>
      <c r="AA2788" s="1">
        <v>15.111427774</v>
      </c>
      <c r="AB2788" s="1">
        <v>65379.0</v>
      </c>
      <c r="AC2788" s="1">
        <v>35.535714286</v>
      </c>
      <c r="AD2788" s="1">
        <v>79.705014749</v>
      </c>
      <c r="AE2788" s="1">
        <v>4.6568627451</v>
      </c>
      <c r="AF2788" s="1">
        <v>0.354824751199999</v>
      </c>
      <c r="AG2788" s="1">
        <v>1.2808308092</v>
      </c>
      <c r="AH2788" s="1">
        <v>0.4154045868</v>
      </c>
      <c r="AI2788" s="1">
        <v>0.2163565556</v>
      </c>
      <c r="AJ2788" s="1">
        <v>5.1319774989</v>
      </c>
      <c r="AK2788" s="1">
        <v>91.890956296</v>
      </c>
      <c r="AL2788" s="1">
        <v>1.3016921999</v>
      </c>
      <c r="AM2788" s="1">
        <v>48.688879273</v>
      </c>
      <c r="AN2788" s="1">
        <v>43.470622682</v>
      </c>
      <c r="AO2788" s="1">
        <v>19194.0</v>
      </c>
      <c r="AP2788" s="1">
        <v>14.2</v>
      </c>
      <c r="AQ2788" s="1">
        <v>4.2</v>
      </c>
      <c r="AR2788" s="1">
        <v>7.9</v>
      </c>
      <c r="AS2788" s="1">
        <v>11.7</v>
      </c>
      <c r="AT2788" s="1">
        <v>35.3</v>
      </c>
      <c r="AU2788" s="1">
        <v>10.6</v>
      </c>
      <c r="AV2788" s="1">
        <v>7.4</v>
      </c>
      <c r="AW2788" s="1">
        <v>0.7</v>
      </c>
      <c r="AX2788" s="1">
        <v>0.2722</v>
      </c>
      <c r="AY2788" s="1">
        <v>9.0</v>
      </c>
      <c r="AZ2788" s="1">
        <v>11.8</v>
      </c>
      <c r="BA2788" s="1">
        <v>15.6</v>
      </c>
      <c r="BB2788" s="1">
        <v>3.06</v>
      </c>
      <c r="BC2788" s="1" t="s">
        <v>4537</v>
      </c>
      <c r="BD2788" s="1">
        <v>8.9</v>
      </c>
      <c r="BE2788" s="1">
        <v>38.6</v>
      </c>
      <c r="BF2788" s="1">
        <v>36.6</v>
      </c>
      <c r="BG2788" s="1">
        <v>16.0</v>
      </c>
      <c r="BH2788" s="1" t="s">
        <v>4554</v>
      </c>
    </row>
    <row r="2789">
      <c r="A2789" s="1">
        <v>49025.0</v>
      </c>
      <c r="B2789" s="2" t="str">
        <f>IFERROR(__xludf.DUMMYFUNCTION("TO_TEXT(A2789)"),"49025")</f>
        <v>49025</v>
      </c>
      <c r="C2789" s="1">
        <v>7216.0</v>
      </c>
      <c r="D2789" s="1">
        <v>3989.94430106349</v>
      </c>
      <c r="E2789" s="1" t="s">
        <v>1218</v>
      </c>
      <c r="F2789" s="1" t="s">
        <v>4555</v>
      </c>
      <c r="G2789" s="1">
        <v>1.80854654990462</v>
      </c>
      <c r="H2789" s="1">
        <v>12.391753582</v>
      </c>
      <c r="I2789" s="1">
        <v>3.7322547444</v>
      </c>
      <c r="J2789" s="1">
        <v>6.3047285464</v>
      </c>
      <c r="K2789" s="1">
        <v>9.1450365874</v>
      </c>
      <c r="L2789" s="1">
        <v>22.8</v>
      </c>
      <c r="M2789" s="1">
        <v>7.1</v>
      </c>
      <c r="N2789" s="1">
        <v>19.3</v>
      </c>
      <c r="O2789" s="1">
        <v>57.628070175</v>
      </c>
      <c r="P2789" s="1">
        <v>9.6205718396</v>
      </c>
      <c r="Q2789" s="1">
        <v>52.86111</v>
      </c>
      <c r="R2789" s="1">
        <v>97.5</v>
      </c>
      <c r="S2789" s="1">
        <v>14.5</v>
      </c>
      <c r="T2789" s="1">
        <v>1709.0</v>
      </c>
      <c r="U2789" s="1">
        <v>13.458162668</v>
      </c>
      <c r="V2789" s="1">
        <v>311.18179932</v>
      </c>
      <c r="W2789" s="1">
        <v>12.934362934</v>
      </c>
      <c r="X2789" s="1">
        <v>10.212097408</v>
      </c>
      <c r="Y2789" s="1">
        <v>79.570986958</v>
      </c>
      <c r="Z2789" s="1">
        <v>9.0</v>
      </c>
      <c r="AA2789" s="1">
        <v>12.714355592</v>
      </c>
      <c r="AB2789" s="1">
        <v>52355.0</v>
      </c>
      <c r="AC2789" s="1">
        <v>42.803030303</v>
      </c>
      <c r="AD2789" s="1">
        <v>79.081245254</v>
      </c>
      <c r="AE2789" s="1">
        <v>9.625453081</v>
      </c>
      <c r="AF2789" s="1">
        <v>0.557789596599999</v>
      </c>
      <c r="AG2789" s="1">
        <v>1.73822804509999</v>
      </c>
      <c r="AH2789" s="1">
        <v>0.7393955117</v>
      </c>
      <c r="AI2789" s="1">
        <v>0.1686340641</v>
      </c>
      <c r="AJ2789" s="1">
        <v>4.7866130497</v>
      </c>
      <c r="AK2789" s="1">
        <v>90.764042029</v>
      </c>
      <c r="AL2789" s="1">
        <v>0.3172771849</v>
      </c>
      <c r="AM2789" s="1">
        <v>49.4876118819999</v>
      </c>
      <c r="AN2789" s="1">
        <v>54.919298246</v>
      </c>
      <c r="AO2789" s="1">
        <v>24488.0</v>
      </c>
      <c r="AP2789" s="1">
        <v>9.0</v>
      </c>
      <c r="AQ2789" s="1">
        <v>6.5</v>
      </c>
      <c r="AR2789" s="1">
        <v>5.0</v>
      </c>
      <c r="AS2789" s="1">
        <v>21.7</v>
      </c>
      <c r="AT2789" s="1">
        <v>23.3</v>
      </c>
      <c r="AU2789" s="1">
        <v>16.2</v>
      </c>
      <c r="AV2789" s="1">
        <v>8.3</v>
      </c>
      <c r="AW2789" s="1">
        <v>0.3</v>
      </c>
      <c r="AX2789" s="1">
        <v>0.1442</v>
      </c>
      <c r="AY2789" s="1">
        <v>9.4</v>
      </c>
      <c r="AZ2789" s="1">
        <v>13.3</v>
      </c>
      <c r="BA2789" s="1">
        <v>15.0</v>
      </c>
      <c r="BB2789" s="1">
        <v>3.36</v>
      </c>
      <c r="BC2789" s="1" t="s">
        <v>4537</v>
      </c>
      <c r="BD2789" s="1">
        <v>7.5</v>
      </c>
      <c r="BE2789" s="1">
        <v>21.8</v>
      </c>
      <c r="BF2789" s="1">
        <v>40.8</v>
      </c>
      <c r="BG2789" s="1">
        <v>29.9</v>
      </c>
      <c r="BH2789" s="1" t="s">
        <v>4555</v>
      </c>
    </row>
    <row r="2790">
      <c r="A2790" s="1">
        <v>49027.0</v>
      </c>
      <c r="B2790" s="2" t="str">
        <f>IFERROR(__xludf.DUMMYFUNCTION("TO_TEXT(A2790)"),"49027")</f>
        <v>49027</v>
      </c>
      <c r="C2790" s="1">
        <v>12604.0</v>
      </c>
      <c r="D2790" s="1">
        <v>6604.98503806568</v>
      </c>
      <c r="E2790" s="1" t="s">
        <v>4556</v>
      </c>
      <c r="F2790" s="1" t="s">
        <v>4557</v>
      </c>
      <c r="G2790" s="1">
        <v>1.90825564741797</v>
      </c>
      <c r="H2790" s="1">
        <v>12.999923939</v>
      </c>
      <c r="I2790" s="1">
        <v>3.6302951051</v>
      </c>
      <c r="J2790" s="1">
        <v>6.9423929099</v>
      </c>
      <c r="K2790" s="1">
        <v>9.2876296808</v>
      </c>
      <c r="L2790" s="1">
        <v>31.5</v>
      </c>
      <c r="M2790" s="1">
        <v>7.2</v>
      </c>
      <c r="N2790" s="1">
        <v>21.1</v>
      </c>
      <c r="O2790" s="1">
        <v>61.761177317</v>
      </c>
      <c r="P2790" s="1">
        <v>14.91759803</v>
      </c>
      <c r="Q2790" s="1">
        <v>54.41965</v>
      </c>
      <c r="R2790" s="1">
        <v>91.0</v>
      </c>
      <c r="S2790" s="1">
        <v>14.7</v>
      </c>
      <c r="T2790" s="1">
        <v>3934.0</v>
      </c>
      <c r="U2790" s="1">
        <v>14.184036604</v>
      </c>
      <c r="V2790" s="1">
        <v>282.95213393</v>
      </c>
      <c r="W2790" s="1">
        <v>9.9639855942</v>
      </c>
      <c r="X2790" s="1">
        <v>6.52173913039999</v>
      </c>
      <c r="Y2790" s="1">
        <v>80.5363358</v>
      </c>
      <c r="Z2790" s="1">
        <v>11.7</v>
      </c>
      <c r="AA2790" s="1">
        <v>14.631869058</v>
      </c>
      <c r="AB2790" s="1">
        <v>58644.0</v>
      </c>
      <c r="AC2790" s="1">
        <v>51.764314248</v>
      </c>
      <c r="AD2790" s="1">
        <v>78.239665583</v>
      </c>
      <c r="AE2790" s="1">
        <v>5.9872922776</v>
      </c>
      <c r="AF2790" s="1">
        <v>0.3152391204</v>
      </c>
      <c r="AG2790" s="1">
        <v>2.0913424573</v>
      </c>
      <c r="AH2790" s="1">
        <v>1.4224204213</v>
      </c>
      <c r="AI2790" s="1">
        <v>0.2075964939</v>
      </c>
      <c r="AJ2790" s="1">
        <v>13.193910503</v>
      </c>
      <c r="AK2790" s="1">
        <v>82.608027064</v>
      </c>
      <c r="AL2790" s="1">
        <v>2.9863481229</v>
      </c>
      <c r="AM2790" s="1">
        <v>48.80824235</v>
      </c>
      <c r="AN2790" s="1">
        <v>73.9422538589999</v>
      </c>
      <c r="AO2790" s="1">
        <v>21643.0</v>
      </c>
      <c r="AP2790" s="1">
        <v>10.3</v>
      </c>
      <c r="AQ2790" s="1">
        <v>4.0</v>
      </c>
      <c r="AR2790" s="1">
        <v>10.3</v>
      </c>
      <c r="AS2790" s="1">
        <v>15.9</v>
      </c>
      <c r="AT2790" s="1">
        <v>31.5</v>
      </c>
      <c r="AU2790" s="1">
        <v>12.0</v>
      </c>
      <c r="AV2790" s="1">
        <v>16.0</v>
      </c>
      <c r="AW2790" s="1">
        <v>3.2</v>
      </c>
      <c r="AX2790" s="1">
        <v>0.3467</v>
      </c>
      <c r="AY2790" s="1">
        <v>11.8</v>
      </c>
      <c r="AZ2790" s="1">
        <v>11.9</v>
      </c>
      <c r="BA2790" s="1">
        <v>15.5</v>
      </c>
      <c r="BB2790" s="1">
        <v>3.07</v>
      </c>
      <c r="BC2790" s="1" t="s">
        <v>4537</v>
      </c>
      <c r="BD2790" s="1">
        <v>11.9</v>
      </c>
      <c r="BE2790" s="1">
        <v>30.6</v>
      </c>
      <c r="BF2790" s="1">
        <v>36.9</v>
      </c>
      <c r="BG2790" s="1">
        <v>20.6</v>
      </c>
      <c r="BH2790" s="1" t="s">
        <v>4557</v>
      </c>
    </row>
    <row r="2791">
      <c r="A2791" s="1">
        <v>49029.0</v>
      </c>
      <c r="B2791" s="2" t="str">
        <f>IFERROR(__xludf.DUMMYFUNCTION("TO_TEXT(A2791)"),"49029")</f>
        <v>49029</v>
      </c>
      <c r="C2791" s="1">
        <v>10645.0</v>
      </c>
      <c r="D2791" s="1">
        <v>609.168323919128</v>
      </c>
      <c r="E2791" s="1" t="s">
        <v>162</v>
      </c>
      <c r="F2791" s="1" t="s">
        <v>4558</v>
      </c>
      <c r="G2791" s="1">
        <v>17.4746446622743</v>
      </c>
      <c r="H2791" s="1">
        <v>9.8084212461</v>
      </c>
      <c r="I2791" s="1">
        <v>3.377962431</v>
      </c>
      <c r="J2791" s="1">
        <v>7.1043165468</v>
      </c>
      <c r="K2791" s="1">
        <v>8.3386156767</v>
      </c>
      <c r="L2791" s="1">
        <v>19.1</v>
      </c>
      <c r="M2791" s="1">
        <v>8.9</v>
      </c>
      <c r="N2791" s="1">
        <v>17.2</v>
      </c>
      <c r="O2791" s="1">
        <v>88.5837997679999</v>
      </c>
      <c r="P2791" s="1">
        <v>7.1737495299</v>
      </c>
      <c r="Q2791" s="1">
        <v>109.49212</v>
      </c>
      <c r="R2791" s="1">
        <v>93.0</v>
      </c>
      <c r="S2791" s="1">
        <v>3.8</v>
      </c>
      <c r="T2791" s="1">
        <v>4063.0</v>
      </c>
      <c r="U2791" s="1">
        <v>6.8176224465</v>
      </c>
      <c r="V2791" s="1">
        <v>204.509002055</v>
      </c>
      <c r="W2791" s="1">
        <v>10.064935065</v>
      </c>
      <c r="X2791" s="1">
        <v>7.6298701299</v>
      </c>
      <c r="Y2791" s="1">
        <v>80.380587119</v>
      </c>
      <c r="Z2791" s="1">
        <v>3.7</v>
      </c>
      <c r="AA2791" s="1">
        <v>0.094090705</v>
      </c>
      <c r="AB2791" s="1">
        <v>98875.0</v>
      </c>
      <c r="AC2791" s="1">
        <v>13.4708346759999</v>
      </c>
      <c r="AD2791" s="1">
        <v>84.119782214</v>
      </c>
      <c r="AE2791" s="1">
        <v>8.0912214933</v>
      </c>
      <c r="AF2791" s="1">
        <v>0.3902034039</v>
      </c>
      <c r="AG2791" s="1">
        <v>0.3819012038</v>
      </c>
      <c r="AH2791" s="1">
        <v>0.6309672063</v>
      </c>
      <c r="AI2791" s="1">
        <v>0.1411374014</v>
      </c>
      <c r="AJ2791" s="1">
        <v>3.0718140307</v>
      </c>
      <c r="AK2791" s="1">
        <v>94.603569946</v>
      </c>
      <c r="AL2791" s="1">
        <v>0.3845784059</v>
      </c>
      <c r="AM2791" s="1">
        <v>48.327106683</v>
      </c>
      <c r="AN2791" s="1">
        <v>62.847185553</v>
      </c>
      <c r="AO2791" s="1">
        <v>27850.0</v>
      </c>
      <c r="AP2791" s="1">
        <v>4.1</v>
      </c>
      <c r="AQ2791" s="1">
        <v>3.7</v>
      </c>
      <c r="AR2791" s="1">
        <v>2.1</v>
      </c>
      <c r="AS2791" s="1">
        <v>11.2</v>
      </c>
      <c r="AT2791" s="1">
        <v>36.1</v>
      </c>
      <c r="AU2791" s="1">
        <v>7.1</v>
      </c>
      <c r="AV2791" s="1">
        <v>5.0</v>
      </c>
      <c r="AW2791" s="1">
        <v>0.6</v>
      </c>
      <c r="AX2791" s="1">
        <v>0.0022</v>
      </c>
      <c r="AY2791" s="1">
        <v>4.0</v>
      </c>
      <c r="AZ2791" s="1">
        <v>7.8</v>
      </c>
      <c r="BA2791" s="1">
        <v>9.1</v>
      </c>
      <c r="BB2791" s="1">
        <v>3.08</v>
      </c>
      <c r="BC2791" s="1" t="s">
        <v>4537</v>
      </c>
      <c r="BD2791" s="1">
        <v>1.9</v>
      </c>
      <c r="BE2791" s="1">
        <v>19.6</v>
      </c>
      <c r="BF2791" s="1">
        <v>39.2</v>
      </c>
      <c r="BG2791" s="1">
        <v>39.4</v>
      </c>
      <c r="BH2791" s="1" t="s">
        <v>4558</v>
      </c>
    </row>
    <row r="2792">
      <c r="A2792" s="1">
        <v>49031.0</v>
      </c>
      <c r="B2792" s="2" t="str">
        <f>IFERROR(__xludf.DUMMYFUNCTION("TO_TEXT(A2792)"),"49031")</f>
        <v>49031</v>
      </c>
      <c r="C2792" s="1">
        <v>1859.0</v>
      </c>
      <c r="D2792" s="1">
        <v>758.437886087228</v>
      </c>
      <c r="E2792" s="1" t="s">
        <v>4559</v>
      </c>
      <c r="F2792" s="1" t="s">
        <v>4560</v>
      </c>
      <c r="G2792" s="1">
        <v>2.45109063524049</v>
      </c>
      <c r="H2792" s="1">
        <v>13.423425192</v>
      </c>
      <c r="I2792" s="1">
        <v>3.8599935823</v>
      </c>
      <c r="J2792" s="1">
        <v>7.80443539465</v>
      </c>
      <c r="K2792" s="1">
        <v>9.3156762731</v>
      </c>
      <c r="L2792" s="1">
        <v>26.1</v>
      </c>
      <c r="M2792" s="1">
        <v>3.9</v>
      </c>
      <c r="N2792" s="1">
        <v>24.3</v>
      </c>
      <c r="O2792" s="1">
        <v>10.539845758</v>
      </c>
      <c r="P2792" s="1">
        <v>12.37006237</v>
      </c>
      <c r="Q2792" s="1">
        <v>0.0</v>
      </c>
      <c r="R2792" s="1">
        <v>95.0</v>
      </c>
      <c r="S2792" s="1">
        <v>30.8</v>
      </c>
      <c r="T2792" s="1">
        <v>411.0</v>
      </c>
      <c r="U2792" s="1">
        <v>5.8394160584</v>
      </c>
      <c r="V2792" s="1">
        <v>66.269052353</v>
      </c>
      <c r="W2792" s="1">
        <v>9.1743119266</v>
      </c>
      <c r="X2792" s="1">
        <v>5.3604436229</v>
      </c>
      <c r="Y2792" s="1">
        <v>77.482572377</v>
      </c>
      <c r="Z2792" s="1">
        <v>8.6</v>
      </c>
      <c r="AA2792" s="1">
        <v>47.171463631</v>
      </c>
      <c r="AB2792" s="1">
        <v>40387.0</v>
      </c>
      <c r="AC2792" s="1">
        <v>67.465753425</v>
      </c>
      <c r="AD2792" s="1">
        <v>87.975951904</v>
      </c>
      <c r="AE2792" s="1">
        <v>8.0578512397</v>
      </c>
      <c r="AF2792" s="1">
        <v>0.276816609</v>
      </c>
      <c r="AG2792" s="1">
        <v>1.0380622837</v>
      </c>
      <c r="AH2792" s="1">
        <v>0.4152249135</v>
      </c>
      <c r="AI2792" s="1">
        <v>0.1384083045</v>
      </c>
      <c r="AJ2792" s="1">
        <v>7.4740484429</v>
      </c>
      <c r="AK2792" s="1">
        <v>89.826989619</v>
      </c>
      <c r="AL2792" s="1">
        <v>0.1658374793</v>
      </c>
      <c r="AM2792" s="1">
        <v>48.373702422</v>
      </c>
      <c r="AN2792" s="1">
        <v>100.0</v>
      </c>
      <c r="AO2792" s="1">
        <v>17416.0</v>
      </c>
      <c r="AP2792" s="1">
        <v>16.7</v>
      </c>
      <c r="AQ2792" s="1">
        <v>3.8</v>
      </c>
      <c r="AR2792" s="1">
        <v>17.0</v>
      </c>
      <c r="AS2792" s="1">
        <v>26.5</v>
      </c>
      <c r="AT2792" s="1">
        <v>23.6</v>
      </c>
      <c r="AU2792" s="1">
        <v>21.1</v>
      </c>
      <c r="AV2792" s="1">
        <v>4.8</v>
      </c>
      <c r="AW2792" s="1">
        <v>0.8</v>
      </c>
      <c r="AX2792" s="1">
        <v>0.4524</v>
      </c>
      <c r="AY2792" s="1">
        <v>15.7</v>
      </c>
      <c r="AZ2792" s="1">
        <v>17.7</v>
      </c>
      <c r="BA2792" s="1">
        <v>25.4</v>
      </c>
      <c r="BB2792" s="1">
        <v>2.9</v>
      </c>
      <c r="BC2792" s="1" t="s">
        <v>4537</v>
      </c>
      <c r="BD2792" s="1">
        <v>9.0</v>
      </c>
      <c r="BE2792" s="1">
        <v>40.5</v>
      </c>
      <c r="BF2792" s="1">
        <v>30.2</v>
      </c>
      <c r="BG2792" s="1">
        <v>20.2</v>
      </c>
      <c r="BH2792" s="1" t="s">
        <v>4560</v>
      </c>
    </row>
    <row r="2793">
      <c r="A2793" s="1">
        <v>49033.0</v>
      </c>
      <c r="B2793" s="2" t="str">
        <f>IFERROR(__xludf.DUMMYFUNCTION("TO_TEXT(A2793)"),"49033")</f>
        <v>49033</v>
      </c>
      <c r="C2793" s="1">
        <v>2284.0</v>
      </c>
      <c r="D2793" s="1">
        <v>1028.84636310808</v>
      </c>
      <c r="E2793" s="1" t="s">
        <v>4561</v>
      </c>
      <c r="F2793" s="1" t="s">
        <v>4562</v>
      </c>
      <c r="G2793" s="1">
        <v>2.21996216529374</v>
      </c>
      <c r="H2793" s="1">
        <v>14.004103288</v>
      </c>
      <c r="I2793" s="1">
        <v>3.9005894123</v>
      </c>
      <c r="J2793" s="1">
        <v>4.4843049327</v>
      </c>
      <c r="K2793" s="1">
        <v>10.176211987</v>
      </c>
      <c r="L2793" s="1">
        <v>26.1</v>
      </c>
      <c r="M2793" s="1">
        <v>4.8</v>
      </c>
      <c r="N2793" s="1">
        <v>30.0</v>
      </c>
      <c r="O2793" s="1">
        <v>43.021201413</v>
      </c>
      <c r="P2793" s="1">
        <v>11.77377892</v>
      </c>
      <c r="Q2793" s="1">
        <v>48.31939</v>
      </c>
      <c r="R2793" s="1">
        <v>95.0</v>
      </c>
      <c r="S2793" s="1">
        <v>11.4</v>
      </c>
      <c r="T2793" s="1">
        <v>854.0</v>
      </c>
      <c r="U2793" s="1">
        <v>27.283372365</v>
      </c>
      <c r="V2793" s="1">
        <v>86.337146557</v>
      </c>
      <c r="W2793" s="1">
        <v>12.0</v>
      </c>
      <c r="X2793" s="1">
        <v>8.3735909823</v>
      </c>
      <c r="Y2793" s="1">
        <v>85.213537022</v>
      </c>
      <c r="Z2793" s="1">
        <v>13.1</v>
      </c>
      <c r="AA2793" s="1">
        <v>36.669003918</v>
      </c>
      <c r="AB2793" s="1">
        <v>60695.0</v>
      </c>
      <c r="AC2793" s="1">
        <v>43.724696356</v>
      </c>
      <c r="AD2793" s="1">
        <v>76.935483871</v>
      </c>
      <c r="AE2793" s="1">
        <v>4.020979021</v>
      </c>
      <c r="AF2793" s="1">
        <v>0.3246753247</v>
      </c>
      <c r="AG2793" s="1">
        <v>0.6493506494</v>
      </c>
      <c r="AH2793" s="1">
        <v>0.487012987</v>
      </c>
      <c r="AI2793" s="1">
        <v>0.0811688312</v>
      </c>
      <c r="AJ2793" s="1">
        <v>7.1022727273</v>
      </c>
      <c r="AK2793" s="1">
        <v>90.706168831</v>
      </c>
      <c r="AL2793" s="1">
        <v>0.3218390805</v>
      </c>
      <c r="AM2793" s="1">
        <v>48.5389610389999</v>
      </c>
      <c r="AN2793" s="1">
        <v>100.0</v>
      </c>
      <c r="AO2793" s="1">
        <v>19749.0</v>
      </c>
      <c r="AP2793" s="1">
        <v>15.8</v>
      </c>
      <c r="AQ2793" s="1">
        <v>5.6</v>
      </c>
      <c r="AR2793" s="1">
        <v>3.9</v>
      </c>
      <c r="AS2793" s="1">
        <v>15.9</v>
      </c>
      <c r="AT2793" s="1">
        <v>33.0</v>
      </c>
      <c r="AU2793" s="1">
        <v>13.6</v>
      </c>
      <c r="AV2793" s="1">
        <v>10.1</v>
      </c>
      <c r="AW2793" s="1">
        <v>1.2</v>
      </c>
      <c r="AX2793" s="1">
        <v>0.276</v>
      </c>
      <c r="AY2793" s="1">
        <v>9.3</v>
      </c>
      <c r="AZ2793" s="1">
        <v>13.5</v>
      </c>
      <c r="BA2793" s="1">
        <v>19.0</v>
      </c>
      <c r="BB2793" s="1">
        <v>3.07</v>
      </c>
      <c r="BC2793" s="1" t="s">
        <v>4537</v>
      </c>
      <c r="BD2793" s="1">
        <v>4.3</v>
      </c>
      <c r="BE2793" s="1">
        <v>32.1</v>
      </c>
      <c r="BF2793" s="1">
        <v>40.6</v>
      </c>
      <c r="BG2793" s="1">
        <v>23.0</v>
      </c>
      <c r="BH2793" s="1" t="s">
        <v>4562</v>
      </c>
    </row>
    <row r="2794">
      <c r="A2794" s="1">
        <v>49035.0</v>
      </c>
      <c r="B2794" s="2" t="str">
        <f>IFERROR(__xludf.DUMMYFUNCTION("TO_TEXT(A2794)"),"49035")</f>
        <v>49035</v>
      </c>
      <c r="C2794" s="1">
        <v>1092518.0</v>
      </c>
      <c r="D2794" s="1">
        <v>742.052041146806</v>
      </c>
      <c r="E2794" s="1" t="s">
        <v>4563</v>
      </c>
      <c r="F2794" s="1" t="s">
        <v>4564</v>
      </c>
      <c r="G2794" s="1">
        <v>1472.29296520978</v>
      </c>
      <c r="H2794" s="1">
        <v>13.639543458</v>
      </c>
      <c r="I2794" s="1">
        <v>3.6389406098</v>
      </c>
      <c r="J2794" s="1">
        <v>7.55746039059999</v>
      </c>
      <c r="K2794" s="1">
        <v>9.5543751625</v>
      </c>
      <c r="L2794" s="1">
        <v>24.5</v>
      </c>
      <c r="M2794" s="1">
        <v>8.2</v>
      </c>
      <c r="N2794" s="1">
        <v>17.9</v>
      </c>
      <c r="O2794" s="1">
        <v>90.360557663</v>
      </c>
      <c r="P2794" s="1">
        <v>10.959295382</v>
      </c>
      <c r="Q2794" s="1">
        <v>76.5201199999999</v>
      </c>
      <c r="R2794" s="1">
        <v>82.025665485</v>
      </c>
      <c r="S2794" s="1">
        <v>10.4</v>
      </c>
      <c r="T2794" s="1">
        <v>309404.0</v>
      </c>
      <c r="U2794" s="1">
        <v>22.6015177569999</v>
      </c>
      <c r="V2794" s="1">
        <v>383.7532882</v>
      </c>
      <c r="W2794" s="1">
        <v>15.3162388359999</v>
      </c>
      <c r="X2794" s="1">
        <v>11.917326297</v>
      </c>
      <c r="Y2794" s="1">
        <v>79.508887952</v>
      </c>
      <c r="Z2794" s="1">
        <v>6.7</v>
      </c>
      <c r="AA2794" s="1">
        <v>2.816365905</v>
      </c>
      <c r="AB2794" s="1">
        <v>73619.0</v>
      </c>
      <c r="AC2794" s="1">
        <v>40.89489495</v>
      </c>
      <c r="AD2794" s="1">
        <v>66.713495692</v>
      </c>
      <c r="AE2794" s="1">
        <v>11.330670242</v>
      </c>
      <c r="AF2794" s="1">
        <v>1.7414910036</v>
      </c>
      <c r="AG2794" s="1">
        <v>1.3676512819</v>
      </c>
      <c r="AH2794" s="1">
        <v>4.6314828744</v>
      </c>
      <c r="AI2794" s="1">
        <v>1.7485183922</v>
      </c>
      <c r="AJ2794" s="1">
        <v>18.553086715</v>
      </c>
      <c r="AK2794" s="1">
        <v>70.655013348</v>
      </c>
      <c r="AL2794" s="1">
        <v>3.5753860149</v>
      </c>
      <c r="AM2794" s="1">
        <v>49.8006737619999</v>
      </c>
      <c r="AN2794" s="1">
        <v>0.9033122745</v>
      </c>
      <c r="AO2794" s="1">
        <v>28578.0</v>
      </c>
      <c r="AP2794" s="1">
        <v>11.4</v>
      </c>
      <c r="AQ2794" s="1">
        <v>5.1</v>
      </c>
      <c r="AR2794" s="1">
        <v>10.2</v>
      </c>
      <c r="AS2794" s="1">
        <v>9.6</v>
      </c>
      <c r="AT2794" s="1">
        <v>28.3</v>
      </c>
      <c r="AU2794" s="1">
        <v>9.2</v>
      </c>
      <c r="AV2794" s="1">
        <v>27.4</v>
      </c>
      <c r="AW2794" s="1">
        <v>3.6</v>
      </c>
      <c r="AX2794" s="1">
        <v>0.347</v>
      </c>
      <c r="AY2794" s="1">
        <v>9.0</v>
      </c>
      <c r="AZ2794" s="1">
        <v>10.9</v>
      </c>
      <c r="BA2794" s="1">
        <v>12.2</v>
      </c>
      <c r="BB2794" s="1">
        <v>3.08</v>
      </c>
      <c r="BC2794" s="1" t="s">
        <v>4537</v>
      </c>
      <c r="BD2794" s="1">
        <v>9.2</v>
      </c>
      <c r="BE2794" s="1">
        <v>22.6</v>
      </c>
      <c r="BF2794" s="1">
        <v>32.6</v>
      </c>
      <c r="BG2794" s="1">
        <v>35.6</v>
      </c>
      <c r="BH2794" s="1" t="s">
        <v>4564</v>
      </c>
    </row>
    <row r="2795">
      <c r="A2795" s="1">
        <v>49037.0</v>
      </c>
      <c r="B2795" s="2" t="str">
        <f>IFERROR(__xludf.DUMMYFUNCTION("TO_TEXT(A2795)"),"49037")</f>
        <v>49037</v>
      </c>
      <c r="C2795" s="1">
        <v>15540.0</v>
      </c>
      <c r="D2795" s="1">
        <v>7820.00501566966</v>
      </c>
      <c r="E2795" s="1" t="s">
        <v>638</v>
      </c>
      <c r="F2795" s="1" t="s">
        <v>4565</v>
      </c>
      <c r="G2795" s="1">
        <v>1.98721100163761</v>
      </c>
      <c r="H2795" s="1">
        <v>21.281537236</v>
      </c>
      <c r="I2795" s="1">
        <v>4.6769404887</v>
      </c>
      <c r="J2795" s="1">
        <v>7.375</v>
      </c>
      <c r="K2795" s="1">
        <v>15.697065443</v>
      </c>
      <c r="L2795" s="1">
        <v>35.2</v>
      </c>
      <c r="M2795" s="1">
        <v>4.0</v>
      </c>
      <c r="N2795" s="1">
        <v>22.8</v>
      </c>
      <c r="O2795" s="1">
        <v>37.379628374</v>
      </c>
      <c r="P2795" s="1">
        <v>16.975525843</v>
      </c>
      <c r="Q2795" s="1">
        <v>71.63324</v>
      </c>
      <c r="R2795" s="1">
        <v>92.0</v>
      </c>
      <c r="S2795" s="1">
        <v>26.8</v>
      </c>
      <c r="T2795" s="1">
        <v>4777.0</v>
      </c>
      <c r="U2795" s="1">
        <v>36.298932384</v>
      </c>
      <c r="V2795" s="1">
        <v>93.313598044</v>
      </c>
      <c r="W2795" s="1">
        <v>18.860759494</v>
      </c>
      <c r="X2795" s="1">
        <v>7.874015748</v>
      </c>
      <c r="Y2795" s="1">
        <v>76.850920975</v>
      </c>
      <c r="Z2795" s="1">
        <v>12.1</v>
      </c>
      <c r="AA2795" s="1">
        <v>34.226548861</v>
      </c>
      <c r="AB2795" s="1">
        <v>42982.0</v>
      </c>
      <c r="AC2795" s="1">
        <v>99.8048145739999</v>
      </c>
      <c r="AD2795" s="1">
        <v>80.01002004</v>
      </c>
      <c r="AE2795" s="1">
        <v>9.0085287846</v>
      </c>
      <c r="AF2795" s="1">
        <v>0.3560100977</v>
      </c>
      <c r="AG2795" s="1">
        <v>49.22001424</v>
      </c>
      <c r="AH2795" s="1">
        <v>0.854424234599999</v>
      </c>
      <c r="AI2795" s="1">
        <v>0.0647291087</v>
      </c>
      <c r="AJ2795" s="1">
        <v>5.7803094051</v>
      </c>
      <c r="AK2795" s="1">
        <v>43.646837983</v>
      </c>
      <c r="AL2795" s="1">
        <v>4.6491789294</v>
      </c>
      <c r="AM2795" s="1">
        <v>49.990290634</v>
      </c>
      <c r="AN2795" s="1">
        <v>77.8651837789999</v>
      </c>
      <c r="AO2795" s="1">
        <v>15817.0</v>
      </c>
      <c r="AP2795" s="1">
        <v>27.6</v>
      </c>
      <c r="AQ2795" s="1">
        <v>8.2</v>
      </c>
      <c r="AR2795" s="1">
        <v>15.8</v>
      </c>
      <c r="AS2795" s="1">
        <v>11.6</v>
      </c>
      <c r="AT2795" s="1">
        <v>32.8</v>
      </c>
      <c r="AU2795" s="1">
        <v>15.7</v>
      </c>
      <c r="AV2795" s="1">
        <v>54.7</v>
      </c>
      <c r="AW2795" s="1">
        <v>4.8</v>
      </c>
      <c r="AX2795" s="1">
        <v>0.921</v>
      </c>
      <c r="AY2795" s="1">
        <v>21.9</v>
      </c>
      <c r="AZ2795" s="1">
        <v>19.2</v>
      </c>
      <c r="BA2795" s="1">
        <v>25.6</v>
      </c>
      <c r="BB2795" s="1">
        <v>3.31</v>
      </c>
      <c r="BC2795" s="1" t="s">
        <v>4537</v>
      </c>
      <c r="BD2795" s="1">
        <v>15.1</v>
      </c>
      <c r="BE2795" s="1">
        <v>32.2</v>
      </c>
      <c r="BF2795" s="1">
        <v>34.4</v>
      </c>
      <c r="BG2795" s="1">
        <v>18.3</v>
      </c>
      <c r="BH2795" s="1" t="s">
        <v>4565</v>
      </c>
    </row>
    <row r="2796">
      <c r="A2796" s="1">
        <v>49039.0</v>
      </c>
      <c r="B2796" s="2" t="str">
        <f>IFERROR(__xludf.DUMMYFUNCTION("TO_TEXT(A2796)"),"49039")</f>
        <v>49039</v>
      </c>
      <c r="C2796" s="1">
        <v>28551.0</v>
      </c>
      <c r="D2796" s="1">
        <v>1589.9299864201</v>
      </c>
      <c r="E2796" s="1" t="s">
        <v>4566</v>
      </c>
      <c r="F2796" s="1" t="s">
        <v>4567</v>
      </c>
      <c r="G2796" s="1">
        <v>17.9573945040723</v>
      </c>
      <c r="H2796" s="1">
        <v>15.184595054</v>
      </c>
      <c r="I2796" s="1">
        <v>3.8222819806</v>
      </c>
      <c r="J2796" s="1">
        <v>7.6693968727</v>
      </c>
      <c r="K2796" s="1">
        <v>11.05199757</v>
      </c>
      <c r="L2796" s="1">
        <v>30.4</v>
      </c>
      <c r="M2796" s="1">
        <v>7.6</v>
      </c>
      <c r="N2796" s="1">
        <v>23.9</v>
      </c>
      <c r="O2796" s="1">
        <v>63.9745525119999</v>
      </c>
      <c r="P2796" s="1">
        <v>12.680814205</v>
      </c>
      <c r="Q2796" s="1">
        <v>56.60063</v>
      </c>
      <c r="R2796" s="1">
        <v>82.243413517</v>
      </c>
      <c r="S2796" s="1">
        <v>16.3</v>
      </c>
      <c r="T2796" s="1">
        <v>7411.0</v>
      </c>
      <c r="U2796" s="1">
        <v>14.72136014</v>
      </c>
      <c r="V2796" s="1">
        <v>63.605645001</v>
      </c>
      <c r="W2796" s="1">
        <v>12.809405941</v>
      </c>
      <c r="X2796" s="1">
        <v>6.8866749689</v>
      </c>
      <c r="Y2796" s="1">
        <v>79.823077318</v>
      </c>
      <c r="Z2796" s="1">
        <v>7.8</v>
      </c>
      <c r="AA2796" s="1">
        <v>3.812191039</v>
      </c>
      <c r="AB2796" s="1">
        <v>52910.0</v>
      </c>
      <c r="AC2796" s="1">
        <v>50.024830326</v>
      </c>
      <c r="AD2796" s="1">
        <v>74.360485677</v>
      </c>
      <c r="AE2796" s="1">
        <v>8.6898557751</v>
      </c>
      <c r="AF2796" s="1">
        <v>0.9372040623</v>
      </c>
      <c r="AG2796" s="1">
        <v>1.6915390393</v>
      </c>
      <c r="AH2796" s="1">
        <v>0.8555660778</v>
      </c>
      <c r="AI2796" s="1">
        <v>0.6955556281</v>
      </c>
      <c r="AJ2796" s="1">
        <v>9.7377787937</v>
      </c>
      <c r="AK2796" s="1">
        <v>85.566404337</v>
      </c>
      <c r="AL2796" s="1">
        <v>2.0467517359</v>
      </c>
      <c r="AM2796" s="1">
        <v>47.385951736</v>
      </c>
      <c r="AN2796" s="1">
        <v>40.928042556</v>
      </c>
      <c r="AO2796" s="1">
        <v>16924.0</v>
      </c>
      <c r="AP2796" s="1">
        <v>16.7</v>
      </c>
      <c r="AQ2796" s="1">
        <v>8.1</v>
      </c>
      <c r="AR2796" s="1">
        <v>10.8</v>
      </c>
      <c r="AS2796" s="1">
        <v>12.7</v>
      </c>
      <c r="AT2796" s="1">
        <v>27.4</v>
      </c>
      <c r="AU2796" s="1">
        <v>11.7</v>
      </c>
      <c r="AV2796" s="1">
        <v>13.8</v>
      </c>
      <c r="AW2796" s="1">
        <v>1.6</v>
      </c>
      <c r="AX2796" s="1">
        <v>0.581</v>
      </c>
      <c r="AY2796" s="1">
        <v>13.1</v>
      </c>
      <c r="AZ2796" s="1">
        <v>13.4</v>
      </c>
      <c r="BA2796" s="1">
        <v>16.9</v>
      </c>
      <c r="BB2796" s="1">
        <v>2.84</v>
      </c>
      <c r="BC2796" s="1" t="s">
        <v>4537</v>
      </c>
      <c r="BD2796" s="1">
        <v>9.8</v>
      </c>
      <c r="BE2796" s="1">
        <v>28.9</v>
      </c>
      <c r="BF2796" s="1">
        <v>40.4</v>
      </c>
      <c r="BG2796" s="1">
        <v>20.9</v>
      </c>
      <c r="BH2796" s="1" t="s">
        <v>4567</v>
      </c>
    </row>
    <row r="2797">
      <c r="A2797" s="1">
        <v>49041.0</v>
      </c>
      <c r="B2797" s="2" t="str">
        <f>IFERROR(__xludf.DUMMYFUNCTION("TO_TEXT(A2797)"),"49041")</f>
        <v>49041</v>
      </c>
      <c r="C2797" s="1">
        <v>20913.0</v>
      </c>
      <c r="D2797" s="1">
        <v>1910.432696</v>
      </c>
      <c r="E2797" s="1" t="s">
        <v>400</v>
      </c>
      <c r="F2797" s="1" t="s">
        <v>4568</v>
      </c>
      <c r="G2797" s="1">
        <v>10.9467347600295</v>
      </c>
      <c r="H2797" s="1">
        <v>14.612321278</v>
      </c>
      <c r="I2797" s="1">
        <v>3.9442384082</v>
      </c>
      <c r="J2797" s="1">
        <v>8.15165876779999</v>
      </c>
      <c r="K2797" s="1">
        <v>10.065589082</v>
      </c>
      <c r="L2797" s="1">
        <v>29.4</v>
      </c>
      <c r="M2797" s="1">
        <v>7.9</v>
      </c>
      <c r="N2797" s="1">
        <v>24.1</v>
      </c>
      <c r="O2797" s="1">
        <v>66.1811364289999</v>
      </c>
      <c r="P2797" s="1">
        <v>12.665298678</v>
      </c>
      <c r="Q2797" s="1">
        <v>46.91312</v>
      </c>
      <c r="R2797" s="1">
        <v>83.0</v>
      </c>
      <c r="S2797" s="1">
        <v>15.6</v>
      </c>
      <c r="T2797" s="1">
        <v>6201.0</v>
      </c>
      <c r="U2797" s="1">
        <v>18.529269473</v>
      </c>
      <c r="V2797" s="1">
        <v>99.976196144</v>
      </c>
      <c r="W2797" s="1">
        <v>11.797752809</v>
      </c>
      <c r="X2797" s="1">
        <v>8.6765746638</v>
      </c>
      <c r="Y2797" s="1">
        <v>77.770267526</v>
      </c>
      <c r="Z2797" s="1">
        <v>9.2</v>
      </c>
      <c r="AA2797" s="1">
        <v>1.2948593896</v>
      </c>
      <c r="AB2797" s="1">
        <v>54339.0</v>
      </c>
      <c r="AC2797" s="1">
        <v>51.345712497</v>
      </c>
      <c r="AD2797" s="1">
        <v>77.399807189</v>
      </c>
      <c r="AE2797" s="1">
        <v>8.1388730791</v>
      </c>
      <c r="AF2797" s="1">
        <v>0.4735595896</v>
      </c>
      <c r="AG2797" s="1">
        <v>1.5228190724</v>
      </c>
      <c r="AH2797" s="1">
        <v>0.3714192859</v>
      </c>
      <c r="AI2797" s="1">
        <v>0.2089233483</v>
      </c>
      <c r="AJ2797" s="1">
        <v>5.4412925391</v>
      </c>
      <c r="AK2797" s="1">
        <v>91.336645155</v>
      </c>
      <c r="AL2797" s="1">
        <v>1.2741450487</v>
      </c>
      <c r="AM2797" s="1">
        <v>49.185198941</v>
      </c>
      <c r="AN2797" s="1">
        <v>64.714931257</v>
      </c>
      <c r="AO2797" s="1">
        <v>20074.0</v>
      </c>
      <c r="AP2797" s="1">
        <v>14.5</v>
      </c>
      <c r="AQ2797" s="1">
        <v>5.3</v>
      </c>
      <c r="AR2797" s="1">
        <v>10.6</v>
      </c>
      <c r="AS2797" s="1">
        <v>15.6</v>
      </c>
      <c r="AT2797" s="1">
        <v>30.4</v>
      </c>
      <c r="AU2797" s="1">
        <v>12.5</v>
      </c>
      <c r="AV2797" s="1">
        <v>7.8</v>
      </c>
      <c r="AW2797" s="1">
        <v>1.1</v>
      </c>
      <c r="AX2797" s="1">
        <v>0.3324</v>
      </c>
      <c r="AY2797" s="1">
        <v>12.1</v>
      </c>
      <c r="AZ2797" s="1">
        <v>13.3</v>
      </c>
      <c r="BA2797" s="1">
        <v>17.6</v>
      </c>
      <c r="BB2797" s="1">
        <v>2.86</v>
      </c>
      <c r="BC2797" s="1" t="s">
        <v>4537</v>
      </c>
      <c r="BD2797" s="1">
        <v>9.4</v>
      </c>
      <c r="BE2797" s="1">
        <v>32.8</v>
      </c>
      <c r="BF2797" s="1">
        <v>39.4</v>
      </c>
      <c r="BG2797" s="1">
        <v>18.5</v>
      </c>
      <c r="BH2797" s="1" t="s">
        <v>4568</v>
      </c>
    </row>
    <row r="2798">
      <c r="A2798" s="1">
        <v>49043.0</v>
      </c>
      <c r="B2798" s="2" t="str">
        <f>IFERROR(__xludf.DUMMYFUNCTION("TO_TEXT(A2798)"),"49043")</f>
        <v>49043</v>
      </c>
      <c r="C2798" s="1">
        <v>39009.0</v>
      </c>
      <c r="D2798" s="1">
        <v>1870.57999659788</v>
      </c>
      <c r="E2798" s="1" t="s">
        <v>644</v>
      </c>
      <c r="F2798" s="1" t="s">
        <v>4569</v>
      </c>
      <c r="G2798" s="1">
        <v>20.8539597723421</v>
      </c>
      <c r="H2798" s="1">
        <v>10.779368063</v>
      </c>
      <c r="I2798" s="1">
        <v>3.5168799057</v>
      </c>
      <c r="J2798" s="1">
        <v>8.8731443995</v>
      </c>
      <c r="K2798" s="1">
        <v>8.5864458759</v>
      </c>
      <c r="L2798" s="1">
        <v>14.6</v>
      </c>
      <c r="M2798" s="1">
        <v>8.3</v>
      </c>
      <c r="N2798" s="1">
        <v>13.7</v>
      </c>
      <c r="O2798" s="1">
        <v>95.253826671</v>
      </c>
      <c r="P2798" s="1">
        <v>9.636745722</v>
      </c>
      <c r="Q2798" s="1">
        <v>126.50221</v>
      </c>
      <c r="R2798" s="1">
        <v>93.745478036</v>
      </c>
      <c r="S2798" s="1">
        <v>5.8</v>
      </c>
      <c r="T2798" s="1">
        <v>10265.0</v>
      </c>
      <c r="U2798" s="1">
        <v>19.0842669259999</v>
      </c>
      <c r="V2798" s="1">
        <v>138.3056303</v>
      </c>
      <c r="W2798" s="1">
        <v>13.41127923</v>
      </c>
      <c r="X2798" s="1">
        <v>11.681786462</v>
      </c>
      <c r="Y2798" s="1">
        <v>83.995446088</v>
      </c>
      <c r="Z2798" s="1">
        <v>3.9</v>
      </c>
      <c r="AA2798" s="1">
        <v>5.1644187119</v>
      </c>
      <c r="AB2798" s="1">
        <v>105374.0</v>
      </c>
      <c r="AC2798" s="1">
        <v>22.590685981</v>
      </c>
      <c r="AD2798" s="1">
        <v>76.214359327</v>
      </c>
      <c r="AE2798" s="1">
        <v>11.931939029</v>
      </c>
      <c r="AF2798" s="1">
        <v>0.9777502206</v>
      </c>
      <c r="AG2798" s="1">
        <v>0.5866501324</v>
      </c>
      <c r="AH2798" s="1">
        <v>1.7575656404</v>
      </c>
      <c r="AI2798" s="1">
        <v>0.1621634512</v>
      </c>
      <c r="AJ2798" s="1">
        <v>11.425369041</v>
      </c>
      <c r="AK2798" s="1">
        <v>84.229604369</v>
      </c>
      <c r="AL2798" s="1">
        <v>2.3741962356</v>
      </c>
      <c r="AM2798" s="1">
        <v>48.8207378439999</v>
      </c>
      <c r="AN2798" s="1">
        <v>39.199977976</v>
      </c>
      <c r="AO2798" s="1">
        <v>49143.0</v>
      </c>
      <c r="AP2798" s="1">
        <v>7.9</v>
      </c>
      <c r="AQ2798" s="1">
        <v>3.2</v>
      </c>
      <c r="AR2798" s="1">
        <v>5.8</v>
      </c>
      <c r="AS2798" s="1">
        <v>9.8</v>
      </c>
      <c r="AT2798" s="1">
        <v>26.2</v>
      </c>
      <c r="AU2798" s="1">
        <v>5.2</v>
      </c>
      <c r="AV2798" s="1">
        <v>15.1</v>
      </c>
      <c r="AW2798" s="1">
        <v>2.7</v>
      </c>
      <c r="AX2798" s="1">
        <v>0.0694</v>
      </c>
      <c r="AY2798" s="1">
        <v>4.7</v>
      </c>
      <c r="AZ2798" s="1">
        <v>8.6</v>
      </c>
      <c r="BA2798" s="1">
        <v>8.4</v>
      </c>
      <c r="BB2798" s="1">
        <v>4.52</v>
      </c>
      <c r="BC2798" s="1" t="s">
        <v>4537</v>
      </c>
      <c r="BD2798" s="1">
        <v>5.1</v>
      </c>
      <c r="BE2798" s="1">
        <v>16.0</v>
      </c>
      <c r="BF2798" s="1">
        <v>23.9</v>
      </c>
      <c r="BG2798" s="1">
        <v>55.0</v>
      </c>
      <c r="BH2798" s="1" t="s">
        <v>4569</v>
      </c>
    </row>
    <row r="2799">
      <c r="A2799" s="1">
        <v>49045.0</v>
      </c>
      <c r="B2799" s="2" t="str">
        <f>IFERROR(__xludf.DUMMYFUNCTION("TO_TEXT(A2799)"),"49045")</f>
        <v>49045</v>
      </c>
      <c r="C2799" s="1">
        <v>61986.0</v>
      </c>
      <c r="D2799" s="1">
        <v>6941.95454620624</v>
      </c>
      <c r="E2799" s="1" t="s">
        <v>4570</v>
      </c>
      <c r="F2799" s="1" t="s">
        <v>4571</v>
      </c>
      <c r="G2799" s="1">
        <v>8.92918551791371</v>
      </c>
      <c r="H2799" s="1">
        <v>14.037654264</v>
      </c>
      <c r="I2799" s="1">
        <v>4.0984862726</v>
      </c>
      <c r="J2799" s="1">
        <v>7.5418994413</v>
      </c>
      <c r="K2799" s="1">
        <v>10.449580817</v>
      </c>
      <c r="L2799" s="1">
        <v>34.1</v>
      </c>
      <c r="M2799" s="1">
        <v>7.8</v>
      </c>
      <c r="N2799" s="1">
        <v>24.0</v>
      </c>
      <c r="O2799" s="1">
        <v>89.2060874639999</v>
      </c>
      <c r="P2799" s="1">
        <v>8.3632136483</v>
      </c>
      <c r="Q2799" s="1">
        <v>19.27182</v>
      </c>
      <c r="R2799" s="1">
        <v>87.0</v>
      </c>
      <c r="S2799" s="1">
        <v>7.4</v>
      </c>
      <c r="T2799" s="1">
        <v>21744.0</v>
      </c>
      <c r="U2799" s="1">
        <v>18.708609272</v>
      </c>
      <c r="V2799" s="1">
        <v>283.43949045</v>
      </c>
      <c r="W2799" s="1">
        <v>8.9168633622</v>
      </c>
      <c r="X2799" s="1">
        <v>6.3917525773</v>
      </c>
      <c r="Y2799" s="1">
        <v>78.5583195689999</v>
      </c>
      <c r="Z2799" s="1">
        <v>11.1</v>
      </c>
      <c r="AA2799" s="1">
        <v>9.9184089146</v>
      </c>
      <c r="AB2799" s="1">
        <v>73584.0</v>
      </c>
      <c r="AC2799" s="1">
        <v>33.395797842</v>
      </c>
      <c r="AD2799" s="1">
        <v>79.734686699</v>
      </c>
      <c r="AE2799" s="1">
        <v>6.99536022029999</v>
      </c>
      <c r="AF2799" s="1">
        <v>0.7452758665</v>
      </c>
      <c r="AG2799" s="1">
        <v>1.2817028338</v>
      </c>
      <c r="AH2799" s="1">
        <v>0.7724548328</v>
      </c>
      <c r="AI2799" s="1">
        <v>0.6379904731</v>
      </c>
      <c r="AJ2799" s="1">
        <v>12.638219349</v>
      </c>
      <c r="AK2799" s="1">
        <v>82.857224598</v>
      </c>
      <c r="AL2799" s="1">
        <v>1.4289777956</v>
      </c>
      <c r="AM2799" s="1">
        <v>49.377029482</v>
      </c>
      <c r="AN2799" s="1">
        <v>17.70071112</v>
      </c>
      <c r="AO2799" s="1">
        <v>22978.0</v>
      </c>
      <c r="AP2799" s="1">
        <v>7.2</v>
      </c>
      <c r="AQ2799" s="1">
        <v>7.0</v>
      </c>
      <c r="AR2799" s="1">
        <v>8.4</v>
      </c>
      <c r="AS2799" s="1">
        <v>8.4</v>
      </c>
      <c r="AT2799" s="1">
        <v>34.4</v>
      </c>
      <c r="AU2799" s="1">
        <v>10.6</v>
      </c>
      <c r="AV2799" s="1">
        <v>16.3</v>
      </c>
      <c r="AW2799" s="1">
        <v>1.3</v>
      </c>
      <c r="AX2799" s="1">
        <v>0.2687</v>
      </c>
      <c r="AY2799" s="1">
        <v>5.3</v>
      </c>
      <c r="AZ2799" s="1">
        <v>10.3</v>
      </c>
      <c r="BA2799" s="1">
        <v>12.6</v>
      </c>
      <c r="BB2799" s="1">
        <v>3.06</v>
      </c>
      <c r="BC2799" s="1" t="s">
        <v>4537</v>
      </c>
      <c r="BD2799" s="1">
        <v>8.7</v>
      </c>
      <c r="BE2799" s="1">
        <v>29.3</v>
      </c>
      <c r="BF2799" s="1">
        <v>37.7</v>
      </c>
      <c r="BG2799" s="1">
        <v>24.2</v>
      </c>
      <c r="BH2799" s="1" t="s">
        <v>4571</v>
      </c>
    </row>
    <row r="2800">
      <c r="A2800" s="1">
        <v>49047.0</v>
      </c>
      <c r="B2800" s="2" t="str">
        <f>IFERROR(__xludf.DUMMYFUNCTION("TO_TEXT(A2800)"),"49047")</f>
        <v>49047</v>
      </c>
      <c r="C2800" s="1">
        <v>36308.0</v>
      </c>
      <c r="D2800" s="1">
        <v>4482.36670262377</v>
      </c>
      <c r="E2800" s="1" t="s">
        <v>4572</v>
      </c>
      <c r="F2800" s="1" t="s">
        <v>4573</v>
      </c>
      <c r="G2800" s="1">
        <v>8.10018510505778</v>
      </c>
      <c r="H2800" s="1">
        <v>14.471030154</v>
      </c>
      <c r="I2800" s="1">
        <v>4.4100847166</v>
      </c>
      <c r="J2800" s="1">
        <v>7.8121571209</v>
      </c>
      <c r="K2800" s="1">
        <v>12.8179246329999</v>
      </c>
      <c r="L2800" s="1">
        <v>35.2</v>
      </c>
      <c r="M2800" s="1">
        <v>7.4</v>
      </c>
      <c r="N2800" s="1">
        <v>24.2</v>
      </c>
      <c r="O2800" s="1">
        <v>61.832576408</v>
      </c>
      <c r="P2800" s="1">
        <v>15.674947044</v>
      </c>
      <c r="Q2800" s="1">
        <v>36.98435</v>
      </c>
      <c r="R2800" s="1">
        <v>83.0</v>
      </c>
      <c r="S2800" s="1">
        <v>13.5</v>
      </c>
      <c r="T2800" s="1">
        <v>12165.0</v>
      </c>
      <c r="U2800" s="1">
        <v>19.301274147</v>
      </c>
      <c r="V2800" s="1">
        <v>124.09732399</v>
      </c>
      <c r="W2800" s="1">
        <v>12.3134328359999</v>
      </c>
      <c r="X2800" s="1">
        <v>8.0865068171</v>
      </c>
      <c r="Y2800" s="1">
        <v>76.938894812</v>
      </c>
      <c r="Z2800" s="1">
        <v>9.9</v>
      </c>
      <c r="AA2800" s="1">
        <v>7.32009114419999</v>
      </c>
      <c r="AB2800" s="1">
        <v>63631.0</v>
      </c>
      <c r="AC2800" s="1">
        <v>45.619403831</v>
      </c>
      <c r="AD2800" s="1">
        <v>77.157647059</v>
      </c>
      <c r="AE2800" s="1">
        <v>9.7202192097</v>
      </c>
      <c r="AF2800" s="1">
        <v>0.4176307918</v>
      </c>
      <c r="AG2800" s="1">
        <v>8.0139962752</v>
      </c>
      <c r="AH2800" s="1">
        <v>0.5559004458</v>
      </c>
      <c r="AI2800" s="1">
        <v>0.3837688357</v>
      </c>
      <c r="AJ2800" s="1">
        <v>8.6235114848</v>
      </c>
      <c r="AK2800" s="1">
        <v>81.274338281</v>
      </c>
      <c r="AL2800" s="1">
        <v>0.8626974484</v>
      </c>
      <c r="AM2800" s="1">
        <v>49.176025735</v>
      </c>
      <c r="AN2800" s="1">
        <v>46.848533202</v>
      </c>
      <c r="AO2800" s="1">
        <v>25488.0</v>
      </c>
      <c r="AP2800" s="1">
        <v>9.5</v>
      </c>
      <c r="AQ2800" s="1">
        <v>5.5</v>
      </c>
      <c r="AR2800" s="1">
        <v>13.2</v>
      </c>
      <c r="AS2800" s="1">
        <v>9.1</v>
      </c>
      <c r="AT2800" s="1">
        <v>33.9</v>
      </c>
      <c r="AU2800" s="1">
        <v>10.7</v>
      </c>
      <c r="AV2800" s="1">
        <v>18.1</v>
      </c>
      <c r="AW2800" s="1">
        <v>1.2</v>
      </c>
      <c r="AX2800" s="1">
        <v>0.3193</v>
      </c>
      <c r="AY2800" s="1">
        <v>11.1</v>
      </c>
      <c r="AZ2800" s="1">
        <v>12.8</v>
      </c>
      <c r="BA2800" s="1">
        <v>16.2</v>
      </c>
      <c r="BB2800" s="1">
        <v>3.06</v>
      </c>
      <c r="BC2800" s="1" t="s">
        <v>4537</v>
      </c>
      <c r="BD2800" s="1">
        <v>14.3</v>
      </c>
      <c r="BE2800" s="1">
        <v>34.9</v>
      </c>
      <c r="BF2800" s="1">
        <v>35.0</v>
      </c>
      <c r="BG2800" s="1">
        <v>15.8</v>
      </c>
      <c r="BH2800" s="1" t="s">
        <v>4573</v>
      </c>
    </row>
    <row r="2801">
      <c r="A2801" s="1">
        <v>49049.0</v>
      </c>
      <c r="B2801" s="2" t="str">
        <f>IFERROR(__xludf.DUMMYFUNCTION("TO_TEXT(A2801)"),"49049")</f>
        <v>49049</v>
      </c>
      <c r="C2801" s="1">
        <v>564177.0</v>
      </c>
      <c r="D2801" s="1">
        <v>2003.58799002071</v>
      </c>
      <c r="E2801" s="1" t="s">
        <v>4574</v>
      </c>
      <c r="F2801" s="1" t="s">
        <v>4575</v>
      </c>
      <c r="G2801" s="1">
        <v>281.583340891442</v>
      </c>
      <c r="H2801" s="1">
        <v>12.626729694</v>
      </c>
      <c r="I2801" s="1">
        <v>3.4001827968</v>
      </c>
      <c r="J2801" s="1">
        <v>6.2709696107</v>
      </c>
      <c r="K2801" s="1">
        <v>5.908719481</v>
      </c>
      <c r="L2801" s="1">
        <v>25.0</v>
      </c>
      <c r="M2801" s="1">
        <v>7.7</v>
      </c>
      <c r="N2801" s="1">
        <v>15.8</v>
      </c>
      <c r="O2801" s="1">
        <v>84.549252368</v>
      </c>
      <c r="P2801" s="1">
        <v>8.1047755706</v>
      </c>
      <c r="Q2801" s="1">
        <v>42.37952</v>
      </c>
      <c r="R2801" s="1">
        <v>90.701991856</v>
      </c>
      <c r="S2801" s="1">
        <v>7.5</v>
      </c>
      <c r="T2801" s="1">
        <v>200347.0</v>
      </c>
      <c r="U2801" s="1">
        <v>11.091755804</v>
      </c>
      <c r="V2801" s="1">
        <v>77.953431298</v>
      </c>
      <c r="W2801" s="1">
        <v>15.257037135</v>
      </c>
      <c r="X2801" s="1">
        <v>11.101850308</v>
      </c>
      <c r="Y2801" s="1">
        <v>80.569192257</v>
      </c>
      <c r="Z2801" s="1">
        <v>6.2</v>
      </c>
      <c r="AA2801" s="1">
        <v>6.9067192712</v>
      </c>
      <c r="AB2801" s="1">
        <v>75296.0</v>
      </c>
      <c r="AC2801" s="1">
        <v>22.499913077</v>
      </c>
      <c r="AD2801" s="1">
        <v>67.603906654</v>
      </c>
      <c r="AE2801" s="1">
        <v>10.687357475</v>
      </c>
      <c r="AF2801" s="1">
        <v>0.5888658707</v>
      </c>
      <c r="AG2801" s="1">
        <v>0.8201371556</v>
      </c>
      <c r="AH2801" s="1">
        <v>1.8125625791</v>
      </c>
      <c r="AI2801" s="1">
        <v>0.9337638397</v>
      </c>
      <c r="AJ2801" s="1">
        <v>11.988659832</v>
      </c>
      <c r="AK2801" s="1">
        <v>82.050198244</v>
      </c>
      <c r="AL2801" s="1">
        <v>1.9062194847</v>
      </c>
      <c r="AM2801" s="1">
        <v>49.440625638</v>
      </c>
      <c r="AN2801" s="1">
        <v>3.3269836845</v>
      </c>
      <c r="AO2801" s="1">
        <v>22088.0</v>
      </c>
      <c r="AP2801" s="1">
        <v>12.5</v>
      </c>
      <c r="AQ2801" s="1">
        <v>4.9</v>
      </c>
      <c r="AR2801" s="1">
        <v>6.4</v>
      </c>
      <c r="AS2801" s="1">
        <v>7.1</v>
      </c>
      <c r="AT2801" s="1">
        <v>34.7</v>
      </c>
      <c r="AU2801" s="1">
        <v>7.5</v>
      </c>
      <c r="AV2801" s="1">
        <v>16.6</v>
      </c>
      <c r="AW2801" s="1">
        <v>2.0</v>
      </c>
      <c r="AX2801" s="1">
        <v>0.2891</v>
      </c>
      <c r="AY2801" s="1">
        <v>9.7</v>
      </c>
      <c r="AZ2801" s="1">
        <v>10.6</v>
      </c>
      <c r="BA2801" s="1">
        <v>11.7</v>
      </c>
      <c r="BB2801" s="1">
        <v>3.03</v>
      </c>
      <c r="BC2801" s="1" t="s">
        <v>4537</v>
      </c>
      <c r="BD2801" s="1">
        <v>5.4</v>
      </c>
      <c r="BE2801" s="1">
        <v>16.4</v>
      </c>
      <c r="BF2801" s="1">
        <v>37.4</v>
      </c>
      <c r="BG2801" s="1">
        <v>40.8</v>
      </c>
      <c r="BH2801" s="1" t="s">
        <v>4575</v>
      </c>
    </row>
    <row r="2802">
      <c r="A2802" s="1">
        <v>49051.0</v>
      </c>
      <c r="B2802" s="2" t="str">
        <f>IFERROR(__xludf.DUMMYFUNCTION("TO_TEXT(A2802)"),"49051")</f>
        <v>49051</v>
      </c>
      <c r="C2802" s="1">
        <v>27895.0</v>
      </c>
      <c r="D2802" s="1">
        <v>1177.00650982804</v>
      </c>
      <c r="E2802" s="1" t="s">
        <v>4576</v>
      </c>
      <c r="F2802" s="1" t="s">
        <v>4577</v>
      </c>
      <c r="G2802" s="1">
        <v>23.6999538805231</v>
      </c>
      <c r="H2802" s="1">
        <v>11.357054194</v>
      </c>
      <c r="I2802" s="1">
        <v>3.5340878302</v>
      </c>
      <c r="J2802" s="1">
        <v>6.9200779727</v>
      </c>
      <c r="K2802" s="1">
        <v>8.35008825159999</v>
      </c>
      <c r="L2802" s="1">
        <v>23.6</v>
      </c>
      <c r="M2802" s="1">
        <v>8.5</v>
      </c>
      <c r="N2802" s="1">
        <v>16.4</v>
      </c>
      <c r="O2802" s="1">
        <v>73.302167446</v>
      </c>
      <c r="P2802" s="1">
        <v>11.947523502</v>
      </c>
      <c r="Q2802" s="1">
        <v>52.9496</v>
      </c>
      <c r="R2802" s="1">
        <v>92.0</v>
      </c>
      <c r="S2802" s="1">
        <v>6.4</v>
      </c>
      <c r="T2802" s="1">
        <v>9724.0</v>
      </c>
      <c r="U2802" s="1">
        <v>9.4302756067</v>
      </c>
      <c r="V2802" s="1">
        <v>93.491923337</v>
      </c>
      <c r="W2802" s="1">
        <v>16.216216216</v>
      </c>
      <c r="X2802" s="1">
        <v>13.491603937</v>
      </c>
      <c r="Y2802" s="1">
        <v>81.467094751</v>
      </c>
      <c r="Z2802" s="1">
        <v>5.0</v>
      </c>
      <c r="AA2802" s="1">
        <v>1.1927828158</v>
      </c>
      <c r="AB2802" s="1">
        <v>85380.0</v>
      </c>
      <c r="AC2802" s="1">
        <v>31.896082699</v>
      </c>
      <c r="AD2802" s="1">
        <v>71.286714749</v>
      </c>
      <c r="AE2802" s="1">
        <v>13.428357089</v>
      </c>
      <c r="AF2802" s="1">
        <v>0.523465704</v>
      </c>
      <c r="AG2802" s="1">
        <v>0.779181708799999</v>
      </c>
      <c r="AH2802" s="1">
        <v>0.9987966306</v>
      </c>
      <c r="AI2802" s="1">
        <v>0.2316486161</v>
      </c>
      <c r="AJ2802" s="1">
        <v>13.8026474129999</v>
      </c>
      <c r="AK2802" s="1">
        <v>83.029482551</v>
      </c>
      <c r="AL2802" s="1">
        <v>1.2726626378</v>
      </c>
      <c r="AM2802" s="1">
        <v>49.238868833</v>
      </c>
      <c r="AN2802" s="1">
        <v>26.850828729</v>
      </c>
      <c r="AO2802" s="1">
        <v>28818.0</v>
      </c>
      <c r="AP2802" s="1">
        <v>8.8</v>
      </c>
      <c r="AQ2802" s="1">
        <v>3.7</v>
      </c>
      <c r="AR2802" s="1">
        <v>7.7</v>
      </c>
      <c r="AS2802" s="1">
        <v>9.4</v>
      </c>
      <c r="AT2802" s="1">
        <v>32.8</v>
      </c>
      <c r="AU2802" s="1">
        <v>7.5</v>
      </c>
      <c r="AV2802" s="1">
        <v>16.1</v>
      </c>
      <c r="AW2802" s="1">
        <v>2.7</v>
      </c>
      <c r="AX2802" s="1">
        <v>0.1038</v>
      </c>
      <c r="AY2802" s="1">
        <v>5.0</v>
      </c>
      <c r="AZ2802" s="1">
        <v>10.0</v>
      </c>
      <c r="BA2802" s="1">
        <v>11.6</v>
      </c>
      <c r="BB2802" s="1">
        <v>3.42</v>
      </c>
      <c r="BC2802" s="1" t="s">
        <v>4537</v>
      </c>
      <c r="BD2802" s="1">
        <v>5.4</v>
      </c>
      <c r="BE2802" s="1">
        <v>21.8</v>
      </c>
      <c r="BF2802" s="1">
        <v>32.9</v>
      </c>
      <c r="BG2802" s="1">
        <v>39.9</v>
      </c>
      <c r="BH2802" s="1" t="s">
        <v>4577</v>
      </c>
    </row>
    <row r="2803">
      <c r="A2803" s="1">
        <v>49053.0</v>
      </c>
      <c r="B2803" s="2" t="str">
        <f>IFERROR(__xludf.DUMMYFUNCTION("TO_TEXT(A2803)"),"49053")</f>
        <v>49053</v>
      </c>
      <c r="C2803" s="1">
        <v>151959.0</v>
      </c>
      <c r="D2803" s="1">
        <v>2426.94351948498</v>
      </c>
      <c r="E2803" s="1" t="s">
        <v>188</v>
      </c>
      <c r="F2803" s="1" t="s">
        <v>4578</v>
      </c>
      <c r="G2803" s="1">
        <v>62.6133236228947</v>
      </c>
      <c r="H2803" s="1">
        <v>13.229706224</v>
      </c>
      <c r="I2803" s="1">
        <v>3.9631702707</v>
      </c>
      <c r="J2803" s="1">
        <v>6.4646201873</v>
      </c>
      <c r="K2803" s="1">
        <v>8.8506644013</v>
      </c>
      <c r="L2803" s="1">
        <v>23.6</v>
      </c>
      <c r="M2803" s="1">
        <v>7.3</v>
      </c>
      <c r="N2803" s="1">
        <v>19.0</v>
      </c>
      <c r="O2803" s="1">
        <v>81.35104804</v>
      </c>
      <c r="P2803" s="1">
        <v>13.944515605</v>
      </c>
      <c r="Q2803" s="1">
        <v>57.9493199999999</v>
      </c>
      <c r="R2803" s="1">
        <v>89.0</v>
      </c>
      <c r="S2803" s="1">
        <v>11.7</v>
      </c>
      <c r="T2803" s="1">
        <v>43166.0</v>
      </c>
      <c r="U2803" s="1">
        <v>19.4875596529999</v>
      </c>
      <c r="V2803" s="1">
        <v>154.32453465</v>
      </c>
      <c r="W2803" s="1">
        <v>17.252014725</v>
      </c>
      <c r="X2803" s="1">
        <v>13.1116246359999</v>
      </c>
      <c r="Y2803" s="1">
        <v>81.766993478</v>
      </c>
      <c r="Z2803" s="1">
        <v>8.3</v>
      </c>
      <c r="AA2803" s="1">
        <v>9.2751682505</v>
      </c>
      <c r="AB2803" s="1">
        <v>57069.0</v>
      </c>
      <c r="AC2803" s="1">
        <v>38.081644305</v>
      </c>
      <c r="AD2803" s="1">
        <v>69.695806369</v>
      </c>
      <c r="AE2803" s="1">
        <v>12.72627537</v>
      </c>
      <c r="AF2803" s="1">
        <v>0.6435643564</v>
      </c>
      <c r="AG2803" s="1">
        <v>1.6831683168</v>
      </c>
      <c r="AH2803" s="1">
        <v>0.9790331974</v>
      </c>
      <c r="AI2803" s="1">
        <v>0.9440885265</v>
      </c>
      <c r="AJ2803" s="1">
        <v>10.59114735</v>
      </c>
      <c r="AK2803" s="1">
        <v>84.2055911469999</v>
      </c>
      <c r="AL2803" s="1">
        <v>1.4771395076</v>
      </c>
      <c r="AM2803" s="1">
        <v>50.464181712</v>
      </c>
      <c r="AN2803" s="1">
        <v>15.213409116</v>
      </c>
      <c r="AO2803" s="1">
        <v>23549.0</v>
      </c>
      <c r="AP2803" s="1">
        <v>14.8</v>
      </c>
      <c r="AQ2803" s="1">
        <v>6.3</v>
      </c>
      <c r="AR2803" s="1">
        <v>7.2</v>
      </c>
      <c r="AS2803" s="1">
        <v>19.6</v>
      </c>
      <c r="AT2803" s="1">
        <v>28.2</v>
      </c>
      <c r="AU2803" s="1">
        <v>13.0</v>
      </c>
      <c r="AV2803" s="1">
        <v>14.8</v>
      </c>
      <c r="AW2803" s="1">
        <v>1.5</v>
      </c>
      <c r="AX2803" s="1">
        <v>0.4511</v>
      </c>
      <c r="AY2803" s="1">
        <v>9.5</v>
      </c>
      <c r="AZ2803" s="1">
        <v>12.9</v>
      </c>
      <c r="BA2803" s="1">
        <v>16.3</v>
      </c>
      <c r="BB2803" s="1">
        <v>3.2</v>
      </c>
      <c r="BC2803" s="1" t="s">
        <v>4537</v>
      </c>
      <c r="BD2803" s="1">
        <v>7.1</v>
      </c>
      <c r="BE2803" s="1">
        <v>23.4</v>
      </c>
      <c r="BF2803" s="1">
        <v>41.5</v>
      </c>
      <c r="BG2803" s="1">
        <v>28.1</v>
      </c>
      <c r="BH2803" s="1" t="s">
        <v>4578</v>
      </c>
    </row>
    <row r="2804">
      <c r="A2804" s="1">
        <v>49055.0</v>
      </c>
      <c r="B2804" s="2" t="str">
        <f>IFERROR(__xludf.DUMMYFUNCTION("TO_TEXT(A2804)"),"49055")</f>
        <v>49055</v>
      </c>
      <c r="C2804" s="1">
        <v>2716.0</v>
      </c>
      <c r="D2804" s="1">
        <v>2461.07549111356</v>
      </c>
      <c r="E2804" s="1" t="s">
        <v>1048</v>
      </c>
      <c r="F2804" s="1" t="s">
        <v>4579</v>
      </c>
      <c r="G2804" s="1">
        <v>1.10358256372343</v>
      </c>
      <c r="H2804" s="1">
        <v>12.480139152</v>
      </c>
      <c r="I2804" s="1">
        <v>3.6804263695</v>
      </c>
      <c r="J2804" s="1">
        <v>10.576923077</v>
      </c>
      <c r="K2804" s="1">
        <v>9.4286943486</v>
      </c>
      <c r="L2804" s="1">
        <v>21.8</v>
      </c>
      <c r="M2804" s="1">
        <v>6.6</v>
      </c>
      <c r="N2804" s="1">
        <v>18.3</v>
      </c>
      <c r="O2804" s="1">
        <v>43.844492441</v>
      </c>
      <c r="P2804" s="1">
        <v>15.239887112</v>
      </c>
      <c r="Q2804" s="1">
        <v>36.77823</v>
      </c>
      <c r="R2804" s="1">
        <v>95.0</v>
      </c>
      <c r="S2804" s="1">
        <v>17.2</v>
      </c>
      <c r="T2804" s="1">
        <v>686.0</v>
      </c>
      <c r="U2804" s="1">
        <v>12.099125364</v>
      </c>
      <c r="V2804" s="1">
        <v>204.509002055</v>
      </c>
      <c r="W2804" s="1">
        <v>13.265306122</v>
      </c>
      <c r="X2804" s="1">
        <v>10.963114754</v>
      </c>
      <c r="Y2804" s="1">
        <v>79.411563353</v>
      </c>
      <c r="Z2804" s="1">
        <v>8.6</v>
      </c>
      <c r="AA2804" s="1">
        <v>14.0885086759999</v>
      </c>
      <c r="AB2804" s="1">
        <v>47175.0</v>
      </c>
      <c r="AC2804" s="1">
        <v>43.7894736839999</v>
      </c>
      <c r="AD2804" s="1">
        <v>75.024485798</v>
      </c>
      <c r="AE2804" s="1">
        <v>8.9783281734</v>
      </c>
      <c r="AF2804" s="1">
        <v>0.4460966543</v>
      </c>
      <c r="AG2804" s="1">
        <v>1.0037174721</v>
      </c>
      <c r="AH2804" s="1">
        <v>0.9293680297</v>
      </c>
      <c r="AI2804" s="1">
        <v>0.1486988848</v>
      </c>
      <c r="AJ2804" s="1">
        <v>6.9144981413</v>
      </c>
      <c r="AK2804" s="1">
        <v>90.111524164</v>
      </c>
      <c r="AL2804" s="1">
        <v>2.9145332808</v>
      </c>
      <c r="AM2804" s="1">
        <v>48.661710037</v>
      </c>
      <c r="AN2804" s="1">
        <v>100.0</v>
      </c>
      <c r="AO2804" s="1">
        <v>21501.0</v>
      </c>
      <c r="AP2804" s="1">
        <v>13.7</v>
      </c>
      <c r="AQ2804" s="1">
        <v>1.9</v>
      </c>
      <c r="AR2804" s="1">
        <v>7.9</v>
      </c>
      <c r="AS2804" s="1">
        <v>18.7</v>
      </c>
      <c r="AT2804" s="1">
        <v>27.8</v>
      </c>
      <c r="AU2804" s="1">
        <v>10.6</v>
      </c>
      <c r="AV2804" s="1">
        <v>7.7</v>
      </c>
      <c r="AW2804" s="1">
        <v>1.6</v>
      </c>
      <c r="AX2804" s="1">
        <v>0.233</v>
      </c>
      <c r="AY2804" s="1">
        <v>11.8</v>
      </c>
      <c r="AZ2804" s="1">
        <v>13.4</v>
      </c>
      <c r="BA2804" s="1">
        <v>16.6</v>
      </c>
      <c r="BB2804" s="1">
        <v>3.09</v>
      </c>
      <c r="BC2804" s="1" t="s">
        <v>4537</v>
      </c>
      <c r="BD2804" s="1">
        <v>11.6</v>
      </c>
      <c r="BE2804" s="1">
        <v>24.6</v>
      </c>
      <c r="BF2804" s="1">
        <v>40.4</v>
      </c>
      <c r="BG2804" s="1">
        <v>23.4</v>
      </c>
      <c r="BH2804" s="1" t="s">
        <v>4579</v>
      </c>
    </row>
    <row r="2805">
      <c r="A2805" s="1">
        <v>49057.0</v>
      </c>
      <c r="B2805" s="2" t="str">
        <f>IFERROR(__xludf.DUMMYFUNCTION("TO_TEXT(A2805)"),"49057")</f>
        <v>49057</v>
      </c>
      <c r="C2805" s="1">
        <v>241328.0</v>
      </c>
      <c r="D2805" s="1">
        <v>576.265129627594</v>
      </c>
      <c r="E2805" s="1" t="s">
        <v>4580</v>
      </c>
      <c r="F2805" s="1" t="s">
        <v>4581</v>
      </c>
      <c r="G2805" s="1">
        <v>418.779460343116</v>
      </c>
      <c r="H2805" s="1">
        <v>15.712879282</v>
      </c>
      <c r="I2805" s="1">
        <v>4.2000679793</v>
      </c>
      <c r="J2805" s="1">
        <v>7.4712000895</v>
      </c>
      <c r="K2805" s="1">
        <v>10.982049039</v>
      </c>
      <c r="L2805" s="1">
        <v>31.2</v>
      </c>
      <c r="M2805" s="1">
        <v>7.9</v>
      </c>
      <c r="N2805" s="1">
        <v>20.2</v>
      </c>
      <c r="O2805" s="1">
        <v>86.103374907</v>
      </c>
      <c r="P2805" s="1">
        <v>10.088819797</v>
      </c>
      <c r="Q2805" s="1">
        <v>43.69084</v>
      </c>
      <c r="R2805" s="1">
        <v>84.288441305</v>
      </c>
      <c r="S2805" s="1">
        <v>11.3</v>
      </c>
      <c r="T2805" s="1">
        <v>70676.0</v>
      </c>
      <c r="U2805" s="1">
        <v>25.69188975</v>
      </c>
      <c r="V2805" s="1">
        <v>247.11815119</v>
      </c>
      <c r="W2805" s="1">
        <v>12.275449102</v>
      </c>
      <c r="X2805" s="1">
        <v>9.2763324072</v>
      </c>
      <c r="Y2805" s="1">
        <v>78.270563744</v>
      </c>
      <c r="Z2805" s="1">
        <v>7.7</v>
      </c>
      <c r="AA2805" s="1">
        <v>6.2148103334</v>
      </c>
      <c r="AB2805" s="1">
        <v>68106.0</v>
      </c>
      <c r="AC2805" s="1">
        <v>43.23736455</v>
      </c>
      <c r="AD2805" s="1">
        <v>72.508099057</v>
      </c>
      <c r="AE2805" s="1">
        <v>9.4227367744</v>
      </c>
      <c r="AF2805" s="1">
        <v>1.3247048085</v>
      </c>
      <c r="AG2805" s="1">
        <v>1.3785355693</v>
      </c>
      <c r="AH2805" s="1">
        <v>1.6121922772</v>
      </c>
      <c r="AI2805" s="1">
        <v>0.3417083075</v>
      </c>
      <c r="AJ2805" s="1">
        <v>18.720232174</v>
      </c>
      <c r="AK2805" s="1">
        <v>75.684489329</v>
      </c>
      <c r="AL2805" s="1">
        <v>2.3846248225</v>
      </c>
      <c r="AM2805" s="1">
        <v>49.676820396</v>
      </c>
      <c r="AN2805" s="1">
        <v>5.8009998443</v>
      </c>
      <c r="AO2805" s="1">
        <v>24226.0</v>
      </c>
      <c r="AP2805" s="1">
        <v>12.4</v>
      </c>
      <c r="AQ2805" s="1">
        <v>5.3</v>
      </c>
      <c r="AR2805" s="1">
        <v>9.9</v>
      </c>
      <c r="AS2805" s="1">
        <v>11.1</v>
      </c>
      <c r="AT2805" s="1">
        <v>29.2</v>
      </c>
      <c r="AU2805" s="1">
        <v>11.1</v>
      </c>
      <c r="AV2805" s="1">
        <v>22.9</v>
      </c>
      <c r="AW2805" s="1">
        <v>2.8</v>
      </c>
      <c r="AX2805" s="1">
        <v>0.4241</v>
      </c>
      <c r="AY2805" s="1">
        <v>6.9</v>
      </c>
      <c r="AZ2805" s="1">
        <v>11.8</v>
      </c>
      <c r="BA2805" s="1">
        <v>14.4</v>
      </c>
      <c r="BB2805" s="1">
        <v>2.95</v>
      </c>
      <c r="BC2805" s="1" t="s">
        <v>4537</v>
      </c>
      <c r="BD2805" s="1">
        <v>9.4</v>
      </c>
      <c r="BE2805" s="1">
        <v>29.6</v>
      </c>
      <c r="BF2805" s="1">
        <v>36.6</v>
      </c>
      <c r="BG2805" s="1">
        <v>24.5</v>
      </c>
      <c r="BH2805" s="1" t="s">
        <v>4581</v>
      </c>
    </row>
    <row r="2806">
      <c r="A2806" s="1">
        <v>50001.0</v>
      </c>
      <c r="B2806" s="2" t="str">
        <f>IFERROR(__xludf.DUMMYFUNCTION("TO_TEXT(A2806)"),"50001")</f>
        <v>50001</v>
      </c>
      <c r="C2806" s="1">
        <v>36926.0</v>
      </c>
      <c r="D2806" s="1">
        <v>766.327665784516</v>
      </c>
      <c r="E2806" s="1" t="s">
        <v>4582</v>
      </c>
      <c r="F2806" s="1" t="s">
        <v>4583</v>
      </c>
      <c r="G2806" s="1">
        <v>48.1856543208545</v>
      </c>
      <c r="H2806" s="1">
        <v>9.683870326</v>
      </c>
      <c r="I2806" s="1">
        <v>3.5133683681</v>
      </c>
      <c r="J2806" s="1">
        <v>6.4397424103</v>
      </c>
      <c r="K2806" s="1">
        <v>13.030216513</v>
      </c>
      <c r="L2806" s="1">
        <v>25.5</v>
      </c>
      <c r="M2806" s="1">
        <v>8.7</v>
      </c>
      <c r="N2806" s="1">
        <v>20.3</v>
      </c>
      <c r="O2806" s="1">
        <v>72.455935472</v>
      </c>
      <c r="P2806" s="1">
        <v>6.2158494994</v>
      </c>
      <c r="Q2806" s="1">
        <v>114.20492</v>
      </c>
      <c r="R2806" s="1">
        <v>93.698224852</v>
      </c>
      <c r="S2806" s="1">
        <v>9.6</v>
      </c>
      <c r="T2806" s="1">
        <v>6388.0</v>
      </c>
      <c r="U2806" s="1">
        <v>23.731997495</v>
      </c>
      <c r="V2806" s="1">
        <v>78.63340564</v>
      </c>
      <c r="W2806" s="1">
        <v>15.142065142</v>
      </c>
      <c r="X2806" s="1">
        <v>13.238359972</v>
      </c>
      <c r="Y2806" s="1">
        <v>81.606988547</v>
      </c>
      <c r="Z2806" s="1">
        <v>9.0</v>
      </c>
      <c r="AA2806" s="1">
        <v>0.7716499158</v>
      </c>
      <c r="AB2806" s="1">
        <v>68878.0</v>
      </c>
      <c r="AC2806" s="1">
        <v>34.435083171</v>
      </c>
      <c r="AD2806" s="1">
        <v>74.078599063</v>
      </c>
      <c r="AE2806" s="1">
        <v>13.099824869</v>
      </c>
      <c r="AF2806" s="1">
        <v>1.2739025776</v>
      </c>
      <c r="AG2806" s="1">
        <v>0.2758769913</v>
      </c>
      <c r="AH2806" s="1">
        <v>1.9500716739</v>
      </c>
      <c r="AI2806" s="1">
        <v>0.0432748222</v>
      </c>
      <c r="AJ2806" s="1">
        <v>2.2908608985</v>
      </c>
      <c r="AK2806" s="1">
        <v>92.437724826</v>
      </c>
      <c r="AL2806" s="1">
        <v>0.3898855771</v>
      </c>
      <c r="AM2806" s="1">
        <v>50.047331837</v>
      </c>
      <c r="AN2806" s="1">
        <v>78.430786779</v>
      </c>
      <c r="AO2806" s="1">
        <v>30154.0</v>
      </c>
      <c r="AP2806" s="1">
        <v>8.7</v>
      </c>
      <c r="AQ2806" s="1">
        <v>5.0</v>
      </c>
      <c r="AR2806" s="1">
        <v>7.5</v>
      </c>
      <c r="AS2806" s="1">
        <v>17.0</v>
      </c>
      <c r="AT2806" s="1">
        <v>18.2</v>
      </c>
      <c r="AU2806" s="1">
        <v>14.2</v>
      </c>
      <c r="AV2806" s="1">
        <v>6.9</v>
      </c>
      <c r="AW2806" s="1">
        <v>0.7</v>
      </c>
      <c r="AX2806" s="1">
        <v>0.1649</v>
      </c>
      <c r="AY2806" s="1">
        <v>7.9</v>
      </c>
      <c r="AZ2806" s="1">
        <v>9.5</v>
      </c>
      <c r="BA2806" s="1">
        <v>13.1</v>
      </c>
      <c r="BB2806" s="1">
        <v>4.26</v>
      </c>
      <c r="BC2806" s="1" t="s">
        <v>4584</v>
      </c>
      <c r="BD2806" s="1">
        <v>6.5</v>
      </c>
      <c r="BE2806" s="1">
        <v>29.1</v>
      </c>
      <c r="BF2806" s="1">
        <v>24.8</v>
      </c>
      <c r="BG2806" s="1">
        <v>39.6</v>
      </c>
      <c r="BH2806" s="1" t="s">
        <v>4583</v>
      </c>
    </row>
    <row r="2807">
      <c r="A2807" s="1">
        <v>50003.0</v>
      </c>
      <c r="B2807" s="2" t="str">
        <f>IFERROR(__xludf.DUMMYFUNCTION("TO_TEXT(A2807)"),"50003")</f>
        <v>50003</v>
      </c>
      <c r="C2807" s="1">
        <v>36503.0</v>
      </c>
      <c r="D2807" s="1">
        <v>675.001135006464</v>
      </c>
      <c r="E2807" s="1" t="s">
        <v>4585</v>
      </c>
      <c r="F2807" s="1" t="s">
        <v>4586</v>
      </c>
      <c r="G2807" s="1">
        <v>54.0784275861261</v>
      </c>
      <c r="H2807" s="1">
        <v>12.626462058</v>
      </c>
      <c r="I2807" s="1">
        <v>4.3586435854</v>
      </c>
      <c r="J2807" s="1">
        <v>8.4224027362</v>
      </c>
      <c r="K2807" s="1">
        <v>14.71692596</v>
      </c>
      <c r="L2807" s="1">
        <v>29.6</v>
      </c>
      <c r="M2807" s="1">
        <v>8.1</v>
      </c>
      <c r="N2807" s="1">
        <v>19.7</v>
      </c>
      <c r="O2807" s="1">
        <v>100.0</v>
      </c>
      <c r="P2807" s="1">
        <v>5.9519796232</v>
      </c>
      <c r="Q2807" s="1">
        <v>106.75957</v>
      </c>
      <c r="R2807" s="1">
        <v>81.896678967</v>
      </c>
      <c r="S2807" s="1">
        <v>16.5</v>
      </c>
      <c r="T2807" s="1">
        <v>6849.0</v>
      </c>
      <c r="U2807" s="1">
        <v>38.58957512</v>
      </c>
      <c r="V2807" s="1">
        <v>155.61737406</v>
      </c>
      <c r="W2807" s="1">
        <v>17.045454545</v>
      </c>
      <c r="X2807" s="1">
        <v>14.756774404</v>
      </c>
      <c r="Y2807" s="1">
        <v>77.572738804</v>
      </c>
      <c r="Z2807" s="1">
        <v>9.4</v>
      </c>
      <c r="AA2807" s="1">
        <v>4.2748974079</v>
      </c>
      <c r="AB2807" s="1">
        <v>52510.0</v>
      </c>
      <c r="AC2807" s="1">
        <v>54.082590333</v>
      </c>
      <c r="AD2807" s="1">
        <v>73.343605547</v>
      </c>
      <c r="AE2807" s="1">
        <v>13.787409701</v>
      </c>
      <c r="AF2807" s="1">
        <v>1.1394572142</v>
      </c>
      <c r="AG2807" s="1">
        <v>0.3283657489</v>
      </c>
      <c r="AH2807" s="1">
        <v>1.2432993741</v>
      </c>
      <c r="AI2807" s="1">
        <v>0.0477112626999999</v>
      </c>
      <c r="AJ2807" s="1">
        <v>2.1610395442</v>
      </c>
      <c r="AK2807" s="1">
        <v>93.721759142</v>
      </c>
      <c r="AL2807" s="1">
        <v>0.0933652331</v>
      </c>
      <c r="AM2807" s="1">
        <v>51.26996155</v>
      </c>
      <c r="AN2807" s="1">
        <v>64.5117845119999</v>
      </c>
      <c r="AO2807" s="1">
        <v>30197.0</v>
      </c>
      <c r="AP2807" s="1">
        <v>13.4</v>
      </c>
      <c r="AQ2807" s="1">
        <v>5.4</v>
      </c>
      <c r="AR2807" s="1">
        <v>9.4</v>
      </c>
      <c r="AS2807" s="1">
        <v>21.2</v>
      </c>
      <c r="AT2807" s="1">
        <v>19.5</v>
      </c>
      <c r="AU2807" s="1">
        <v>17.0</v>
      </c>
      <c r="AV2807" s="1">
        <v>5.2</v>
      </c>
      <c r="AW2807" s="1">
        <v>0.1</v>
      </c>
      <c r="AX2807" s="1">
        <v>0.2916</v>
      </c>
      <c r="AY2807" s="1">
        <v>10.0</v>
      </c>
      <c r="AZ2807" s="1">
        <v>11.6</v>
      </c>
      <c r="BA2807" s="1">
        <v>16.8</v>
      </c>
      <c r="BB2807" s="1">
        <v>3.29</v>
      </c>
      <c r="BC2807" s="1" t="s">
        <v>4584</v>
      </c>
      <c r="BD2807" s="1">
        <v>8.8</v>
      </c>
      <c r="BE2807" s="1">
        <v>29.1</v>
      </c>
      <c r="BF2807" s="1">
        <v>25.9</v>
      </c>
      <c r="BG2807" s="1">
        <v>36.2</v>
      </c>
      <c r="BH2807" s="1" t="s">
        <v>4586</v>
      </c>
    </row>
    <row r="2808">
      <c r="A2808" s="1">
        <v>50005.0</v>
      </c>
      <c r="B2808" s="2" t="str">
        <f>IFERROR(__xludf.DUMMYFUNCTION("TO_TEXT(A2808)"),"50005")</f>
        <v>50005</v>
      </c>
      <c r="C2808" s="1">
        <v>30859.0</v>
      </c>
      <c r="D2808" s="1">
        <v>649.01883837003</v>
      </c>
      <c r="E2808" s="1" t="s">
        <v>4587</v>
      </c>
      <c r="F2808" s="1" t="s">
        <v>4588</v>
      </c>
      <c r="G2808" s="1">
        <v>47.5471560694607</v>
      </c>
      <c r="H2808" s="1">
        <v>13.8130267859999</v>
      </c>
      <c r="I2808" s="1">
        <v>4.3188519951</v>
      </c>
      <c r="J2808" s="1">
        <v>6.3938618926</v>
      </c>
      <c r="K2808" s="1">
        <v>15.458265239</v>
      </c>
      <c r="L2808" s="1">
        <v>31.8</v>
      </c>
      <c r="M2808" s="1">
        <v>8.3</v>
      </c>
      <c r="N2808" s="1">
        <v>24.5</v>
      </c>
      <c r="O2808" s="1">
        <v>60.434880072</v>
      </c>
      <c r="P2808" s="1">
        <v>5.8259555172</v>
      </c>
      <c r="Q2808" s="1">
        <v>86.19546</v>
      </c>
      <c r="R2808" s="1">
        <v>80.730337079</v>
      </c>
      <c r="S2808" s="1">
        <v>15.1</v>
      </c>
      <c r="T2808" s="1">
        <v>5747.0</v>
      </c>
      <c r="U2808" s="1">
        <v>28.4496258919999</v>
      </c>
      <c r="V2808" s="1">
        <v>113.33829863</v>
      </c>
      <c r="W2808" s="1">
        <v>15.702479339</v>
      </c>
      <c r="X2808" s="1">
        <v>13.361169102</v>
      </c>
      <c r="Y2808" s="1">
        <v>78.751246986</v>
      </c>
      <c r="Z2808" s="1">
        <v>8.8</v>
      </c>
      <c r="AA2808" s="1">
        <v>1.9920403389</v>
      </c>
      <c r="AB2808" s="1">
        <v>50368.0</v>
      </c>
      <c r="AC2808" s="1">
        <v>52.598622417</v>
      </c>
      <c r="AD2808" s="1">
        <v>72.187653512</v>
      </c>
      <c r="AE2808" s="1">
        <v>13.428306499</v>
      </c>
      <c r="AF2808" s="1">
        <v>0.772226255699999</v>
      </c>
      <c r="AG2808" s="1">
        <v>0.4983169428</v>
      </c>
      <c r="AH2808" s="1">
        <v>0.9702329879</v>
      </c>
      <c r="AI2808" s="1">
        <v>0.016500561</v>
      </c>
      <c r="AJ2808" s="1">
        <v>1.6599564385</v>
      </c>
      <c r="AK2808" s="1">
        <v>94.713220249</v>
      </c>
      <c r="AL2808" s="1">
        <v>0.3793888391</v>
      </c>
      <c r="AM2808" s="1">
        <v>49.950498317</v>
      </c>
      <c r="AN2808" s="1">
        <v>74.390751593</v>
      </c>
      <c r="AO2808" s="1">
        <v>24948.0</v>
      </c>
      <c r="AP2808" s="1">
        <v>12.4</v>
      </c>
      <c r="AQ2808" s="1">
        <v>6.3</v>
      </c>
      <c r="AR2808" s="1">
        <v>9.4</v>
      </c>
      <c r="AS2808" s="1">
        <v>18.0</v>
      </c>
      <c r="AT2808" s="1">
        <v>20.4</v>
      </c>
      <c r="AU2808" s="1">
        <v>19.7</v>
      </c>
      <c r="AV2808" s="1">
        <v>4.7</v>
      </c>
      <c r="AW2808" s="1">
        <v>0.3</v>
      </c>
      <c r="AX2808" s="1">
        <v>0.3346</v>
      </c>
      <c r="AY2808" s="1">
        <v>12.3</v>
      </c>
      <c r="AZ2808" s="1">
        <v>12.1</v>
      </c>
      <c r="BA2808" s="1">
        <v>17.7</v>
      </c>
      <c r="BB2808" s="1">
        <v>3.85</v>
      </c>
      <c r="BC2808" s="1" t="s">
        <v>4584</v>
      </c>
      <c r="BD2808" s="1">
        <v>8.7</v>
      </c>
      <c r="BE2808" s="1">
        <v>35.3</v>
      </c>
      <c r="BF2808" s="1">
        <v>27.0</v>
      </c>
      <c r="BG2808" s="1">
        <v>29.0</v>
      </c>
      <c r="BH2808" s="1" t="s">
        <v>4588</v>
      </c>
    </row>
    <row r="2809">
      <c r="A2809" s="1">
        <v>50007.0</v>
      </c>
      <c r="B2809" s="2" t="str">
        <f>IFERROR(__xludf.DUMMYFUNCTION("TO_TEXT(A2809)"),"50007")</f>
        <v>50007</v>
      </c>
      <c r="C2809" s="1">
        <v>160510.0</v>
      </c>
      <c r="D2809" s="1">
        <v>536.581480739051</v>
      </c>
      <c r="E2809" s="1" t="s">
        <v>4589</v>
      </c>
      <c r="F2809" s="1" t="s">
        <v>4590</v>
      </c>
      <c r="G2809" s="1">
        <v>299.134438592484</v>
      </c>
      <c r="H2809" s="1">
        <v>9.925446379</v>
      </c>
      <c r="I2809" s="1">
        <v>3.8242228986</v>
      </c>
      <c r="J2809" s="1">
        <v>6.5355211635</v>
      </c>
      <c r="K2809" s="1">
        <v>11.454113693</v>
      </c>
      <c r="L2809" s="1">
        <v>21.1</v>
      </c>
      <c r="M2809" s="1">
        <v>8.3</v>
      </c>
      <c r="N2809" s="1">
        <v>14.4</v>
      </c>
      <c r="O2809" s="1">
        <v>87.489859146</v>
      </c>
      <c r="P2809" s="1">
        <v>5.10313544</v>
      </c>
      <c r="Q2809" s="1">
        <v>180.44983</v>
      </c>
      <c r="R2809" s="1">
        <v>90.048329356</v>
      </c>
      <c r="S2809" s="1">
        <v>8.0</v>
      </c>
      <c r="T2809" s="1">
        <v>29174.0</v>
      </c>
      <c r="U2809" s="1">
        <v>27.610200864</v>
      </c>
      <c r="V2809" s="1">
        <v>129.78948022</v>
      </c>
      <c r="W2809" s="1">
        <v>16.61459147</v>
      </c>
      <c r="X2809" s="1">
        <v>14.905808477</v>
      </c>
      <c r="Y2809" s="1">
        <v>81.633050558</v>
      </c>
      <c r="Z2809" s="1">
        <v>6.0</v>
      </c>
      <c r="AA2809" s="1">
        <v>3.0313340045</v>
      </c>
      <c r="AB2809" s="1">
        <v>74240.0</v>
      </c>
      <c r="AC2809" s="1">
        <v>26.22396297</v>
      </c>
      <c r="AD2809" s="1">
        <v>62.974006116</v>
      </c>
      <c r="AE2809" s="1">
        <v>16.1365157959999</v>
      </c>
      <c r="AF2809" s="1">
        <v>2.4536373138</v>
      </c>
      <c r="AG2809" s="1">
        <v>0.2527769001</v>
      </c>
      <c r="AH2809" s="1">
        <v>4.7316675984</v>
      </c>
      <c r="AI2809" s="1">
        <v>0.0394963906</v>
      </c>
      <c r="AJ2809" s="1">
        <v>2.4287242058</v>
      </c>
      <c r="AK2809" s="1">
        <v>88.129815521</v>
      </c>
      <c r="AL2809" s="1">
        <v>1.404463447</v>
      </c>
      <c r="AM2809" s="1">
        <v>50.968573026</v>
      </c>
      <c r="AN2809" s="1">
        <v>25.986138171</v>
      </c>
      <c r="AO2809" s="1">
        <v>34658.0</v>
      </c>
      <c r="AP2809" s="1">
        <v>11.5</v>
      </c>
      <c r="AQ2809" s="1">
        <v>4.5</v>
      </c>
      <c r="AR2809" s="1">
        <v>6.1</v>
      </c>
      <c r="AS2809" s="1">
        <v>13.2</v>
      </c>
      <c r="AT2809" s="1">
        <v>18.7</v>
      </c>
      <c r="AU2809" s="1">
        <v>11.1</v>
      </c>
      <c r="AV2809" s="1">
        <v>10.4</v>
      </c>
      <c r="AW2809" s="1">
        <v>1.3</v>
      </c>
      <c r="AX2809" s="1">
        <v>0.156</v>
      </c>
      <c r="AY2809" s="1">
        <v>10.5</v>
      </c>
      <c r="AZ2809" s="1">
        <v>9.7</v>
      </c>
      <c r="BA2809" s="1">
        <v>12.3</v>
      </c>
      <c r="BB2809" s="1">
        <v>3.81</v>
      </c>
      <c r="BC2809" s="1" t="s">
        <v>4584</v>
      </c>
      <c r="BD2809" s="1">
        <v>5.6</v>
      </c>
      <c r="BE2809" s="1">
        <v>19.0</v>
      </c>
      <c r="BF2809" s="1">
        <v>24.1</v>
      </c>
      <c r="BG2809" s="1">
        <v>51.3</v>
      </c>
      <c r="BH2809" s="1" t="s">
        <v>4590</v>
      </c>
    </row>
    <row r="2810">
      <c r="A2810" s="1">
        <v>50009.0</v>
      </c>
      <c r="B2810" s="2" t="str">
        <f>IFERROR(__xludf.DUMMYFUNCTION("TO_TEXT(A2810)"),"50009")</f>
        <v>50009</v>
      </c>
      <c r="C2810" s="1">
        <v>6173.0</v>
      </c>
      <c r="D2810" s="1">
        <v>663.60358273169</v>
      </c>
      <c r="E2810" s="1" t="s">
        <v>2125</v>
      </c>
      <c r="F2810" s="1" t="s">
        <v>4591</v>
      </c>
      <c r="G2810" s="1">
        <v>9.30224031429902</v>
      </c>
      <c r="H2810" s="1">
        <v>15.662723883</v>
      </c>
      <c r="I2810" s="1">
        <v>4.4967551405</v>
      </c>
      <c r="J2810" s="1">
        <v>5.2197802198</v>
      </c>
      <c r="K2810" s="1">
        <v>15.9128217279999</v>
      </c>
      <c r="L2810" s="1">
        <v>28.6</v>
      </c>
      <c r="M2810" s="1">
        <v>7.1</v>
      </c>
      <c r="N2810" s="1">
        <v>27.3</v>
      </c>
      <c r="O2810" s="1">
        <v>43.609261021</v>
      </c>
      <c r="P2810" s="1">
        <v>6.5934065934</v>
      </c>
      <c r="Q2810" s="1">
        <v>16.05136</v>
      </c>
      <c r="R2810" s="1">
        <v>89.912280702</v>
      </c>
      <c r="S2810" s="1">
        <v>24.1</v>
      </c>
      <c r="T2810" s="1">
        <v>1101.0</v>
      </c>
      <c r="U2810" s="1">
        <v>35.78564941</v>
      </c>
      <c r="V2810" s="1">
        <v>16.337199804</v>
      </c>
      <c r="W2810" s="1">
        <v>14.126394052</v>
      </c>
      <c r="X2810" s="1">
        <v>12.865716429</v>
      </c>
      <c r="Y2810" s="1">
        <v>77.308927568</v>
      </c>
      <c r="Z2810" s="1">
        <v>13.0</v>
      </c>
      <c r="AA2810" s="1">
        <v>13.315832092</v>
      </c>
      <c r="AB2810" s="1">
        <v>43671.0</v>
      </c>
      <c r="AC2810" s="1">
        <v>62.903225806</v>
      </c>
      <c r="AD2810" s="1">
        <v>80.152394775</v>
      </c>
      <c r="AE2810" s="1">
        <v>14.3928035979999</v>
      </c>
      <c r="AF2810" s="1">
        <v>0.592</v>
      </c>
      <c r="AG2810" s="1">
        <v>0.576</v>
      </c>
      <c r="AH2810" s="1">
        <v>0.768</v>
      </c>
      <c r="AI2810" s="1">
        <v>0.0</v>
      </c>
      <c r="AJ2810" s="1">
        <v>1.31199999999999</v>
      </c>
      <c r="AK2810" s="1">
        <v>95.248</v>
      </c>
      <c r="AL2810" s="1">
        <v>0.454086781</v>
      </c>
      <c r="AM2810" s="1">
        <v>49.904</v>
      </c>
      <c r="AN2810" s="1">
        <v>100.0</v>
      </c>
      <c r="AO2810" s="1">
        <v>22191.0</v>
      </c>
      <c r="AP2810" s="1">
        <v>14.8</v>
      </c>
      <c r="AQ2810" s="1">
        <v>7.1</v>
      </c>
      <c r="AR2810" s="1">
        <v>15.7</v>
      </c>
      <c r="AS2810" s="1">
        <v>22.8</v>
      </c>
      <c r="AT2810" s="1">
        <v>18.3</v>
      </c>
      <c r="AU2810" s="1">
        <v>19.4</v>
      </c>
      <c r="AV2810" s="1">
        <v>4.3</v>
      </c>
      <c r="AW2810" s="1">
        <v>0.7</v>
      </c>
      <c r="AX2810" s="1">
        <v>0.2919</v>
      </c>
      <c r="AY2810" s="1">
        <v>14.8</v>
      </c>
      <c r="AZ2810" s="1">
        <v>13.0</v>
      </c>
      <c r="BA2810" s="1">
        <v>19.6</v>
      </c>
      <c r="BB2810" s="1">
        <v>3.8</v>
      </c>
      <c r="BC2810" s="1" t="s">
        <v>4584</v>
      </c>
      <c r="BD2810" s="1">
        <v>13.2</v>
      </c>
      <c r="BE2810" s="1">
        <v>46.0</v>
      </c>
      <c r="BF2810" s="1">
        <v>24.7</v>
      </c>
      <c r="BG2810" s="1">
        <v>16.2</v>
      </c>
      <c r="BH2810" s="1" t="s">
        <v>4591</v>
      </c>
    </row>
    <row r="2811">
      <c r="A2811" s="1">
        <v>50011.0</v>
      </c>
      <c r="B2811" s="2" t="str">
        <f>IFERROR(__xludf.DUMMYFUNCTION("TO_TEXT(A2811)"),"50011")</f>
        <v>50011</v>
      </c>
      <c r="C2811" s="1">
        <v>48625.0</v>
      </c>
      <c r="D2811" s="1">
        <v>633.838073370296</v>
      </c>
      <c r="E2811" s="1" t="s">
        <v>118</v>
      </c>
      <c r="F2811" s="1" t="s">
        <v>4592</v>
      </c>
      <c r="G2811" s="1">
        <v>76.715177019025</v>
      </c>
      <c r="H2811" s="1">
        <v>13.178205969</v>
      </c>
      <c r="I2811" s="1">
        <v>4.3949807136</v>
      </c>
      <c r="J2811" s="1">
        <v>6.4724919094</v>
      </c>
      <c r="K2811" s="1">
        <v>17.289865487</v>
      </c>
      <c r="L2811" s="1">
        <v>34.3</v>
      </c>
      <c r="M2811" s="1">
        <v>8.7</v>
      </c>
      <c r="N2811" s="1">
        <v>26.1</v>
      </c>
      <c r="O2811" s="1">
        <v>48.776860889</v>
      </c>
      <c r="P2811" s="1">
        <v>4.6649930537</v>
      </c>
      <c r="Q2811" s="1">
        <v>55.07394</v>
      </c>
      <c r="R2811" s="1">
        <v>92.102058319</v>
      </c>
      <c r="S2811" s="1">
        <v>13.1</v>
      </c>
      <c r="T2811" s="1">
        <v>11073.0</v>
      </c>
      <c r="U2811" s="1">
        <v>27.526415606</v>
      </c>
      <c r="V2811" s="1">
        <v>139.79688335</v>
      </c>
      <c r="W2811" s="1">
        <v>15.376285869</v>
      </c>
      <c r="X2811" s="1">
        <v>12.907601324</v>
      </c>
      <c r="Y2811" s="1">
        <v>78.54433401</v>
      </c>
      <c r="Z2811" s="1">
        <v>10.4</v>
      </c>
      <c r="AA2811" s="1">
        <v>1.0011252474</v>
      </c>
      <c r="AB2811" s="1">
        <v>61129.0</v>
      </c>
      <c r="AC2811" s="1">
        <v>39.013125912</v>
      </c>
      <c r="AD2811" s="1">
        <v>74.502206436</v>
      </c>
      <c r="AE2811" s="1">
        <v>12.976426526</v>
      </c>
      <c r="AF2811" s="1">
        <v>0.679872928499999</v>
      </c>
      <c r="AG2811" s="1">
        <v>0.9854110601</v>
      </c>
      <c r="AH2811" s="1">
        <v>0.9752939034</v>
      </c>
      <c r="AI2811" s="1">
        <v>0.0323749014</v>
      </c>
      <c r="AJ2811" s="1">
        <v>1.6632605573</v>
      </c>
      <c r="AK2811" s="1">
        <v>93.583699237</v>
      </c>
      <c r="AL2811" s="1">
        <v>0.2884219201</v>
      </c>
      <c r="AM2811" s="1">
        <v>50.201331418</v>
      </c>
      <c r="AN2811" s="1">
        <v>71.714908055</v>
      </c>
      <c r="AO2811" s="1">
        <v>28892.0</v>
      </c>
      <c r="AP2811" s="1">
        <v>8.6</v>
      </c>
      <c r="AQ2811" s="1">
        <v>5.0</v>
      </c>
      <c r="AR2811" s="1">
        <v>10.3</v>
      </c>
      <c r="AS2811" s="1">
        <v>13.9</v>
      </c>
      <c r="AT2811" s="1">
        <v>23.2</v>
      </c>
      <c r="AU2811" s="1">
        <v>12.3</v>
      </c>
      <c r="AV2811" s="1">
        <v>5.7</v>
      </c>
      <c r="AW2811" s="1">
        <v>0.2</v>
      </c>
      <c r="AX2811" s="1">
        <v>0.1353</v>
      </c>
      <c r="AY2811" s="1">
        <v>9.6</v>
      </c>
      <c r="AZ2811" s="1">
        <v>9.1</v>
      </c>
      <c r="BA2811" s="1">
        <v>11.8</v>
      </c>
      <c r="BB2811" s="1">
        <v>3.77</v>
      </c>
      <c r="BC2811" s="1" t="s">
        <v>4584</v>
      </c>
      <c r="BD2811" s="1">
        <v>9.3</v>
      </c>
      <c r="BE2811" s="1">
        <v>37.9</v>
      </c>
      <c r="BF2811" s="1">
        <v>28.7</v>
      </c>
      <c r="BG2811" s="1">
        <v>24.1</v>
      </c>
      <c r="BH2811" s="1" t="s">
        <v>4592</v>
      </c>
    </row>
    <row r="2812">
      <c r="A2812" s="1">
        <v>50013.0</v>
      </c>
      <c r="B2812" s="2" t="str">
        <f>IFERROR(__xludf.DUMMYFUNCTION("TO_TEXT(A2812)"),"50013")</f>
        <v>50013</v>
      </c>
      <c r="C2812" s="1">
        <v>6945.0</v>
      </c>
      <c r="D2812" s="1">
        <v>81.8079230367699</v>
      </c>
      <c r="E2812" s="1" t="s">
        <v>4593</v>
      </c>
      <c r="F2812" s="1" t="s">
        <v>4594</v>
      </c>
      <c r="G2812" s="1">
        <v>84.8939777737475</v>
      </c>
      <c r="H2812" s="1">
        <v>11.94318159</v>
      </c>
      <c r="I2812" s="1">
        <v>3.9743634955</v>
      </c>
      <c r="J2812" s="1">
        <v>4.5238095238</v>
      </c>
      <c r="K2812" s="1">
        <v>13.19119158</v>
      </c>
      <c r="L2812" s="1">
        <v>30.4</v>
      </c>
      <c r="M2812" s="1">
        <v>8.9</v>
      </c>
      <c r="N2812" s="1">
        <v>21.3</v>
      </c>
      <c r="O2812" s="1">
        <v>62.424677188</v>
      </c>
      <c r="P2812" s="1">
        <v>5.8294350486</v>
      </c>
      <c r="Q2812" s="1">
        <v>57.15919</v>
      </c>
      <c r="R2812" s="1">
        <v>89.912280702</v>
      </c>
      <c r="S2812" s="1">
        <v>12.4</v>
      </c>
      <c r="T2812" s="1">
        <v>1207.0</v>
      </c>
      <c r="U2812" s="1">
        <v>29.66031483</v>
      </c>
      <c r="V2812" s="1">
        <v>43.4216239689999</v>
      </c>
      <c r="W2812" s="1">
        <v>17.900172117</v>
      </c>
      <c r="X2812" s="1">
        <v>16.515994437</v>
      </c>
      <c r="Y2812" s="1">
        <v>80.404360039</v>
      </c>
      <c r="Z2812" s="1">
        <v>9.6</v>
      </c>
      <c r="AA2812" s="1">
        <v>0.234952355</v>
      </c>
      <c r="AB2812" s="1">
        <v>67746.0</v>
      </c>
      <c r="AC2812" s="1">
        <v>51.946107784</v>
      </c>
      <c r="AD2812" s="1">
        <v>82.406471183</v>
      </c>
      <c r="AE2812" s="1">
        <v>17.705821564</v>
      </c>
      <c r="AF2812" s="1">
        <v>0.7475317348</v>
      </c>
      <c r="AG2812" s="1">
        <v>1.5232722144</v>
      </c>
      <c r="AH2812" s="1">
        <v>0.550070521899999</v>
      </c>
      <c r="AI2812" s="1">
        <v>0.1410437236</v>
      </c>
      <c r="AJ2812" s="1">
        <v>2.0874471086</v>
      </c>
      <c r="AK2812" s="1">
        <v>92.3977433</v>
      </c>
      <c r="AL2812" s="1">
        <v>0.2097692538</v>
      </c>
      <c r="AM2812" s="1">
        <v>49.534555712</v>
      </c>
      <c r="AN2812" s="1">
        <v>100.0</v>
      </c>
      <c r="AO2812" s="1">
        <v>35613.0</v>
      </c>
      <c r="AP2812" s="1">
        <v>7.5</v>
      </c>
      <c r="AQ2812" s="1">
        <v>6.1</v>
      </c>
      <c r="AR2812" s="1">
        <v>6.3</v>
      </c>
      <c r="AS2812" s="1">
        <v>17.2</v>
      </c>
      <c r="AT2812" s="1">
        <v>18.6</v>
      </c>
      <c r="AU2812" s="1">
        <v>12.0</v>
      </c>
      <c r="AV2812" s="1">
        <v>6.8</v>
      </c>
      <c r="AW2812" s="1">
        <v>0.4</v>
      </c>
      <c r="AX2812" s="1">
        <v>0.0073</v>
      </c>
      <c r="AY2812" s="1">
        <v>8.1</v>
      </c>
      <c r="AZ2812" s="1">
        <v>8.4</v>
      </c>
      <c r="BA2812" s="1">
        <v>12.6</v>
      </c>
      <c r="BB2812" s="1">
        <v>3.6</v>
      </c>
      <c r="BC2812" s="1" t="s">
        <v>4584</v>
      </c>
      <c r="BD2812" s="1">
        <v>7.1</v>
      </c>
      <c r="BE2812" s="1">
        <v>27.0</v>
      </c>
      <c r="BF2812" s="1">
        <v>26.1</v>
      </c>
      <c r="BG2812" s="1">
        <v>39.8</v>
      </c>
      <c r="BH2812" s="1" t="s">
        <v>4594</v>
      </c>
    </row>
    <row r="2813">
      <c r="A2813" s="1">
        <v>50015.0</v>
      </c>
      <c r="B2813" s="2" t="str">
        <f>IFERROR(__xludf.DUMMYFUNCTION("TO_TEXT(A2813)"),"50015")</f>
        <v>50015</v>
      </c>
      <c r="C2813" s="1">
        <v>25136.0</v>
      </c>
      <c r="D2813" s="1">
        <v>458.87192193762</v>
      </c>
      <c r="E2813" s="1" t="s">
        <v>4595</v>
      </c>
      <c r="F2813" s="1" t="s">
        <v>4596</v>
      </c>
      <c r="G2813" s="1">
        <v>54.7778122789937</v>
      </c>
      <c r="H2813" s="1">
        <v>11.314517739</v>
      </c>
      <c r="I2813" s="1">
        <v>3.93499475</v>
      </c>
      <c r="J2813" s="1">
        <v>6.3610315186</v>
      </c>
      <c r="K2813" s="1">
        <v>14.805665843</v>
      </c>
      <c r="L2813" s="1">
        <v>23.8</v>
      </c>
      <c r="M2813" s="1">
        <v>8.3</v>
      </c>
      <c r="N2813" s="1">
        <v>18.6</v>
      </c>
      <c r="O2813" s="1">
        <v>68.183861083</v>
      </c>
      <c r="P2813" s="1">
        <v>6.7037199551</v>
      </c>
      <c r="Q2813" s="1">
        <v>94.72313</v>
      </c>
      <c r="R2813" s="1">
        <v>88.157370518</v>
      </c>
      <c r="S2813" s="1">
        <v>13.0</v>
      </c>
      <c r="T2813" s="1">
        <v>5191.0</v>
      </c>
      <c r="U2813" s="1">
        <v>31.978424196</v>
      </c>
      <c r="V2813" s="1">
        <v>53.4537031539999</v>
      </c>
      <c r="W2813" s="1">
        <v>18.423597679</v>
      </c>
      <c r="X2813" s="1">
        <v>16.601371205</v>
      </c>
      <c r="Y2813" s="1">
        <v>80.523771963</v>
      </c>
      <c r="Z2813" s="1">
        <v>7.1</v>
      </c>
      <c r="AA2813" s="1">
        <v>0.7310784966</v>
      </c>
      <c r="AB2813" s="1">
        <v>60230.0</v>
      </c>
      <c r="AC2813" s="1">
        <v>36.8953265919999</v>
      </c>
      <c r="AD2813" s="1">
        <v>72.518148393</v>
      </c>
      <c r="AE2813" s="1">
        <v>20.0</v>
      </c>
      <c r="AF2813" s="1">
        <v>0.9841897233</v>
      </c>
      <c r="AG2813" s="1">
        <v>0.3992094862</v>
      </c>
      <c r="AH2813" s="1">
        <v>0.6798418972</v>
      </c>
      <c r="AI2813" s="1">
        <v>0.04743083</v>
      </c>
      <c r="AJ2813" s="1">
        <v>1.8260869565</v>
      </c>
      <c r="AK2813" s="1">
        <v>94.466403162</v>
      </c>
      <c r="AL2813" s="1">
        <v>0.0793717103</v>
      </c>
      <c r="AM2813" s="1">
        <v>49.972332016</v>
      </c>
      <c r="AN2813" s="1">
        <v>100.0</v>
      </c>
      <c r="AO2813" s="1">
        <v>29180.0</v>
      </c>
      <c r="AP2813" s="1">
        <v>12.8</v>
      </c>
      <c r="AQ2813" s="1">
        <v>3.9</v>
      </c>
      <c r="AR2813" s="1">
        <v>8.2</v>
      </c>
      <c r="AS2813" s="1">
        <v>15.1</v>
      </c>
      <c r="AT2813" s="1">
        <v>21.3</v>
      </c>
      <c r="AU2813" s="1">
        <v>11.7</v>
      </c>
      <c r="AV2813" s="1">
        <v>5.1</v>
      </c>
      <c r="AW2813" s="1">
        <v>0.6</v>
      </c>
      <c r="AX2813" s="1">
        <v>0.149</v>
      </c>
      <c r="AY2813" s="1">
        <v>9.1</v>
      </c>
      <c r="AZ2813" s="1">
        <v>11.1</v>
      </c>
      <c r="BA2813" s="1">
        <v>17.5</v>
      </c>
      <c r="BB2813" s="1">
        <v>4.09</v>
      </c>
      <c r="BC2813" s="1" t="s">
        <v>4584</v>
      </c>
      <c r="BD2813" s="1">
        <v>7.2</v>
      </c>
      <c r="BE2813" s="1">
        <v>25.6</v>
      </c>
      <c r="BF2813" s="1">
        <v>29.1</v>
      </c>
      <c r="BG2813" s="1">
        <v>38.2</v>
      </c>
      <c r="BH2813" s="1" t="s">
        <v>4596</v>
      </c>
    </row>
    <row r="2814">
      <c r="A2814" s="1">
        <v>50017.0</v>
      </c>
      <c r="B2814" s="2" t="str">
        <f>IFERROR(__xludf.DUMMYFUNCTION("TO_TEXT(A2814)"),"50017")</f>
        <v>50017</v>
      </c>
      <c r="C2814" s="1">
        <v>28897.0</v>
      </c>
      <c r="D2814" s="1">
        <v>687.025789516414</v>
      </c>
      <c r="E2814" s="1" t="s">
        <v>475</v>
      </c>
      <c r="F2814" s="1" t="s">
        <v>4597</v>
      </c>
      <c r="G2814" s="1">
        <v>42.0610120332457</v>
      </c>
      <c r="H2814" s="1">
        <v>11.458650331</v>
      </c>
      <c r="I2814" s="1">
        <v>4.0510839197</v>
      </c>
      <c r="J2814" s="1">
        <v>7.0376432079</v>
      </c>
      <c r="K2814" s="1">
        <v>14.2188035</v>
      </c>
      <c r="L2814" s="1">
        <v>28.3</v>
      </c>
      <c r="M2814" s="1">
        <v>8.4</v>
      </c>
      <c r="N2814" s="1">
        <v>20.5</v>
      </c>
      <c r="O2814" s="1">
        <v>51.672656898</v>
      </c>
      <c r="P2814" s="1">
        <v>5.7561625583</v>
      </c>
      <c r="Q2814" s="1">
        <v>75.93014</v>
      </c>
      <c r="R2814" s="1">
        <v>88.840909091</v>
      </c>
      <c r="S2814" s="1">
        <v>12.9</v>
      </c>
      <c r="T2814" s="1">
        <v>5315.0</v>
      </c>
      <c r="U2814" s="1">
        <v>29.858889934</v>
      </c>
      <c r="V2814" s="1">
        <v>19.059500295</v>
      </c>
      <c r="W2814" s="1">
        <v>16.091019911</v>
      </c>
      <c r="X2814" s="1">
        <v>13.98858075</v>
      </c>
      <c r="Y2814" s="1">
        <v>79.416310558</v>
      </c>
      <c r="Z2814" s="1">
        <v>9.6</v>
      </c>
      <c r="AA2814" s="1">
        <v>3.3401686351</v>
      </c>
      <c r="AB2814" s="1">
        <v>62300.0</v>
      </c>
      <c r="AC2814" s="1">
        <v>45.582226762</v>
      </c>
      <c r="AD2814" s="1">
        <v>80.913234576</v>
      </c>
      <c r="AE2814" s="1">
        <v>14.9858780529999</v>
      </c>
      <c r="AF2814" s="1">
        <v>0.6724369806</v>
      </c>
      <c r="AG2814" s="1">
        <v>0.3862202145</v>
      </c>
      <c r="AH2814" s="1">
        <v>0.5517431636</v>
      </c>
      <c r="AI2814" s="1">
        <v>0.0241387634</v>
      </c>
      <c r="AJ2814" s="1">
        <v>1.4483258043</v>
      </c>
      <c r="AK2814" s="1">
        <v>95.489499638</v>
      </c>
      <c r="AL2814" s="1">
        <v>0.1995428654</v>
      </c>
      <c r="AM2814" s="1">
        <v>49.915514328</v>
      </c>
      <c r="AN2814" s="1">
        <v>97.238733757</v>
      </c>
      <c r="AO2814" s="1">
        <v>28691.0</v>
      </c>
      <c r="AP2814" s="1">
        <v>12.3</v>
      </c>
      <c r="AQ2814" s="1">
        <v>4.3</v>
      </c>
      <c r="AR2814" s="1">
        <v>8.3</v>
      </c>
      <c r="AS2814" s="1">
        <v>17.9</v>
      </c>
      <c r="AT2814" s="1">
        <v>19.5</v>
      </c>
      <c r="AU2814" s="1">
        <v>17.1</v>
      </c>
      <c r="AV2814" s="1">
        <v>4.2</v>
      </c>
      <c r="AW2814" s="1">
        <v>0.2</v>
      </c>
      <c r="AX2814" s="1">
        <v>0.1659</v>
      </c>
      <c r="AY2814" s="1">
        <v>9.4</v>
      </c>
      <c r="AZ2814" s="1">
        <v>10.6</v>
      </c>
      <c r="BA2814" s="1">
        <v>16.1</v>
      </c>
      <c r="BB2814" s="1">
        <v>4.09</v>
      </c>
      <c r="BC2814" s="1" t="s">
        <v>4584</v>
      </c>
      <c r="BD2814" s="1">
        <v>8.2</v>
      </c>
      <c r="BE2814" s="1">
        <v>36.2</v>
      </c>
      <c r="BF2814" s="1">
        <v>26.6</v>
      </c>
      <c r="BG2814" s="1">
        <v>29.1</v>
      </c>
      <c r="BH2814" s="1" t="s">
        <v>4597</v>
      </c>
    </row>
    <row r="2815">
      <c r="A2815" s="1">
        <v>50019.0</v>
      </c>
      <c r="B2815" s="2" t="str">
        <f>IFERROR(__xludf.DUMMYFUNCTION("TO_TEXT(A2815)"),"50019")</f>
        <v>50019</v>
      </c>
      <c r="C2815" s="1">
        <v>27076.0</v>
      </c>
      <c r="D2815" s="1">
        <v>693.584474846662</v>
      </c>
      <c r="E2815" s="1" t="s">
        <v>1997</v>
      </c>
      <c r="F2815" s="1" t="s">
        <v>4598</v>
      </c>
      <c r="G2815" s="1">
        <v>39.0377826810296</v>
      </c>
      <c r="H2815" s="1">
        <v>13.387849838</v>
      </c>
      <c r="I2815" s="1">
        <v>4.1057424999</v>
      </c>
      <c r="J2815" s="1">
        <v>7.7302631579</v>
      </c>
      <c r="K2815" s="1">
        <v>16.748439664</v>
      </c>
      <c r="L2815" s="1">
        <v>30.4</v>
      </c>
      <c r="M2815" s="1">
        <v>7.7</v>
      </c>
      <c r="N2815" s="1">
        <v>25.8</v>
      </c>
      <c r="O2815" s="1">
        <v>50.640813778</v>
      </c>
      <c r="P2815" s="1">
        <v>6.4003141258</v>
      </c>
      <c r="Q2815" s="1">
        <v>78.23852</v>
      </c>
      <c r="R2815" s="1">
        <v>89.1205211729999</v>
      </c>
      <c r="S2815" s="1">
        <v>16.7</v>
      </c>
      <c r="T2815" s="1">
        <v>5195.0</v>
      </c>
      <c r="U2815" s="1">
        <v>35.1876804619999</v>
      </c>
      <c r="V2815" s="1">
        <v>138.51182891</v>
      </c>
      <c r="W2815" s="1">
        <v>19.806338028</v>
      </c>
      <c r="X2815" s="1">
        <v>17.404782994</v>
      </c>
      <c r="Y2815" s="1">
        <v>77.931770813</v>
      </c>
      <c r="Z2815" s="1">
        <v>9.5</v>
      </c>
      <c r="AA2815" s="1">
        <v>6.07205900919999</v>
      </c>
      <c r="AB2815" s="1">
        <v>48688.0</v>
      </c>
      <c r="AC2815" s="1">
        <v>55.77364262</v>
      </c>
      <c r="AD2815" s="1">
        <v>77.035705112</v>
      </c>
      <c r="AE2815" s="1">
        <v>16.924719701</v>
      </c>
      <c r="AF2815" s="1">
        <v>0.7767495447</v>
      </c>
      <c r="AG2815" s="1">
        <v>0.5872077898</v>
      </c>
      <c r="AH2815" s="1">
        <v>0.4534136098</v>
      </c>
      <c r="AI2815" s="1">
        <v>0.03716505</v>
      </c>
      <c r="AJ2815" s="1">
        <v>1.6203961794</v>
      </c>
      <c r="AK2815" s="1">
        <v>94.845207567</v>
      </c>
      <c r="AL2815" s="1">
        <v>0.3754987092</v>
      </c>
      <c r="AM2815" s="1">
        <v>49.823466013</v>
      </c>
      <c r="AN2815" s="1">
        <v>85.296169806</v>
      </c>
      <c r="AO2815" s="1">
        <v>24204.0</v>
      </c>
      <c r="AP2815" s="1">
        <v>14.6</v>
      </c>
      <c r="AQ2815" s="1">
        <v>5.2</v>
      </c>
      <c r="AR2815" s="1">
        <v>12.9</v>
      </c>
      <c r="AS2815" s="1">
        <v>20.4</v>
      </c>
      <c r="AT2815" s="1">
        <v>20.2</v>
      </c>
      <c r="AU2815" s="1">
        <v>16.2</v>
      </c>
      <c r="AV2815" s="1">
        <v>4.4</v>
      </c>
      <c r="AW2815" s="1">
        <v>0.3</v>
      </c>
      <c r="AX2815" s="1">
        <v>0.3859</v>
      </c>
      <c r="AY2815" s="1">
        <v>12.7</v>
      </c>
      <c r="AZ2815" s="1">
        <v>12.8</v>
      </c>
      <c r="BA2815" s="1">
        <v>17.8</v>
      </c>
      <c r="BB2815" s="1">
        <v>3.53</v>
      </c>
      <c r="BC2815" s="1" t="s">
        <v>4584</v>
      </c>
      <c r="BD2815" s="1">
        <v>11.7</v>
      </c>
      <c r="BE2815" s="1">
        <v>39.5</v>
      </c>
      <c r="BF2815" s="1">
        <v>27.3</v>
      </c>
      <c r="BG2815" s="1">
        <v>21.5</v>
      </c>
      <c r="BH2815" s="1" t="s">
        <v>4598</v>
      </c>
    </row>
    <row r="2816">
      <c r="A2816" s="1">
        <v>50021.0</v>
      </c>
      <c r="B2816" s="2" t="str">
        <f>IFERROR(__xludf.DUMMYFUNCTION("TO_TEXT(A2816)"),"50021")</f>
        <v>50021</v>
      </c>
      <c r="C2816" s="1">
        <v>60133.0</v>
      </c>
      <c r="D2816" s="1">
        <v>929.815676574671</v>
      </c>
      <c r="E2816" s="1" t="s">
        <v>4599</v>
      </c>
      <c r="F2816" s="1" t="s">
        <v>4600</v>
      </c>
      <c r="G2816" s="1">
        <v>64.6719575878981</v>
      </c>
      <c r="H2816" s="1">
        <v>13.926804717</v>
      </c>
      <c r="I2816" s="1">
        <v>4.1767049274</v>
      </c>
      <c r="J2816" s="1">
        <v>5.7181942544</v>
      </c>
      <c r="K2816" s="1">
        <v>14.580013635</v>
      </c>
      <c r="L2816" s="1">
        <v>31.4</v>
      </c>
      <c r="M2816" s="1">
        <v>8.1</v>
      </c>
      <c r="N2816" s="1">
        <v>21.3</v>
      </c>
      <c r="O2816" s="1">
        <v>84.7198338789999</v>
      </c>
      <c r="P2816" s="1">
        <v>5.5478190557</v>
      </c>
      <c r="Q2816" s="1">
        <v>72.77405</v>
      </c>
      <c r="R2816" s="1">
        <v>89.78817734</v>
      </c>
      <c r="S2816" s="1">
        <v>13.5</v>
      </c>
      <c r="T2816" s="1">
        <v>10416.0</v>
      </c>
      <c r="U2816" s="1">
        <v>27.880184332</v>
      </c>
      <c r="V2816" s="1">
        <v>161.73229534</v>
      </c>
      <c r="W2816" s="1">
        <v>18.803081177</v>
      </c>
      <c r="X2816" s="1">
        <v>15.263993648</v>
      </c>
      <c r="Y2816" s="1">
        <v>77.5940528289999</v>
      </c>
      <c r="Z2816" s="1">
        <v>11.0</v>
      </c>
      <c r="AA2816" s="1">
        <v>4.54078777769999</v>
      </c>
      <c r="AB2816" s="1">
        <v>51723.0</v>
      </c>
      <c r="AC2816" s="1">
        <v>44.653761206</v>
      </c>
      <c r="AD2816" s="1">
        <v>72.503479817</v>
      </c>
      <c r="AE2816" s="1">
        <v>15.08927482</v>
      </c>
      <c r="AF2816" s="1">
        <v>0.6442596128</v>
      </c>
      <c r="AG2816" s="1">
        <v>0.2948595582</v>
      </c>
      <c r="AH2816" s="1">
        <v>1.0089991819</v>
      </c>
      <c r="AI2816" s="1">
        <v>0.0272702482</v>
      </c>
      <c r="AJ2816" s="1">
        <v>1.56803926919999</v>
      </c>
      <c r="AK2816" s="1">
        <v>95.15271339</v>
      </c>
      <c r="AL2816" s="1">
        <v>0.2117485133</v>
      </c>
      <c r="AM2816" s="1">
        <v>50.70220889</v>
      </c>
      <c r="AN2816" s="1">
        <v>61.0135946269999</v>
      </c>
      <c r="AO2816" s="1">
        <v>27795.0</v>
      </c>
      <c r="AP2816" s="1">
        <v>12.3</v>
      </c>
      <c r="AQ2816" s="1">
        <v>5.5</v>
      </c>
      <c r="AR2816" s="1">
        <v>9.1</v>
      </c>
      <c r="AS2816" s="1">
        <v>19.4</v>
      </c>
      <c r="AT2816" s="1">
        <v>18.3</v>
      </c>
      <c r="AU2816" s="1">
        <v>15.7</v>
      </c>
      <c r="AV2816" s="1">
        <v>4.2</v>
      </c>
      <c r="AW2816" s="1">
        <v>0.2</v>
      </c>
      <c r="AX2816" s="1">
        <v>0.3165</v>
      </c>
      <c r="AY2816" s="1">
        <v>10.8</v>
      </c>
      <c r="AZ2816" s="1">
        <v>11.0</v>
      </c>
      <c r="BA2816" s="1">
        <v>15.6</v>
      </c>
      <c r="BB2816" s="1">
        <v>3.45</v>
      </c>
      <c r="BC2816" s="1" t="s">
        <v>4584</v>
      </c>
      <c r="BD2816" s="1">
        <v>7.4</v>
      </c>
      <c r="BE2816" s="1">
        <v>34.4</v>
      </c>
      <c r="BF2816" s="1">
        <v>27.3</v>
      </c>
      <c r="BG2816" s="1">
        <v>30.8</v>
      </c>
      <c r="BH2816" s="1" t="s">
        <v>4600</v>
      </c>
    </row>
    <row r="2817">
      <c r="A2817" s="1">
        <v>50023.0</v>
      </c>
      <c r="B2817" s="2" t="str">
        <f>IFERROR(__xludf.DUMMYFUNCTION("TO_TEXT(A2817)"),"50023")</f>
        <v>50023</v>
      </c>
      <c r="C2817" s="1">
        <v>58963.0</v>
      </c>
      <c r="D2817" s="1">
        <v>687.038278371706</v>
      </c>
      <c r="E2817" s="1" t="s">
        <v>188</v>
      </c>
      <c r="F2817" s="1" t="s">
        <v>4601</v>
      </c>
      <c r="G2817" s="1">
        <v>85.8220012715207</v>
      </c>
      <c r="H2817" s="1">
        <v>11.947695118</v>
      </c>
      <c r="I2817" s="1">
        <v>4.1654550586</v>
      </c>
      <c r="J2817" s="1">
        <v>7.2304881232</v>
      </c>
      <c r="K2817" s="1">
        <v>14.90318884</v>
      </c>
      <c r="L2817" s="1">
        <v>22.7</v>
      </c>
      <c r="M2817" s="1">
        <v>8.2</v>
      </c>
      <c r="N2817" s="1">
        <v>16.6</v>
      </c>
      <c r="O2817" s="1">
        <v>83.023146437</v>
      </c>
      <c r="P2817" s="1">
        <v>4.85933503839999</v>
      </c>
      <c r="Q2817" s="1">
        <v>106.36473</v>
      </c>
      <c r="R2817" s="1">
        <v>89.9679999999999</v>
      </c>
      <c r="S2817" s="1">
        <v>12.3</v>
      </c>
      <c r="T2817" s="1">
        <v>11082.0</v>
      </c>
      <c r="U2817" s="1">
        <v>36.681104494</v>
      </c>
      <c r="V2817" s="1">
        <v>101.26539191</v>
      </c>
      <c r="W2817" s="1">
        <v>16.517493897</v>
      </c>
      <c r="X2817" s="1">
        <v>14.531666325</v>
      </c>
      <c r="Y2817" s="1">
        <v>79.829977681</v>
      </c>
      <c r="Z2817" s="1">
        <v>7.7</v>
      </c>
      <c r="AA2817" s="1">
        <v>4.6182806653</v>
      </c>
      <c r="AB2817" s="1">
        <v>61808.0</v>
      </c>
      <c r="AC2817" s="1">
        <v>31.316553727</v>
      </c>
      <c r="AD2817" s="1">
        <v>70.798310879</v>
      </c>
      <c r="AE2817" s="1">
        <v>13.856889219</v>
      </c>
      <c r="AF2817" s="1">
        <v>0.8857929137</v>
      </c>
      <c r="AG2817" s="1">
        <v>0.3113175095</v>
      </c>
      <c r="AH2817" s="1">
        <v>0.9821121431</v>
      </c>
      <c r="AI2817" s="1">
        <v>0.0378396973</v>
      </c>
      <c r="AJ2817" s="1">
        <v>1.9745442036</v>
      </c>
      <c r="AK2817" s="1">
        <v>94.110767114</v>
      </c>
      <c r="AL2817" s="1">
        <v>0.2784064375</v>
      </c>
      <c r="AM2817" s="1">
        <v>50.510835913</v>
      </c>
      <c r="AN2817" s="1">
        <v>52.805119763</v>
      </c>
      <c r="AO2817" s="1">
        <v>31464.0</v>
      </c>
      <c r="AP2817" s="1">
        <v>11.4</v>
      </c>
      <c r="AQ2817" s="1">
        <v>4.6</v>
      </c>
      <c r="AR2817" s="1">
        <v>6.4</v>
      </c>
      <c r="AS2817" s="1">
        <v>17.0</v>
      </c>
      <c r="AT2817" s="1">
        <v>19.7</v>
      </c>
      <c r="AU2817" s="1">
        <v>11.5</v>
      </c>
      <c r="AV2817" s="1">
        <v>5.5</v>
      </c>
      <c r="AW2817" s="1">
        <v>0.2</v>
      </c>
      <c r="AX2817" s="1">
        <v>0.1277</v>
      </c>
      <c r="AY2817" s="1">
        <v>8.4</v>
      </c>
      <c r="AZ2817" s="1">
        <v>10.5</v>
      </c>
      <c r="BA2817" s="1">
        <v>15.5</v>
      </c>
      <c r="BB2817" s="1">
        <v>4.08</v>
      </c>
      <c r="BC2817" s="1" t="s">
        <v>4584</v>
      </c>
      <c r="BD2817" s="1">
        <v>6.3</v>
      </c>
      <c r="BE2817" s="1">
        <v>26.9</v>
      </c>
      <c r="BF2817" s="1">
        <v>24.9</v>
      </c>
      <c r="BG2817" s="1">
        <v>41.8</v>
      </c>
      <c r="BH2817" s="1" t="s">
        <v>4601</v>
      </c>
    </row>
    <row r="2818">
      <c r="A2818" s="1">
        <v>50025.0</v>
      </c>
      <c r="B2818" s="2" t="str">
        <f>IFERROR(__xludf.DUMMYFUNCTION("TO_TEXT(A2818)"),"50025")</f>
        <v>50025</v>
      </c>
      <c r="C2818" s="1">
        <v>43609.0</v>
      </c>
      <c r="D2818" s="1">
        <v>785.501809252563</v>
      </c>
      <c r="E2818" s="1" t="s">
        <v>667</v>
      </c>
      <c r="F2818" s="1" t="s">
        <v>4602</v>
      </c>
      <c r="G2818" s="1">
        <v>55.517376900119</v>
      </c>
      <c r="H2818" s="1">
        <v>12.328341575</v>
      </c>
      <c r="I2818" s="1">
        <v>4.2712337958</v>
      </c>
      <c r="J2818" s="1">
        <v>7.065013153</v>
      </c>
      <c r="K2818" s="1">
        <v>14.906224813</v>
      </c>
      <c r="L2818" s="1">
        <v>24.2</v>
      </c>
      <c r="M2818" s="1">
        <v>8.0</v>
      </c>
      <c r="N2818" s="1">
        <v>17.7</v>
      </c>
      <c r="O2818" s="1">
        <v>69.647069395</v>
      </c>
      <c r="P2818" s="1">
        <v>5.6457086444</v>
      </c>
      <c r="Q2818" s="1">
        <v>104.97096</v>
      </c>
      <c r="R2818" s="1">
        <v>85.0291005289999</v>
      </c>
      <c r="S2818" s="1">
        <v>16.1</v>
      </c>
      <c r="T2818" s="1">
        <v>7678.0</v>
      </c>
      <c r="U2818" s="1">
        <v>35.100286533</v>
      </c>
      <c r="V2818" s="1">
        <v>167.13984797</v>
      </c>
      <c r="W2818" s="1">
        <v>19.85796949</v>
      </c>
      <c r="X2818" s="1">
        <v>16.733067729</v>
      </c>
      <c r="Y2818" s="1">
        <v>78.457332262</v>
      </c>
      <c r="Z2818" s="1">
        <v>8.4</v>
      </c>
      <c r="AA2818" s="1">
        <v>4.5639860914</v>
      </c>
      <c r="AB2818" s="1">
        <v>54441.0</v>
      </c>
      <c r="AC2818" s="1">
        <v>45.6819426689999</v>
      </c>
      <c r="AD2818" s="1">
        <v>67.789517732</v>
      </c>
      <c r="AE2818" s="1">
        <v>16.707205016</v>
      </c>
      <c r="AF2818" s="1">
        <v>1.326129666</v>
      </c>
      <c r="AG2818" s="1">
        <v>0.3367948358</v>
      </c>
      <c r="AH2818" s="1">
        <v>1.3846009917</v>
      </c>
      <c r="AI2818" s="1">
        <v>0.0701655908</v>
      </c>
      <c r="AJ2818" s="1">
        <v>2.4441014127</v>
      </c>
      <c r="AK2818" s="1">
        <v>92.613902142</v>
      </c>
      <c r="AL2818" s="1">
        <v>0.1917149999</v>
      </c>
      <c r="AM2818" s="1">
        <v>51.0735335389999</v>
      </c>
      <c r="AN2818" s="1">
        <v>68.24523173</v>
      </c>
      <c r="AO2818" s="1">
        <v>28923.0</v>
      </c>
      <c r="AP2818" s="1">
        <v>14.0</v>
      </c>
      <c r="AQ2818" s="1">
        <v>6.0</v>
      </c>
      <c r="AR2818" s="1">
        <v>8.5</v>
      </c>
      <c r="AS2818" s="1">
        <v>19.2</v>
      </c>
      <c r="AT2818" s="1">
        <v>18.8</v>
      </c>
      <c r="AU2818" s="1">
        <v>15.9</v>
      </c>
      <c r="AV2818" s="1">
        <v>6.3</v>
      </c>
      <c r="AW2818" s="1">
        <v>0.2</v>
      </c>
      <c r="AX2818" s="1">
        <v>0.2935</v>
      </c>
      <c r="AY2818" s="1">
        <v>11.6</v>
      </c>
      <c r="AZ2818" s="1">
        <v>12.2</v>
      </c>
      <c r="BA2818" s="1">
        <v>17.2</v>
      </c>
      <c r="BB2818" s="1">
        <v>3.27</v>
      </c>
      <c r="BC2818" s="1" t="s">
        <v>4584</v>
      </c>
      <c r="BD2818" s="1">
        <v>7.6</v>
      </c>
      <c r="BE2818" s="1">
        <v>29.5</v>
      </c>
      <c r="BF2818" s="1">
        <v>24.8</v>
      </c>
      <c r="BG2818" s="1">
        <v>38.1</v>
      </c>
      <c r="BH2818" s="1" t="s">
        <v>4602</v>
      </c>
    </row>
    <row r="2819">
      <c r="A2819" s="1">
        <v>50027.0</v>
      </c>
      <c r="B2819" s="2" t="str">
        <f>IFERROR(__xludf.DUMMYFUNCTION("TO_TEXT(A2819)"),"50027")</f>
        <v>50027</v>
      </c>
      <c r="C2819" s="1">
        <v>55894.0</v>
      </c>
      <c r="D2819" s="1">
        <v>969.576912660114</v>
      </c>
      <c r="E2819" s="1" t="s">
        <v>4603</v>
      </c>
      <c r="F2819" s="1" t="s">
        <v>4604</v>
      </c>
      <c r="G2819" s="1">
        <v>57.6478248091224</v>
      </c>
      <c r="H2819" s="1">
        <v>11.51854502</v>
      </c>
      <c r="I2819" s="1">
        <v>4.0838338223</v>
      </c>
      <c r="J2819" s="1">
        <v>7.0710149345</v>
      </c>
      <c r="K2819" s="1">
        <v>13.396018208</v>
      </c>
      <c r="L2819" s="1">
        <v>27.6</v>
      </c>
      <c r="M2819" s="1">
        <v>8.4</v>
      </c>
      <c r="N2819" s="1">
        <v>19.1</v>
      </c>
      <c r="O2819" s="1">
        <v>81.9128286569999</v>
      </c>
      <c r="P2819" s="1">
        <v>6.0281837161</v>
      </c>
      <c r="Q2819" s="1">
        <v>101.63339</v>
      </c>
      <c r="R2819" s="1">
        <v>87.65</v>
      </c>
      <c r="S2819" s="1">
        <v>11.3</v>
      </c>
      <c r="T2819" s="1">
        <v>10175.0</v>
      </c>
      <c r="U2819" s="1">
        <v>30.673218673</v>
      </c>
      <c r="V2819" s="1">
        <v>90.7147604589999</v>
      </c>
      <c r="W2819" s="1">
        <v>15.732892289</v>
      </c>
      <c r="X2819" s="1">
        <v>14.071294559</v>
      </c>
      <c r="Y2819" s="1">
        <v>79.876317258</v>
      </c>
      <c r="Z2819" s="1">
        <v>9.5</v>
      </c>
      <c r="AA2819" s="1">
        <v>2.91254175</v>
      </c>
      <c r="AB2819" s="1">
        <v>57438.0</v>
      </c>
      <c r="AC2819" s="1">
        <v>39.997215648</v>
      </c>
      <c r="AD2819" s="1">
        <v>73.15096668</v>
      </c>
      <c r="AE2819" s="1">
        <v>15.4907521059999</v>
      </c>
      <c r="AF2819" s="1">
        <v>0.844698477</v>
      </c>
      <c r="AG2819" s="1">
        <v>0.3093007271</v>
      </c>
      <c r="AH2819" s="1">
        <v>1.0092971096</v>
      </c>
      <c r="AI2819" s="1">
        <v>0.0379842998</v>
      </c>
      <c r="AJ2819" s="1">
        <v>1.689396954</v>
      </c>
      <c r="AK2819" s="1">
        <v>94.550157364</v>
      </c>
      <c r="AL2819" s="1">
        <v>0.332571191</v>
      </c>
      <c r="AM2819" s="1">
        <v>51.264334551</v>
      </c>
      <c r="AN2819" s="1">
        <v>75.588494794</v>
      </c>
      <c r="AO2819" s="1">
        <v>33257.0</v>
      </c>
      <c r="AP2819" s="1">
        <v>10.0</v>
      </c>
      <c r="AQ2819" s="1">
        <v>4.5</v>
      </c>
      <c r="AR2819" s="1">
        <v>7.6</v>
      </c>
      <c r="AS2819" s="1">
        <v>20.7</v>
      </c>
      <c r="AT2819" s="1">
        <v>18.8</v>
      </c>
      <c r="AU2819" s="1">
        <v>16.1</v>
      </c>
      <c r="AV2819" s="1">
        <v>4.9</v>
      </c>
      <c r="AW2819" s="1">
        <v>0.3</v>
      </c>
      <c r="AX2819" s="1">
        <v>0.1296</v>
      </c>
      <c r="AY2819" s="1">
        <v>9.2</v>
      </c>
      <c r="AZ2819" s="1">
        <v>10.4</v>
      </c>
      <c r="BA2819" s="1">
        <v>15.0</v>
      </c>
      <c r="BB2819" s="1">
        <v>4.29</v>
      </c>
      <c r="BC2819" s="1" t="s">
        <v>4584</v>
      </c>
      <c r="BD2819" s="1">
        <v>6.6</v>
      </c>
      <c r="BE2819" s="1">
        <v>29.1</v>
      </c>
      <c r="BF2819" s="1">
        <v>26.1</v>
      </c>
      <c r="BG2819" s="1">
        <v>38.2</v>
      </c>
      <c r="BH2819" s="1" t="s">
        <v>4604</v>
      </c>
    </row>
    <row r="2820">
      <c r="A2820" s="1">
        <v>51001.0</v>
      </c>
      <c r="B2820" s="2" t="str">
        <f>IFERROR(__xludf.DUMMYFUNCTION("TO_TEXT(A2820)"),"51001")</f>
        <v>51001</v>
      </c>
      <c r="C2820" s="1">
        <v>33060.0</v>
      </c>
      <c r="D2820" s="1">
        <v>449.307465356042</v>
      </c>
      <c r="E2820" s="1" t="s">
        <v>4605</v>
      </c>
      <c r="F2820" s="1" t="s">
        <v>4606</v>
      </c>
      <c r="G2820" s="1">
        <v>73.5799036274692</v>
      </c>
      <c r="H2820" s="1">
        <v>20.08919894</v>
      </c>
      <c r="I2820" s="1">
        <v>4.1760000444</v>
      </c>
      <c r="J2820" s="1">
        <v>9.8756125141</v>
      </c>
      <c r="K2820" s="1">
        <v>18.31692932</v>
      </c>
      <c r="L2820" s="1">
        <v>36.3</v>
      </c>
      <c r="M2820" s="1">
        <v>7.9</v>
      </c>
      <c r="N2820" s="1">
        <v>36.1</v>
      </c>
      <c r="O2820" s="1">
        <v>37.395971535</v>
      </c>
      <c r="P2820" s="1">
        <v>16.649112857</v>
      </c>
      <c r="Q2820" s="1">
        <v>49.1627</v>
      </c>
      <c r="R2820" s="1">
        <v>85.9</v>
      </c>
      <c r="S2820" s="1">
        <v>27.0</v>
      </c>
      <c r="T2820" s="1">
        <v>6821.0</v>
      </c>
      <c r="U2820" s="1">
        <v>45.9316815719999</v>
      </c>
      <c r="V2820" s="1">
        <v>225.86798932</v>
      </c>
      <c r="W2820" s="1">
        <v>15.12301013</v>
      </c>
      <c r="X2820" s="1">
        <v>12.350746269</v>
      </c>
      <c r="Y2820" s="1">
        <v>76.215010426</v>
      </c>
      <c r="Z2820" s="1">
        <v>15.9</v>
      </c>
      <c r="AA2820" s="1">
        <v>2.0922692432</v>
      </c>
      <c r="AB2820" s="1">
        <v>42879.0</v>
      </c>
      <c r="AC2820" s="1">
        <v>66.653831344</v>
      </c>
      <c r="AD2820" s="1">
        <v>67.853145288</v>
      </c>
      <c r="AE2820" s="1">
        <v>11.703070847</v>
      </c>
      <c r="AF2820" s="1">
        <v>27.971121807</v>
      </c>
      <c r="AG2820" s="1">
        <v>0.694187338</v>
      </c>
      <c r="AH2820" s="1">
        <v>0.7805750956</v>
      </c>
      <c r="AI2820" s="1">
        <v>0.1727755152</v>
      </c>
      <c r="AJ2820" s="1">
        <v>9.3391336542</v>
      </c>
      <c r="AK2820" s="1">
        <v>59.971615451</v>
      </c>
      <c r="AL2820" s="1">
        <v>4.2059863151</v>
      </c>
      <c r="AM2820" s="1">
        <v>51.200172776</v>
      </c>
      <c r="AN2820" s="1">
        <v>100.0</v>
      </c>
      <c r="AO2820" s="1">
        <v>23337.0</v>
      </c>
      <c r="AP2820" s="1">
        <v>19.5</v>
      </c>
      <c r="AQ2820" s="1">
        <v>7.0</v>
      </c>
      <c r="AR2820" s="1">
        <v>19.5</v>
      </c>
      <c r="AS2820" s="1">
        <v>21.0</v>
      </c>
      <c r="AT2820" s="1">
        <v>20.9</v>
      </c>
      <c r="AU2820" s="1">
        <v>12.4</v>
      </c>
      <c r="AV2820" s="1">
        <v>39.4</v>
      </c>
      <c r="AW2820" s="1">
        <v>3.5</v>
      </c>
      <c r="AX2820" s="1">
        <v>0.8319</v>
      </c>
      <c r="AY2820" s="1">
        <v>16.4</v>
      </c>
      <c r="AZ2820" s="1">
        <v>12.7</v>
      </c>
      <c r="BA2820" s="1">
        <v>19.0</v>
      </c>
      <c r="BB2820" s="1">
        <v>2.96</v>
      </c>
      <c r="BC2820" s="1" t="s">
        <v>4607</v>
      </c>
      <c r="BD2820" s="1">
        <v>18.5</v>
      </c>
      <c r="BE2820" s="1">
        <v>36.7</v>
      </c>
      <c r="BF2820" s="1">
        <v>25.3</v>
      </c>
      <c r="BG2820" s="1">
        <v>19.5</v>
      </c>
      <c r="BH2820" s="1" t="s">
        <v>4606</v>
      </c>
    </row>
    <row r="2821">
      <c r="A2821" s="1">
        <v>51003.0</v>
      </c>
      <c r="B2821" s="2" t="str">
        <f>IFERROR(__xludf.DUMMYFUNCTION("TO_TEXT(A2821)"),"51003")</f>
        <v>51003</v>
      </c>
      <c r="C2821" s="1">
        <v>104287.0</v>
      </c>
      <c r="D2821" s="1">
        <v>720.80190290075</v>
      </c>
      <c r="E2821" s="1" t="s">
        <v>4608</v>
      </c>
      <c r="F2821" s="1" t="s">
        <v>4609</v>
      </c>
      <c r="G2821" s="1">
        <v>144.681915489282</v>
      </c>
      <c r="H2821" s="1">
        <v>12.788913677</v>
      </c>
      <c r="I2821" s="1">
        <v>3.53211090839999</v>
      </c>
      <c r="J2821" s="1">
        <v>6.4842275546</v>
      </c>
      <c r="K2821" s="1">
        <v>13.8182361259999</v>
      </c>
      <c r="L2821" s="1">
        <v>20.8</v>
      </c>
      <c r="M2821" s="1">
        <v>8.7</v>
      </c>
      <c r="N2821" s="1">
        <v>17.5</v>
      </c>
      <c r="O2821" s="1">
        <v>77.380014146</v>
      </c>
      <c r="P2821" s="1">
        <v>9.9552599758</v>
      </c>
      <c r="Q2821" s="1">
        <v>149.48655</v>
      </c>
      <c r="R2821" s="1">
        <v>92.7</v>
      </c>
      <c r="S2821" s="1">
        <v>9.6</v>
      </c>
      <c r="T2821" s="1">
        <v>21477.0</v>
      </c>
      <c r="U2821" s="1">
        <v>24.896400801</v>
      </c>
      <c r="V2821" s="1">
        <v>100.24372051</v>
      </c>
      <c r="W2821" s="1">
        <v>12.959675374</v>
      </c>
      <c r="X2821" s="1">
        <v>12.255154639</v>
      </c>
      <c r="Y2821" s="1">
        <v>83.0042709</v>
      </c>
      <c r="Z2821" s="1">
        <v>7.4</v>
      </c>
      <c r="AA2821" s="1">
        <v>3.6555614593</v>
      </c>
      <c r="AB2821" s="1">
        <v>80392.0</v>
      </c>
      <c r="AC2821" s="1">
        <v>30.369026013</v>
      </c>
      <c r="AD2821" s="1">
        <v>62.5209297739999</v>
      </c>
      <c r="AE2821" s="1">
        <v>13.48026653</v>
      </c>
      <c r="AF2821" s="1">
        <v>9.4308210232</v>
      </c>
      <c r="AG2821" s="1">
        <v>0.3835611398</v>
      </c>
      <c r="AH2821" s="1">
        <v>5.5850917051</v>
      </c>
      <c r="AI2821" s="1">
        <v>0.0929008996</v>
      </c>
      <c r="AJ2821" s="1">
        <v>5.9493368164</v>
      </c>
      <c r="AK2821" s="1">
        <v>76.60185066</v>
      </c>
      <c r="AL2821" s="1">
        <v>1.8209091632</v>
      </c>
      <c r="AM2821" s="1">
        <v>52.1974282089999</v>
      </c>
      <c r="AN2821" s="1">
        <v>45.022734162</v>
      </c>
      <c r="AO2821" s="1">
        <v>38039.0</v>
      </c>
      <c r="AP2821" s="1">
        <v>9.7</v>
      </c>
      <c r="AQ2821" s="1">
        <v>3.2</v>
      </c>
      <c r="AR2821" s="1">
        <v>8.6</v>
      </c>
      <c r="AS2821" s="1">
        <v>16.5</v>
      </c>
      <c r="AT2821" s="1">
        <v>20.8</v>
      </c>
      <c r="AU2821" s="1">
        <v>8.6</v>
      </c>
      <c r="AV2821" s="1">
        <v>22.6</v>
      </c>
      <c r="AW2821" s="1">
        <v>1.9</v>
      </c>
      <c r="AX2821" s="1">
        <v>0.1328</v>
      </c>
      <c r="AY2821" s="1">
        <v>6.7</v>
      </c>
      <c r="AZ2821" s="1">
        <v>8.4</v>
      </c>
      <c r="BA2821" s="1">
        <v>9.6</v>
      </c>
      <c r="BB2821" s="1">
        <v>3.41</v>
      </c>
      <c r="BC2821" s="1" t="s">
        <v>4607</v>
      </c>
      <c r="BD2821" s="1">
        <v>7.9</v>
      </c>
      <c r="BE2821" s="1">
        <v>15.8</v>
      </c>
      <c r="BF2821" s="1">
        <v>21.2</v>
      </c>
      <c r="BG2821" s="1">
        <v>55.1</v>
      </c>
      <c r="BH2821" s="1" t="s">
        <v>4609</v>
      </c>
    </row>
    <row r="2822">
      <c r="A2822" s="1">
        <v>51005.0</v>
      </c>
      <c r="B2822" s="2" t="str">
        <f>IFERROR(__xludf.DUMMYFUNCTION("TO_TEXT(A2822)"),"51005")</f>
        <v>51005</v>
      </c>
      <c r="C2822" s="1">
        <v>15919.0</v>
      </c>
      <c r="D2822" s="1">
        <v>445.465133851148</v>
      </c>
      <c r="E2822" s="1" t="s">
        <v>3171</v>
      </c>
      <c r="F2822" s="1" t="s">
        <v>4610</v>
      </c>
      <c r="G2822" s="1">
        <v>35.7356811797516</v>
      </c>
      <c r="H2822" s="1">
        <v>16.121545716</v>
      </c>
      <c r="I2822" s="1">
        <v>4.0749725698</v>
      </c>
      <c r="J2822" s="1">
        <v>7.4972436604</v>
      </c>
      <c r="K2822" s="1">
        <v>16.914677438</v>
      </c>
      <c r="L2822" s="1">
        <v>35.7</v>
      </c>
      <c r="M2822" s="1">
        <v>8.0</v>
      </c>
      <c r="N2822" s="1">
        <v>27.6</v>
      </c>
      <c r="O2822" s="1">
        <v>100.0</v>
      </c>
      <c r="P2822" s="1">
        <v>9.8584117492</v>
      </c>
      <c r="Q2822" s="1">
        <v>46.29017</v>
      </c>
      <c r="R2822" s="1">
        <v>93.6</v>
      </c>
      <c r="S2822" s="1">
        <v>21.1</v>
      </c>
      <c r="T2822" s="1">
        <v>2857.0</v>
      </c>
      <c r="U2822" s="1">
        <v>34.511725586</v>
      </c>
      <c r="V2822" s="1">
        <v>195.93591</v>
      </c>
      <c r="W2822" s="1">
        <v>11.833455077</v>
      </c>
      <c r="X2822" s="1">
        <v>10.302137067</v>
      </c>
      <c r="Y2822" s="1">
        <v>76.253126934</v>
      </c>
      <c r="Z2822" s="1">
        <v>16.6</v>
      </c>
      <c r="AA2822" s="1">
        <v>4.7272220293</v>
      </c>
      <c r="AB2822" s="1">
        <v>46538.0</v>
      </c>
      <c r="AC2822" s="1">
        <v>51.552511416</v>
      </c>
      <c r="AD2822" s="1">
        <v>77.688770212</v>
      </c>
      <c r="AE2822" s="1">
        <v>10.549450549</v>
      </c>
      <c r="AF2822" s="1">
        <v>4.60093896709999</v>
      </c>
      <c r="AG2822" s="1">
        <v>0.288397049</v>
      </c>
      <c r="AH2822" s="1">
        <v>0.288397049</v>
      </c>
      <c r="AI2822" s="1">
        <v>0.0871898055</v>
      </c>
      <c r="AJ2822" s="1">
        <v>1.4621059691</v>
      </c>
      <c r="AK2822" s="1">
        <v>91.4822266929999</v>
      </c>
      <c r="AL2822" s="1">
        <v>0.07530636</v>
      </c>
      <c r="AM2822" s="1">
        <v>51.099932931</v>
      </c>
      <c r="AN2822" s="1">
        <v>52.3938461539999</v>
      </c>
      <c r="AO2822" s="1">
        <v>25220.0</v>
      </c>
      <c r="AP2822" s="1">
        <v>18.3</v>
      </c>
      <c r="AQ2822" s="1">
        <v>4.6</v>
      </c>
      <c r="AR2822" s="1">
        <v>15.5</v>
      </c>
      <c r="AS2822" s="1">
        <v>23.9</v>
      </c>
      <c r="AT2822" s="1">
        <v>19.5</v>
      </c>
      <c r="AU2822" s="1">
        <v>19.6</v>
      </c>
      <c r="AV2822" s="1">
        <v>8.1</v>
      </c>
      <c r="AW2822" s="1">
        <v>0.4</v>
      </c>
      <c r="AX2822" s="1">
        <v>0.3719</v>
      </c>
      <c r="AY2822" s="1">
        <v>11.5</v>
      </c>
      <c r="AZ2822" s="1">
        <v>13.7</v>
      </c>
      <c r="BA2822" s="1">
        <v>21.3</v>
      </c>
      <c r="BB2822" s="1">
        <v>3.09</v>
      </c>
      <c r="BC2822" s="1" t="s">
        <v>4607</v>
      </c>
      <c r="BD2822" s="1">
        <v>14.0</v>
      </c>
      <c r="BE2822" s="1">
        <v>40.3</v>
      </c>
      <c r="BF2822" s="1">
        <v>30.6</v>
      </c>
      <c r="BG2822" s="1">
        <v>15.0</v>
      </c>
      <c r="BH2822" s="1" t="s">
        <v>4610</v>
      </c>
    </row>
    <row r="2823">
      <c r="A2823" s="1">
        <v>51007.0</v>
      </c>
      <c r="B2823" s="2" t="str">
        <f>IFERROR(__xludf.DUMMYFUNCTION("TO_TEXT(A2823)"),"51007")</f>
        <v>51007</v>
      </c>
      <c r="C2823" s="1">
        <v>12793.0</v>
      </c>
      <c r="D2823" s="1">
        <v>355.268961465928</v>
      </c>
      <c r="E2823" s="1" t="s">
        <v>4611</v>
      </c>
      <c r="F2823" s="1" t="s">
        <v>4612</v>
      </c>
      <c r="G2823" s="1">
        <v>36.0093376781717</v>
      </c>
      <c r="H2823" s="1">
        <v>15.539960662</v>
      </c>
      <c r="I2823" s="1">
        <v>3.8848212385</v>
      </c>
      <c r="J2823" s="1">
        <v>7.0304302204</v>
      </c>
      <c r="K2823" s="1">
        <v>17.359524965</v>
      </c>
      <c r="L2823" s="1">
        <v>41.3</v>
      </c>
      <c r="M2823" s="1">
        <v>8.1</v>
      </c>
      <c r="N2823" s="1">
        <v>28.1</v>
      </c>
      <c r="O2823" s="1">
        <v>7.59653270289999</v>
      </c>
      <c r="P2823" s="1">
        <v>13.600381497</v>
      </c>
      <c r="Q2823" s="1">
        <v>7.68049</v>
      </c>
      <c r="R2823" s="1">
        <v>90.3</v>
      </c>
      <c r="S2823" s="1">
        <v>13.2</v>
      </c>
      <c r="T2823" s="1">
        <v>2777.0</v>
      </c>
      <c r="U2823" s="1">
        <v>28.592005762</v>
      </c>
      <c r="V2823" s="1">
        <v>117.10516043</v>
      </c>
      <c r="W2823" s="1">
        <v>12.334801762</v>
      </c>
      <c r="X2823" s="1">
        <v>10.662177329</v>
      </c>
      <c r="Y2823" s="1">
        <v>75.781118101</v>
      </c>
      <c r="Z2823" s="1">
        <v>14.9</v>
      </c>
      <c r="AA2823" s="1">
        <v>5.7564333926</v>
      </c>
      <c r="AB2823" s="1">
        <v>57280.0</v>
      </c>
      <c r="AC2823" s="1">
        <v>48.4375</v>
      </c>
      <c r="AD2823" s="1">
        <v>84.276466903</v>
      </c>
      <c r="AE2823" s="1">
        <v>12.75065388</v>
      </c>
      <c r="AF2823" s="1">
        <v>20.3873050029999</v>
      </c>
      <c r="AG2823" s="1">
        <v>0.5763467302</v>
      </c>
      <c r="AH2823" s="1">
        <v>0.6147698455</v>
      </c>
      <c r="AI2823" s="1">
        <v>0.0461077384</v>
      </c>
      <c r="AJ2823" s="1">
        <v>2.8586797818</v>
      </c>
      <c r="AK2823" s="1">
        <v>74.171981864</v>
      </c>
      <c r="AL2823" s="1">
        <v>0.7101568951</v>
      </c>
      <c r="AM2823" s="1">
        <v>50.695458388</v>
      </c>
      <c r="AN2823" s="1">
        <v>100.0</v>
      </c>
      <c r="AO2823" s="1">
        <v>25335.0</v>
      </c>
      <c r="AP2823" s="1">
        <v>11.6</v>
      </c>
      <c r="AQ2823" s="1">
        <v>4.0</v>
      </c>
      <c r="AR2823" s="1">
        <v>18.7</v>
      </c>
      <c r="AS2823" s="1">
        <v>18.2</v>
      </c>
      <c r="AT2823" s="1">
        <v>21.2</v>
      </c>
      <c r="AU2823" s="1">
        <v>13.4</v>
      </c>
      <c r="AV2823" s="1">
        <v>27.8</v>
      </c>
      <c r="AW2823" s="1">
        <v>0.1</v>
      </c>
      <c r="AX2823" s="1">
        <v>0.2085</v>
      </c>
      <c r="AY2823" s="1">
        <v>9.3</v>
      </c>
      <c r="AZ2823" s="1">
        <v>10.1</v>
      </c>
      <c r="BA2823" s="1">
        <v>15.5</v>
      </c>
      <c r="BB2823" s="1">
        <v>3.2</v>
      </c>
      <c r="BC2823" s="1" t="s">
        <v>4607</v>
      </c>
      <c r="BD2823" s="1">
        <v>16.1</v>
      </c>
      <c r="BE2823" s="1">
        <v>40.8</v>
      </c>
      <c r="BF2823" s="1">
        <v>25.9</v>
      </c>
      <c r="BG2823" s="1">
        <v>17.1</v>
      </c>
      <c r="BH2823" s="1" t="s">
        <v>4612</v>
      </c>
    </row>
    <row r="2824">
      <c r="A2824" s="1">
        <v>51009.0</v>
      </c>
      <c r="B2824" s="2" t="str">
        <f>IFERROR(__xludf.DUMMYFUNCTION("TO_TEXT(A2824)"),"51009")</f>
        <v>51009</v>
      </c>
      <c r="C2824" s="1">
        <v>31999.0</v>
      </c>
      <c r="D2824" s="1">
        <v>473.937595336582</v>
      </c>
      <c r="E2824" s="1" t="s">
        <v>4613</v>
      </c>
      <c r="F2824" s="1" t="s">
        <v>4614</v>
      </c>
      <c r="G2824" s="1">
        <v>67.5173278399129</v>
      </c>
      <c r="H2824" s="1">
        <v>16.059073072</v>
      </c>
      <c r="I2824" s="1">
        <v>3.968512159</v>
      </c>
      <c r="J2824" s="1">
        <v>7.6219512195</v>
      </c>
      <c r="K2824" s="1">
        <v>16.907827746</v>
      </c>
      <c r="L2824" s="1">
        <v>35.2</v>
      </c>
      <c r="M2824" s="1">
        <v>8.0</v>
      </c>
      <c r="N2824" s="1">
        <v>29.7</v>
      </c>
      <c r="O2824" s="1">
        <v>53.679720582</v>
      </c>
      <c r="P2824" s="1">
        <v>12.3475168509999</v>
      </c>
      <c r="Q2824" s="1">
        <v>22.15611</v>
      </c>
      <c r="R2824" s="1">
        <v>93.2</v>
      </c>
      <c r="S2824" s="1">
        <v>18.5</v>
      </c>
      <c r="T2824" s="1">
        <v>6155.0</v>
      </c>
      <c r="U2824" s="1">
        <v>31.03168156</v>
      </c>
      <c r="V2824" s="1">
        <v>133.08074087</v>
      </c>
      <c r="W2824" s="1">
        <v>12.75904104</v>
      </c>
      <c r="X2824" s="1">
        <v>10.452674897</v>
      </c>
      <c r="Y2824" s="1">
        <v>78.358014212</v>
      </c>
      <c r="Z2824" s="1">
        <v>14.5</v>
      </c>
      <c r="AA2824" s="1">
        <v>6.1505470916</v>
      </c>
      <c r="AB2824" s="1">
        <v>50580.0</v>
      </c>
      <c r="AC2824" s="1">
        <v>51.729249012</v>
      </c>
      <c r="AD2824" s="1">
        <v>77.623713052</v>
      </c>
      <c r="AE2824" s="1">
        <v>9.1735179576</v>
      </c>
      <c r="AF2824" s="1">
        <v>18.875134213</v>
      </c>
      <c r="AG2824" s="1">
        <v>0.9094928314</v>
      </c>
      <c r="AH2824" s="1">
        <v>0.5494852523</v>
      </c>
      <c r="AI2824" s="1">
        <v>0.0442114571</v>
      </c>
      <c r="AJ2824" s="1">
        <v>2.595844123</v>
      </c>
      <c r="AK2824" s="1">
        <v>74.894208299</v>
      </c>
      <c r="AL2824" s="1">
        <v>0.5931866384</v>
      </c>
      <c r="AM2824" s="1">
        <v>51.468451967</v>
      </c>
      <c r="AN2824" s="1">
        <v>63.663338794</v>
      </c>
      <c r="AO2824" s="1">
        <v>23372.0</v>
      </c>
      <c r="AP2824" s="1">
        <v>14.1</v>
      </c>
      <c r="AQ2824" s="1">
        <v>5.5</v>
      </c>
      <c r="AR2824" s="1">
        <v>17.3</v>
      </c>
      <c r="AS2824" s="1">
        <v>18.9</v>
      </c>
      <c r="AT2824" s="1">
        <v>20.1</v>
      </c>
      <c r="AU2824" s="1">
        <v>14.5</v>
      </c>
      <c r="AV2824" s="1">
        <v>24.4</v>
      </c>
      <c r="AW2824" s="1">
        <v>1.2</v>
      </c>
      <c r="AX2824" s="1">
        <v>0.4702</v>
      </c>
      <c r="AY2824" s="1">
        <v>12.0</v>
      </c>
      <c r="AZ2824" s="1">
        <v>10.8</v>
      </c>
      <c r="BA2824" s="1">
        <v>16.3</v>
      </c>
      <c r="BB2824" s="1">
        <v>2.95</v>
      </c>
      <c r="BC2824" s="1" t="s">
        <v>4607</v>
      </c>
      <c r="BD2824" s="1">
        <v>14.4</v>
      </c>
      <c r="BE2824" s="1">
        <v>36.0</v>
      </c>
      <c r="BF2824" s="1">
        <v>30.6</v>
      </c>
      <c r="BG2824" s="1">
        <v>19.1</v>
      </c>
      <c r="BH2824" s="1" t="s">
        <v>4614</v>
      </c>
    </row>
    <row r="2825">
      <c r="A2825" s="1">
        <v>51011.0</v>
      </c>
      <c r="B2825" s="2" t="str">
        <f>IFERROR(__xludf.DUMMYFUNCTION("TO_TEXT(A2825)"),"51011")</f>
        <v>51011</v>
      </c>
      <c r="C2825" s="1">
        <v>15314.0</v>
      </c>
      <c r="D2825" s="1">
        <v>333.472158772662</v>
      </c>
      <c r="E2825" s="1" t="s">
        <v>4615</v>
      </c>
      <c r="F2825" s="1" t="s">
        <v>4616</v>
      </c>
      <c r="G2825" s="1">
        <v>45.9228742104375</v>
      </c>
      <c r="H2825" s="1">
        <v>16.56063666</v>
      </c>
      <c r="I2825" s="1">
        <v>4.0144642693</v>
      </c>
      <c r="J2825" s="1">
        <v>8.5557299843</v>
      </c>
      <c r="K2825" s="1">
        <v>17.134619679</v>
      </c>
      <c r="L2825" s="1">
        <v>47.4</v>
      </c>
      <c r="M2825" s="1">
        <v>8.5</v>
      </c>
      <c r="N2825" s="1">
        <v>36.5</v>
      </c>
      <c r="O2825" s="1">
        <v>54.731850665</v>
      </c>
      <c r="P2825" s="1">
        <v>11.807791372</v>
      </c>
      <c r="Q2825" s="1">
        <v>12.75429</v>
      </c>
      <c r="R2825" s="1">
        <v>93.8</v>
      </c>
      <c r="S2825" s="1">
        <v>19.4</v>
      </c>
      <c r="T2825" s="1">
        <v>3344.0</v>
      </c>
      <c r="U2825" s="1">
        <v>29.485645933</v>
      </c>
      <c r="V2825" s="1">
        <v>113.91745866</v>
      </c>
      <c r="W2825" s="1">
        <v>12.479061977</v>
      </c>
      <c r="X2825" s="1">
        <v>11.0169491529999</v>
      </c>
      <c r="Y2825" s="1">
        <v>76.495961354</v>
      </c>
      <c r="Z2825" s="1">
        <v>17.8</v>
      </c>
      <c r="AA2825" s="1">
        <v>0.7037307083</v>
      </c>
      <c r="AB2825" s="1">
        <v>51131.0</v>
      </c>
      <c r="AC2825" s="1">
        <v>49.295154185</v>
      </c>
      <c r="AD2825" s="1">
        <v>77.653814602</v>
      </c>
      <c r="AE2825" s="1">
        <v>9.1869780126</v>
      </c>
      <c r="AF2825" s="1">
        <v>18.85613282</v>
      </c>
      <c r="AG2825" s="1">
        <v>0.3219493719</v>
      </c>
      <c r="AH2825" s="1">
        <v>0.3408875702</v>
      </c>
      <c r="AI2825" s="1">
        <v>0.0441891295</v>
      </c>
      <c r="AJ2825" s="1">
        <v>1.6476232561</v>
      </c>
      <c r="AK2825" s="1">
        <v>76.807019759</v>
      </c>
      <c r="AL2825" s="1">
        <v>0.3131381892</v>
      </c>
      <c r="AM2825" s="1">
        <v>51.442459441</v>
      </c>
      <c r="AN2825" s="1">
        <v>100.0</v>
      </c>
      <c r="AO2825" s="1">
        <v>24902.0</v>
      </c>
      <c r="AP2825" s="1">
        <v>17.3</v>
      </c>
      <c r="AQ2825" s="1">
        <v>4.5</v>
      </c>
      <c r="AR2825" s="1">
        <v>16.4</v>
      </c>
      <c r="AS2825" s="1">
        <v>19.0</v>
      </c>
      <c r="AT2825" s="1">
        <v>21.9</v>
      </c>
      <c r="AU2825" s="1">
        <v>16.4</v>
      </c>
      <c r="AV2825" s="1">
        <v>23.4</v>
      </c>
      <c r="AW2825" s="1">
        <v>0.2</v>
      </c>
      <c r="AX2825" s="1">
        <v>0.3811</v>
      </c>
      <c r="AY2825" s="1">
        <v>12.6</v>
      </c>
      <c r="AZ2825" s="1">
        <v>11.3</v>
      </c>
      <c r="BA2825" s="1">
        <v>16.9</v>
      </c>
      <c r="BB2825" s="1">
        <v>3.02</v>
      </c>
      <c r="BC2825" s="1" t="s">
        <v>4607</v>
      </c>
      <c r="BD2825" s="1">
        <v>14.1</v>
      </c>
      <c r="BE2825" s="1">
        <v>33.9</v>
      </c>
      <c r="BF2825" s="1">
        <v>31.1</v>
      </c>
      <c r="BG2825" s="1">
        <v>20.9</v>
      </c>
      <c r="BH2825" s="1" t="s">
        <v>4616</v>
      </c>
    </row>
    <row r="2826">
      <c r="A2826" s="1">
        <v>51013.0</v>
      </c>
      <c r="B2826" s="2" t="str">
        <f>IFERROR(__xludf.DUMMYFUNCTION("TO_TEXT(A2826)"),"51013")</f>
        <v>51013</v>
      </c>
      <c r="C2826" s="1">
        <v>226092.0</v>
      </c>
      <c r="D2826" s="1">
        <v>25.991780073758</v>
      </c>
      <c r="E2826" s="1" t="s">
        <v>4617</v>
      </c>
      <c r="F2826" s="1" t="s">
        <v>4618</v>
      </c>
      <c r="G2826" s="1">
        <v>8698.59622382187</v>
      </c>
      <c r="H2826" s="1">
        <v>11.294389204</v>
      </c>
      <c r="I2826" s="1">
        <v>3.1904942084</v>
      </c>
      <c r="J2826" s="1">
        <v>6.7518831317</v>
      </c>
      <c r="K2826" s="1">
        <v>12.329356362</v>
      </c>
      <c r="L2826" s="1">
        <v>19.6</v>
      </c>
      <c r="M2826" s="1">
        <v>9.3</v>
      </c>
      <c r="N2826" s="1">
        <v>13.4</v>
      </c>
      <c r="O2826" s="1">
        <v>99.989404076</v>
      </c>
      <c r="P2826" s="1">
        <v>7.656820841</v>
      </c>
      <c r="Q2826" s="1">
        <v>80.0119199999999</v>
      </c>
      <c r="R2826" s="1">
        <v>92.2</v>
      </c>
      <c r="S2826" s="1">
        <v>7.3</v>
      </c>
      <c r="T2826" s="1">
        <v>40428.0</v>
      </c>
      <c r="U2826" s="1">
        <v>19.93667755</v>
      </c>
      <c r="V2826" s="1">
        <v>149.40293038</v>
      </c>
      <c r="W2826" s="1">
        <v>15.580159873</v>
      </c>
      <c r="X2826" s="1">
        <v>13.4335864809999</v>
      </c>
      <c r="Y2826" s="1">
        <v>85.210292224</v>
      </c>
      <c r="Z2826" s="1">
        <v>3.8</v>
      </c>
      <c r="AA2826" s="1">
        <v>0.0839652071</v>
      </c>
      <c r="AB2826" s="1">
        <v>120950.0</v>
      </c>
      <c r="AC2826" s="1">
        <v>30.991658943</v>
      </c>
      <c r="AD2826" s="1">
        <v>43.454677413</v>
      </c>
      <c r="AE2826" s="1">
        <v>13.264420498</v>
      </c>
      <c r="AF2826" s="1">
        <v>9.0383587135</v>
      </c>
      <c r="AG2826" s="1">
        <v>0.6492057544</v>
      </c>
      <c r="AH2826" s="1">
        <v>11.033971733</v>
      </c>
      <c r="AI2826" s="1">
        <v>0.1292517293</v>
      </c>
      <c r="AJ2826" s="1">
        <v>15.7901827629999</v>
      </c>
      <c r="AK2826" s="1">
        <v>61.215218865</v>
      </c>
      <c r="AL2826" s="1">
        <v>3.6183229229</v>
      </c>
      <c r="AM2826" s="1">
        <v>49.8953776719999</v>
      </c>
      <c r="AN2826" s="1">
        <v>0.0</v>
      </c>
      <c r="AO2826" s="1">
        <v>64746.0</v>
      </c>
      <c r="AP2826" s="1">
        <v>8.7</v>
      </c>
      <c r="AQ2826" s="1">
        <v>3.4</v>
      </c>
      <c r="AR2826" s="1">
        <v>6.2</v>
      </c>
      <c r="AS2826" s="1">
        <v>9.3</v>
      </c>
      <c r="AT2826" s="1">
        <v>17.0</v>
      </c>
      <c r="AU2826" s="1">
        <v>5.4</v>
      </c>
      <c r="AV2826" s="1">
        <v>37.1</v>
      </c>
      <c r="AW2826" s="1">
        <v>3.2</v>
      </c>
      <c r="AX2826" s="1">
        <v>0.1226</v>
      </c>
      <c r="AY2826" s="1">
        <v>7.6</v>
      </c>
      <c r="AZ2826" s="1">
        <v>6.7</v>
      </c>
      <c r="BA2826" s="1">
        <v>4.1</v>
      </c>
      <c r="BB2826" s="1">
        <v>4.38</v>
      </c>
      <c r="BC2826" s="1" t="s">
        <v>4607</v>
      </c>
      <c r="BD2826" s="1">
        <v>5.7</v>
      </c>
      <c r="BE2826" s="1">
        <v>7.8</v>
      </c>
      <c r="BF2826" s="1">
        <v>11.2</v>
      </c>
      <c r="BG2826" s="1">
        <v>75.3</v>
      </c>
      <c r="BH2826" s="1" t="s">
        <v>4618</v>
      </c>
    </row>
    <row r="2827">
      <c r="A2827" s="1">
        <v>51015.0</v>
      </c>
      <c r="B2827" s="2" t="str">
        <f>IFERROR(__xludf.DUMMYFUNCTION("TO_TEXT(A2827)"),"51015")</f>
        <v>51015</v>
      </c>
      <c r="C2827" s="1">
        <v>74330.0</v>
      </c>
      <c r="D2827" s="1">
        <v>967.042496274792</v>
      </c>
      <c r="E2827" s="1" t="s">
        <v>4619</v>
      </c>
      <c r="F2827" s="1" t="s">
        <v>4620</v>
      </c>
      <c r="G2827" s="1">
        <v>76.8632198546925</v>
      </c>
      <c r="H2827" s="1">
        <v>14.207762165</v>
      </c>
      <c r="I2827" s="1">
        <v>4.0595122776</v>
      </c>
      <c r="J2827" s="1">
        <v>6.10067269769999</v>
      </c>
      <c r="K2827" s="1">
        <v>15.833912222</v>
      </c>
      <c r="L2827" s="1">
        <v>33.5</v>
      </c>
      <c r="M2827" s="1">
        <v>8.9</v>
      </c>
      <c r="N2827" s="1">
        <v>26.3</v>
      </c>
      <c r="O2827" s="1">
        <v>50.781016949</v>
      </c>
      <c r="P2827" s="1">
        <v>11.1581822</v>
      </c>
      <c r="Q2827" s="1">
        <v>49.23879</v>
      </c>
      <c r="R2827" s="1">
        <v>94.8</v>
      </c>
      <c r="S2827" s="1">
        <v>12.2</v>
      </c>
      <c r="T2827" s="1">
        <v>14446.0</v>
      </c>
      <c r="U2827" s="1">
        <v>21.943790669</v>
      </c>
      <c r="V2827" s="1">
        <v>124.89029906</v>
      </c>
      <c r="W2827" s="1">
        <v>9.9032541777</v>
      </c>
      <c r="X2827" s="1">
        <v>8.9094796864</v>
      </c>
      <c r="Y2827" s="1">
        <v>80.747348293</v>
      </c>
      <c r="Z2827" s="1">
        <v>16.6</v>
      </c>
      <c r="AA2827" s="1">
        <v>4.1184775171</v>
      </c>
      <c r="AB2827" s="1">
        <v>60556.0</v>
      </c>
      <c r="AC2827" s="1">
        <v>41.2179116</v>
      </c>
      <c r="AD2827" s="1">
        <v>78.881796771</v>
      </c>
      <c r="AE2827" s="1">
        <v>10.116909642</v>
      </c>
      <c r="AF2827" s="1">
        <v>4.3786527426</v>
      </c>
      <c r="AG2827" s="1">
        <v>0.2438474893</v>
      </c>
      <c r="AH2827" s="1">
        <v>0.6705805956</v>
      </c>
      <c r="AI2827" s="1">
        <v>0.0384324847</v>
      </c>
      <c r="AJ2827" s="1">
        <v>2.875810064</v>
      </c>
      <c r="AK2827" s="1">
        <v>90.577414952</v>
      </c>
      <c r="AL2827" s="1">
        <v>0.4817077452</v>
      </c>
      <c r="AM2827" s="1">
        <v>49.27707171</v>
      </c>
      <c r="AN2827" s="1">
        <v>66.437966102</v>
      </c>
      <c r="AO2827" s="1">
        <v>28601.0</v>
      </c>
      <c r="AP2827" s="1">
        <v>9.2</v>
      </c>
      <c r="AQ2827" s="1">
        <v>4.9</v>
      </c>
      <c r="AR2827" s="1">
        <v>13.5</v>
      </c>
      <c r="AS2827" s="1">
        <v>18.8</v>
      </c>
      <c r="AT2827" s="1">
        <v>20.0</v>
      </c>
      <c r="AU2827" s="1">
        <v>14.1</v>
      </c>
      <c r="AV2827" s="1">
        <v>8.4</v>
      </c>
      <c r="AW2827" s="1">
        <v>0.3</v>
      </c>
      <c r="AX2827" s="1">
        <v>0.1273</v>
      </c>
      <c r="AY2827" s="1">
        <v>7.3</v>
      </c>
      <c r="AZ2827" s="1">
        <v>8.5</v>
      </c>
      <c r="BA2827" s="1">
        <v>12.2</v>
      </c>
      <c r="BB2827" s="1">
        <v>3.27</v>
      </c>
      <c r="BC2827" s="1" t="s">
        <v>4607</v>
      </c>
      <c r="BD2827" s="1">
        <v>12.6</v>
      </c>
      <c r="BE2827" s="1">
        <v>38.7</v>
      </c>
      <c r="BF2827" s="1">
        <v>25.9</v>
      </c>
      <c r="BG2827" s="1">
        <v>22.7</v>
      </c>
      <c r="BH2827" s="1" t="s">
        <v>4620</v>
      </c>
    </row>
    <row r="2828">
      <c r="A2828" s="1">
        <v>51017.0</v>
      </c>
      <c r="B2828" s="2" t="str">
        <f>IFERROR(__xludf.DUMMYFUNCTION("TO_TEXT(A2828)"),"51017")</f>
        <v>51017</v>
      </c>
      <c r="C2828" s="1">
        <v>4558.0</v>
      </c>
      <c r="D2828" s="1">
        <v>529.160064389476</v>
      </c>
      <c r="E2828" s="1" t="s">
        <v>1768</v>
      </c>
      <c r="F2828" s="1" t="s">
        <v>4621</v>
      </c>
      <c r="G2828" s="1">
        <v>8.61365077740483</v>
      </c>
      <c r="H2828" s="1">
        <v>16.545329012</v>
      </c>
      <c r="I2828" s="1">
        <v>4.10303672</v>
      </c>
      <c r="J2828" s="1">
        <v>5.3956834532</v>
      </c>
      <c r="K2828" s="1">
        <v>17.098474486</v>
      </c>
      <c r="L2828" s="1">
        <v>25.2</v>
      </c>
      <c r="M2828" s="1">
        <v>8.3</v>
      </c>
      <c r="N2828" s="1">
        <v>20.7</v>
      </c>
      <c r="O2828" s="1">
        <v>100.0</v>
      </c>
      <c r="P2828" s="1">
        <v>10.828230744</v>
      </c>
      <c r="Q2828" s="1">
        <v>23.27205</v>
      </c>
      <c r="R2828" s="1">
        <v>93.6</v>
      </c>
      <c r="S2828" s="1">
        <v>14.8</v>
      </c>
      <c r="T2828" s="1">
        <v>680.0</v>
      </c>
      <c r="U2828" s="1">
        <v>24.2647058819999</v>
      </c>
      <c r="V2828" s="1">
        <v>111.22233344</v>
      </c>
      <c r="W2828" s="1">
        <v>11.638954869</v>
      </c>
      <c r="X2828" s="1">
        <v>5.7553956835</v>
      </c>
      <c r="Y2828" s="1">
        <v>75.956625093</v>
      </c>
      <c r="Z2828" s="1">
        <v>5.8</v>
      </c>
      <c r="AA2828" s="1">
        <v>9.2154893546</v>
      </c>
      <c r="AB2828" s="1">
        <v>50564.0</v>
      </c>
      <c r="AC2828" s="1">
        <v>51.891891892</v>
      </c>
      <c r="AD2828" s="1">
        <v>72.186093047</v>
      </c>
      <c r="AE2828" s="1">
        <v>5.9465357338</v>
      </c>
      <c r="AF2828" s="1">
        <v>4.5433364399</v>
      </c>
      <c r="AG2828" s="1">
        <v>0.2096924511</v>
      </c>
      <c r="AH2828" s="1">
        <v>0.4426840634</v>
      </c>
      <c r="AI2828" s="1">
        <v>0.0</v>
      </c>
      <c r="AJ2828" s="1">
        <v>2.3998136067</v>
      </c>
      <c r="AK2828" s="1">
        <v>91.0764212489999</v>
      </c>
      <c r="AL2828" s="1">
        <v>0.2366303833</v>
      </c>
      <c r="AM2828" s="1">
        <v>49.650512582</v>
      </c>
      <c r="AN2828" s="1">
        <v>100.0</v>
      </c>
      <c r="AO2828" s="1">
        <v>28210.0</v>
      </c>
      <c r="AP2828" s="1">
        <v>8.4</v>
      </c>
      <c r="AQ2828" s="1">
        <v>8.7</v>
      </c>
      <c r="AR2828" s="1">
        <v>12.7</v>
      </c>
      <c r="AS2828" s="1">
        <v>21.0</v>
      </c>
      <c r="AT2828" s="1">
        <v>19.2</v>
      </c>
      <c r="AU2828" s="1">
        <v>17.5</v>
      </c>
      <c r="AV2828" s="1">
        <v>8.3</v>
      </c>
      <c r="AW2828" s="1">
        <v>0.3</v>
      </c>
      <c r="AX2828" s="1">
        <v>0.311</v>
      </c>
      <c r="AY2828" s="1">
        <v>9.9</v>
      </c>
      <c r="AZ2828" s="1">
        <v>10.2</v>
      </c>
      <c r="BA2828" s="1">
        <v>11.8</v>
      </c>
      <c r="BB2828" s="1">
        <v>3.05</v>
      </c>
      <c r="BC2828" s="1" t="s">
        <v>4607</v>
      </c>
      <c r="BD2828" s="1">
        <v>9.7</v>
      </c>
      <c r="BE2828" s="1">
        <v>42.9</v>
      </c>
      <c r="BF2828" s="1">
        <v>31.5</v>
      </c>
      <c r="BG2828" s="1">
        <v>15.9</v>
      </c>
      <c r="BH2828" s="1" t="s">
        <v>4621</v>
      </c>
    </row>
    <row r="2829">
      <c r="A2829" s="1">
        <v>51019.0</v>
      </c>
      <c r="B2829" s="2" t="str">
        <f>IFERROR(__xludf.DUMMYFUNCTION("TO_TEXT(A2829)"),"51019")</f>
        <v>51019</v>
      </c>
      <c r="C2829" s="1">
        <v>76933.0</v>
      </c>
      <c r="D2829" s="1">
        <v>759.900498378528</v>
      </c>
      <c r="E2829" s="1" t="s">
        <v>3720</v>
      </c>
      <c r="F2829" s="1" t="s">
        <v>4622</v>
      </c>
      <c r="G2829" s="1">
        <v>101.240886358358</v>
      </c>
      <c r="H2829" s="1">
        <v>14.036663564</v>
      </c>
      <c r="I2829" s="1">
        <v>3.4971145471</v>
      </c>
      <c r="J2829" s="1">
        <v>7.4318381706</v>
      </c>
      <c r="K2829" s="1">
        <v>14.507094982</v>
      </c>
      <c r="L2829" s="1">
        <v>34.2</v>
      </c>
      <c r="M2829" s="1">
        <v>9.0</v>
      </c>
      <c r="N2829" s="1">
        <v>26.7</v>
      </c>
      <c r="O2829" s="1">
        <v>53.204357927</v>
      </c>
      <c r="P2829" s="1">
        <v>9.9546338302</v>
      </c>
      <c r="Q2829" s="1">
        <v>70.53633</v>
      </c>
      <c r="R2829" s="1">
        <v>91.8</v>
      </c>
      <c r="S2829" s="1">
        <v>13.1</v>
      </c>
      <c r="T2829" s="1">
        <v>15669.0</v>
      </c>
      <c r="U2829" s="1">
        <v>26.1407875419999</v>
      </c>
      <c r="V2829" s="1">
        <v>82.536133929</v>
      </c>
      <c r="W2829" s="1">
        <v>10.025957171</v>
      </c>
      <c r="X2829" s="1">
        <v>9.2988808427</v>
      </c>
      <c r="Y2829" s="1">
        <v>78.381367858</v>
      </c>
      <c r="Z2829" s="1">
        <v>15.7</v>
      </c>
      <c r="AA2829" s="1">
        <v>1.6812534119</v>
      </c>
      <c r="AB2829" s="1">
        <v>61186.0</v>
      </c>
      <c r="AC2829" s="1">
        <v>37.298075934</v>
      </c>
      <c r="AD2829" s="1">
        <v>81.625328462</v>
      </c>
      <c r="AE2829" s="1">
        <v>7.4500282702</v>
      </c>
      <c r="AF2829" s="1">
        <v>6.9920123941</v>
      </c>
      <c r="AG2829" s="1">
        <v>0.3530293218</v>
      </c>
      <c r="AH2829" s="1">
        <v>1.2508413019</v>
      </c>
      <c r="AI2829" s="1">
        <v>0.0279375722</v>
      </c>
      <c r="AJ2829" s="1">
        <v>2.2731024674</v>
      </c>
      <c r="AK2829" s="1">
        <v>87.720167117</v>
      </c>
      <c r="AL2829" s="1">
        <v>0.5428925531</v>
      </c>
      <c r="AM2829" s="1">
        <v>50.73590105</v>
      </c>
      <c r="AN2829" s="1">
        <v>78.4320577789999</v>
      </c>
      <c r="AO2829" s="1">
        <v>29561.0</v>
      </c>
      <c r="AP2829" s="1">
        <v>9.2</v>
      </c>
      <c r="AQ2829" s="1">
        <v>4.7</v>
      </c>
      <c r="AR2829" s="1">
        <v>11.1</v>
      </c>
      <c r="AS2829" s="1">
        <v>19.3</v>
      </c>
      <c r="AT2829" s="1">
        <v>20.9</v>
      </c>
      <c r="AU2829" s="1">
        <v>14.4</v>
      </c>
      <c r="AV2829" s="1">
        <v>11.6</v>
      </c>
      <c r="AW2829" s="1">
        <v>0.5</v>
      </c>
      <c r="AX2829" s="1">
        <v>0.0888</v>
      </c>
      <c r="AY2829" s="1">
        <v>8.6</v>
      </c>
      <c r="AZ2829" s="1">
        <v>8.8</v>
      </c>
      <c r="BA2829" s="1">
        <v>12.8</v>
      </c>
      <c r="BB2829" s="1">
        <v>3.23</v>
      </c>
      <c r="BC2829" s="1" t="s">
        <v>4607</v>
      </c>
      <c r="BD2829" s="1">
        <v>10.0</v>
      </c>
      <c r="BE2829" s="1">
        <v>30.2</v>
      </c>
      <c r="BF2829" s="1">
        <v>30.6</v>
      </c>
      <c r="BG2829" s="1">
        <v>29.2</v>
      </c>
      <c r="BH2829" s="1" t="s">
        <v>4622</v>
      </c>
    </row>
    <row r="2830">
      <c r="A2830" s="1">
        <v>51021.0</v>
      </c>
      <c r="B2830" s="2" t="str">
        <f>IFERROR(__xludf.DUMMYFUNCTION("TO_TEXT(A2830)"),"51021")</f>
        <v>51021</v>
      </c>
      <c r="C2830" s="1">
        <v>6612.0</v>
      </c>
      <c r="D2830" s="1">
        <v>357.729611519742</v>
      </c>
      <c r="E2830" s="1" t="s">
        <v>4623</v>
      </c>
      <c r="F2830" s="1" t="s">
        <v>4624</v>
      </c>
      <c r="G2830" s="1">
        <v>18.4832336688882</v>
      </c>
      <c r="H2830" s="1">
        <v>12.889086074</v>
      </c>
      <c r="I2830" s="1">
        <v>3.5854673456</v>
      </c>
      <c r="J2830" s="1">
        <v>6.4102564103</v>
      </c>
      <c r="K2830" s="1">
        <v>15.4475826029999</v>
      </c>
      <c r="L2830" s="1">
        <v>28.0</v>
      </c>
      <c r="M2830" s="1">
        <v>8.4</v>
      </c>
      <c r="N2830" s="1">
        <v>27.2</v>
      </c>
      <c r="O2830" s="1">
        <v>99.926729191</v>
      </c>
      <c r="P2830" s="1">
        <v>8.884732289</v>
      </c>
      <c r="Q2830" s="1">
        <v>48.31939</v>
      </c>
      <c r="R2830" s="1">
        <v>95.2</v>
      </c>
      <c r="S2830" s="1">
        <v>15.0</v>
      </c>
      <c r="T2830" s="1">
        <v>1045.0</v>
      </c>
      <c r="U2830" s="1">
        <v>18.086124402</v>
      </c>
      <c r="V2830" s="1">
        <v>75.797771546</v>
      </c>
      <c r="W2830" s="1">
        <v>7.421875</v>
      </c>
      <c r="X2830" s="1">
        <v>5.9288537549</v>
      </c>
      <c r="Y2830" s="1">
        <v>77.188129609</v>
      </c>
      <c r="Z2830" s="1">
        <v>15.5</v>
      </c>
      <c r="AA2830" s="1">
        <v>8.5047704982</v>
      </c>
      <c r="AB2830" s="1">
        <v>47681.0</v>
      </c>
      <c r="AC2830" s="1">
        <v>48.3561643839999</v>
      </c>
      <c r="AD2830" s="1">
        <v>82.718985335</v>
      </c>
      <c r="AE2830" s="1">
        <v>8.5761181781</v>
      </c>
      <c r="AF2830" s="1">
        <v>3.8614333386</v>
      </c>
      <c r="AG2830" s="1">
        <v>0.1747973939</v>
      </c>
      <c r="AH2830" s="1">
        <v>0.5720641983</v>
      </c>
      <c r="AI2830" s="1">
        <v>0.0158906722</v>
      </c>
      <c r="AJ2830" s="1">
        <v>0.8422056253</v>
      </c>
      <c r="AK2830" s="1">
        <v>93.659621802</v>
      </c>
      <c r="AL2830" s="1">
        <v>0.0967898048</v>
      </c>
      <c r="AM2830" s="1">
        <v>45.256634356</v>
      </c>
      <c r="AN2830" s="1">
        <v>100.0</v>
      </c>
      <c r="AO2830" s="1">
        <v>22249.0</v>
      </c>
      <c r="AP2830" s="1">
        <v>9.7</v>
      </c>
      <c r="AQ2830" s="1">
        <v>6.5</v>
      </c>
      <c r="AR2830" s="1">
        <v>10.8</v>
      </c>
      <c r="AS2830" s="1">
        <v>19.8</v>
      </c>
      <c r="AT2830" s="1">
        <v>16.2</v>
      </c>
      <c r="AU2830" s="1">
        <v>17.1</v>
      </c>
      <c r="AV2830" s="1">
        <v>5.5</v>
      </c>
      <c r="AW2830" s="1">
        <v>0.1</v>
      </c>
      <c r="AX2830" s="1">
        <v>0.2684</v>
      </c>
      <c r="AY2830" s="1">
        <v>13.4</v>
      </c>
      <c r="AZ2830" s="1">
        <v>9.7</v>
      </c>
      <c r="BA2830" s="1">
        <v>13.3</v>
      </c>
      <c r="BB2830" s="1">
        <v>2.9</v>
      </c>
      <c r="BC2830" s="1" t="s">
        <v>4607</v>
      </c>
      <c r="BD2830" s="1">
        <v>11.4</v>
      </c>
      <c r="BE2830" s="1">
        <v>42.4</v>
      </c>
      <c r="BF2830" s="1">
        <v>32.0</v>
      </c>
      <c r="BG2830" s="1">
        <v>14.2</v>
      </c>
      <c r="BH2830" s="1" t="s">
        <v>4624</v>
      </c>
    </row>
    <row r="2831">
      <c r="A2831" s="1">
        <v>51023.0</v>
      </c>
      <c r="B2831" s="2" t="str">
        <f>IFERROR(__xludf.DUMMYFUNCTION("TO_TEXT(A2831)"),"51023")</f>
        <v>51023</v>
      </c>
      <c r="C2831" s="1">
        <v>33192.0</v>
      </c>
      <c r="D2831" s="1">
        <v>541.204544851024</v>
      </c>
      <c r="E2831" s="1" t="s">
        <v>4625</v>
      </c>
      <c r="F2831" s="1" t="s">
        <v>4626</v>
      </c>
      <c r="G2831" s="1">
        <v>61.329861908563</v>
      </c>
      <c r="H2831" s="1">
        <v>12.390681577</v>
      </c>
      <c r="I2831" s="1">
        <v>3.5496626194</v>
      </c>
      <c r="J2831" s="1">
        <v>6.5256797583</v>
      </c>
      <c r="K2831" s="1">
        <v>14.067543569</v>
      </c>
      <c r="L2831" s="1">
        <v>25.4</v>
      </c>
      <c r="M2831" s="1">
        <v>8.7</v>
      </c>
      <c r="N2831" s="1">
        <v>18.9</v>
      </c>
      <c r="O2831" s="1">
        <v>90.801858332</v>
      </c>
      <c r="P2831" s="1">
        <v>8.367029549</v>
      </c>
      <c r="Q2831" s="1">
        <v>51.21716</v>
      </c>
      <c r="R2831" s="1">
        <v>95.3</v>
      </c>
      <c r="S2831" s="1">
        <v>8.6</v>
      </c>
      <c r="T2831" s="1">
        <v>6472.0</v>
      </c>
      <c r="U2831" s="1">
        <v>19.762051916</v>
      </c>
      <c r="V2831" s="1">
        <v>105.79131907</v>
      </c>
      <c r="W2831" s="1">
        <v>10.296880872</v>
      </c>
      <c r="X2831" s="1">
        <v>9.2418498863</v>
      </c>
      <c r="Y2831" s="1">
        <v>79.703252166</v>
      </c>
      <c r="Z2831" s="1">
        <v>12.5</v>
      </c>
      <c r="AA2831" s="1">
        <v>8.4269564887</v>
      </c>
      <c r="AB2831" s="1">
        <v>71874.0</v>
      </c>
      <c r="AC2831" s="1">
        <v>27.839931153</v>
      </c>
      <c r="AD2831" s="1">
        <v>86.262442064</v>
      </c>
      <c r="AE2831" s="1">
        <v>8.9602374814</v>
      </c>
      <c r="AF2831" s="1">
        <v>3.1312918833</v>
      </c>
      <c r="AG2831" s="1">
        <v>0.2944977011</v>
      </c>
      <c r="AH2831" s="1">
        <v>0.8203864531</v>
      </c>
      <c r="AI2831" s="1">
        <v>0.0270457072</v>
      </c>
      <c r="AJ2831" s="1">
        <v>1.8120623854</v>
      </c>
      <c r="AK2831" s="1">
        <v>92.652582865</v>
      </c>
      <c r="AL2831" s="1">
        <v>0.5815598378</v>
      </c>
      <c r="AM2831" s="1">
        <v>50.434233855</v>
      </c>
      <c r="AN2831" s="1">
        <v>64.097381441</v>
      </c>
      <c r="AO2831" s="1">
        <v>32518.0</v>
      </c>
      <c r="AP2831" s="1">
        <v>8.3</v>
      </c>
      <c r="AQ2831" s="1">
        <v>4.1</v>
      </c>
      <c r="AR2831" s="1">
        <v>8.4</v>
      </c>
      <c r="AS2831" s="1">
        <v>20.0</v>
      </c>
      <c r="AT2831" s="1">
        <v>20.3</v>
      </c>
      <c r="AU2831" s="1">
        <v>14.1</v>
      </c>
      <c r="AV2831" s="1">
        <v>6.8</v>
      </c>
      <c r="AW2831" s="1">
        <v>0.4</v>
      </c>
      <c r="AX2831" s="1">
        <v>0.0255</v>
      </c>
      <c r="AY2831" s="1">
        <v>5.7</v>
      </c>
      <c r="AZ2831" s="1">
        <v>8.0</v>
      </c>
      <c r="BA2831" s="1">
        <v>12.0</v>
      </c>
      <c r="BB2831" s="1">
        <v>3.37</v>
      </c>
      <c r="BC2831" s="1" t="s">
        <v>4607</v>
      </c>
      <c r="BD2831" s="1">
        <v>7.2</v>
      </c>
      <c r="BE2831" s="1">
        <v>32.3</v>
      </c>
      <c r="BF2831" s="1">
        <v>32.1</v>
      </c>
      <c r="BG2831" s="1">
        <v>28.3</v>
      </c>
      <c r="BH2831" s="1" t="s">
        <v>4626</v>
      </c>
    </row>
    <row r="2832">
      <c r="A2832" s="1">
        <v>51025.0</v>
      </c>
      <c r="B2832" s="2" t="str">
        <f>IFERROR(__xludf.DUMMYFUNCTION("TO_TEXT(A2832)"),"51025")</f>
        <v>51025</v>
      </c>
      <c r="C2832" s="1">
        <v>16573.0</v>
      </c>
      <c r="D2832" s="1">
        <v>566.195697962256</v>
      </c>
      <c r="E2832" s="1" t="s">
        <v>3185</v>
      </c>
      <c r="F2832" s="1" t="s">
        <v>4627</v>
      </c>
      <c r="G2832" s="1">
        <v>29.2707981703965</v>
      </c>
      <c r="H2832" s="1">
        <v>22.881800302</v>
      </c>
      <c r="I2832" s="1">
        <v>4.148385691</v>
      </c>
      <c r="J2832" s="1">
        <v>11.2112112109999</v>
      </c>
      <c r="K2832" s="1">
        <v>20.054989585</v>
      </c>
      <c r="L2832" s="1">
        <v>42.2</v>
      </c>
      <c r="M2832" s="1">
        <v>6.9</v>
      </c>
      <c r="N2832" s="1">
        <v>33.0</v>
      </c>
      <c r="O2832" s="1">
        <v>16.5538602729999</v>
      </c>
      <c r="P2832" s="1">
        <v>12.573977966</v>
      </c>
      <c r="Q2832" s="1">
        <v>36.93672</v>
      </c>
      <c r="R2832" s="1">
        <v>88.7</v>
      </c>
      <c r="S2832" s="1">
        <v>27.0</v>
      </c>
      <c r="T2832" s="1">
        <v>2780.0</v>
      </c>
      <c r="U2832" s="1">
        <v>65.0</v>
      </c>
      <c r="V2832" s="1">
        <v>131.97756381</v>
      </c>
      <c r="W2832" s="1">
        <v>15.203252033</v>
      </c>
      <c r="X2832" s="1">
        <v>13.666940115</v>
      </c>
      <c r="Y2832" s="1">
        <v>74.870589585</v>
      </c>
      <c r="Z2832" s="1">
        <v>15.1</v>
      </c>
      <c r="AA2832" s="1">
        <v>3.9506828907</v>
      </c>
      <c r="AB2832" s="1">
        <v>41803.0</v>
      </c>
      <c r="AC2832" s="1">
        <v>96.776155718</v>
      </c>
      <c r="AD2832" s="1">
        <v>71.693121693</v>
      </c>
      <c r="AE2832" s="1">
        <v>15.362475265</v>
      </c>
      <c r="AF2832" s="1">
        <v>54.602050781</v>
      </c>
      <c r="AG2832" s="1">
        <v>0.3356933594</v>
      </c>
      <c r="AH2832" s="1">
        <v>0.9948730469</v>
      </c>
      <c r="AI2832" s="1">
        <v>0.0610351563</v>
      </c>
      <c r="AJ2832" s="1">
        <v>2.392578125</v>
      </c>
      <c r="AK2832" s="1">
        <v>40.618896484</v>
      </c>
      <c r="AL2832" s="1">
        <v>0.4643865704</v>
      </c>
      <c r="AM2832" s="1">
        <v>46.453857422</v>
      </c>
      <c r="AN2832" s="1">
        <v>75.507628771</v>
      </c>
      <c r="AO2832" s="1">
        <v>19461.0</v>
      </c>
      <c r="AP2832" s="1">
        <v>21.9</v>
      </c>
      <c r="AQ2832" s="1">
        <v>6.8</v>
      </c>
      <c r="AR2832" s="1">
        <v>22.7</v>
      </c>
      <c r="AS2832" s="1">
        <v>19.0</v>
      </c>
      <c r="AT2832" s="1">
        <v>17.9</v>
      </c>
      <c r="AU2832" s="1">
        <v>19.1</v>
      </c>
      <c r="AV2832" s="1">
        <v>59.1</v>
      </c>
      <c r="AW2832" s="1">
        <v>0.7</v>
      </c>
      <c r="AX2832" s="1">
        <v>0.9042</v>
      </c>
      <c r="AY2832" s="1">
        <v>20.9</v>
      </c>
      <c r="AZ2832" s="1">
        <v>15.9</v>
      </c>
      <c r="BA2832" s="1">
        <v>25.4</v>
      </c>
      <c r="BB2832" s="1">
        <v>2.93</v>
      </c>
      <c r="BC2832" s="1" t="s">
        <v>4607</v>
      </c>
      <c r="BD2832" s="1">
        <v>21.5</v>
      </c>
      <c r="BE2832" s="1">
        <v>36.4</v>
      </c>
      <c r="BF2832" s="1">
        <v>28.6</v>
      </c>
      <c r="BG2832" s="1">
        <v>13.6</v>
      </c>
      <c r="BH2832" s="1" t="s">
        <v>4627</v>
      </c>
    </row>
    <row r="2833">
      <c r="A2833" s="1">
        <v>51027.0</v>
      </c>
      <c r="B2833" s="2" t="str">
        <f>IFERROR(__xludf.DUMMYFUNCTION("TO_TEXT(A2833)"),"51027")</f>
        <v>51027</v>
      </c>
      <c r="C2833" s="1">
        <v>23158.0</v>
      </c>
      <c r="D2833" s="1">
        <v>502.762671037249</v>
      </c>
      <c r="E2833" s="1" t="s">
        <v>1458</v>
      </c>
      <c r="F2833" s="1" t="s">
        <v>4628</v>
      </c>
      <c r="G2833" s="1">
        <v>46.0614944864994</v>
      </c>
      <c r="H2833" s="1">
        <v>21.157313518</v>
      </c>
      <c r="I2833" s="1">
        <v>4.6400898044</v>
      </c>
      <c r="J2833" s="1">
        <v>8.6232980333</v>
      </c>
      <c r="K2833" s="1">
        <v>20.401063671</v>
      </c>
      <c r="L2833" s="1">
        <v>33.6</v>
      </c>
      <c r="M2833" s="1">
        <v>7.7</v>
      </c>
      <c r="N2833" s="1">
        <v>32.9</v>
      </c>
      <c r="O2833" s="1">
        <v>28.8198190719999</v>
      </c>
      <c r="P2833" s="1">
        <v>12.45984252</v>
      </c>
      <c r="Q2833" s="1">
        <v>27.88882</v>
      </c>
      <c r="R2833" s="1">
        <v>90.0</v>
      </c>
      <c r="S2833" s="1">
        <v>32.4</v>
      </c>
      <c r="T2833" s="1">
        <v>3788.0</v>
      </c>
      <c r="U2833" s="1">
        <v>43.373812038</v>
      </c>
      <c r="V2833" s="1">
        <v>215.63929427</v>
      </c>
      <c r="W2833" s="1">
        <v>13.753424658</v>
      </c>
      <c r="X2833" s="1">
        <v>12.723214286</v>
      </c>
      <c r="Y2833" s="1">
        <v>73.301620503</v>
      </c>
      <c r="Z2833" s="1">
        <v>10.5</v>
      </c>
      <c r="AA2833" s="1">
        <v>6.508531482</v>
      </c>
      <c r="AB2833" s="1">
        <v>32144.0</v>
      </c>
      <c r="AC2833" s="1">
        <v>81.7348378</v>
      </c>
      <c r="AD2833" s="1">
        <v>78.063352497</v>
      </c>
      <c r="AE2833" s="1">
        <v>12.699538844</v>
      </c>
      <c r="AF2833" s="1">
        <v>3.0677159418</v>
      </c>
      <c r="AG2833" s="1">
        <v>0.1413693982</v>
      </c>
      <c r="AH2833" s="1">
        <v>0.4476697611</v>
      </c>
      <c r="AI2833" s="1">
        <v>0.0141369398</v>
      </c>
      <c r="AJ2833" s="1">
        <v>0.7304085576</v>
      </c>
      <c r="AK2833" s="1">
        <v>95.014372555</v>
      </c>
      <c r="AL2833" s="1">
        <v>0.2119342533</v>
      </c>
      <c r="AM2833" s="1">
        <v>49.4133169969999</v>
      </c>
      <c r="AN2833" s="1">
        <v>100.0</v>
      </c>
      <c r="AO2833" s="1">
        <v>18160.0</v>
      </c>
      <c r="AP2833" s="1">
        <v>23.9</v>
      </c>
      <c r="AQ2833" s="1">
        <v>9.7</v>
      </c>
      <c r="AR2833" s="1">
        <v>30.0</v>
      </c>
      <c r="AS2833" s="1">
        <v>19.3</v>
      </c>
      <c r="AT2833" s="1">
        <v>18.0</v>
      </c>
      <c r="AU2833" s="1">
        <v>23.8</v>
      </c>
      <c r="AV2833" s="1">
        <v>4.6</v>
      </c>
      <c r="AW2833" s="1">
        <v>0.2</v>
      </c>
      <c r="AX2833" s="1">
        <v>0.7033</v>
      </c>
      <c r="AY2833" s="1">
        <v>21.7</v>
      </c>
      <c r="AZ2833" s="1">
        <v>18.4</v>
      </c>
      <c r="BA2833" s="1">
        <v>29.3</v>
      </c>
      <c r="BB2833" s="1">
        <v>2.97</v>
      </c>
      <c r="BC2833" s="1" t="s">
        <v>4607</v>
      </c>
      <c r="BD2833" s="1">
        <v>29.9</v>
      </c>
      <c r="BE2833" s="1">
        <v>35.1</v>
      </c>
      <c r="BF2833" s="1">
        <v>23.3</v>
      </c>
      <c r="BG2833" s="1">
        <v>11.8</v>
      </c>
      <c r="BH2833" s="1" t="s">
        <v>4628</v>
      </c>
    </row>
    <row r="2834">
      <c r="A2834" s="1">
        <v>51029.0</v>
      </c>
      <c r="B2834" s="2" t="str">
        <f>IFERROR(__xludf.DUMMYFUNCTION("TO_TEXT(A2834)"),"51029")</f>
        <v>51029</v>
      </c>
      <c r="C2834" s="1">
        <v>17030.0</v>
      </c>
      <c r="D2834" s="1">
        <v>579.656302875998</v>
      </c>
      <c r="E2834" s="1" t="s">
        <v>4629</v>
      </c>
      <c r="F2834" s="1" t="s">
        <v>4630</v>
      </c>
      <c r="G2834" s="1">
        <v>29.3794786936753</v>
      </c>
      <c r="H2834" s="1">
        <v>19.103107004</v>
      </c>
      <c r="I2834" s="1">
        <v>4.0168807676</v>
      </c>
      <c r="J2834" s="1">
        <v>10.552268245</v>
      </c>
      <c r="K2834" s="1">
        <v>18.926208165</v>
      </c>
      <c r="L2834" s="1">
        <v>39.9</v>
      </c>
      <c r="M2834" s="1">
        <v>7.5</v>
      </c>
      <c r="N2834" s="1">
        <v>38.3</v>
      </c>
      <c r="O2834" s="1">
        <v>36.5391344919999</v>
      </c>
      <c r="P2834" s="1">
        <v>13.395452214</v>
      </c>
      <c r="Q2834" s="1">
        <v>23.43979</v>
      </c>
      <c r="R2834" s="1">
        <v>95.3</v>
      </c>
      <c r="S2834" s="1">
        <v>24.9</v>
      </c>
      <c r="T2834" s="1">
        <v>3091.0</v>
      </c>
      <c r="U2834" s="1">
        <v>37.334196053</v>
      </c>
      <c r="V2834" s="1">
        <v>129.1269259</v>
      </c>
      <c r="W2834" s="1">
        <v>14.059753954</v>
      </c>
      <c r="X2834" s="1">
        <v>11.576135352</v>
      </c>
      <c r="Y2834" s="1">
        <v>78.764751937</v>
      </c>
      <c r="Z2834" s="1">
        <v>16.8</v>
      </c>
      <c r="AA2834" s="1">
        <v>4.4568276466</v>
      </c>
      <c r="AB2834" s="1">
        <v>45889.0</v>
      </c>
      <c r="AC2834" s="1">
        <v>73.719483006</v>
      </c>
      <c r="AD2834" s="1">
        <v>75.2531319719999</v>
      </c>
      <c r="AE2834" s="1">
        <v>13.820988789</v>
      </c>
      <c r="AF2834" s="1">
        <v>33.625507383</v>
      </c>
      <c r="AG2834" s="1">
        <v>0.4176716277</v>
      </c>
      <c r="AH2834" s="1">
        <v>0.4470851227</v>
      </c>
      <c r="AI2834" s="1">
        <v>0.0352961939</v>
      </c>
      <c r="AJ2834" s="1">
        <v>2.5060297665</v>
      </c>
      <c r="AK2834" s="1">
        <v>61.180069416</v>
      </c>
      <c r="AL2834" s="1">
        <v>0.227860574</v>
      </c>
      <c r="AM2834" s="1">
        <v>44.91440673</v>
      </c>
      <c r="AN2834" s="1">
        <v>100.0</v>
      </c>
      <c r="AO2834" s="1">
        <v>19264.0</v>
      </c>
      <c r="AP2834" s="1">
        <v>17.6</v>
      </c>
      <c r="AQ2834" s="1">
        <v>8.7</v>
      </c>
      <c r="AR2834" s="1">
        <v>22.5</v>
      </c>
      <c r="AS2834" s="1">
        <v>16.7</v>
      </c>
      <c r="AT2834" s="1">
        <v>19.5</v>
      </c>
      <c r="AU2834" s="1">
        <v>17.0</v>
      </c>
      <c r="AV2834" s="1">
        <v>39.0</v>
      </c>
      <c r="AW2834" s="1">
        <v>0.4</v>
      </c>
      <c r="AX2834" s="1">
        <v>0.7947</v>
      </c>
      <c r="AY2834" s="1">
        <v>16.8</v>
      </c>
      <c r="AZ2834" s="1">
        <v>13.3</v>
      </c>
      <c r="BA2834" s="1">
        <v>18.5</v>
      </c>
      <c r="BB2834" s="1">
        <v>3.3</v>
      </c>
      <c r="BC2834" s="1" t="s">
        <v>4607</v>
      </c>
      <c r="BD2834" s="1">
        <v>20.2</v>
      </c>
      <c r="BE2834" s="1">
        <v>42.8</v>
      </c>
      <c r="BF2834" s="1">
        <v>24.6</v>
      </c>
      <c r="BG2834" s="1">
        <v>12.5</v>
      </c>
      <c r="BH2834" s="1" t="s">
        <v>4630</v>
      </c>
    </row>
    <row r="2835">
      <c r="A2835" s="1">
        <v>51031.0</v>
      </c>
      <c r="B2835" s="2" t="str">
        <f>IFERROR(__xludf.DUMMYFUNCTION("TO_TEXT(A2835)"),"51031")</f>
        <v>51031</v>
      </c>
      <c r="C2835" s="1">
        <v>55061.0</v>
      </c>
      <c r="D2835" s="1">
        <v>503.882176488964</v>
      </c>
      <c r="E2835" s="1" t="s">
        <v>1791</v>
      </c>
      <c r="F2835" s="1" t="s">
        <v>4631</v>
      </c>
      <c r="G2835" s="1">
        <v>109.273561497378</v>
      </c>
      <c r="H2835" s="1">
        <v>15.8559568959999</v>
      </c>
      <c r="I2835" s="1">
        <v>3.8932760457</v>
      </c>
      <c r="J2835" s="1">
        <v>7.6470588235</v>
      </c>
      <c r="K2835" s="1">
        <v>18.655705018</v>
      </c>
      <c r="L2835" s="1">
        <v>35.6</v>
      </c>
      <c r="M2835" s="1">
        <v>8.3</v>
      </c>
      <c r="N2835" s="1">
        <v>32.6</v>
      </c>
      <c r="O2835" s="1">
        <v>43.789431458</v>
      </c>
      <c r="P2835" s="1">
        <v>11.44779614</v>
      </c>
      <c r="Q2835" s="1">
        <v>16.36066</v>
      </c>
      <c r="R2835" s="1">
        <v>91.3</v>
      </c>
      <c r="S2835" s="1">
        <v>16.6</v>
      </c>
      <c r="T2835" s="1">
        <v>10784.0</v>
      </c>
      <c r="U2835" s="1">
        <v>30.3134273</v>
      </c>
      <c r="V2835" s="1">
        <v>198.79272001</v>
      </c>
      <c r="W2835" s="1">
        <v>10.450773716</v>
      </c>
      <c r="X2835" s="1">
        <v>9.3309057806</v>
      </c>
      <c r="Y2835" s="1">
        <v>78.551515903</v>
      </c>
      <c r="Z2835" s="1">
        <v>11.4</v>
      </c>
      <c r="AA2835" s="1">
        <v>3.9579870195</v>
      </c>
      <c r="AB2835" s="1">
        <v>51525.0</v>
      </c>
      <c r="AC2835" s="1">
        <v>45.927802407</v>
      </c>
      <c r="AD2835" s="1">
        <v>75.231955395</v>
      </c>
      <c r="AE2835" s="1">
        <v>9.6158228137</v>
      </c>
      <c r="AF2835" s="1">
        <v>14.414348862</v>
      </c>
      <c r="AG2835" s="1">
        <v>0.3638149637</v>
      </c>
      <c r="AH2835" s="1">
        <v>1.0805304422</v>
      </c>
      <c r="AI2835" s="1">
        <v>0.0654866935</v>
      </c>
      <c r="AJ2835" s="1">
        <v>2.7595364997</v>
      </c>
      <c r="AK2835" s="1">
        <v>79.535408291</v>
      </c>
      <c r="AL2835" s="1">
        <v>0.640940045399999</v>
      </c>
      <c r="AM2835" s="1">
        <v>51.3888636239999</v>
      </c>
      <c r="AN2835" s="1">
        <v>61.11374494</v>
      </c>
      <c r="AO2835" s="1">
        <v>25219.0</v>
      </c>
      <c r="AP2835" s="1">
        <v>12.5</v>
      </c>
      <c r="AQ2835" s="1">
        <v>4.3</v>
      </c>
      <c r="AR2835" s="1">
        <v>14.6</v>
      </c>
      <c r="AS2835" s="1">
        <v>18.1</v>
      </c>
      <c r="AT2835" s="1">
        <v>20.5</v>
      </c>
      <c r="AU2835" s="1">
        <v>14.7</v>
      </c>
      <c r="AV2835" s="1">
        <v>19.6</v>
      </c>
      <c r="AW2835" s="1">
        <v>0.4</v>
      </c>
      <c r="AX2835" s="1">
        <v>0.2041</v>
      </c>
      <c r="AY2835" s="1">
        <v>10.8</v>
      </c>
      <c r="AZ2835" s="1">
        <v>10.5</v>
      </c>
      <c r="BA2835" s="1">
        <v>14.6</v>
      </c>
      <c r="BB2835" s="1">
        <v>2.96</v>
      </c>
      <c r="BC2835" s="1" t="s">
        <v>4607</v>
      </c>
      <c r="BD2835" s="1">
        <v>12.8</v>
      </c>
      <c r="BE2835" s="1">
        <v>32.2</v>
      </c>
      <c r="BF2835" s="1">
        <v>32.5</v>
      </c>
      <c r="BG2835" s="1">
        <v>22.5</v>
      </c>
      <c r="BH2835" s="1" t="s">
        <v>4631</v>
      </c>
    </row>
    <row r="2836">
      <c r="A2836" s="1">
        <v>51033.0</v>
      </c>
      <c r="B2836" s="2" t="str">
        <f>IFERROR(__xludf.DUMMYFUNCTION("TO_TEXT(A2836)"),"51033")</f>
        <v>51033</v>
      </c>
      <c r="C2836" s="1">
        <v>29640.0</v>
      </c>
      <c r="D2836" s="1">
        <v>527.519870660907</v>
      </c>
      <c r="E2836" s="1" t="s">
        <v>2083</v>
      </c>
      <c r="F2836" s="1" t="s">
        <v>4632</v>
      </c>
      <c r="G2836" s="1">
        <v>56.187456906344</v>
      </c>
      <c r="H2836" s="1">
        <v>16.177107995</v>
      </c>
      <c r="I2836" s="1">
        <v>3.8358638494</v>
      </c>
      <c r="J2836" s="1">
        <v>9.0056285178</v>
      </c>
      <c r="K2836" s="1">
        <v>17.015807615</v>
      </c>
      <c r="L2836" s="1">
        <v>41.2</v>
      </c>
      <c r="M2836" s="1">
        <v>8.5</v>
      </c>
      <c r="N2836" s="1">
        <v>31.5</v>
      </c>
      <c r="O2836" s="1">
        <v>45.6262042389999</v>
      </c>
      <c r="P2836" s="1">
        <v>11.377412665</v>
      </c>
      <c r="Q2836" s="1">
        <v>16.41443</v>
      </c>
      <c r="R2836" s="1">
        <v>88.0</v>
      </c>
      <c r="S2836" s="1">
        <v>15.2</v>
      </c>
      <c r="T2836" s="1">
        <v>6916.0</v>
      </c>
      <c r="U2836" s="1">
        <v>39.314632736</v>
      </c>
      <c r="V2836" s="1">
        <v>142.65574651</v>
      </c>
      <c r="W2836" s="1">
        <v>10.624715002</v>
      </c>
      <c r="X2836" s="1">
        <v>9.4595842956</v>
      </c>
      <c r="Y2836" s="1">
        <v>77.2591478619999</v>
      </c>
      <c r="Z2836" s="1">
        <v>13.3</v>
      </c>
      <c r="AA2836" s="1">
        <v>1.2456701858</v>
      </c>
      <c r="AB2836" s="1">
        <v>67335.0</v>
      </c>
      <c r="AC2836" s="1">
        <v>51.294117647</v>
      </c>
      <c r="AD2836" s="1">
        <v>81.275776739</v>
      </c>
      <c r="AE2836" s="1">
        <v>7.9527186761</v>
      </c>
      <c r="AF2836" s="1">
        <v>26.855582998</v>
      </c>
      <c r="AG2836" s="1">
        <v>0.7571818536</v>
      </c>
      <c r="AH2836" s="1">
        <v>0.9846613805</v>
      </c>
      <c r="AI2836" s="1">
        <v>0.1169894709</v>
      </c>
      <c r="AJ2836" s="1">
        <v>5.0370466658</v>
      </c>
      <c r="AK2836" s="1">
        <v>63.535031847</v>
      </c>
      <c r="AL2836" s="1">
        <v>0.4920136908</v>
      </c>
      <c r="AM2836" s="1">
        <v>50.558949695</v>
      </c>
      <c r="AN2836" s="1">
        <v>78.402522333</v>
      </c>
      <c r="AO2836" s="1">
        <v>26577.0</v>
      </c>
      <c r="AP2836" s="1">
        <v>13.1</v>
      </c>
      <c r="AQ2836" s="1">
        <v>7.1</v>
      </c>
      <c r="AR2836" s="1">
        <v>16.6</v>
      </c>
      <c r="AS2836" s="1">
        <v>15.0</v>
      </c>
      <c r="AT2836" s="1">
        <v>22.9</v>
      </c>
      <c r="AU2836" s="1">
        <v>13.3</v>
      </c>
      <c r="AV2836" s="1">
        <v>36.5</v>
      </c>
      <c r="AW2836" s="1">
        <v>0.4</v>
      </c>
      <c r="AX2836" s="1">
        <v>0.4215</v>
      </c>
      <c r="AY2836" s="1">
        <v>9.6</v>
      </c>
      <c r="AZ2836" s="1">
        <v>8.4</v>
      </c>
      <c r="BA2836" s="1">
        <v>11.9</v>
      </c>
      <c r="BB2836" s="1">
        <v>3.31</v>
      </c>
      <c r="BC2836" s="1" t="s">
        <v>4607</v>
      </c>
      <c r="BD2836" s="1">
        <v>14.9</v>
      </c>
      <c r="BE2836" s="1">
        <v>37.7</v>
      </c>
      <c r="BF2836" s="1">
        <v>27.5</v>
      </c>
      <c r="BG2836" s="1">
        <v>19.9</v>
      </c>
      <c r="BH2836" s="1" t="s">
        <v>4632</v>
      </c>
    </row>
    <row r="2837">
      <c r="A2837" s="1">
        <v>51035.0</v>
      </c>
      <c r="B2837" s="2" t="str">
        <f>IFERROR(__xludf.DUMMYFUNCTION("TO_TEXT(A2837)"),"51035")</f>
        <v>51035</v>
      </c>
      <c r="C2837" s="1">
        <v>29733.0</v>
      </c>
      <c r="D2837" s="1">
        <v>474.653121493492</v>
      </c>
      <c r="E2837" s="1" t="s">
        <v>298</v>
      </c>
      <c r="F2837" s="1" t="s">
        <v>4633</v>
      </c>
      <c r="G2837" s="1">
        <v>62.6415347410871</v>
      </c>
      <c r="H2837" s="1">
        <v>15.231228963</v>
      </c>
      <c r="I2837" s="1">
        <v>4.2337170115</v>
      </c>
      <c r="J2837" s="1">
        <v>6.6933638444</v>
      </c>
      <c r="K2837" s="1">
        <v>17.510567209</v>
      </c>
      <c r="L2837" s="1">
        <v>31.9</v>
      </c>
      <c r="M2837" s="1">
        <v>8.7</v>
      </c>
      <c r="N2837" s="1">
        <v>24.5</v>
      </c>
      <c r="O2837" s="1">
        <v>42.367352373</v>
      </c>
      <c r="P2837" s="1">
        <v>12.559399565</v>
      </c>
      <c r="Q2837" s="1">
        <v>97.6168</v>
      </c>
      <c r="R2837" s="1">
        <v>91.3</v>
      </c>
      <c r="S2837" s="1">
        <v>23.0</v>
      </c>
      <c r="T2837" s="1">
        <v>5498.0</v>
      </c>
      <c r="U2837" s="1">
        <v>33.921425973</v>
      </c>
      <c r="V2837" s="1">
        <v>97.730298077</v>
      </c>
      <c r="W2837" s="1">
        <v>10.957278481</v>
      </c>
      <c r="X2837" s="1">
        <v>9.3360160966</v>
      </c>
      <c r="Y2837" s="1">
        <v>78.560261769</v>
      </c>
      <c r="Z2837" s="1">
        <v>18.8</v>
      </c>
      <c r="AA2837" s="1">
        <v>1.7560588663</v>
      </c>
      <c r="AB2837" s="1">
        <v>41517.0</v>
      </c>
      <c r="AC2837" s="1">
        <v>57.788284739</v>
      </c>
      <c r="AD2837" s="1">
        <v>76.977777778</v>
      </c>
      <c r="AE2837" s="1">
        <v>10.020661157</v>
      </c>
      <c r="AF2837" s="1">
        <v>0.7592117695</v>
      </c>
      <c r="AG2837" s="1">
        <v>0.3104332568</v>
      </c>
      <c r="AH2837" s="1">
        <v>0.222702119</v>
      </c>
      <c r="AI2837" s="1">
        <v>0.0472398434</v>
      </c>
      <c r="AJ2837" s="1">
        <v>3.6982048859</v>
      </c>
      <c r="AK2837" s="1">
        <v>94.321095964</v>
      </c>
      <c r="AL2837" s="1">
        <v>0.9081913916</v>
      </c>
      <c r="AM2837" s="1">
        <v>50.479146983</v>
      </c>
      <c r="AN2837" s="1">
        <v>97.143998402</v>
      </c>
      <c r="AO2837" s="1">
        <v>21484.0</v>
      </c>
      <c r="AP2837" s="1">
        <v>15.7</v>
      </c>
      <c r="AQ2837" s="1">
        <v>5.3</v>
      </c>
      <c r="AR2837" s="1">
        <v>19.6</v>
      </c>
      <c r="AS2837" s="1">
        <v>21.7</v>
      </c>
      <c r="AT2837" s="1">
        <v>19.4</v>
      </c>
      <c r="AU2837" s="1">
        <v>18.5</v>
      </c>
      <c r="AV2837" s="1">
        <v>4.7</v>
      </c>
      <c r="AW2837" s="1">
        <v>0.8</v>
      </c>
      <c r="AX2837" s="1">
        <v>0.3757</v>
      </c>
      <c r="AY2837" s="1">
        <v>13.9</v>
      </c>
      <c r="AZ2837" s="1">
        <v>11.8</v>
      </c>
      <c r="BA2837" s="1">
        <v>16.6</v>
      </c>
      <c r="BB2837" s="1">
        <v>3.24</v>
      </c>
      <c r="BC2837" s="1" t="s">
        <v>4607</v>
      </c>
      <c r="BD2837" s="1">
        <v>19.2</v>
      </c>
      <c r="BE2837" s="1">
        <v>36.0</v>
      </c>
      <c r="BF2837" s="1">
        <v>29.8</v>
      </c>
      <c r="BG2837" s="1">
        <v>15.0</v>
      </c>
      <c r="BH2837" s="1" t="s">
        <v>4633</v>
      </c>
    </row>
    <row r="2838">
      <c r="A2838" s="1">
        <v>51036.0</v>
      </c>
      <c r="B2838" s="2" t="str">
        <f>IFERROR(__xludf.DUMMYFUNCTION("TO_TEXT(A2838)"),"51036")</f>
        <v>51036</v>
      </c>
      <c r="C2838" s="1">
        <v>7086.0</v>
      </c>
      <c r="D2838" s="1">
        <v>182.816974210368</v>
      </c>
      <c r="E2838" s="1" t="s">
        <v>4634</v>
      </c>
      <c r="F2838" s="1" t="s">
        <v>4635</v>
      </c>
      <c r="G2838" s="1">
        <v>38.7600770147641</v>
      </c>
      <c r="H2838" s="1">
        <v>18.351932862</v>
      </c>
      <c r="I2838" s="1">
        <v>4.0361790517</v>
      </c>
      <c r="J2838" s="1">
        <v>11.35734072</v>
      </c>
      <c r="K2838" s="1">
        <v>17.183697797</v>
      </c>
      <c r="L2838" s="1">
        <v>34.2</v>
      </c>
      <c r="M2838" s="1">
        <v>8.0</v>
      </c>
      <c r="N2838" s="1">
        <v>32.2</v>
      </c>
      <c r="O2838" s="1">
        <v>32.345644983</v>
      </c>
      <c r="P2838" s="1">
        <v>16.414283044</v>
      </c>
      <c r="Q2838" s="1">
        <v>28.55511</v>
      </c>
      <c r="R2838" s="1">
        <v>89.8</v>
      </c>
      <c r="S2838" s="1">
        <v>18.8</v>
      </c>
      <c r="T2838" s="1">
        <v>1093.0</v>
      </c>
      <c r="U2838" s="1">
        <v>33.943275389</v>
      </c>
      <c r="V2838" s="1">
        <v>71.138934339</v>
      </c>
      <c r="W2838" s="1">
        <v>11.558669002</v>
      </c>
      <c r="X2838" s="1">
        <v>10.070921986</v>
      </c>
      <c r="Y2838" s="1">
        <v>75.60157542</v>
      </c>
      <c r="Z2838" s="1">
        <v>17.6</v>
      </c>
      <c r="AA2838" s="1">
        <v>0.5476725295</v>
      </c>
      <c r="AB2838" s="1">
        <v>56872.0</v>
      </c>
      <c r="AC2838" s="1">
        <v>62.461538462</v>
      </c>
      <c r="AD2838" s="1">
        <v>83.578431373</v>
      </c>
      <c r="AE2838" s="1">
        <v>13.157894737</v>
      </c>
      <c r="AF2838" s="1">
        <v>45.209623973</v>
      </c>
      <c r="AG2838" s="1">
        <v>6.8433943236</v>
      </c>
      <c r="AH2838" s="1">
        <v>0.5762858378</v>
      </c>
      <c r="AI2838" s="1">
        <v>0.0720357297</v>
      </c>
      <c r="AJ2838" s="1">
        <v>1.7864860971</v>
      </c>
      <c r="AK2838" s="1">
        <v>42.717187725</v>
      </c>
      <c r="AL2838" s="1">
        <v>0.1340282949</v>
      </c>
      <c r="AM2838" s="1">
        <v>51.808096816</v>
      </c>
      <c r="AN2838" s="1">
        <v>100.0</v>
      </c>
      <c r="AO2838" s="1">
        <v>30477.0</v>
      </c>
      <c r="AP2838" s="1">
        <v>14.6</v>
      </c>
      <c r="AQ2838" s="1">
        <v>7.3</v>
      </c>
      <c r="AR2838" s="1">
        <v>22.7</v>
      </c>
      <c r="AS2838" s="1">
        <v>21.2</v>
      </c>
      <c r="AT2838" s="1">
        <v>16.3</v>
      </c>
      <c r="AU2838" s="1">
        <v>15.3</v>
      </c>
      <c r="AV2838" s="1">
        <v>59.0</v>
      </c>
      <c r="AW2838" s="1">
        <v>0.1</v>
      </c>
      <c r="AX2838" s="1">
        <v>0.2607</v>
      </c>
      <c r="AY2838" s="1">
        <v>12.5</v>
      </c>
      <c r="AZ2838" s="1">
        <v>11.3</v>
      </c>
      <c r="BA2838" s="1">
        <v>17.1</v>
      </c>
      <c r="BB2838" s="1">
        <v>3.22</v>
      </c>
      <c r="BC2838" s="1" t="s">
        <v>4607</v>
      </c>
      <c r="BD2838" s="1">
        <v>20.3</v>
      </c>
      <c r="BE2838" s="1">
        <v>38.3</v>
      </c>
      <c r="BF2838" s="1">
        <v>26.7</v>
      </c>
      <c r="BG2838" s="1">
        <v>14.7</v>
      </c>
      <c r="BH2838" s="1" t="s">
        <v>4635</v>
      </c>
    </row>
    <row r="2839">
      <c r="A2839" s="1">
        <v>51037.0</v>
      </c>
      <c r="B2839" s="2" t="str">
        <f>IFERROR(__xludf.DUMMYFUNCTION("TO_TEXT(A2839)"),"51037")</f>
        <v>51037</v>
      </c>
      <c r="C2839" s="1">
        <v>12232.0</v>
      </c>
      <c r="D2839" s="1">
        <v>475.292159299794</v>
      </c>
      <c r="E2839" s="1" t="s">
        <v>693</v>
      </c>
      <c r="F2839" s="1" t="s">
        <v>4636</v>
      </c>
      <c r="G2839" s="1">
        <v>25.7357496029817</v>
      </c>
      <c r="H2839" s="1">
        <v>19.290658102</v>
      </c>
      <c r="I2839" s="1">
        <v>4.36028161</v>
      </c>
      <c r="J2839" s="1">
        <v>11.099691675</v>
      </c>
      <c r="K2839" s="1">
        <v>19.307745303</v>
      </c>
      <c r="L2839" s="1">
        <v>40.0</v>
      </c>
      <c r="M2839" s="1">
        <v>6.4</v>
      </c>
      <c r="N2839" s="1">
        <v>24.6</v>
      </c>
      <c r="O2839" s="1">
        <v>21.428571429</v>
      </c>
      <c r="P2839" s="1">
        <v>14.759036145</v>
      </c>
      <c r="Q2839" s="1">
        <v>57.76054</v>
      </c>
      <c r="R2839" s="1">
        <v>89.0</v>
      </c>
      <c r="S2839" s="1">
        <v>29.7</v>
      </c>
      <c r="T2839" s="1">
        <v>2526.0</v>
      </c>
      <c r="U2839" s="1">
        <v>49.524940618</v>
      </c>
      <c r="V2839" s="1">
        <v>217.99037552</v>
      </c>
      <c r="W2839" s="1">
        <v>15.342763874</v>
      </c>
      <c r="X2839" s="1">
        <v>12.963374029</v>
      </c>
      <c r="Y2839" s="1">
        <v>75.315858474</v>
      </c>
      <c r="Z2839" s="1">
        <v>12.1</v>
      </c>
      <c r="AA2839" s="1">
        <v>15.0302309559999</v>
      </c>
      <c r="AB2839" s="1">
        <v>41382.0</v>
      </c>
      <c r="AC2839" s="1">
        <v>56.170212766</v>
      </c>
      <c r="AD2839" s="1">
        <v>69.469513537</v>
      </c>
      <c r="AE2839" s="1">
        <v>11.5554465159999</v>
      </c>
      <c r="AF2839" s="1">
        <v>27.776847043</v>
      </c>
      <c r="AG2839" s="1">
        <v>0.3685709499</v>
      </c>
      <c r="AH2839" s="1">
        <v>0.3266878874</v>
      </c>
      <c r="AI2839" s="1">
        <v>0.016753225</v>
      </c>
      <c r="AJ2839" s="1">
        <v>2.0606466745</v>
      </c>
      <c r="AK2839" s="1">
        <v>68.034846708</v>
      </c>
      <c r="AL2839" s="1">
        <v>0.0702987698</v>
      </c>
      <c r="AM2839" s="1">
        <v>50.611492712</v>
      </c>
      <c r="AN2839" s="1">
        <v>100.0</v>
      </c>
      <c r="AO2839" s="1">
        <v>18150.0</v>
      </c>
      <c r="AP2839" s="1">
        <v>24.7</v>
      </c>
      <c r="AQ2839" s="1">
        <v>7.0</v>
      </c>
      <c r="AR2839" s="1">
        <v>20.0</v>
      </c>
      <c r="AS2839" s="1">
        <v>20.4</v>
      </c>
      <c r="AT2839" s="1">
        <v>21.8</v>
      </c>
      <c r="AU2839" s="1">
        <v>21.3</v>
      </c>
      <c r="AV2839" s="1">
        <v>32.7</v>
      </c>
      <c r="AW2839" s="1">
        <v>0.1</v>
      </c>
      <c r="AX2839" s="1">
        <v>0.7488</v>
      </c>
      <c r="AY2839" s="1">
        <v>19.3</v>
      </c>
      <c r="AZ2839" s="1">
        <v>16.2</v>
      </c>
      <c r="BA2839" s="1">
        <v>24.5</v>
      </c>
      <c r="BB2839" s="1">
        <v>2.96</v>
      </c>
      <c r="BC2839" s="1" t="s">
        <v>4607</v>
      </c>
      <c r="BD2839" s="1">
        <v>16.8</v>
      </c>
      <c r="BE2839" s="1">
        <v>40.4</v>
      </c>
      <c r="BF2839" s="1">
        <v>31.9</v>
      </c>
      <c r="BG2839" s="1">
        <v>10.9</v>
      </c>
      <c r="BH2839" s="1" t="s">
        <v>4636</v>
      </c>
    </row>
    <row r="2840">
      <c r="A2840" s="1">
        <v>51041.0</v>
      </c>
      <c r="B2840" s="2" t="str">
        <f>IFERROR(__xludf.DUMMYFUNCTION("TO_TEXT(A2840)"),"51041")</f>
        <v>51041</v>
      </c>
      <c r="C2840" s="1">
        <v>331839.0</v>
      </c>
      <c r="D2840" s="1">
        <v>423.373071622544</v>
      </c>
      <c r="E2840" s="1" t="s">
        <v>3841</v>
      </c>
      <c r="F2840" s="1" t="s">
        <v>4637</v>
      </c>
      <c r="G2840" s="1">
        <v>783.798078437659</v>
      </c>
      <c r="H2840" s="1">
        <v>12.98513405</v>
      </c>
      <c r="I2840" s="1">
        <v>3.5333959916</v>
      </c>
      <c r="J2840" s="1">
        <v>8.0174652765</v>
      </c>
      <c r="K2840" s="1">
        <v>15.084343506</v>
      </c>
      <c r="L2840" s="1">
        <v>32.1</v>
      </c>
      <c r="M2840" s="1">
        <v>8.5</v>
      </c>
      <c r="N2840" s="1">
        <v>23.6</v>
      </c>
      <c r="O2840" s="1">
        <v>74.849479503</v>
      </c>
      <c r="P2840" s="1">
        <v>8.9753356659</v>
      </c>
      <c r="Q2840" s="1">
        <v>87.60212</v>
      </c>
      <c r="R2840" s="1">
        <v>90.9</v>
      </c>
      <c r="S2840" s="1">
        <v>9.9</v>
      </c>
      <c r="T2840" s="1">
        <v>80947.0</v>
      </c>
      <c r="U2840" s="1">
        <v>28.785501625</v>
      </c>
      <c r="V2840" s="1">
        <v>136.02734314</v>
      </c>
      <c r="W2840" s="1">
        <v>11.903960979</v>
      </c>
      <c r="X2840" s="1">
        <v>10.329614389</v>
      </c>
      <c r="Y2840" s="1">
        <v>79.402494583</v>
      </c>
      <c r="Z2840" s="1">
        <v>10.3</v>
      </c>
      <c r="AA2840" s="1">
        <v>7.222556205</v>
      </c>
      <c r="AB2840" s="1">
        <v>80734.0</v>
      </c>
      <c r="AC2840" s="1">
        <v>35.810195533</v>
      </c>
      <c r="AD2840" s="1">
        <v>75.45890578</v>
      </c>
      <c r="AE2840" s="1">
        <v>9.9131180243</v>
      </c>
      <c r="AF2840" s="1">
        <v>23.35148441</v>
      </c>
      <c r="AG2840" s="1">
        <v>0.5999036023</v>
      </c>
      <c r="AH2840" s="1">
        <v>3.7176235669</v>
      </c>
      <c r="AI2840" s="1">
        <v>0.129677871</v>
      </c>
      <c r="AJ2840" s="1">
        <v>9.1500361491</v>
      </c>
      <c r="AK2840" s="1">
        <v>61.1150001719999</v>
      </c>
      <c r="AL2840" s="1">
        <v>2.3635070749</v>
      </c>
      <c r="AM2840" s="1">
        <v>51.7899562769999</v>
      </c>
      <c r="AN2840" s="1">
        <v>5.9288000101</v>
      </c>
      <c r="AO2840" s="1">
        <v>33848.0</v>
      </c>
      <c r="AP2840" s="1">
        <v>7.4</v>
      </c>
      <c r="AQ2840" s="1">
        <v>6.4</v>
      </c>
      <c r="AR2840" s="1">
        <v>8.6</v>
      </c>
      <c r="AS2840" s="1">
        <v>12.8</v>
      </c>
      <c r="AT2840" s="1">
        <v>24.5</v>
      </c>
      <c r="AU2840" s="1">
        <v>10.3</v>
      </c>
      <c r="AV2840" s="1">
        <v>36.7</v>
      </c>
      <c r="AW2840" s="1">
        <v>2.2</v>
      </c>
      <c r="AX2840" s="1">
        <v>0.1652</v>
      </c>
      <c r="AY2840" s="1">
        <v>6.6</v>
      </c>
      <c r="AZ2840" s="1">
        <v>7.3</v>
      </c>
      <c r="BA2840" s="1">
        <v>9.5</v>
      </c>
      <c r="BB2840" s="1">
        <v>3.23</v>
      </c>
      <c r="BC2840" s="1" t="s">
        <v>4607</v>
      </c>
      <c r="BD2840" s="1">
        <v>7.7</v>
      </c>
      <c r="BE2840" s="1">
        <v>23.6</v>
      </c>
      <c r="BF2840" s="1">
        <v>28.3</v>
      </c>
      <c r="BG2840" s="1">
        <v>40.5</v>
      </c>
      <c r="BH2840" s="1" t="s">
        <v>4637</v>
      </c>
    </row>
    <row r="2841">
      <c r="A2841" s="1">
        <v>51043.0</v>
      </c>
      <c r="B2841" s="2" t="str">
        <f>IFERROR(__xludf.DUMMYFUNCTION("TO_TEXT(A2841)"),"51043")</f>
        <v>51043</v>
      </c>
      <c r="C2841" s="1">
        <v>14307.0</v>
      </c>
      <c r="D2841" s="1">
        <v>175.894934465551</v>
      </c>
      <c r="E2841" s="1" t="s">
        <v>84</v>
      </c>
      <c r="F2841" s="1" t="s">
        <v>4638</v>
      </c>
      <c r="G2841" s="1">
        <v>81.3383287214671</v>
      </c>
      <c r="H2841" s="1">
        <v>13.8459899759999</v>
      </c>
      <c r="I2841" s="1">
        <v>3.7745553147</v>
      </c>
      <c r="J2841" s="1">
        <v>5.4371002132</v>
      </c>
      <c r="K2841" s="1">
        <v>15.2625945229999</v>
      </c>
      <c r="L2841" s="1">
        <v>26.3</v>
      </c>
      <c r="M2841" s="1">
        <v>9.2</v>
      </c>
      <c r="N2841" s="1">
        <v>20.8</v>
      </c>
      <c r="O2841" s="1">
        <v>75.4595981189999</v>
      </c>
      <c r="P2841" s="1">
        <v>11.333391319</v>
      </c>
      <c r="Q2841" s="1">
        <v>48.24924</v>
      </c>
      <c r="R2841" s="1">
        <v>99.4</v>
      </c>
      <c r="S2841" s="1">
        <v>8.0</v>
      </c>
      <c r="T2841" s="1">
        <v>2808.0</v>
      </c>
      <c r="U2841" s="1">
        <v>32.87037037</v>
      </c>
      <c r="V2841" s="1">
        <v>72.962268084</v>
      </c>
      <c r="W2841" s="1">
        <v>17.262969589</v>
      </c>
      <c r="X2841" s="1">
        <v>15.440508629</v>
      </c>
      <c r="Y2841" s="1">
        <v>78.165899901</v>
      </c>
      <c r="Z2841" s="1">
        <v>13.0</v>
      </c>
      <c r="AA2841" s="1">
        <v>0.2867657859</v>
      </c>
      <c r="AB2841" s="1">
        <v>84021.0</v>
      </c>
      <c r="AC2841" s="1">
        <v>21.7325227959999</v>
      </c>
      <c r="AD2841" s="1">
        <v>74.765029261</v>
      </c>
      <c r="AE2841" s="1">
        <v>17.607850398</v>
      </c>
      <c r="AF2841" s="1">
        <v>4.5238587069</v>
      </c>
      <c r="AG2841" s="1">
        <v>0.5852785237</v>
      </c>
      <c r="AH2841" s="1">
        <v>1.4735247538</v>
      </c>
      <c r="AI2841" s="1">
        <v>0.0757419266</v>
      </c>
      <c r="AJ2841" s="1">
        <v>6.25215175929999</v>
      </c>
      <c r="AK2841" s="1">
        <v>85.354265648</v>
      </c>
      <c r="AL2841" s="1">
        <v>0.6790799562</v>
      </c>
      <c r="AM2841" s="1">
        <v>50.161812298</v>
      </c>
      <c r="AN2841" s="1">
        <v>69.524013111</v>
      </c>
      <c r="AO2841" s="1">
        <v>37630.0</v>
      </c>
      <c r="AP2841" s="1">
        <v>11.3</v>
      </c>
      <c r="AQ2841" s="1">
        <v>4.8</v>
      </c>
      <c r="AR2841" s="1">
        <v>12.6</v>
      </c>
      <c r="AS2841" s="1">
        <v>18.7</v>
      </c>
      <c r="AT2841" s="1">
        <v>21.6</v>
      </c>
      <c r="AU2841" s="1">
        <v>10.8</v>
      </c>
      <c r="AV2841" s="1">
        <v>12.5</v>
      </c>
      <c r="AW2841" s="1">
        <v>0.4</v>
      </c>
      <c r="AX2841" s="1">
        <v>0.1143</v>
      </c>
      <c r="AY2841" s="1">
        <v>6.3</v>
      </c>
      <c r="AZ2841" s="1">
        <v>8.3</v>
      </c>
      <c r="BA2841" s="1">
        <v>12.6</v>
      </c>
      <c r="BB2841" s="1">
        <v>3.46</v>
      </c>
      <c r="BC2841" s="1" t="s">
        <v>4607</v>
      </c>
      <c r="BD2841" s="1">
        <v>10.9</v>
      </c>
      <c r="BE2841" s="1">
        <v>29.6</v>
      </c>
      <c r="BF2841" s="1">
        <v>27.3</v>
      </c>
      <c r="BG2841" s="1">
        <v>32.2</v>
      </c>
      <c r="BH2841" s="1" t="s">
        <v>4638</v>
      </c>
    </row>
    <row r="2842">
      <c r="A2842" s="1">
        <v>51045.0</v>
      </c>
      <c r="B2842" s="2" t="str">
        <f>IFERROR(__xludf.DUMMYFUNCTION("TO_TEXT(A2842)"),"51045")</f>
        <v>51045</v>
      </c>
      <c r="C2842" s="1">
        <v>5195.0</v>
      </c>
      <c r="D2842" s="1">
        <v>329.534444243586</v>
      </c>
      <c r="E2842" s="1" t="s">
        <v>3567</v>
      </c>
      <c r="F2842" s="1" t="s">
        <v>4639</v>
      </c>
      <c r="G2842" s="1">
        <v>15.7646646374846</v>
      </c>
      <c r="H2842" s="1">
        <v>13.404342393</v>
      </c>
      <c r="I2842" s="1">
        <v>3.834047195</v>
      </c>
      <c r="J2842" s="1">
        <v>8.45070422539999</v>
      </c>
      <c r="K2842" s="1">
        <v>14.990228444</v>
      </c>
      <c r="L2842" s="1">
        <v>27.9</v>
      </c>
      <c r="M2842" s="1">
        <v>8.7</v>
      </c>
      <c r="N2842" s="1">
        <v>31.6</v>
      </c>
      <c r="O2842" s="1">
        <v>95.818882466</v>
      </c>
      <c r="P2842" s="1">
        <v>10.496671787</v>
      </c>
      <c r="Q2842" s="1">
        <v>19.75504</v>
      </c>
      <c r="R2842" s="1">
        <v>88.1</v>
      </c>
      <c r="S2842" s="1">
        <v>21.2</v>
      </c>
      <c r="T2842" s="1">
        <v>868.0</v>
      </c>
      <c r="U2842" s="1">
        <v>17.050691244</v>
      </c>
      <c r="V2842" s="1">
        <v>48.049202383</v>
      </c>
      <c r="W2842" s="1">
        <v>7.9913606911</v>
      </c>
      <c r="X2842" s="1">
        <v>8.5018382353</v>
      </c>
      <c r="Y2842" s="1">
        <v>79.939263043</v>
      </c>
      <c r="Z2842" s="1">
        <v>10.8</v>
      </c>
      <c r="AA2842" s="1">
        <v>4.2826513966</v>
      </c>
      <c r="AB2842" s="1">
        <v>50858.0</v>
      </c>
      <c r="AC2842" s="1">
        <v>56.026058632</v>
      </c>
      <c r="AD2842" s="1">
        <v>72.197705207</v>
      </c>
      <c r="AE2842" s="1">
        <v>4.4928207503</v>
      </c>
      <c r="AF2842" s="1">
        <v>0.355450237</v>
      </c>
      <c r="AG2842" s="1">
        <v>0.3949447077</v>
      </c>
      <c r="AH2842" s="1">
        <v>0.1579778831</v>
      </c>
      <c r="AI2842" s="1">
        <v>0.0</v>
      </c>
      <c r="AJ2842" s="1">
        <v>1.481042654</v>
      </c>
      <c r="AK2842" s="1">
        <v>96.978672986</v>
      </c>
      <c r="AL2842" s="1">
        <v>0.0615763547</v>
      </c>
      <c r="AM2842" s="1">
        <v>50.4739336489999</v>
      </c>
      <c r="AN2842" s="1">
        <v>100.0</v>
      </c>
      <c r="AO2842" s="1">
        <v>22371.0</v>
      </c>
      <c r="AP2842" s="1">
        <v>12.9</v>
      </c>
      <c r="AQ2842" s="1">
        <v>5.6</v>
      </c>
      <c r="AR2842" s="1">
        <v>12.9</v>
      </c>
      <c r="AS2842" s="1">
        <v>19.6</v>
      </c>
      <c r="AT2842" s="1">
        <v>20.8</v>
      </c>
      <c r="AU2842" s="1">
        <v>23.0</v>
      </c>
      <c r="AV2842" s="1">
        <v>1.9</v>
      </c>
      <c r="AW2842" s="1">
        <v>0.0</v>
      </c>
      <c r="AX2842" s="1">
        <v>0.2668</v>
      </c>
      <c r="AY2842" s="1">
        <v>11.2</v>
      </c>
      <c r="AZ2842" s="1">
        <v>10.2</v>
      </c>
      <c r="BA2842" s="1">
        <v>12.7</v>
      </c>
      <c r="BB2842" s="1">
        <v>3.1</v>
      </c>
      <c r="BC2842" s="1" t="s">
        <v>4607</v>
      </c>
      <c r="BD2842" s="1">
        <v>9.2</v>
      </c>
      <c r="BE2842" s="1">
        <v>37.5</v>
      </c>
      <c r="BF2842" s="1">
        <v>29.7</v>
      </c>
      <c r="BG2842" s="1">
        <v>23.6</v>
      </c>
      <c r="BH2842" s="1" t="s">
        <v>4639</v>
      </c>
    </row>
    <row r="2843">
      <c r="A2843" s="1">
        <v>51047.0</v>
      </c>
      <c r="B2843" s="2" t="str">
        <f>IFERROR(__xludf.DUMMYFUNCTION("TO_TEXT(A2843)"),"51047")</f>
        <v>51047</v>
      </c>
      <c r="C2843" s="1">
        <v>48952.0</v>
      </c>
      <c r="D2843" s="1">
        <v>379.241609547626</v>
      </c>
      <c r="E2843" s="1" t="s">
        <v>4640</v>
      </c>
      <c r="F2843" s="1" t="s">
        <v>4641</v>
      </c>
      <c r="G2843" s="1">
        <v>129.078663225778</v>
      </c>
      <c r="H2843" s="1">
        <v>14.784069302</v>
      </c>
      <c r="I2843" s="1">
        <v>3.7693983678</v>
      </c>
      <c r="J2843" s="1">
        <v>7.1819575213</v>
      </c>
      <c r="K2843" s="1">
        <v>16.058022577</v>
      </c>
      <c r="L2843" s="1">
        <v>29.7</v>
      </c>
      <c r="M2843" s="1">
        <v>9.0</v>
      </c>
      <c r="N2843" s="1">
        <v>27.8</v>
      </c>
      <c r="O2843" s="1">
        <v>66.82087858</v>
      </c>
      <c r="P2843" s="1">
        <v>13.283327003</v>
      </c>
      <c r="Q2843" s="1">
        <v>39.00004</v>
      </c>
      <c r="R2843" s="1">
        <v>92.1</v>
      </c>
      <c r="S2843" s="1">
        <v>11.3</v>
      </c>
      <c r="T2843" s="1">
        <v>12338.0</v>
      </c>
      <c r="U2843" s="1">
        <v>24.971632355</v>
      </c>
      <c r="V2843" s="1">
        <v>159.13721277</v>
      </c>
      <c r="W2843" s="1">
        <v>15.084294587</v>
      </c>
      <c r="X2843" s="1">
        <v>12.339791356</v>
      </c>
      <c r="Y2843" s="1">
        <v>77.658668827</v>
      </c>
      <c r="Z2843" s="1">
        <v>10.1</v>
      </c>
      <c r="AA2843" s="1">
        <v>1.4158376793</v>
      </c>
      <c r="AB2843" s="1">
        <v>72111.0</v>
      </c>
      <c r="AC2843" s="1">
        <v>48.348165305</v>
      </c>
      <c r="AD2843" s="1">
        <v>74.182097852</v>
      </c>
      <c r="AE2843" s="1">
        <v>12.140613675</v>
      </c>
      <c r="AF2843" s="1">
        <v>14.09591392</v>
      </c>
      <c r="AG2843" s="1">
        <v>0.782892072699999</v>
      </c>
      <c r="AH2843" s="1">
        <v>1.6969089261</v>
      </c>
      <c r="AI2843" s="1">
        <v>0.1600493646</v>
      </c>
      <c r="AJ2843" s="1">
        <v>11.282516053</v>
      </c>
      <c r="AK2843" s="1">
        <v>70.084266955</v>
      </c>
      <c r="AL2843" s="1">
        <v>2.8372102886</v>
      </c>
      <c r="AM2843" s="1">
        <v>49.9720395689999</v>
      </c>
      <c r="AN2843" s="1">
        <v>61.9225085139999</v>
      </c>
      <c r="AO2843" s="1">
        <v>28969.0</v>
      </c>
      <c r="AP2843" s="1">
        <v>9.2</v>
      </c>
      <c r="AQ2843" s="1">
        <v>6.4</v>
      </c>
      <c r="AR2843" s="1">
        <v>16.4</v>
      </c>
      <c r="AS2843" s="1">
        <v>14.0</v>
      </c>
      <c r="AT2843" s="1">
        <v>25.2</v>
      </c>
      <c r="AU2843" s="1">
        <v>10.9</v>
      </c>
      <c r="AV2843" s="1">
        <v>28.3</v>
      </c>
      <c r="AW2843" s="1">
        <v>2.6</v>
      </c>
      <c r="AX2843" s="1">
        <v>0.4963</v>
      </c>
      <c r="AY2843" s="1">
        <v>9.2</v>
      </c>
      <c r="AZ2843" s="1">
        <v>7.8</v>
      </c>
      <c r="BA2843" s="1">
        <v>9.5</v>
      </c>
      <c r="BB2843" s="1">
        <v>3.06</v>
      </c>
      <c r="BC2843" s="1" t="s">
        <v>4607</v>
      </c>
      <c r="BD2843" s="1">
        <v>13.9</v>
      </c>
      <c r="BE2843" s="1">
        <v>31.2</v>
      </c>
      <c r="BF2843" s="1">
        <v>29.2</v>
      </c>
      <c r="BG2843" s="1">
        <v>25.7</v>
      </c>
      <c r="BH2843" s="1" t="s">
        <v>4641</v>
      </c>
    </row>
    <row r="2844">
      <c r="A2844" s="1">
        <v>51049.0</v>
      </c>
      <c r="B2844" s="2" t="str">
        <f>IFERROR(__xludf.DUMMYFUNCTION("TO_TEXT(A2844)"),"51049")</f>
        <v>51049</v>
      </c>
      <c r="C2844" s="1">
        <v>9769.0</v>
      </c>
      <c r="D2844" s="1">
        <v>297.460442607252</v>
      </c>
      <c r="E2844" s="1" t="s">
        <v>1178</v>
      </c>
      <c r="F2844" s="1" t="s">
        <v>4642</v>
      </c>
      <c r="G2844" s="1">
        <v>32.8413415725948</v>
      </c>
      <c r="H2844" s="1">
        <v>19.228031099</v>
      </c>
      <c r="I2844" s="1">
        <v>4.2421020829</v>
      </c>
      <c r="J2844" s="1">
        <v>9.81996726679999</v>
      </c>
      <c r="K2844" s="1">
        <v>18.555145506</v>
      </c>
      <c r="L2844" s="1">
        <v>38.6</v>
      </c>
      <c r="M2844" s="1">
        <v>5.6</v>
      </c>
      <c r="N2844" s="1">
        <v>35.2</v>
      </c>
      <c r="O2844" s="1">
        <v>47.264226025</v>
      </c>
      <c r="P2844" s="1">
        <v>12.335612835</v>
      </c>
      <c r="Q2844" s="1">
        <v>30.57792</v>
      </c>
      <c r="R2844" s="1">
        <v>94.2</v>
      </c>
      <c r="S2844" s="1">
        <v>25.2</v>
      </c>
      <c r="T2844" s="1">
        <v>1918.0</v>
      </c>
      <c r="U2844" s="1">
        <v>42.231491137</v>
      </c>
      <c r="V2844" s="1">
        <v>180.42167122</v>
      </c>
      <c r="W2844" s="1">
        <v>18.849449204</v>
      </c>
      <c r="X2844" s="1">
        <v>16.899618806</v>
      </c>
      <c r="Y2844" s="1">
        <v>79.254768382</v>
      </c>
      <c r="Z2844" s="1">
        <v>16.2</v>
      </c>
      <c r="AA2844" s="1">
        <v>23.919279858</v>
      </c>
      <c r="AB2844" s="1">
        <v>46300.0</v>
      </c>
      <c r="AC2844" s="1">
        <v>74.606741573</v>
      </c>
      <c r="AD2844" s="1">
        <v>72.975018925</v>
      </c>
      <c r="AE2844" s="1">
        <v>12.799139554</v>
      </c>
      <c r="AF2844" s="1">
        <v>30.482210215</v>
      </c>
      <c r="AG2844" s="1">
        <v>0.6728514629</v>
      </c>
      <c r="AH2844" s="1">
        <v>0.4179834846</v>
      </c>
      <c r="AI2844" s="1">
        <v>0.0203894383</v>
      </c>
      <c r="AJ2844" s="1">
        <v>2.9564685493</v>
      </c>
      <c r="AK2844" s="1">
        <v>63.615047405</v>
      </c>
      <c r="AL2844" s="1">
        <v>0.2049180328</v>
      </c>
      <c r="AM2844" s="1">
        <v>51.7178101739999</v>
      </c>
      <c r="AN2844" s="1">
        <v>96.000795862</v>
      </c>
      <c r="AO2844" s="1">
        <v>22126.0</v>
      </c>
      <c r="AP2844" s="1">
        <v>22.8</v>
      </c>
      <c r="AQ2844" s="1">
        <v>8.5</v>
      </c>
      <c r="AR2844" s="1">
        <v>20.6</v>
      </c>
      <c r="AS2844" s="1">
        <v>19.4</v>
      </c>
      <c r="AT2844" s="1">
        <v>21.0</v>
      </c>
      <c r="AU2844" s="1">
        <v>18.9</v>
      </c>
      <c r="AV2844" s="1">
        <v>37.1</v>
      </c>
      <c r="AW2844" s="1">
        <v>0.0</v>
      </c>
      <c r="AX2844" s="1">
        <v>0.6374</v>
      </c>
      <c r="AY2844" s="1">
        <v>13.8</v>
      </c>
      <c r="AZ2844" s="1">
        <v>13.5</v>
      </c>
      <c r="BA2844" s="1">
        <v>21.5</v>
      </c>
      <c r="BB2844" s="1">
        <v>3.17</v>
      </c>
      <c r="BC2844" s="1" t="s">
        <v>4607</v>
      </c>
      <c r="BD2844" s="1">
        <v>16.5</v>
      </c>
      <c r="BE2844" s="1">
        <v>38.1</v>
      </c>
      <c r="BF2844" s="1">
        <v>30.5</v>
      </c>
      <c r="BG2844" s="1">
        <v>14.9</v>
      </c>
      <c r="BH2844" s="1" t="s">
        <v>4642</v>
      </c>
    </row>
    <row r="2845">
      <c r="A2845" s="1">
        <v>51051.0</v>
      </c>
      <c r="B2845" s="2" t="str">
        <f>IFERROR(__xludf.DUMMYFUNCTION("TO_TEXT(A2845)"),"51051")</f>
        <v>51051</v>
      </c>
      <c r="C2845" s="1">
        <v>15304.0</v>
      </c>
      <c r="D2845" s="1">
        <v>330.54505927875</v>
      </c>
      <c r="E2845" s="1" t="s">
        <v>4643</v>
      </c>
      <c r="F2845" s="1" t="s">
        <v>4644</v>
      </c>
      <c r="G2845" s="1">
        <v>46.2992852877407</v>
      </c>
      <c r="H2845" s="1">
        <v>21.2879652809999</v>
      </c>
      <c r="I2845" s="1">
        <v>4.8259663523</v>
      </c>
      <c r="J2845" s="1">
        <v>8.32517140059999</v>
      </c>
      <c r="K2845" s="1">
        <v>20.793021948</v>
      </c>
      <c r="L2845" s="1">
        <v>36.8</v>
      </c>
      <c r="M2845" s="1">
        <v>7.7</v>
      </c>
      <c r="N2845" s="1">
        <v>26.4</v>
      </c>
      <c r="O2845" s="1">
        <v>60.076715085</v>
      </c>
      <c r="P2845" s="1">
        <v>11.547447879</v>
      </c>
      <c r="Q2845" s="1">
        <v>27.05994</v>
      </c>
      <c r="R2845" s="1">
        <v>91.4</v>
      </c>
      <c r="S2845" s="1">
        <v>28.7</v>
      </c>
      <c r="T2845" s="1">
        <v>2950.0</v>
      </c>
      <c r="U2845" s="1">
        <v>29.389830508</v>
      </c>
      <c r="V2845" s="1">
        <v>194.84164988</v>
      </c>
      <c r="W2845" s="1">
        <v>15.111478117</v>
      </c>
      <c r="X2845" s="1">
        <v>13.08411215</v>
      </c>
      <c r="Y2845" s="1">
        <v>74.242535732</v>
      </c>
      <c r="Z2845" s="1">
        <v>12.3</v>
      </c>
      <c r="AA2845" s="1">
        <v>6.508531482</v>
      </c>
      <c r="AB2845" s="1">
        <v>35047.0</v>
      </c>
      <c r="AC2845" s="1">
        <v>70.582706767</v>
      </c>
      <c r="AD2845" s="1">
        <v>76.288306797</v>
      </c>
      <c r="AE2845" s="1">
        <v>16.602174314</v>
      </c>
      <c r="AF2845" s="1">
        <v>0.4613371893</v>
      </c>
      <c r="AG2845" s="1">
        <v>0.2547682986</v>
      </c>
      <c r="AH2845" s="1">
        <v>0.2134545204</v>
      </c>
      <c r="AI2845" s="1">
        <v>0.0137712594</v>
      </c>
      <c r="AJ2845" s="1">
        <v>1.0053019349</v>
      </c>
      <c r="AK2845" s="1">
        <v>97.438545755</v>
      </c>
      <c r="AL2845" s="1">
        <v>0.0492853622</v>
      </c>
      <c r="AM2845" s="1">
        <v>49.321765475</v>
      </c>
      <c r="AN2845" s="1">
        <v>100.0</v>
      </c>
      <c r="AO2845" s="1">
        <v>20757.0</v>
      </c>
      <c r="AP2845" s="1">
        <v>21.5</v>
      </c>
      <c r="AQ2845" s="1">
        <v>7.2</v>
      </c>
      <c r="AR2845" s="1">
        <v>26.2</v>
      </c>
      <c r="AS2845" s="1">
        <v>18.8</v>
      </c>
      <c r="AT2845" s="1">
        <v>20.4</v>
      </c>
      <c r="AU2845" s="1">
        <v>25.4</v>
      </c>
      <c r="AV2845" s="1">
        <v>2.0</v>
      </c>
      <c r="AW2845" s="1">
        <v>0.1</v>
      </c>
      <c r="AX2845" s="1">
        <v>0.7272</v>
      </c>
      <c r="AY2845" s="1">
        <v>24.2</v>
      </c>
      <c r="AZ2845" s="1">
        <v>17.2</v>
      </c>
      <c r="BA2845" s="1">
        <v>26.3</v>
      </c>
      <c r="BB2845" s="1">
        <v>2.99</v>
      </c>
      <c r="BC2845" s="1" t="s">
        <v>4607</v>
      </c>
      <c r="BD2845" s="1">
        <v>22.6</v>
      </c>
      <c r="BE2845" s="1">
        <v>38.5</v>
      </c>
      <c r="BF2845" s="1">
        <v>28.1</v>
      </c>
      <c r="BG2845" s="1">
        <v>10.7</v>
      </c>
      <c r="BH2845" s="1" t="s">
        <v>4644</v>
      </c>
    </row>
    <row r="2846">
      <c r="A2846" s="1">
        <v>51053.0</v>
      </c>
      <c r="B2846" s="2" t="str">
        <f>IFERROR(__xludf.DUMMYFUNCTION("TO_TEXT(A2846)"),"51053")</f>
        <v>51053</v>
      </c>
      <c r="C2846" s="1">
        <v>28155.0</v>
      </c>
      <c r="D2846" s="1">
        <v>503.71886808433</v>
      </c>
      <c r="E2846" s="1" t="s">
        <v>4645</v>
      </c>
      <c r="F2846" s="1" t="s">
        <v>4646</v>
      </c>
      <c r="G2846" s="1">
        <v>55.8942731430232</v>
      </c>
      <c r="H2846" s="1">
        <v>17.046353424</v>
      </c>
      <c r="I2846" s="1">
        <v>3.9679970065</v>
      </c>
      <c r="J2846" s="1">
        <v>9.6796182686</v>
      </c>
      <c r="K2846" s="1">
        <v>17.540486037</v>
      </c>
      <c r="L2846" s="1">
        <v>38.8</v>
      </c>
      <c r="M2846" s="1">
        <v>7.6</v>
      </c>
      <c r="N2846" s="1">
        <v>27.8</v>
      </c>
      <c r="O2846" s="1">
        <v>31.659583586</v>
      </c>
      <c r="P2846" s="1">
        <v>11.809775429</v>
      </c>
      <c r="Q2846" s="1">
        <v>14.18037</v>
      </c>
      <c r="R2846" s="1">
        <v>87.7</v>
      </c>
      <c r="S2846" s="1">
        <v>17.8</v>
      </c>
      <c r="T2846" s="1">
        <v>5786.0</v>
      </c>
      <c r="U2846" s="1">
        <v>32.1292775669999</v>
      </c>
      <c r="V2846" s="1">
        <v>250.1754828</v>
      </c>
      <c r="W2846" s="1">
        <v>15.563073949</v>
      </c>
      <c r="X2846" s="1">
        <v>13.995085995</v>
      </c>
      <c r="Y2846" s="1">
        <v>77.402282767</v>
      </c>
      <c r="Z2846" s="1">
        <v>15.8</v>
      </c>
      <c r="AA2846" s="1">
        <v>7.6111359474</v>
      </c>
      <c r="AB2846" s="1">
        <v>57257.0</v>
      </c>
      <c r="AC2846" s="1">
        <v>54.935424354</v>
      </c>
      <c r="AD2846" s="1">
        <v>76.0273313439999</v>
      </c>
      <c r="AE2846" s="1">
        <v>10.042050461</v>
      </c>
      <c r="AF2846" s="1">
        <v>31.806232255</v>
      </c>
      <c r="AG2846" s="1">
        <v>0.4521714746</v>
      </c>
      <c r="AH2846" s="1">
        <v>0.8973325388</v>
      </c>
      <c r="AI2846" s="1">
        <v>0.0420624628</v>
      </c>
      <c r="AJ2846" s="1">
        <v>3.8557257527</v>
      </c>
      <c r="AK2846" s="1">
        <v>61.656559992</v>
      </c>
      <c r="AL2846" s="1">
        <v>0.8085550339</v>
      </c>
      <c r="AM2846" s="1">
        <v>51.1339338919999</v>
      </c>
      <c r="AN2846" s="1">
        <v>71.208171137</v>
      </c>
      <c r="AO2846" s="1">
        <v>24001.0</v>
      </c>
      <c r="AP2846" s="1">
        <v>15.9</v>
      </c>
      <c r="AQ2846" s="1">
        <v>9.3</v>
      </c>
      <c r="AR2846" s="1">
        <v>18.9</v>
      </c>
      <c r="AS2846" s="1">
        <v>16.2</v>
      </c>
      <c r="AT2846" s="1">
        <v>20.9</v>
      </c>
      <c r="AU2846" s="1">
        <v>16.3</v>
      </c>
      <c r="AV2846" s="1">
        <v>37.7</v>
      </c>
      <c r="AW2846" s="1">
        <v>0.6</v>
      </c>
      <c r="AX2846" s="1">
        <v>0.6074</v>
      </c>
      <c r="AY2846" s="1">
        <v>10.7</v>
      </c>
      <c r="AZ2846" s="1">
        <v>11.0</v>
      </c>
      <c r="BA2846" s="1">
        <v>15.3</v>
      </c>
      <c r="BB2846" s="1">
        <v>3.09</v>
      </c>
      <c r="BC2846" s="1" t="s">
        <v>4607</v>
      </c>
      <c r="BD2846" s="1">
        <v>16.8</v>
      </c>
      <c r="BE2846" s="1">
        <v>36.0</v>
      </c>
      <c r="BF2846" s="1">
        <v>28.5</v>
      </c>
      <c r="BG2846" s="1">
        <v>18.6</v>
      </c>
      <c r="BH2846" s="1" t="s">
        <v>4646</v>
      </c>
    </row>
    <row r="2847">
      <c r="A2847" s="1">
        <v>51057.0</v>
      </c>
      <c r="B2847" s="2" t="str">
        <f>IFERROR(__xludf.DUMMYFUNCTION("TO_TEXT(A2847)"),"51057")</f>
        <v>51057</v>
      </c>
      <c r="C2847" s="1">
        <v>11130.0</v>
      </c>
      <c r="D2847" s="1">
        <v>257.08946845188</v>
      </c>
      <c r="E2847" s="1" t="s">
        <v>2125</v>
      </c>
      <c r="F2847" s="1" t="s">
        <v>4647</v>
      </c>
      <c r="G2847" s="1">
        <v>43.292321801518</v>
      </c>
      <c r="H2847" s="1">
        <v>17.617816244</v>
      </c>
      <c r="I2847" s="1">
        <v>4.0794979947</v>
      </c>
      <c r="J2847" s="1">
        <v>13.3333333329999</v>
      </c>
      <c r="K2847" s="1">
        <v>16.927322036</v>
      </c>
      <c r="L2847" s="1">
        <v>40.0</v>
      </c>
      <c r="M2847" s="1">
        <v>7.2</v>
      </c>
      <c r="N2847" s="1">
        <v>33.3</v>
      </c>
      <c r="O2847" s="1">
        <v>24.544883867</v>
      </c>
      <c r="P2847" s="1">
        <v>12.6057330829999</v>
      </c>
      <c r="Q2847" s="1">
        <v>18.13565</v>
      </c>
      <c r="R2847" s="1">
        <v>93.3</v>
      </c>
      <c r="S2847" s="1">
        <v>23.4</v>
      </c>
      <c r="T2847" s="1">
        <v>2247.0</v>
      </c>
      <c r="U2847" s="1">
        <v>47.975077882</v>
      </c>
      <c r="V2847" s="1">
        <v>210.60178339</v>
      </c>
      <c r="W2847" s="1">
        <v>12.935883015</v>
      </c>
      <c r="X2847" s="1">
        <v>11.07587769</v>
      </c>
      <c r="Y2847" s="1">
        <v>76.531257186</v>
      </c>
      <c r="Z2847" s="1">
        <v>14.6</v>
      </c>
      <c r="AA2847" s="1">
        <v>10.052857161</v>
      </c>
      <c r="AB2847" s="1">
        <v>50785.0</v>
      </c>
      <c r="AC2847" s="1">
        <v>70.420527441</v>
      </c>
      <c r="AD2847" s="1">
        <v>69.639256106</v>
      </c>
      <c r="AE2847" s="1">
        <v>13.6786822629999</v>
      </c>
      <c r="AF2847" s="1">
        <v>37.585859511</v>
      </c>
      <c r="AG2847" s="1">
        <v>0.9066764356</v>
      </c>
      <c r="AH2847" s="1">
        <v>1.0623683487</v>
      </c>
      <c r="AI2847" s="1">
        <v>0.2014836523</v>
      </c>
      <c r="AJ2847" s="1">
        <v>3.8831394816</v>
      </c>
      <c r="AK2847" s="1">
        <v>54.519644656</v>
      </c>
      <c r="AL2847" s="1">
        <v>0.7903614458</v>
      </c>
      <c r="AM2847" s="1">
        <v>53.173367524</v>
      </c>
      <c r="AN2847" s="1">
        <v>77.275580665</v>
      </c>
      <c r="AO2847" s="1">
        <v>25477.0</v>
      </c>
      <c r="AP2847" s="1">
        <v>13.4</v>
      </c>
      <c r="AQ2847" s="1">
        <v>6.2</v>
      </c>
      <c r="AR2847" s="1">
        <v>17.9</v>
      </c>
      <c r="AS2847" s="1">
        <v>20.4</v>
      </c>
      <c r="AT2847" s="1">
        <v>20.3</v>
      </c>
      <c r="AU2847" s="1">
        <v>11.0</v>
      </c>
      <c r="AV2847" s="1">
        <v>45.2</v>
      </c>
      <c r="AW2847" s="1">
        <v>0.4</v>
      </c>
      <c r="AX2847" s="1">
        <v>0.4113</v>
      </c>
      <c r="AY2847" s="1">
        <v>16.2</v>
      </c>
      <c r="AZ2847" s="1">
        <v>11.6</v>
      </c>
      <c r="BA2847" s="1">
        <v>15.4</v>
      </c>
      <c r="BB2847" s="1">
        <v>3.23</v>
      </c>
      <c r="BC2847" s="1" t="s">
        <v>4607</v>
      </c>
      <c r="BD2847" s="1">
        <v>17.7</v>
      </c>
      <c r="BE2847" s="1">
        <v>37.7</v>
      </c>
      <c r="BF2847" s="1">
        <v>27.2</v>
      </c>
      <c r="BG2847" s="1">
        <v>17.4</v>
      </c>
      <c r="BH2847" s="1" t="s">
        <v>4647</v>
      </c>
    </row>
    <row r="2848">
      <c r="A2848" s="1">
        <v>51059.0</v>
      </c>
      <c r="B2848" s="2" t="str">
        <f>IFERROR(__xludf.DUMMYFUNCTION("TO_TEXT(A2848)"),"51059")</f>
        <v>51059</v>
      </c>
      <c r="C2848" s="1">
        <v>1132887.0</v>
      </c>
      <c r="D2848" s="1">
        <v>390.860017185726</v>
      </c>
      <c r="E2848" s="1" t="s">
        <v>4648</v>
      </c>
      <c r="F2848" s="1" t="s">
        <v>4649</v>
      </c>
      <c r="G2848" s="1">
        <v>2898.44688683437</v>
      </c>
      <c r="H2848" s="1">
        <v>9.9858457012</v>
      </c>
      <c r="I2848" s="1">
        <v>2.8611681247</v>
      </c>
      <c r="J2848" s="1">
        <v>7.0666600878</v>
      </c>
      <c r="K2848" s="1">
        <v>9.3661598787</v>
      </c>
      <c r="L2848" s="1">
        <v>21.7</v>
      </c>
      <c r="M2848" s="1">
        <v>9.6</v>
      </c>
      <c r="N2848" s="1">
        <v>16.2</v>
      </c>
      <c r="O2848" s="1">
        <v>99.606277375</v>
      </c>
      <c r="P2848" s="1">
        <v>9.0231821443</v>
      </c>
      <c r="Q2848" s="1">
        <v>106.23171</v>
      </c>
      <c r="R2848" s="1">
        <v>91.5</v>
      </c>
      <c r="S2848" s="1">
        <v>7.2</v>
      </c>
      <c r="T2848" s="1">
        <v>269216.0</v>
      </c>
      <c r="U2848" s="1">
        <v>19.298630096</v>
      </c>
      <c r="V2848" s="1">
        <v>95.580170324</v>
      </c>
      <c r="W2848" s="1">
        <v>14.13336384</v>
      </c>
      <c r="X2848" s="1">
        <v>11.293608189</v>
      </c>
      <c r="Y2848" s="1">
        <v>85.331161334</v>
      </c>
      <c r="Z2848" s="1">
        <v>6.4</v>
      </c>
      <c r="AA2848" s="1">
        <v>1.77773435009999</v>
      </c>
      <c r="AB2848" s="1">
        <v>122035.0</v>
      </c>
      <c r="AC2848" s="1">
        <v>28.977428143</v>
      </c>
      <c r="AD2848" s="1">
        <v>68.030939518</v>
      </c>
      <c r="AE2848" s="1">
        <v>12.210864117</v>
      </c>
      <c r="AF2848" s="1">
        <v>9.8159967675</v>
      </c>
      <c r="AG2848" s="1">
        <v>0.5532696962</v>
      </c>
      <c r="AH2848" s="1">
        <v>20.211071477</v>
      </c>
      <c r="AI2848" s="1">
        <v>0.088286793</v>
      </c>
      <c r="AJ2848" s="1">
        <v>16.390060784</v>
      </c>
      <c r="AK2848" s="1">
        <v>50.266381067</v>
      </c>
      <c r="AL2848" s="1">
        <v>6.6781736121</v>
      </c>
      <c r="AM2848" s="1">
        <v>50.39333678</v>
      </c>
      <c r="AN2848" s="1">
        <v>1.3939759237</v>
      </c>
      <c r="AO2848" s="1">
        <v>51851.0</v>
      </c>
      <c r="AP2848" s="1">
        <v>6.0</v>
      </c>
      <c r="AQ2848" s="1">
        <v>4.7</v>
      </c>
      <c r="AR2848" s="1">
        <v>8.3</v>
      </c>
      <c r="AS2848" s="1">
        <v>11.5</v>
      </c>
      <c r="AT2848" s="1">
        <v>24.0</v>
      </c>
      <c r="AU2848" s="1">
        <v>6.8</v>
      </c>
      <c r="AV2848" s="1">
        <v>47.7</v>
      </c>
      <c r="AW2848" s="1">
        <v>6.4</v>
      </c>
      <c r="AX2848" s="1">
        <v>0.1643</v>
      </c>
      <c r="AY2848" s="1">
        <v>6.0</v>
      </c>
      <c r="AZ2848" s="1">
        <v>5.4</v>
      </c>
      <c r="BA2848" s="1">
        <v>5.6</v>
      </c>
      <c r="BB2848" s="1">
        <v>3.88</v>
      </c>
      <c r="BC2848" s="1" t="s">
        <v>4607</v>
      </c>
      <c r="BD2848" s="1">
        <v>7.5</v>
      </c>
      <c r="BE2848" s="1">
        <v>12.8</v>
      </c>
      <c r="BF2848" s="1">
        <v>18.1</v>
      </c>
      <c r="BG2848" s="1">
        <v>61.6</v>
      </c>
      <c r="BH2848" s="1" t="s">
        <v>4649</v>
      </c>
    </row>
    <row r="2849">
      <c r="A2849" s="1">
        <v>51061.0</v>
      </c>
      <c r="B2849" s="2" t="str">
        <f>IFERROR(__xludf.DUMMYFUNCTION("TO_TEXT(A2849)"),"51061")</f>
        <v>51061</v>
      </c>
      <c r="C2849" s="1">
        <v>68025.0</v>
      </c>
      <c r="D2849" s="1">
        <v>647.656862020622</v>
      </c>
      <c r="E2849" s="1" t="s">
        <v>4650</v>
      </c>
      <c r="F2849" s="1" t="s">
        <v>4651</v>
      </c>
      <c r="G2849" s="1">
        <v>105.032470107348</v>
      </c>
      <c r="H2849" s="1">
        <v>13.251564186</v>
      </c>
      <c r="I2849" s="1">
        <v>3.6570659243</v>
      </c>
      <c r="J2849" s="1">
        <v>5.4896710023</v>
      </c>
      <c r="K2849" s="1">
        <v>13.920192323</v>
      </c>
      <c r="L2849" s="1">
        <v>28.6</v>
      </c>
      <c r="M2849" s="1">
        <v>9.5</v>
      </c>
      <c r="N2849" s="1">
        <v>22.1</v>
      </c>
      <c r="O2849" s="1">
        <v>65.394230327</v>
      </c>
      <c r="P2849" s="1">
        <v>9.8777916802</v>
      </c>
      <c r="Q2849" s="1">
        <v>51.82466</v>
      </c>
      <c r="R2849" s="1">
        <v>96.1</v>
      </c>
      <c r="S2849" s="1">
        <v>6.8</v>
      </c>
      <c r="T2849" s="1">
        <v>16222.0</v>
      </c>
      <c r="U2849" s="1">
        <v>19.911231661</v>
      </c>
      <c r="V2849" s="1">
        <v>64.626524782</v>
      </c>
      <c r="W2849" s="1">
        <v>11.8878191709999</v>
      </c>
      <c r="X2849" s="1">
        <v>10.500841751</v>
      </c>
      <c r="Y2849" s="1">
        <v>79.535711506</v>
      </c>
      <c r="Z2849" s="1">
        <v>9.0</v>
      </c>
      <c r="AA2849" s="1">
        <v>1.1360342911</v>
      </c>
      <c r="AB2849" s="1">
        <v>93462.0</v>
      </c>
      <c r="AC2849" s="1">
        <v>26.3375224419999</v>
      </c>
      <c r="AD2849" s="1">
        <v>78.153125385</v>
      </c>
      <c r="AE2849" s="1">
        <v>10.381634123</v>
      </c>
      <c r="AF2849" s="1">
        <v>7.4113901663</v>
      </c>
      <c r="AG2849" s="1">
        <v>0.4952246197</v>
      </c>
      <c r="AH2849" s="1">
        <v>1.6738592147</v>
      </c>
      <c r="AI2849" s="1">
        <v>0.0976299965</v>
      </c>
      <c r="AJ2849" s="1">
        <v>8.936681995</v>
      </c>
      <c r="AK2849" s="1">
        <v>79.373187124</v>
      </c>
      <c r="AL2849" s="1">
        <v>1.4213494368</v>
      </c>
      <c r="AM2849" s="1">
        <v>50.4902723739999</v>
      </c>
      <c r="AN2849" s="1">
        <v>57.495820744</v>
      </c>
      <c r="AO2849" s="1">
        <v>41921.0</v>
      </c>
      <c r="AP2849" s="1">
        <v>6.0</v>
      </c>
      <c r="AQ2849" s="1">
        <v>4.0</v>
      </c>
      <c r="AR2849" s="1">
        <v>8.5</v>
      </c>
      <c r="AS2849" s="1">
        <v>15.1</v>
      </c>
      <c r="AT2849" s="1">
        <v>23.9</v>
      </c>
      <c r="AU2849" s="1">
        <v>10.4</v>
      </c>
      <c r="AV2849" s="1">
        <v>18.7</v>
      </c>
      <c r="AW2849" s="1">
        <v>1.4</v>
      </c>
      <c r="AX2849" s="1">
        <v>0.0322</v>
      </c>
      <c r="AY2849" s="1">
        <v>6.1</v>
      </c>
      <c r="AZ2849" s="1">
        <v>6.2</v>
      </c>
      <c r="BA2849" s="1">
        <v>8.1</v>
      </c>
      <c r="BB2849" s="1">
        <v>3.73</v>
      </c>
      <c r="BC2849" s="1" t="s">
        <v>4607</v>
      </c>
      <c r="BD2849" s="1">
        <v>7.5</v>
      </c>
      <c r="BE2849" s="1">
        <v>26.6</v>
      </c>
      <c r="BF2849" s="1">
        <v>29.5</v>
      </c>
      <c r="BG2849" s="1">
        <v>36.4</v>
      </c>
      <c r="BH2849" s="1" t="s">
        <v>4651</v>
      </c>
    </row>
    <row r="2850">
      <c r="A2850" s="1">
        <v>51063.0</v>
      </c>
      <c r="B2850" s="2" t="str">
        <f>IFERROR(__xludf.DUMMYFUNCTION("TO_TEXT(A2850)"),"51063")</f>
        <v>51063</v>
      </c>
      <c r="C2850" s="1">
        <v>15587.0</v>
      </c>
      <c r="D2850" s="1">
        <v>380.924479902457</v>
      </c>
      <c r="E2850" s="1" t="s">
        <v>894</v>
      </c>
      <c r="F2850" s="1" t="s">
        <v>4652</v>
      </c>
      <c r="G2850" s="1">
        <v>40.9188719086557</v>
      </c>
      <c r="H2850" s="1">
        <v>14.93887026</v>
      </c>
      <c r="I2850" s="1">
        <v>3.9711711982</v>
      </c>
      <c r="J2850" s="1">
        <v>7.2895277207</v>
      </c>
      <c r="K2850" s="1">
        <v>16.603962726</v>
      </c>
      <c r="L2850" s="1">
        <v>29.8</v>
      </c>
      <c r="M2850" s="1">
        <v>8.2</v>
      </c>
      <c r="N2850" s="1">
        <v>23.0</v>
      </c>
      <c r="O2850" s="1">
        <v>40.015707834</v>
      </c>
      <c r="P2850" s="1">
        <v>13.3726647</v>
      </c>
      <c r="Q2850" s="1">
        <v>31.73596</v>
      </c>
      <c r="R2850" s="1">
        <v>97.8</v>
      </c>
      <c r="S2850" s="1">
        <v>18.3</v>
      </c>
      <c r="T2850" s="1">
        <v>3069.0</v>
      </c>
      <c r="U2850" s="1">
        <v>16.096448355</v>
      </c>
      <c r="V2850" s="1">
        <v>128.17226352</v>
      </c>
      <c r="W2850" s="1">
        <v>8.8818398097</v>
      </c>
      <c r="X2850" s="1">
        <v>6.6827697262</v>
      </c>
      <c r="Y2850" s="1">
        <v>79.103663692</v>
      </c>
      <c r="Z2850" s="1">
        <v>10.0</v>
      </c>
      <c r="AA2850" s="1">
        <v>10.307180817</v>
      </c>
      <c r="AB2850" s="1">
        <v>48315.0</v>
      </c>
      <c r="AC2850" s="1">
        <v>50.7631708519999</v>
      </c>
      <c r="AD2850" s="1">
        <v>82.191358025</v>
      </c>
      <c r="AE2850" s="1">
        <v>9.1345358266</v>
      </c>
      <c r="AF2850" s="1">
        <v>1.9246597024</v>
      </c>
      <c r="AG2850" s="1">
        <v>0.215257993</v>
      </c>
      <c r="AH2850" s="1">
        <v>0.4748338082</v>
      </c>
      <c r="AI2850" s="1">
        <v>0.0253244698</v>
      </c>
      <c r="AJ2850" s="1">
        <v>3.3238366572</v>
      </c>
      <c r="AK2850" s="1">
        <v>92.769863881</v>
      </c>
      <c r="AL2850" s="1">
        <v>0.5692091341</v>
      </c>
      <c r="AM2850" s="1">
        <v>49.737258626</v>
      </c>
      <c r="AN2850" s="1">
        <v>100.0</v>
      </c>
      <c r="AO2850" s="1">
        <v>24121.0</v>
      </c>
      <c r="AP2850" s="1">
        <v>11.8</v>
      </c>
      <c r="AQ2850" s="1">
        <v>6.9</v>
      </c>
      <c r="AR2850" s="1">
        <v>16.5</v>
      </c>
      <c r="AS2850" s="1">
        <v>20.4</v>
      </c>
      <c r="AT2850" s="1">
        <v>20.6</v>
      </c>
      <c r="AU2850" s="1">
        <v>14.2</v>
      </c>
      <c r="AV2850" s="1">
        <v>6.3</v>
      </c>
      <c r="AW2850" s="1">
        <v>0.8</v>
      </c>
      <c r="AX2850" s="1">
        <v>0.2458</v>
      </c>
      <c r="AY2850" s="1">
        <v>11.4</v>
      </c>
      <c r="AZ2850" s="1">
        <v>9.2</v>
      </c>
      <c r="BA2850" s="1">
        <v>11.8</v>
      </c>
      <c r="BB2850" s="1">
        <v>3.06</v>
      </c>
      <c r="BC2850" s="1" t="s">
        <v>4607</v>
      </c>
      <c r="BD2850" s="1">
        <v>13.0</v>
      </c>
      <c r="BE2850" s="1">
        <v>35.7</v>
      </c>
      <c r="BF2850" s="1">
        <v>29.3</v>
      </c>
      <c r="BG2850" s="1">
        <v>22.1</v>
      </c>
      <c r="BH2850" s="1" t="s">
        <v>4652</v>
      </c>
    </row>
    <row r="2851">
      <c r="A2851" s="1">
        <v>51065.0</v>
      </c>
      <c r="B2851" s="2" t="str">
        <f>IFERROR(__xludf.DUMMYFUNCTION("TO_TEXT(A2851)"),"51065")</f>
        <v>51065</v>
      </c>
      <c r="C2851" s="1">
        <v>26046.0</v>
      </c>
      <c r="D2851" s="1">
        <v>286.010026404944</v>
      </c>
      <c r="E2851" s="1" t="s">
        <v>4653</v>
      </c>
      <c r="F2851" s="1" t="s">
        <v>4654</v>
      </c>
      <c r="G2851" s="1">
        <v>91.0667375105342</v>
      </c>
      <c r="H2851" s="1">
        <v>13.4002084809999</v>
      </c>
      <c r="I2851" s="1">
        <v>3.5915614236</v>
      </c>
      <c r="J2851" s="1">
        <v>7.2096862961</v>
      </c>
      <c r="K2851" s="1">
        <v>14.0433646059999</v>
      </c>
      <c r="L2851" s="1">
        <v>30.4</v>
      </c>
      <c r="M2851" s="1">
        <v>9.0</v>
      </c>
      <c r="N2851" s="1">
        <v>21.8</v>
      </c>
      <c r="O2851" s="1">
        <v>49.4375462219999</v>
      </c>
      <c r="P2851" s="1">
        <v>10.518459548</v>
      </c>
      <c r="Q2851" s="1">
        <v>26.46303</v>
      </c>
      <c r="R2851" s="1">
        <v>95.6</v>
      </c>
      <c r="S2851" s="1">
        <v>9.0</v>
      </c>
      <c r="T2851" s="1">
        <v>5256.0</v>
      </c>
      <c r="U2851" s="1">
        <v>24.809741248</v>
      </c>
      <c r="V2851" s="1">
        <v>99.555827845</v>
      </c>
      <c r="W2851" s="1">
        <v>13.886063072</v>
      </c>
      <c r="X2851" s="1">
        <v>12.423312883</v>
      </c>
      <c r="Y2851" s="1">
        <v>80.728037886</v>
      </c>
      <c r="Z2851" s="1">
        <v>16.5</v>
      </c>
      <c r="AA2851" s="1">
        <v>2.6273311467</v>
      </c>
      <c r="AB2851" s="1">
        <v>73463.0</v>
      </c>
      <c r="AC2851" s="1">
        <v>38.936170213</v>
      </c>
      <c r="AD2851" s="1">
        <v>83.8853891489999</v>
      </c>
      <c r="AE2851" s="1">
        <v>10.556683406</v>
      </c>
      <c r="AF2851" s="1">
        <v>14.912444461</v>
      </c>
      <c r="AG2851" s="1">
        <v>0.3733711683</v>
      </c>
      <c r="AH2851" s="1">
        <v>0.7990143001</v>
      </c>
      <c r="AI2851" s="1">
        <v>0.0672068103</v>
      </c>
      <c r="AJ2851" s="1">
        <v>3.6142329089</v>
      </c>
      <c r="AK2851" s="1">
        <v>78.030840458</v>
      </c>
      <c r="AL2851" s="1">
        <v>0.4737449739</v>
      </c>
      <c r="AM2851" s="1">
        <v>54.254564463</v>
      </c>
      <c r="AN2851" s="1">
        <v>62.913082402</v>
      </c>
      <c r="AO2851" s="1">
        <v>30230.0</v>
      </c>
      <c r="AP2851" s="1">
        <v>6.9</v>
      </c>
      <c r="AQ2851" s="1">
        <v>5.3</v>
      </c>
      <c r="AR2851" s="1">
        <v>10.7</v>
      </c>
      <c r="AS2851" s="1">
        <v>18.5</v>
      </c>
      <c r="AT2851" s="1">
        <v>21.0</v>
      </c>
      <c r="AU2851" s="1">
        <v>13.6</v>
      </c>
      <c r="AV2851" s="1">
        <v>21.3</v>
      </c>
      <c r="AW2851" s="1">
        <v>0.0</v>
      </c>
      <c r="AX2851" s="1">
        <v>0.0653</v>
      </c>
      <c r="AY2851" s="1">
        <v>7.3</v>
      </c>
      <c r="AZ2851" s="1">
        <v>6.6</v>
      </c>
      <c r="BA2851" s="1">
        <v>9.0</v>
      </c>
      <c r="BB2851" s="1">
        <v>3.6</v>
      </c>
      <c r="BC2851" s="1" t="s">
        <v>4607</v>
      </c>
      <c r="BD2851" s="1">
        <v>8.9</v>
      </c>
      <c r="BE2851" s="1">
        <v>24.1</v>
      </c>
      <c r="BF2851" s="1">
        <v>33.0</v>
      </c>
      <c r="BG2851" s="1">
        <v>33.9</v>
      </c>
      <c r="BH2851" s="1" t="s">
        <v>4654</v>
      </c>
    </row>
    <row r="2852">
      <c r="A2852" s="1">
        <v>51067.0</v>
      </c>
      <c r="B2852" s="2" t="str">
        <f>IFERROR(__xludf.DUMMYFUNCTION("TO_TEXT(A2852)"),"51067")</f>
        <v>51067</v>
      </c>
      <c r="C2852" s="1">
        <v>56230.0</v>
      </c>
      <c r="D2852" s="1">
        <v>690.439681006498</v>
      </c>
      <c r="E2852" s="1" t="s">
        <v>118</v>
      </c>
      <c r="F2852" s="1" t="s">
        <v>4655</v>
      </c>
      <c r="G2852" s="1">
        <v>81.4408579733279</v>
      </c>
      <c r="H2852" s="1">
        <v>15.577198639</v>
      </c>
      <c r="I2852" s="1">
        <v>3.9192428803</v>
      </c>
      <c r="J2852" s="1">
        <v>8.7129840547</v>
      </c>
      <c r="K2852" s="1">
        <v>16.104182124</v>
      </c>
      <c r="L2852" s="1">
        <v>35.6</v>
      </c>
      <c r="M2852" s="1">
        <v>8.2</v>
      </c>
      <c r="N2852" s="1">
        <v>31.0</v>
      </c>
      <c r="O2852" s="1">
        <v>42.162431667</v>
      </c>
      <c r="P2852" s="1">
        <v>12.727358736</v>
      </c>
      <c r="Q2852" s="1">
        <v>35.43272</v>
      </c>
      <c r="R2852" s="1">
        <v>90.0</v>
      </c>
      <c r="S2852" s="1">
        <v>23.0</v>
      </c>
      <c r="T2852" s="1">
        <v>10809.0</v>
      </c>
      <c r="U2852" s="1">
        <v>30.530113794</v>
      </c>
      <c r="V2852" s="1">
        <v>150.40672113</v>
      </c>
      <c r="W2852" s="1">
        <v>12.383025027</v>
      </c>
      <c r="X2852" s="1">
        <v>10.650887574</v>
      </c>
      <c r="Y2852" s="1">
        <v>78.278538965</v>
      </c>
      <c r="Z2852" s="1">
        <v>14.6</v>
      </c>
      <c r="AA2852" s="1">
        <v>6.4871700347</v>
      </c>
      <c r="AB2852" s="1">
        <v>53522.0</v>
      </c>
      <c r="AC2852" s="1">
        <v>54.77303989</v>
      </c>
      <c r="AD2852" s="1">
        <v>79.843317175</v>
      </c>
      <c r="AE2852" s="1">
        <v>11.545037344</v>
      </c>
      <c r="AF2852" s="1">
        <v>7.7693744995</v>
      </c>
      <c r="AG2852" s="1">
        <v>0.4555565442</v>
      </c>
      <c r="AH2852" s="1">
        <v>0.4822493104</v>
      </c>
      <c r="AI2852" s="1">
        <v>0.0551650503</v>
      </c>
      <c r="AJ2852" s="1">
        <v>2.9415428419</v>
      </c>
      <c r="AK2852" s="1">
        <v>87.148322805</v>
      </c>
      <c r="AL2852" s="1">
        <v>0.554539004399999</v>
      </c>
      <c r="AM2852" s="1">
        <v>50.757184803</v>
      </c>
      <c r="AN2852" s="1">
        <v>89.2305774679999</v>
      </c>
      <c r="AO2852" s="1">
        <v>26188.0</v>
      </c>
      <c r="AP2852" s="1">
        <v>14.6</v>
      </c>
      <c r="AQ2852" s="1">
        <v>6.4</v>
      </c>
      <c r="AR2852" s="1">
        <v>14.6</v>
      </c>
      <c r="AS2852" s="1">
        <v>20.7</v>
      </c>
      <c r="AT2852" s="1">
        <v>19.6</v>
      </c>
      <c r="AU2852" s="1">
        <v>15.1</v>
      </c>
      <c r="AV2852" s="1">
        <v>12.9</v>
      </c>
      <c r="AW2852" s="1">
        <v>0.5</v>
      </c>
      <c r="AX2852" s="1">
        <v>0.4228</v>
      </c>
      <c r="AY2852" s="1">
        <v>11.5</v>
      </c>
      <c r="AZ2852" s="1">
        <v>11.3</v>
      </c>
      <c r="BA2852" s="1">
        <v>18.1</v>
      </c>
      <c r="BB2852" s="1">
        <v>3.02</v>
      </c>
      <c r="BC2852" s="1" t="s">
        <v>4607</v>
      </c>
      <c r="BD2852" s="1">
        <v>11.9</v>
      </c>
      <c r="BE2852" s="1">
        <v>34.9</v>
      </c>
      <c r="BF2852" s="1">
        <v>31.4</v>
      </c>
      <c r="BG2852" s="1">
        <v>21.9</v>
      </c>
      <c r="BH2852" s="1" t="s">
        <v>4655</v>
      </c>
    </row>
    <row r="2853">
      <c r="A2853" s="1">
        <v>51069.0</v>
      </c>
      <c r="B2853" s="2" t="str">
        <f>IFERROR(__xludf.DUMMYFUNCTION("TO_TEXT(A2853)"),"51069")</f>
        <v>51069</v>
      </c>
      <c r="C2853" s="1">
        <v>82321.0</v>
      </c>
      <c r="D2853" s="1">
        <v>413.49927861281</v>
      </c>
      <c r="E2853" s="1" t="s">
        <v>2092</v>
      </c>
      <c r="F2853" s="1" t="s">
        <v>4656</v>
      </c>
      <c r="G2853" s="1">
        <v>199.083781418355</v>
      </c>
      <c r="H2853" s="1">
        <v>13.606412291</v>
      </c>
      <c r="I2853" s="1">
        <v>3.6219766967</v>
      </c>
      <c r="J2853" s="1">
        <v>7.0334572491</v>
      </c>
      <c r="K2853" s="1">
        <v>14.179773246</v>
      </c>
      <c r="L2853" s="1">
        <v>31.1</v>
      </c>
      <c r="M2853" s="1">
        <v>9.3</v>
      </c>
      <c r="N2853" s="1">
        <v>22.8</v>
      </c>
      <c r="O2853" s="1">
        <v>81.199157142</v>
      </c>
      <c r="P2853" s="1">
        <v>10.482735312</v>
      </c>
      <c r="Q2853" s="1">
        <v>42.78248</v>
      </c>
      <c r="R2853" s="1">
        <v>93.3</v>
      </c>
      <c r="S2853" s="1">
        <v>9.8</v>
      </c>
      <c r="T2853" s="1">
        <v>19557.0</v>
      </c>
      <c r="U2853" s="1">
        <v>25.525387329</v>
      </c>
      <c r="V2853" s="1">
        <v>111.60579626</v>
      </c>
      <c r="W2853" s="1">
        <v>11.382249708</v>
      </c>
      <c r="X2853" s="1">
        <v>8.5445694141</v>
      </c>
      <c r="Y2853" s="1">
        <v>79.823403458</v>
      </c>
      <c r="Z2853" s="1">
        <v>12.1</v>
      </c>
      <c r="AA2853" s="1">
        <v>3.6286180443</v>
      </c>
      <c r="AB2853" s="1">
        <v>77684.0</v>
      </c>
      <c r="AC2853" s="1">
        <v>33.648723861</v>
      </c>
      <c r="AD2853" s="1">
        <v>77.696703581</v>
      </c>
      <c r="AE2853" s="1">
        <v>9.2102645713</v>
      </c>
      <c r="AF2853" s="1">
        <v>4.2487691698</v>
      </c>
      <c r="AG2853" s="1">
        <v>0.4742233037</v>
      </c>
      <c r="AH2853" s="1">
        <v>1.7938996095</v>
      </c>
      <c r="AI2853" s="1">
        <v>0.0792258503</v>
      </c>
      <c r="AJ2853" s="1">
        <v>9.105313791</v>
      </c>
      <c r="AK2853" s="1">
        <v>82.61898025</v>
      </c>
      <c r="AL2853" s="1">
        <v>1.67064439139999</v>
      </c>
      <c r="AM2853" s="1">
        <v>50.171467376</v>
      </c>
      <c r="AN2853" s="1">
        <v>44.772364472</v>
      </c>
      <c r="AO2853" s="1">
        <v>31555.0</v>
      </c>
      <c r="AP2853" s="1">
        <v>5.9</v>
      </c>
      <c r="AQ2853" s="1">
        <v>5.1</v>
      </c>
      <c r="AR2853" s="1">
        <v>11.9</v>
      </c>
      <c r="AS2853" s="1">
        <v>15.0</v>
      </c>
      <c r="AT2853" s="1">
        <v>23.6</v>
      </c>
      <c r="AU2853" s="1">
        <v>11.5</v>
      </c>
      <c r="AV2853" s="1">
        <v>15.1</v>
      </c>
      <c r="AW2853" s="1">
        <v>1.4</v>
      </c>
      <c r="AX2853" s="1">
        <v>0.1754</v>
      </c>
      <c r="AY2853" s="1">
        <v>6.5</v>
      </c>
      <c r="AZ2853" s="1">
        <v>7.0</v>
      </c>
      <c r="BA2853" s="1">
        <v>9.1</v>
      </c>
      <c r="BB2853" s="1">
        <v>3.2</v>
      </c>
      <c r="BC2853" s="1" t="s">
        <v>4607</v>
      </c>
      <c r="BD2853" s="1">
        <v>10.8</v>
      </c>
      <c r="BE2853" s="1">
        <v>32.4</v>
      </c>
      <c r="BF2853" s="1">
        <v>28.5</v>
      </c>
      <c r="BG2853" s="1">
        <v>28.3</v>
      </c>
      <c r="BH2853" s="1" t="s">
        <v>4656</v>
      </c>
    </row>
    <row r="2854">
      <c r="A2854" s="1">
        <v>51071.0</v>
      </c>
      <c r="B2854" s="2" t="str">
        <f>IFERROR(__xludf.DUMMYFUNCTION("TO_TEXT(A2854)"),"51071")</f>
        <v>51071</v>
      </c>
      <c r="C2854" s="1">
        <v>16871.0</v>
      </c>
      <c r="D2854" s="1">
        <v>355.816259120418</v>
      </c>
      <c r="E2854" s="1" t="s">
        <v>4036</v>
      </c>
      <c r="F2854" s="1" t="s">
        <v>4657</v>
      </c>
      <c r="G2854" s="1">
        <v>47.4149215151249</v>
      </c>
      <c r="H2854" s="1">
        <v>14.005693645</v>
      </c>
      <c r="I2854" s="1">
        <v>3.9906080444</v>
      </c>
      <c r="J2854" s="1">
        <v>8.8138385502</v>
      </c>
      <c r="K2854" s="1">
        <v>15.747968434</v>
      </c>
      <c r="L2854" s="1">
        <v>34.1</v>
      </c>
      <c r="M2854" s="1">
        <v>8.9</v>
      </c>
      <c r="N2854" s="1">
        <v>27.3</v>
      </c>
      <c r="O2854" s="1">
        <v>89.7373597129999</v>
      </c>
      <c r="P2854" s="1">
        <v>11.106887639</v>
      </c>
      <c r="Q2854" s="1">
        <v>41.5751</v>
      </c>
      <c r="R2854" s="1">
        <v>92.7</v>
      </c>
      <c r="S2854" s="1">
        <v>18.0</v>
      </c>
      <c r="T2854" s="1">
        <v>3408.0</v>
      </c>
      <c r="U2854" s="1">
        <v>34.5657277</v>
      </c>
      <c r="V2854" s="1">
        <v>146.97060588</v>
      </c>
      <c r="W2854" s="1">
        <v>7.8875171468</v>
      </c>
      <c r="X2854" s="1">
        <v>6.3862068966</v>
      </c>
      <c r="Y2854" s="1">
        <v>75.770012246</v>
      </c>
      <c r="Z2854" s="1">
        <v>18.9</v>
      </c>
      <c r="AA2854" s="1">
        <v>0.3217615508</v>
      </c>
      <c r="AB2854" s="1">
        <v>50591.0</v>
      </c>
      <c r="AC2854" s="1">
        <v>47.262479871</v>
      </c>
      <c r="AD2854" s="1">
        <v>76.756834121</v>
      </c>
      <c r="AE2854" s="1">
        <v>8.31493745399999</v>
      </c>
      <c r="AF2854" s="1">
        <v>1.50201852289999</v>
      </c>
      <c r="AG2854" s="1">
        <v>0.2612206127</v>
      </c>
      <c r="AH2854" s="1">
        <v>0.670862027999999</v>
      </c>
      <c r="AI2854" s="1">
        <v>0.0237473284</v>
      </c>
      <c r="AJ2854" s="1">
        <v>1.8879126098</v>
      </c>
      <c r="AK2854" s="1">
        <v>94.561861791</v>
      </c>
      <c r="AL2854" s="1">
        <v>0.35774807</v>
      </c>
      <c r="AM2854" s="1">
        <v>50.742104013</v>
      </c>
      <c r="AN2854" s="1">
        <v>66.284854796</v>
      </c>
      <c r="AO2854" s="1">
        <v>25333.0</v>
      </c>
      <c r="AP2854" s="1">
        <v>11.8</v>
      </c>
      <c r="AQ2854" s="1">
        <v>4.7</v>
      </c>
      <c r="AR2854" s="1">
        <v>14.8</v>
      </c>
      <c r="AS2854" s="1">
        <v>19.9</v>
      </c>
      <c r="AT2854" s="1">
        <v>21.0</v>
      </c>
      <c r="AU2854" s="1">
        <v>19.6</v>
      </c>
      <c r="AV2854" s="1">
        <v>4.8</v>
      </c>
      <c r="AW2854" s="1">
        <v>0.5</v>
      </c>
      <c r="AX2854" s="1">
        <v>0.3079</v>
      </c>
      <c r="AY2854" s="1">
        <v>11.4</v>
      </c>
      <c r="AZ2854" s="1">
        <v>10.5</v>
      </c>
      <c r="BA2854" s="1">
        <v>15.4</v>
      </c>
      <c r="BB2854" s="1">
        <v>3.09</v>
      </c>
      <c r="BC2854" s="1" t="s">
        <v>4607</v>
      </c>
      <c r="BD2854" s="1">
        <v>11.1</v>
      </c>
      <c r="BE2854" s="1">
        <v>38.7</v>
      </c>
      <c r="BF2854" s="1">
        <v>32.1</v>
      </c>
      <c r="BG2854" s="1">
        <v>18.1</v>
      </c>
      <c r="BH2854" s="1" t="s">
        <v>4657</v>
      </c>
    </row>
    <row r="2855">
      <c r="A2855" s="1">
        <v>51073.0</v>
      </c>
      <c r="B2855" s="2" t="str">
        <f>IFERROR(__xludf.DUMMYFUNCTION("TO_TEXT(A2855)"),"51073")</f>
        <v>51073</v>
      </c>
      <c r="C2855" s="1">
        <v>37021.0</v>
      </c>
      <c r="D2855" s="1">
        <v>217.80666911533</v>
      </c>
      <c r="E2855" s="1" t="s">
        <v>2994</v>
      </c>
      <c r="F2855" s="1" t="s">
        <v>4658</v>
      </c>
      <c r="G2855" s="1">
        <v>169.971838559255</v>
      </c>
      <c r="H2855" s="1">
        <v>13.023117232</v>
      </c>
      <c r="I2855" s="1">
        <v>3.7969531077</v>
      </c>
      <c r="J2855" s="1">
        <v>7.90419161679999</v>
      </c>
      <c r="K2855" s="1">
        <v>16.135381696</v>
      </c>
      <c r="L2855" s="1">
        <v>30.9</v>
      </c>
      <c r="M2855" s="1">
        <v>8.9</v>
      </c>
      <c r="N2855" s="1">
        <v>25.1</v>
      </c>
      <c r="O2855" s="1">
        <v>70.717347659</v>
      </c>
      <c r="P2855" s="1">
        <v>9.6998680739</v>
      </c>
      <c r="Q2855" s="1">
        <v>58.99389</v>
      </c>
      <c r="R2855" s="1">
        <v>92.6</v>
      </c>
      <c r="S2855" s="1">
        <v>13.4</v>
      </c>
      <c r="T2855" s="1">
        <v>7477.0</v>
      </c>
      <c r="U2855" s="1">
        <v>24.501805537</v>
      </c>
      <c r="V2855" s="1">
        <v>113.81034319</v>
      </c>
      <c r="W2855" s="1">
        <v>11.957270848</v>
      </c>
      <c r="X2855" s="1">
        <v>10.314685315</v>
      </c>
      <c r="Y2855" s="1">
        <v>76.571054665</v>
      </c>
      <c r="Z2855" s="1">
        <v>12.6</v>
      </c>
      <c r="AA2855" s="1">
        <v>2.8705657049</v>
      </c>
      <c r="AB2855" s="1">
        <v>70938.0</v>
      </c>
      <c r="AC2855" s="1">
        <v>37.727523442</v>
      </c>
      <c r="AD2855" s="1">
        <v>76.299207263</v>
      </c>
      <c r="AE2855" s="1">
        <v>8.8964748502</v>
      </c>
      <c r="AF2855" s="1">
        <v>7.8984711773</v>
      </c>
      <c r="AG2855" s="1">
        <v>0.5435219149</v>
      </c>
      <c r="AH2855" s="1">
        <v>0.8862352406</v>
      </c>
      <c r="AI2855" s="1">
        <v>0.07496854</v>
      </c>
      <c r="AJ2855" s="1">
        <v>3.7966210608</v>
      </c>
      <c r="AK2855" s="1">
        <v>84.545770971</v>
      </c>
      <c r="AL2855" s="1">
        <v>0.0539619426</v>
      </c>
      <c r="AM2855" s="1">
        <v>50.799218185</v>
      </c>
      <c r="AN2855" s="1">
        <v>64.626404037</v>
      </c>
      <c r="AO2855" s="1">
        <v>31072.0</v>
      </c>
      <c r="AP2855" s="1">
        <v>7.6</v>
      </c>
      <c r="AQ2855" s="1">
        <v>4.2</v>
      </c>
      <c r="AR2855" s="1">
        <v>10.2</v>
      </c>
      <c r="AS2855" s="1">
        <v>17.2</v>
      </c>
      <c r="AT2855" s="1">
        <v>20.6</v>
      </c>
      <c r="AU2855" s="1">
        <v>14.9</v>
      </c>
      <c r="AV2855" s="1">
        <v>14.8</v>
      </c>
      <c r="AW2855" s="1">
        <v>0.0</v>
      </c>
      <c r="AX2855" s="1">
        <v>0.0277</v>
      </c>
      <c r="AY2855" s="1">
        <v>8.6</v>
      </c>
      <c r="AZ2855" s="1">
        <v>9.1</v>
      </c>
      <c r="BA2855" s="1">
        <v>13.1</v>
      </c>
      <c r="BB2855" s="1">
        <v>2.88</v>
      </c>
      <c r="BC2855" s="1" t="s">
        <v>4607</v>
      </c>
      <c r="BD2855" s="1">
        <v>10.4</v>
      </c>
      <c r="BE2855" s="1">
        <v>32.4</v>
      </c>
      <c r="BF2855" s="1">
        <v>33.9</v>
      </c>
      <c r="BG2855" s="1">
        <v>23.3</v>
      </c>
      <c r="BH2855" s="1" t="s">
        <v>4658</v>
      </c>
    </row>
    <row r="2856">
      <c r="A2856" s="1">
        <v>51075.0</v>
      </c>
      <c r="B2856" s="2" t="str">
        <f>IFERROR(__xludf.DUMMYFUNCTION("TO_TEXT(A2856)"),"51075")</f>
        <v>51075</v>
      </c>
      <c r="C2856" s="1">
        <v>21979.0</v>
      </c>
      <c r="D2856" s="1">
        <v>281.424676736332</v>
      </c>
      <c r="E2856" s="1" t="s">
        <v>4659</v>
      </c>
      <c r="F2856" s="1" t="s">
        <v>4660</v>
      </c>
      <c r="G2856" s="1">
        <v>78.0990503565265</v>
      </c>
      <c r="H2856" s="1">
        <v>12.5502723359999</v>
      </c>
      <c r="I2856" s="1">
        <v>3.5091829347</v>
      </c>
      <c r="J2856" s="1">
        <v>5.8510638298</v>
      </c>
      <c r="K2856" s="1">
        <v>13.3418101009999</v>
      </c>
      <c r="L2856" s="1">
        <v>27.0</v>
      </c>
      <c r="M2856" s="1">
        <v>9.1</v>
      </c>
      <c r="N2856" s="1">
        <v>18.8</v>
      </c>
      <c r="O2856" s="1">
        <v>54.326103974</v>
      </c>
      <c r="P2856" s="1">
        <v>7.20794873299999</v>
      </c>
      <c r="Q2856" s="1">
        <v>92.57218</v>
      </c>
      <c r="R2856" s="1">
        <v>94.0</v>
      </c>
      <c r="S2856" s="1">
        <v>7.9</v>
      </c>
      <c r="T2856" s="1">
        <v>4021.0</v>
      </c>
      <c r="U2856" s="1">
        <v>20.417806516</v>
      </c>
      <c r="V2856" s="1">
        <v>116.34007802</v>
      </c>
      <c r="W2856" s="1">
        <v>11.009174312</v>
      </c>
      <c r="X2856" s="1">
        <v>9.3903638151</v>
      </c>
      <c r="Y2856" s="1">
        <v>81.599524282</v>
      </c>
      <c r="Z2856" s="1">
        <v>9.7</v>
      </c>
      <c r="AA2856" s="1">
        <v>3.4352160624</v>
      </c>
      <c r="AB2856" s="1">
        <v>89331.0</v>
      </c>
      <c r="AC2856" s="1">
        <v>33.3714285709999</v>
      </c>
      <c r="AD2856" s="1">
        <v>84.93947306</v>
      </c>
      <c r="AE2856" s="1">
        <v>10.081845238</v>
      </c>
      <c r="AF2856" s="1">
        <v>15.84925142</v>
      </c>
      <c r="AG2856" s="1">
        <v>0.3656857684</v>
      </c>
      <c r="AH2856" s="1">
        <v>1.55308896919999</v>
      </c>
      <c r="AI2856" s="1">
        <v>0.0473240406</v>
      </c>
      <c r="AJ2856" s="1">
        <v>2.9986233006</v>
      </c>
      <c r="AK2856" s="1">
        <v>77.753398727</v>
      </c>
      <c r="AL2856" s="1">
        <v>0.3464683328</v>
      </c>
      <c r="AM2856" s="1">
        <v>50.950782998</v>
      </c>
      <c r="AN2856" s="1">
        <v>96.993139016</v>
      </c>
      <c r="AO2856" s="1">
        <v>45995.0</v>
      </c>
      <c r="AP2856" s="1">
        <v>5.0</v>
      </c>
      <c r="AQ2856" s="1">
        <v>5.1</v>
      </c>
      <c r="AR2856" s="1">
        <v>9.4</v>
      </c>
      <c r="AS2856" s="1">
        <v>19.3</v>
      </c>
      <c r="AT2856" s="1">
        <v>19.4</v>
      </c>
      <c r="AU2856" s="1">
        <v>12.3</v>
      </c>
      <c r="AV2856" s="1">
        <v>22.5</v>
      </c>
      <c r="AW2856" s="1">
        <v>0.5</v>
      </c>
      <c r="AX2856" s="1">
        <v>0.0446</v>
      </c>
      <c r="AY2856" s="1">
        <v>6.2</v>
      </c>
      <c r="AZ2856" s="1">
        <v>6.9</v>
      </c>
      <c r="BA2856" s="1">
        <v>9.5</v>
      </c>
      <c r="BB2856" s="1">
        <v>3.52</v>
      </c>
      <c r="BC2856" s="1" t="s">
        <v>4607</v>
      </c>
      <c r="BD2856" s="1">
        <v>8.6</v>
      </c>
      <c r="BE2856" s="1">
        <v>23.8</v>
      </c>
      <c r="BF2856" s="1">
        <v>25.7</v>
      </c>
      <c r="BG2856" s="1">
        <v>41.8</v>
      </c>
      <c r="BH2856" s="1" t="s">
        <v>4660</v>
      </c>
    </row>
    <row r="2857">
      <c r="A2857" s="1">
        <v>51077.0</v>
      </c>
      <c r="B2857" s="2" t="str">
        <f>IFERROR(__xludf.DUMMYFUNCTION("TO_TEXT(A2857)"),"51077")</f>
        <v>51077</v>
      </c>
      <c r="C2857" s="1">
        <v>15180.0</v>
      </c>
      <c r="D2857" s="1">
        <v>442.21669208739</v>
      </c>
      <c r="E2857" s="1" t="s">
        <v>1825</v>
      </c>
      <c r="F2857" s="1" t="s">
        <v>4661</v>
      </c>
      <c r="G2857" s="1">
        <v>34.3270624370736</v>
      </c>
      <c r="H2857" s="1">
        <v>18.277127199</v>
      </c>
      <c r="I2857" s="1">
        <v>4.1632712229</v>
      </c>
      <c r="J2857" s="1">
        <v>5.9436913452</v>
      </c>
      <c r="K2857" s="1">
        <v>19.438622231</v>
      </c>
      <c r="L2857" s="1">
        <v>33.1</v>
      </c>
      <c r="M2857" s="1">
        <v>7.7</v>
      </c>
      <c r="N2857" s="1">
        <v>31.8</v>
      </c>
      <c r="O2857" s="1">
        <v>70.179617588</v>
      </c>
      <c r="P2857" s="1">
        <v>13.7113024359999</v>
      </c>
      <c r="Q2857" s="1">
        <v>25.53463</v>
      </c>
      <c r="R2857" s="1">
        <v>90.6</v>
      </c>
      <c r="S2857" s="1">
        <v>27.5</v>
      </c>
      <c r="T2857" s="1">
        <v>2689.0</v>
      </c>
      <c r="U2857" s="1">
        <v>30.234287839</v>
      </c>
      <c r="V2857" s="1">
        <v>118.86786391</v>
      </c>
      <c r="W2857" s="1">
        <v>11.997019374</v>
      </c>
      <c r="X2857" s="1">
        <v>10.857142857</v>
      </c>
      <c r="Y2857" s="1">
        <v>77.264376078</v>
      </c>
      <c r="Z2857" s="1">
        <v>10.5</v>
      </c>
      <c r="AA2857" s="1">
        <v>9.3561186526</v>
      </c>
      <c r="AB2857" s="1">
        <v>37550.0</v>
      </c>
      <c r="AC2857" s="1">
        <v>64.898989899</v>
      </c>
      <c r="AD2857" s="1">
        <v>79.241822073</v>
      </c>
      <c r="AE2857" s="1">
        <v>9.4640270401</v>
      </c>
      <c r="AF2857" s="1">
        <v>5.5082848186</v>
      </c>
      <c r="AG2857" s="1">
        <v>0.3262747105</v>
      </c>
      <c r="AH2857" s="1">
        <v>0.1983238436</v>
      </c>
      <c r="AI2857" s="1">
        <v>0.0319877167</v>
      </c>
      <c r="AJ2857" s="1">
        <v>3.6402021624</v>
      </c>
      <c r="AK2857" s="1">
        <v>89.38007805</v>
      </c>
      <c r="AL2857" s="1">
        <v>0.581164971599999</v>
      </c>
      <c r="AM2857" s="1">
        <v>48.518968716</v>
      </c>
      <c r="AN2857" s="1">
        <v>99.8776797789999</v>
      </c>
      <c r="AO2857" s="1">
        <v>20190.0</v>
      </c>
      <c r="AP2857" s="1">
        <v>19.8</v>
      </c>
      <c r="AQ2857" s="1">
        <v>7.1</v>
      </c>
      <c r="AR2857" s="1">
        <v>20.8</v>
      </c>
      <c r="AS2857" s="1">
        <v>23.2</v>
      </c>
      <c r="AT2857" s="1">
        <v>17.8</v>
      </c>
      <c r="AU2857" s="1">
        <v>18.2</v>
      </c>
      <c r="AV2857" s="1">
        <v>6.5</v>
      </c>
      <c r="AW2857" s="1">
        <v>0.5</v>
      </c>
      <c r="AX2857" s="1">
        <v>0.5845</v>
      </c>
      <c r="AY2857" s="1">
        <v>18.8</v>
      </c>
      <c r="AZ2857" s="1">
        <v>13.5</v>
      </c>
      <c r="BA2857" s="1">
        <v>23.3</v>
      </c>
      <c r="BB2857" s="1">
        <v>2.96</v>
      </c>
      <c r="BC2857" s="1" t="s">
        <v>4607</v>
      </c>
      <c r="BD2857" s="1">
        <v>18.7</v>
      </c>
      <c r="BE2857" s="1">
        <v>37.2</v>
      </c>
      <c r="BF2857" s="1">
        <v>30.3</v>
      </c>
      <c r="BG2857" s="1">
        <v>13.7</v>
      </c>
      <c r="BH2857" s="1" t="s">
        <v>4661</v>
      </c>
    </row>
    <row r="2858">
      <c r="A2858" s="1">
        <v>51079.0</v>
      </c>
      <c r="B2858" s="2" t="str">
        <f>IFERROR(__xludf.DUMMYFUNCTION("TO_TEXT(A2858)"),"51079")</f>
        <v>51079</v>
      </c>
      <c r="C2858" s="1">
        <v>19085.0</v>
      </c>
      <c r="D2858" s="1">
        <v>156.144088972999</v>
      </c>
      <c r="E2858" s="1" t="s">
        <v>122</v>
      </c>
      <c r="F2858" s="1" t="s">
        <v>4662</v>
      </c>
      <c r="G2858" s="1">
        <v>122.226849095133</v>
      </c>
      <c r="H2858" s="1">
        <v>15.4843101709999</v>
      </c>
      <c r="I2858" s="1">
        <v>4.0390653634</v>
      </c>
      <c r="J2858" s="1">
        <v>7.32356857519999</v>
      </c>
      <c r="K2858" s="1">
        <v>17.226102334</v>
      </c>
      <c r="L2858" s="1">
        <v>28.4</v>
      </c>
      <c r="M2858" s="1">
        <v>9.3</v>
      </c>
      <c r="N2858" s="1">
        <v>20.5</v>
      </c>
      <c r="O2858" s="1">
        <v>38.5861000919999</v>
      </c>
      <c r="P2858" s="1">
        <v>13.420923379</v>
      </c>
      <c r="Q2858" s="1">
        <v>25.4946</v>
      </c>
      <c r="R2858" s="1">
        <v>94.7</v>
      </c>
      <c r="S2858" s="1">
        <v>12.2</v>
      </c>
      <c r="T2858" s="1">
        <v>4673.0</v>
      </c>
      <c r="U2858" s="1">
        <v>19.9657607529999</v>
      </c>
      <c r="V2858" s="1">
        <v>118.1071363</v>
      </c>
      <c r="W2858" s="1">
        <v>11.822660099</v>
      </c>
      <c r="X2858" s="1">
        <v>9.99859174759999</v>
      </c>
      <c r="Y2858" s="1">
        <v>79.894073332</v>
      </c>
      <c r="Z2858" s="1">
        <v>6.8</v>
      </c>
      <c r="AA2858" s="1">
        <v>0.0</v>
      </c>
      <c r="AB2858" s="1">
        <v>67498.0</v>
      </c>
      <c r="AC2858" s="1">
        <v>41.420308483</v>
      </c>
      <c r="AD2858" s="1">
        <v>80.168546962</v>
      </c>
      <c r="AE2858" s="1">
        <v>9.4596511133</v>
      </c>
      <c r="AF2858" s="1">
        <v>6.825420901</v>
      </c>
      <c r="AG2858" s="1">
        <v>0.3741341827</v>
      </c>
      <c r="AH2858" s="1">
        <v>1.9161737196</v>
      </c>
      <c r="AI2858" s="1">
        <v>0.0657262753</v>
      </c>
      <c r="AJ2858" s="1">
        <v>6.0973760049</v>
      </c>
      <c r="AK2858" s="1">
        <v>82.562313565</v>
      </c>
      <c r="AL2858" s="1">
        <v>0.6448087432</v>
      </c>
      <c r="AM2858" s="1">
        <v>51.3018858389999</v>
      </c>
      <c r="AN2858" s="1">
        <v>51.2416453839999</v>
      </c>
      <c r="AO2858" s="1">
        <v>28647.0</v>
      </c>
      <c r="AP2858" s="1">
        <v>11.0</v>
      </c>
      <c r="AQ2858" s="1">
        <v>7.8</v>
      </c>
      <c r="AR2858" s="1">
        <v>16.5</v>
      </c>
      <c r="AS2858" s="1">
        <v>15.4</v>
      </c>
      <c r="AT2858" s="1">
        <v>24.3</v>
      </c>
      <c r="AU2858" s="1">
        <v>14.2</v>
      </c>
      <c r="AV2858" s="1">
        <v>15.5</v>
      </c>
      <c r="AW2858" s="1">
        <v>1.4</v>
      </c>
      <c r="AX2858" s="1">
        <v>0.27</v>
      </c>
      <c r="AY2858" s="1">
        <v>7.6</v>
      </c>
      <c r="AZ2858" s="1">
        <v>7.4</v>
      </c>
      <c r="BA2858" s="1">
        <v>9.8</v>
      </c>
      <c r="BB2858" s="1">
        <v>3.43</v>
      </c>
      <c r="BC2858" s="1" t="s">
        <v>4607</v>
      </c>
      <c r="BD2858" s="1">
        <v>13.9</v>
      </c>
      <c r="BE2858" s="1">
        <v>28.6</v>
      </c>
      <c r="BF2858" s="1">
        <v>28.4</v>
      </c>
      <c r="BG2858" s="1">
        <v>29.0</v>
      </c>
      <c r="BH2858" s="1" t="s">
        <v>4662</v>
      </c>
    </row>
    <row r="2859">
      <c r="A2859" s="1">
        <v>51081.0</v>
      </c>
      <c r="B2859" s="2" t="str">
        <f>IFERROR(__xludf.DUMMYFUNCTION("TO_TEXT(A2859)"),"51081")</f>
        <v>51081</v>
      </c>
      <c r="C2859" s="1">
        <v>11698.0</v>
      </c>
      <c r="D2859" s="1">
        <v>295.232873450492</v>
      </c>
      <c r="E2859" s="1" t="s">
        <v>4663</v>
      </c>
      <c r="F2859" s="1" t="s">
        <v>4664</v>
      </c>
      <c r="G2859" s="1">
        <v>39.6229588639005</v>
      </c>
      <c r="H2859" s="1">
        <v>22.8330386759999</v>
      </c>
      <c r="I2859" s="1">
        <v>4.1272904887</v>
      </c>
      <c r="J2859" s="1">
        <v>12.526539278</v>
      </c>
      <c r="K2859" s="1">
        <v>22.220284295</v>
      </c>
      <c r="L2859" s="1">
        <v>36.2</v>
      </c>
      <c r="M2859" s="1">
        <v>7.2</v>
      </c>
      <c r="N2859" s="1">
        <v>33.6</v>
      </c>
      <c r="O2859" s="1">
        <v>16.401208854</v>
      </c>
      <c r="P2859" s="1">
        <v>10.25601717</v>
      </c>
      <c r="Q2859" s="1">
        <v>42.81188</v>
      </c>
      <c r="R2859" s="1">
        <v>88.8</v>
      </c>
      <c r="S2859" s="1">
        <v>27.2</v>
      </c>
      <c r="T2859" s="1">
        <v>1863.0</v>
      </c>
      <c r="U2859" s="1">
        <v>47.987117552</v>
      </c>
      <c r="V2859" s="1">
        <v>123.07431142</v>
      </c>
      <c r="W2859" s="1">
        <v>15.249662618</v>
      </c>
      <c r="X2859" s="1">
        <v>13.1793478259999</v>
      </c>
      <c r="Y2859" s="1">
        <v>73.981520606</v>
      </c>
      <c r="Z2859" s="1">
        <v>13.5</v>
      </c>
      <c r="AA2859" s="1">
        <v>3.9915984446</v>
      </c>
      <c r="AB2859" s="1">
        <v>43533.0</v>
      </c>
      <c r="AC2859" s="1">
        <v>92.040694195</v>
      </c>
      <c r="AD2859" s="1">
        <v>73.156182213</v>
      </c>
      <c r="AE2859" s="1">
        <v>13.28988382</v>
      </c>
      <c r="AF2859" s="1">
        <v>58.966199364</v>
      </c>
      <c r="AG2859" s="1">
        <v>0.2752214673</v>
      </c>
      <c r="AH2859" s="1">
        <v>0.8428657435</v>
      </c>
      <c r="AI2859" s="1">
        <v>0.0086006709</v>
      </c>
      <c r="AJ2859" s="1">
        <v>2.6146039391</v>
      </c>
      <c r="AK2859" s="1">
        <v>36.363636364</v>
      </c>
      <c r="AL2859" s="1">
        <v>0.1615508885</v>
      </c>
      <c r="AM2859" s="1">
        <v>37.344112841</v>
      </c>
      <c r="AN2859" s="1">
        <v>87.0129870129999</v>
      </c>
      <c r="AO2859" s="1">
        <v>15988.0</v>
      </c>
      <c r="AP2859" s="1">
        <v>17.8</v>
      </c>
      <c r="AQ2859" s="1">
        <v>6.6</v>
      </c>
      <c r="AR2859" s="1">
        <v>23.4</v>
      </c>
      <c r="AS2859" s="1">
        <v>15.0</v>
      </c>
      <c r="AT2859" s="1">
        <v>16.5</v>
      </c>
      <c r="AU2859" s="1">
        <v>19.2</v>
      </c>
      <c r="AV2859" s="1">
        <v>62.6</v>
      </c>
      <c r="AW2859" s="1">
        <v>0.4</v>
      </c>
      <c r="AX2859" s="1">
        <v>0.8443</v>
      </c>
      <c r="AY2859" s="1">
        <v>24.5</v>
      </c>
      <c r="AZ2859" s="1">
        <v>13.3</v>
      </c>
      <c r="BA2859" s="1">
        <v>18.9</v>
      </c>
      <c r="BB2859" s="1">
        <v>2.92</v>
      </c>
      <c r="BC2859" s="1" t="s">
        <v>4607</v>
      </c>
      <c r="BD2859" s="1">
        <v>22.2</v>
      </c>
      <c r="BE2859" s="1">
        <v>41.3</v>
      </c>
      <c r="BF2859" s="1">
        <v>27.4</v>
      </c>
      <c r="BG2859" s="1">
        <v>9.2</v>
      </c>
      <c r="BH2859" s="1" t="s">
        <v>4664</v>
      </c>
    </row>
    <row r="2860">
      <c r="A2860" s="1">
        <v>51083.0</v>
      </c>
      <c r="B2860" s="2" t="str">
        <f>IFERROR(__xludf.DUMMYFUNCTION("TO_TEXT(A2860)"),"51083")</f>
        <v>51083</v>
      </c>
      <c r="C2860" s="1">
        <v>35305.0</v>
      </c>
      <c r="D2860" s="1">
        <v>817.729404195008</v>
      </c>
      <c r="E2860" s="1" t="s">
        <v>3237</v>
      </c>
      <c r="F2860" s="1" t="s">
        <v>4665</v>
      </c>
      <c r="G2860" s="1">
        <v>43.1744288744942</v>
      </c>
      <c r="H2860" s="1">
        <v>19.821816393</v>
      </c>
      <c r="I2860" s="1">
        <v>4.2191330847</v>
      </c>
      <c r="J2860" s="1">
        <v>10.491419657</v>
      </c>
      <c r="K2860" s="1">
        <v>18.800049019</v>
      </c>
      <c r="L2860" s="1">
        <v>38.5</v>
      </c>
      <c r="M2860" s="1">
        <v>6.7</v>
      </c>
      <c r="N2860" s="1">
        <v>28.8</v>
      </c>
      <c r="O2860" s="1">
        <v>42.871333572</v>
      </c>
      <c r="P2860" s="1">
        <v>11.286506613</v>
      </c>
      <c r="Q2860" s="1">
        <v>40.50574</v>
      </c>
      <c r="R2860" s="1">
        <v>94.5</v>
      </c>
      <c r="S2860" s="1">
        <v>22.4</v>
      </c>
      <c r="T2860" s="1">
        <v>7115.0</v>
      </c>
      <c r="U2860" s="1">
        <v>35.797610682</v>
      </c>
      <c r="V2860" s="1">
        <v>207.25240484</v>
      </c>
      <c r="W2860" s="1">
        <v>11.321416053</v>
      </c>
      <c r="X2860" s="1">
        <v>10.032246507</v>
      </c>
      <c r="Y2860" s="1">
        <v>75.513506446</v>
      </c>
      <c r="Z2860" s="1">
        <v>20.6</v>
      </c>
      <c r="AA2860" s="1">
        <v>11.195810882</v>
      </c>
      <c r="AB2860" s="1">
        <v>43096.0</v>
      </c>
      <c r="AC2860" s="1">
        <v>69.770633209</v>
      </c>
      <c r="AD2860" s="1">
        <v>74.695187166</v>
      </c>
      <c r="AE2860" s="1">
        <v>11.35274884</v>
      </c>
      <c r="AF2860" s="1">
        <v>36.028722157</v>
      </c>
      <c r="AG2860" s="1">
        <v>0.3634232122</v>
      </c>
      <c r="AH2860" s="1">
        <v>0.6652989449</v>
      </c>
      <c r="AI2860" s="1">
        <v>0.0234466589</v>
      </c>
      <c r="AJ2860" s="1">
        <v>2.0955451348</v>
      </c>
      <c r="AK2860" s="1">
        <v>59.753810082</v>
      </c>
      <c r="AL2860" s="1">
        <v>0.546149645</v>
      </c>
      <c r="AM2860" s="1">
        <v>52.066236811</v>
      </c>
      <c r="AN2860" s="1">
        <v>77.081206368</v>
      </c>
      <c r="AO2860" s="1">
        <v>20706.0</v>
      </c>
      <c r="AP2860" s="1">
        <v>18.8</v>
      </c>
      <c r="AQ2860" s="1">
        <v>5.4</v>
      </c>
      <c r="AR2860" s="1">
        <v>21.0</v>
      </c>
      <c r="AS2860" s="1">
        <v>21.8</v>
      </c>
      <c r="AT2860" s="1">
        <v>20.9</v>
      </c>
      <c r="AU2860" s="1">
        <v>17.9</v>
      </c>
      <c r="AV2860" s="1">
        <v>40.1</v>
      </c>
      <c r="AW2860" s="1">
        <v>0.5</v>
      </c>
      <c r="AX2860" s="1">
        <v>0.7479</v>
      </c>
      <c r="AY2860" s="1">
        <v>17.1</v>
      </c>
      <c r="AZ2860" s="1">
        <v>12.9</v>
      </c>
      <c r="BA2860" s="1">
        <v>17.6</v>
      </c>
      <c r="BB2860" s="1">
        <v>2.84</v>
      </c>
      <c r="BC2860" s="1" t="s">
        <v>4607</v>
      </c>
      <c r="BD2860" s="1">
        <v>18.5</v>
      </c>
      <c r="BE2860" s="1">
        <v>36.0</v>
      </c>
      <c r="BF2860" s="1">
        <v>30.1</v>
      </c>
      <c r="BG2860" s="1">
        <v>15.4</v>
      </c>
      <c r="BH2860" s="1" t="s">
        <v>4665</v>
      </c>
    </row>
    <row r="2861">
      <c r="A2861" s="1">
        <v>51085.0</v>
      </c>
      <c r="B2861" s="2" t="str">
        <f>IFERROR(__xludf.DUMMYFUNCTION("TO_TEXT(A2861)"),"51085")</f>
        <v>51085</v>
      </c>
      <c r="C2861" s="1">
        <v>102199.0</v>
      </c>
      <c r="D2861" s="1">
        <v>468.566824624306</v>
      </c>
      <c r="E2861" s="1" t="s">
        <v>4666</v>
      </c>
      <c r="F2861" s="1" t="s">
        <v>4667</v>
      </c>
      <c r="G2861" s="1">
        <v>218.109764988041</v>
      </c>
      <c r="H2861" s="1">
        <v>11.63795228</v>
      </c>
      <c r="I2861" s="1">
        <v>3.4617076572</v>
      </c>
      <c r="J2861" s="1">
        <v>6.7919297705</v>
      </c>
      <c r="K2861" s="1">
        <v>13.010267079</v>
      </c>
      <c r="L2861" s="1">
        <v>30.8</v>
      </c>
      <c r="M2861" s="1">
        <v>9.2</v>
      </c>
      <c r="N2861" s="1">
        <v>20.8</v>
      </c>
      <c r="O2861" s="1">
        <v>80.696554279</v>
      </c>
      <c r="P2861" s="1">
        <v>7.7754581304</v>
      </c>
      <c r="Q2861" s="1">
        <v>67.02982</v>
      </c>
      <c r="R2861" s="1">
        <v>95.1</v>
      </c>
      <c r="S2861" s="1">
        <v>6.2</v>
      </c>
      <c r="T2861" s="1">
        <v>23093.0</v>
      </c>
      <c r="U2861" s="1">
        <v>19.152990084</v>
      </c>
      <c r="V2861" s="1">
        <v>127.76374436</v>
      </c>
      <c r="W2861" s="1">
        <v>9.3571901922</v>
      </c>
      <c r="X2861" s="1">
        <v>8.35114911809999</v>
      </c>
      <c r="Y2861" s="1">
        <v>79.83812115</v>
      </c>
      <c r="Z2861" s="1">
        <v>12.5</v>
      </c>
      <c r="AA2861" s="1">
        <v>3.5521838566</v>
      </c>
      <c r="AB2861" s="1">
        <v>91028.0</v>
      </c>
      <c r="AC2861" s="1">
        <v>20.266666667</v>
      </c>
      <c r="AD2861" s="1">
        <v>81.642011451</v>
      </c>
      <c r="AE2861" s="1">
        <v>8.1029023747</v>
      </c>
      <c r="AF2861" s="1">
        <v>9.1468588853</v>
      </c>
      <c r="AG2861" s="1">
        <v>0.5287255569</v>
      </c>
      <c r="AH2861" s="1">
        <v>1.8379507455</v>
      </c>
      <c r="AI2861" s="1">
        <v>0.0624772704</v>
      </c>
      <c r="AJ2861" s="1">
        <v>3.1527709136</v>
      </c>
      <c r="AK2861" s="1">
        <v>83.72233982</v>
      </c>
      <c r="AL2861" s="1">
        <v>0.5068061139</v>
      </c>
      <c r="AM2861" s="1">
        <v>51.066309831</v>
      </c>
      <c r="AN2861" s="1">
        <v>39.0855472</v>
      </c>
      <c r="AO2861" s="1">
        <v>35881.0</v>
      </c>
      <c r="AP2861" s="1">
        <v>6.2</v>
      </c>
      <c r="AQ2861" s="1">
        <v>3.8</v>
      </c>
      <c r="AR2861" s="1">
        <v>7.4</v>
      </c>
      <c r="AS2861" s="1">
        <v>15.5</v>
      </c>
      <c r="AT2861" s="1">
        <v>22.9</v>
      </c>
      <c r="AU2861" s="1">
        <v>9.6</v>
      </c>
      <c r="AV2861" s="1">
        <v>15.3</v>
      </c>
      <c r="AW2861" s="1">
        <v>0.6</v>
      </c>
      <c r="AX2861" s="1">
        <v>0.0258</v>
      </c>
      <c r="AY2861" s="1">
        <v>5.1</v>
      </c>
      <c r="AZ2861" s="1">
        <v>6.2</v>
      </c>
      <c r="BA2861" s="1">
        <v>8.8</v>
      </c>
      <c r="BB2861" s="1">
        <v>3.24</v>
      </c>
      <c r="BC2861" s="1" t="s">
        <v>4607</v>
      </c>
      <c r="BD2861" s="1">
        <v>6.9</v>
      </c>
      <c r="BE2861" s="1">
        <v>25.5</v>
      </c>
      <c r="BF2861" s="1">
        <v>27.9</v>
      </c>
      <c r="BG2861" s="1">
        <v>39.8</v>
      </c>
      <c r="BH2861" s="1" t="s">
        <v>4667</v>
      </c>
    </row>
    <row r="2862">
      <c r="A2862" s="1">
        <v>51087.0</v>
      </c>
      <c r="B2862" s="2" t="str">
        <f>IFERROR(__xludf.DUMMYFUNCTION("TO_TEXT(A2862)"),"51087")</f>
        <v>51087</v>
      </c>
      <c r="C2862" s="1">
        <v>321921.0</v>
      </c>
      <c r="D2862" s="1">
        <v>233.702801197949</v>
      </c>
      <c r="E2862" s="1" t="s">
        <v>4668</v>
      </c>
      <c r="F2862" s="1" t="s">
        <v>4669</v>
      </c>
      <c r="G2862" s="1">
        <v>1377.48027986761</v>
      </c>
      <c r="H2862" s="1">
        <v>14.00606025</v>
      </c>
      <c r="I2862" s="1">
        <v>3.5107413146</v>
      </c>
      <c r="J2862" s="1">
        <v>8.3088954057</v>
      </c>
      <c r="K2862" s="1">
        <v>15.165087834</v>
      </c>
      <c r="L2862" s="1">
        <v>32.0</v>
      </c>
      <c r="M2862" s="1">
        <v>8.1</v>
      </c>
      <c r="N2862" s="1">
        <v>23.4</v>
      </c>
      <c r="O2862" s="1">
        <v>96.764461531</v>
      </c>
      <c r="P2862" s="1">
        <v>9.8930819657</v>
      </c>
      <c r="Q2862" s="1">
        <v>105.21565</v>
      </c>
      <c r="R2862" s="1">
        <v>92.3</v>
      </c>
      <c r="S2862" s="1">
        <v>12.6</v>
      </c>
      <c r="T2862" s="1">
        <v>74473.0</v>
      </c>
      <c r="U2862" s="1">
        <v>34.607173069</v>
      </c>
      <c r="V2862" s="1">
        <v>174.84026938</v>
      </c>
      <c r="W2862" s="1">
        <v>15.456646478</v>
      </c>
      <c r="X2862" s="1">
        <v>13.723207835</v>
      </c>
      <c r="Y2862" s="1">
        <v>79.1842548469999</v>
      </c>
      <c r="Z2862" s="1">
        <v>9.5</v>
      </c>
      <c r="AA2862" s="1">
        <v>3.9368956676</v>
      </c>
      <c r="AB2862" s="1">
        <v>68581.0</v>
      </c>
      <c r="AC2862" s="1">
        <v>44.2089239839999</v>
      </c>
      <c r="AD2862" s="1">
        <v>62.7034639019999</v>
      </c>
      <c r="AE2862" s="1">
        <v>13.241071858</v>
      </c>
      <c r="AF2862" s="1">
        <v>30.022383459</v>
      </c>
      <c r="AG2862" s="1">
        <v>0.3562523348</v>
      </c>
      <c r="AH2862" s="1">
        <v>9.0372075648</v>
      </c>
      <c r="AI2862" s="1">
        <v>0.0668162947</v>
      </c>
      <c r="AJ2862" s="1">
        <v>5.814839899</v>
      </c>
      <c r="AK2862" s="1">
        <v>52.6810038239999</v>
      </c>
      <c r="AL2862" s="1">
        <v>2.487897643</v>
      </c>
      <c r="AM2862" s="1">
        <v>52.55131947</v>
      </c>
      <c r="AN2862" s="1">
        <v>4.268982032</v>
      </c>
      <c r="AO2862" s="1">
        <v>34993.0</v>
      </c>
      <c r="AP2862" s="1">
        <v>10.6</v>
      </c>
      <c r="AQ2862" s="1">
        <v>6.3</v>
      </c>
      <c r="AR2862" s="1">
        <v>9.1</v>
      </c>
      <c r="AS2862" s="1">
        <v>13.8</v>
      </c>
      <c r="AT2862" s="1">
        <v>23.5</v>
      </c>
      <c r="AU2862" s="1">
        <v>10.6</v>
      </c>
      <c r="AV2862" s="1">
        <v>45.1</v>
      </c>
      <c r="AW2862" s="1">
        <v>2.5</v>
      </c>
      <c r="AX2862" s="1">
        <v>0.2633</v>
      </c>
      <c r="AY2862" s="1">
        <v>8.7</v>
      </c>
      <c r="AZ2862" s="1">
        <v>9.3</v>
      </c>
      <c r="BA2862" s="1">
        <v>12.3</v>
      </c>
      <c r="BB2862" s="1">
        <v>3.27</v>
      </c>
      <c r="BC2862" s="1" t="s">
        <v>4607</v>
      </c>
      <c r="BD2862" s="1">
        <v>8.3</v>
      </c>
      <c r="BE2862" s="1">
        <v>21.2</v>
      </c>
      <c r="BF2862" s="1">
        <v>26.8</v>
      </c>
      <c r="BG2862" s="1">
        <v>43.7</v>
      </c>
      <c r="BH2862" s="1" t="s">
        <v>4669</v>
      </c>
    </row>
    <row r="2863">
      <c r="A2863" s="1">
        <v>51089.0</v>
      </c>
      <c r="B2863" s="2" t="str">
        <f>IFERROR(__xludf.DUMMYFUNCTION("TO_TEXT(A2863)"),"51089")</f>
        <v>51089</v>
      </c>
      <c r="C2863" s="1">
        <v>52209.0</v>
      </c>
      <c r="D2863" s="1">
        <v>382.346275034726</v>
      </c>
      <c r="E2863" s="1" t="s">
        <v>126</v>
      </c>
      <c r="F2863" s="1" t="s">
        <v>4670</v>
      </c>
      <c r="G2863" s="1">
        <v>136.548996051441</v>
      </c>
      <c r="H2863" s="1">
        <v>21.358251226</v>
      </c>
      <c r="I2863" s="1">
        <v>4.3027369283</v>
      </c>
      <c r="J2863" s="1">
        <v>9.3324692158</v>
      </c>
      <c r="K2863" s="1">
        <v>19.1837379959999</v>
      </c>
      <c r="L2863" s="1">
        <v>34.2</v>
      </c>
      <c r="M2863" s="1">
        <v>7.4</v>
      </c>
      <c r="N2863" s="1">
        <v>33.4</v>
      </c>
      <c r="O2863" s="1">
        <v>40.363058854</v>
      </c>
      <c r="P2863" s="1">
        <v>12.838679539</v>
      </c>
      <c r="Q2863" s="1">
        <v>60.51496</v>
      </c>
      <c r="R2863" s="1">
        <v>87.9</v>
      </c>
      <c r="S2863" s="1">
        <v>28.0</v>
      </c>
      <c r="T2863" s="1">
        <v>10074.0</v>
      </c>
      <c r="U2863" s="1">
        <v>36.311296407</v>
      </c>
      <c r="V2863" s="1">
        <v>227.18264518</v>
      </c>
      <c r="W2863" s="1">
        <v>12.039756042</v>
      </c>
      <c r="X2863" s="1">
        <v>10.318559557</v>
      </c>
      <c r="Y2863" s="1">
        <v>76.541001523</v>
      </c>
      <c r="Z2863" s="1">
        <v>20.7</v>
      </c>
      <c r="AA2863" s="1">
        <v>7.3258276496</v>
      </c>
      <c r="AB2863" s="1">
        <v>36471.0</v>
      </c>
      <c r="AC2863" s="1">
        <v>85.185185185</v>
      </c>
      <c r="AD2863" s="1">
        <v>72.363181776</v>
      </c>
      <c r="AE2863" s="1">
        <v>11.7517390029999</v>
      </c>
      <c r="AF2863" s="1">
        <v>22.173375464</v>
      </c>
      <c r="AG2863" s="1">
        <v>0.3473789571</v>
      </c>
      <c r="AH2863" s="1">
        <v>0.6712067984</v>
      </c>
      <c r="AI2863" s="1">
        <v>0.0588777893</v>
      </c>
      <c r="AJ2863" s="1">
        <v>5.5992777658</v>
      </c>
      <c r="AK2863" s="1">
        <v>69.630836261</v>
      </c>
      <c r="AL2863" s="1">
        <v>0.8423365684</v>
      </c>
      <c r="AM2863" s="1">
        <v>51.861519439</v>
      </c>
      <c r="AN2863" s="1">
        <v>60.720946982</v>
      </c>
      <c r="AO2863" s="1">
        <v>20645.0</v>
      </c>
      <c r="AP2863" s="1">
        <v>19.0</v>
      </c>
      <c r="AQ2863" s="1">
        <v>9.4</v>
      </c>
      <c r="AR2863" s="1">
        <v>20.8</v>
      </c>
      <c r="AS2863" s="1">
        <v>21.7</v>
      </c>
      <c r="AT2863" s="1">
        <v>20.1</v>
      </c>
      <c r="AU2863" s="1">
        <v>19.5</v>
      </c>
      <c r="AV2863" s="1">
        <v>29.6</v>
      </c>
      <c r="AW2863" s="1">
        <v>1.4</v>
      </c>
      <c r="AX2863" s="1">
        <v>0.8488</v>
      </c>
      <c r="AY2863" s="1">
        <v>14.6</v>
      </c>
      <c r="AZ2863" s="1">
        <v>14.4</v>
      </c>
      <c r="BA2863" s="1">
        <v>22.1</v>
      </c>
      <c r="BB2863" s="1">
        <v>2.81</v>
      </c>
      <c r="BC2863" s="1" t="s">
        <v>4607</v>
      </c>
      <c r="BD2863" s="1">
        <v>19.9</v>
      </c>
      <c r="BE2863" s="1">
        <v>34.2</v>
      </c>
      <c r="BF2863" s="1">
        <v>31.9</v>
      </c>
      <c r="BG2863" s="1">
        <v>13.9</v>
      </c>
      <c r="BH2863" s="1" t="s">
        <v>4670</v>
      </c>
    </row>
    <row r="2864">
      <c r="A2864" s="1">
        <v>51091.0</v>
      </c>
      <c r="B2864" s="2" t="str">
        <f>IFERROR(__xludf.DUMMYFUNCTION("TO_TEXT(A2864)"),"51091")</f>
        <v>51091</v>
      </c>
      <c r="C2864" s="1">
        <v>2230.0</v>
      </c>
      <c r="D2864" s="1">
        <v>415.155802139366</v>
      </c>
      <c r="E2864" s="1" t="s">
        <v>3467</v>
      </c>
      <c r="F2864" s="1" t="s">
        <v>4671</v>
      </c>
      <c r="G2864" s="1">
        <v>5.37147737911513</v>
      </c>
      <c r="H2864" s="1">
        <v>14.184704499</v>
      </c>
      <c r="I2864" s="1">
        <v>3.9175662807</v>
      </c>
      <c r="J2864" s="1">
        <v>7.80443539465</v>
      </c>
      <c r="K2864" s="1">
        <v>14.640277313</v>
      </c>
      <c r="L2864" s="1">
        <v>26.5</v>
      </c>
      <c r="M2864" s="1">
        <v>6.4</v>
      </c>
      <c r="N2864" s="1">
        <v>29.4</v>
      </c>
      <c r="O2864" s="1">
        <v>79.233089186</v>
      </c>
      <c r="P2864" s="1">
        <v>17.789757412</v>
      </c>
      <c r="Q2864" s="1">
        <v>45.20796</v>
      </c>
      <c r="R2864" s="1">
        <v>100.0</v>
      </c>
      <c r="S2864" s="1">
        <v>21.2</v>
      </c>
      <c r="T2864" s="1">
        <v>254.0</v>
      </c>
      <c r="U2864" s="1">
        <v>18.11023622</v>
      </c>
      <c r="V2864" s="1">
        <v>91.261692904</v>
      </c>
      <c r="W2864" s="1">
        <v>10.2678571429999</v>
      </c>
      <c r="X2864" s="1">
        <v>8.1081081081</v>
      </c>
      <c r="Y2864" s="1">
        <v>81.197027447</v>
      </c>
      <c r="Z2864" s="1">
        <v>15.3</v>
      </c>
      <c r="AA2864" s="1">
        <v>31.81224409</v>
      </c>
      <c r="AB2864" s="1">
        <v>45089.0</v>
      </c>
      <c r="AC2864" s="1">
        <v>62.200956938</v>
      </c>
      <c r="AD2864" s="1">
        <v>81.923419412</v>
      </c>
      <c r="AE2864" s="1">
        <v>5.89390962669999</v>
      </c>
      <c r="AF2864" s="1">
        <v>0.8597285068</v>
      </c>
      <c r="AG2864" s="1">
        <v>0.3167420814</v>
      </c>
      <c r="AH2864" s="1">
        <v>0.5429864253</v>
      </c>
      <c r="AI2864" s="1">
        <v>0.0</v>
      </c>
      <c r="AJ2864" s="1">
        <v>1.0407239819</v>
      </c>
      <c r="AK2864" s="1">
        <v>97.013574661</v>
      </c>
      <c r="AL2864" s="1">
        <v>0.0</v>
      </c>
      <c r="AM2864" s="1">
        <v>50.2262443439999</v>
      </c>
      <c r="AN2864" s="1">
        <v>100.0</v>
      </c>
      <c r="AO2864" s="1">
        <v>28736.0</v>
      </c>
      <c r="AP2864" s="1">
        <v>12.6</v>
      </c>
      <c r="AQ2864" s="1">
        <v>1.3</v>
      </c>
      <c r="AR2864" s="1">
        <v>15.9</v>
      </c>
      <c r="AS2864" s="1">
        <v>36.1</v>
      </c>
      <c r="AT2864" s="1">
        <v>13.9</v>
      </c>
      <c r="AU2864" s="1">
        <v>18.7</v>
      </c>
      <c r="AV2864" s="1">
        <v>0.4</v>
      </c>
      <c r="AW2864" s="1">
        <v>0.0</v>
      </c>
      <c r="AX2864" s="1">
        <v>0.0911</v>
      </c>
      <c r="AY2864" s="1">
        <v>12.4</v>
      </c>
      <c r="AZ2864" s="1">
        <v>10.5</v>
      </c>
      <c r="BA2864" s="1">
        <v>16.1</v>
      </c>
      <c r="BB2864" s="1">
        <v>3.04</v>
      </c>
      <c r="BC2864" s="1" t="s">
        <v>4607</v>
      </c>
      <c r="BD2864" s="1">
        <v>11.5</v>
      </c>
      <c r="BE2864" s="1">
        <v>38.7</v>
      </c>
      <c r="BF2864" s="1">
        <v>27.3</v>
      </c>
      <c r="BG2864" s="1">
        <v>22.5</v>
      </c>
      <c r="BH2864" s="1" t="s">
        <v>4671</v>
      </c>
    </row>
    <row r="2865">
      <c r="A2865" s="1">
        <v>51093.0</v>
      </c>
      <c r="B2865" s="2" t="str">
        <f>IFERROR(__xludf.DUMMYFUNCTION("TO_TEXT(A2865)"),"51093")</f>
        <v>51093</v>
      </c>
      <c r="C2865" s="1">
        <v>36027.0</v>
      </c>
      <c r="D2865" s="1">
        <v>315.624654440676</v>
      </c>
      <c r="E2865" s="1" t="s">
        <v>4672</v>
      </c>
      <c r="F2865" s="1" t="s">
        <v>4673</v>
      </c>
      <c r="G2865" s="1">
        <v>114.145075465806</v>
      </c>
      <c r="H2865" s="1">
        <v>14.381377139</v>
      </c>
      <c r="I2865" s="1">
        <v>3.7653031167</v>
      </c>
      <c r="J2865" s="1">
        <v>7.676602695</v>
      </c>
      <c r="K2865" s="1">
        <v>15.208071573</v>
      </c>
      <c r="L2865" s="1">
        <v>37.7</v>
      </c>
      <c r="M2865" s="1">
        <v>8.6</v>
      </c>
      <c r="N2865" s="1">
        <v>28.4</v>
      </c>
      <c r="O2865" s="1">
        <v>71.000850581</v>
      </c>
      <c r="P2865" s="1">
        <v>9.1695268861</v>
      </c>
      <c r="Q2865" s="1">
        <v>46.50908</v>
      </c>
      <c r="R2865" s="1">
        <v>95.5</v>
      </c>
      <c r="S2865" s="1">
        <v>12.1</v>
      </c>
      <c r="T2865" s="1">
        <v>7535.0</v>
      </c>
      <c r="U2865" s="1">
        <v>28.865295289</v>
      </c>
      <c r="V2865" s="1">
        <v>144.27412083</v>
      </c>
      <c r="W2865" s="1">
        <v>11.942446043</v>
      </c>
      <c r="X2865" s="1">
        <v>10.665220535</v>
      </c>
      <c r="Y2865" s="1">
        <v>79.08006554</v>
      </c>
      <c r="Z2865" s="1">
        <v>11.9</v>
      </c>
      <c r="AA2865" s="1">
        <v>2.2262858983</v>
      </c>
      <c r="AB2865" s="1">
        <v>72993.0</v>
      </c>
      <c r="AC2865" s="1">
        <v>35.294117647</v>
      </c>
      <c r="AD2865" s="1">
        <v>74.748322148</v>
      </c>
      <c r="AE2865" s="1">
        <v>9.7179599591</v>
      </c>
      <c r="AF2865" s="1">
        <v>22.967012151</v>
      </c>
      <c r="AG2865" s="1">
        <v>0.4708684004</v>
      </c>
      <c r="AH2865" s="1">
        <v>0.9525613617</v>
      </c>
      <c r="AI2865" s="1">
        <v>0.0622412253</v>
      </c>
      <c r="AJ2865" s="1">
        <v>3.3312586258</v>
      </c>
      <c r="AK2865" s="1">
        <v>70.2703434089999</v>
      </c>
      <c r="AL2865" s="1">
        <v>0.820123453199999</v>
      </c>
      <c r="AM2865" s="1">
        <v>51.035098639</v>
      </c>
      <c r="AN2865" s="1">
        <v>57.385880352</v>
      </c>
      <c r="AO2865" s="1">
        <v>32090.0</v>
      </c>
      <c r="AP2865" s="1">
        <v>10.9</v>
      </c>
      <c r="AQ2865" s="1">
        <v>8.1</v>
      </c>
      <c r="AR2865" s="1">
        <v>13.4</v>
      </c>
      <c r="AS2865" s="1">
        <v>17.2</v>
      </c>
      <c r="AT2865" s="1">
        <v>21.3</v>
      </c>
      <c r="AU2865" s="1">
        <v>11.5</v>
      </c>
      <c r="AV2865" s="1">
        <v>29.1</v>
      </c>
      <c r="AW2865" s="1">
        <v>0.3</v>
      </c>
      <c r="AX2865" s="1">
        <v>0.191</v>
      </c>
      <c r="AY2865" s="1">
        <v>9.1</v>
      </c>
      <c r="AZ2865" s="1">
        <v>9.4</v>
      </c>
      <c r="BA2865" s="1">
        <v>13.4</v>
      </c>
      <c r="BB2865" s="1">
        <v>3.36</v>
      </c>
      <c r="BC2865" s="1" t="s">
        <v>4607</v>
      </c>
      <c r="BD2865" s="1">
        <v>12.1</v>
      </c>
      <c r="BE2865" s="1">
        <v>27.9</v>
      </c>
      <c r="BF2865" s="1">
        <v>32.9</v>
      </c>
      <c r="BG2865" s="1">
        <v>27.0</v>
      </c>
      <c r="BH2865" s="1" t="s">
        <v>4673</v>
      </c>
    </row>
    <row r="2866">
      <c r="A2866" s="1">
        <v>51095.0</v>
      </c>
      <c r="B2866" s="2" t="str">
        <f>IFERROR(__xludf.DUMMYFUNCTION("TO_TEXT(A2866)"),"51095")</f>
        <v>51095</v>
      </c>
      <c r="C2866" s="1">
        <v>71900.0</v>
      </c>
      <c r="D2866" s="1">
        <v>142.468327947554</v>
      </c>
      <c r="E2866" s="1" t="s">
        <v>4674</v>
      </c>
      <c r="F2866" s="1" t="s">
        <v>4675</v>
      </c>
      <c r="G2866" s="1">
        <v>504.673572265606</v>
      </c>
      <c r="H2866" s="1">
        <v>12.947867259</v>
      </c>
      <c r="I2866" s="1">
        <v>3.4486509054</v>
      </c>
      <c r="J2866" s="1">
        <v>7.148578294</v>
      </c>
      <c r="K2866" s="1">
        <v>12.455948303</v>
      </c>
      <c r="L2866" s="1">
        <v>27.1</v>
      </c>
      <c r="M2866" s="1">
        <v>8.6</v>
      </c>
      <c r="N2866" s="1">
        <v>18.6</v>
      </c>
      <c r="O2866" s="1">
        <v>89.753615186</v>
      </c>
      <c r="P2866" s="1">
        <v>8.9102746549</v>
      </c>
      <c r="Q2866" s="1">
        <v>120.4915</v>
      </c>
      <c r="R2866" s="1">
        <v>92.1</v>
      </c>
      <c r="S2866" s="1">
        <v>9.3</v>
      </c>
      <c r="T2866" s="1">
        <v>15032.0</v>
      </c>
      <c r="U2866" s="1">
        <v>24.434539649</v>
      </c>
      <c r="V2866" s="1">
        <v>121.85550828</v>
      </c>
      <c r="W2866" s="1">
        <v>13.262786596</v>
      </c>
      <c r="X2866" s="1">
        <v>12.162642045</v>
      </c>
      <c r="Y2866" s="1">
        <v>80.998614319</v>
      </c>
      <c r="Z2866" s="1">
        <v>9.9</v>
      </c>
      <c r="AA2866" s="1">
        <v>7.0760375288</v>
      </c>
      <c r="AB2866" s="1">
        <v>86541.0</v>
      </c>
      <c r="AC2866" s="1">
        <v>32.915938653</v>
      </c>
      <c r="AD2866" s="1">
        <v>74.511576166</v>
      </c>
      <c r="AE2866" s="1">
        <v>11.945295249</v>
      </c>
      <c r="AF2866" s="1">
        <v>13.137950443</v>
      </c>
      <c r="AG2866" s="1">
        <v>0.4149377593</v>
      </c>
      <c r="AH2866" s="1">
        <v>2.7016767674</v>
      </c>
      <c r="AI2866" s="1">
        <v>0.0863908269</v>
      </c>
      <c r="AJ2866" s="1">
        <v>5.8575598518</v>
      </c>
      <c r="AK2866" s="1">
        <v>75.551395997</v>
      </c>
      <c r="AL2866" s="1">
        <v>1.0463484142</v>
      </c>
      <c r="AM2866" s="1">
        <v>51.672186081</v>
      </c>
      <c r="AN2866" s="1">
        <v>15.851602024</v>
      </c>
      <c r="AO2866" s="1">
        <v>41314.0</v>
      </c>
      <c r="AP2866" s="1">
        <v>7.9</v>
      </c>
      <c r="AQ2866" s="1">
        <v>4.9</v>
      </c>
      <c r="AR2866" s="1">
        <v>6.1</v>
      </c>
      <c r="AS2866" s="1">
        <v>23.0</v>
      </c>
      <c r="AT2866" s="1">
        <v>20.5</v>
      </c>
      <c r="AU2866" s="1">
        <v>11.7</v>
      </c>
      <c r="AV2866" s="1">
        <v>23.6</v>
      </c>
      <c r="AW2866" s="1">
        <v>1.0</v>
      </c>
      <c r="AX2866" s="1">
        <v>0.0914</v>
      </c>
      <c r="AY2866" s="1">
        <v>5.8</v>
      </c>
      <c r="AZ2866" s="1">
        <v>7.9</v>
      </c>
      <c r="BA2866" s="1">
        <v>11.2</v>
      </c>
      <c r="BB2866" s="1">
        <v>3.96</v>
      </c>
      <c r="BC2866" s="1" t="s">
        <v>4607</v>
      </c>
      <c r="BD2866" s="1">
        <v>4.9</v>
      </c>
      <c r="BE2866" s="1">
        <v>17.8</v>
      </c>
      <c r="BF2866" s="1">
        <v>26.9</v>
      </c>
      <c r="BG2866" s="1">
        <v>50.4</v>
      </c>
      <c r="BH2866" s="1" t="s">
        <v>4675</v>
      </c>
    </row>
    <row r="2867">
      <c r="A2867" s="1">
        <v>51097.0</v>
      </c>
      <c r="B2867" s="2" t="str">
        <f>IFERROR(__xludf.DUMMYFUNCTION("TO_TEXT(A2867)"),"51097")</f>
        <v>51097</v>
      </c>
      <c r="C2867" s="1">
        <v>7140.0</v>
      </c>
      <c r="D2867" s="1">
        <v>315.170341344744</v>
      </c>
      <c r="E2867" s="1" t="s">
        <v>4676</v>
      </c>
      <c r="F2867" s="1" t="s">
        <v>4677</v>
      </c>
      <c r="G2867" s="1">
        <v>22.6544159248475</v>
      </c>
      <c r="H2867" s="1">
        <v>17.8179591</v>
      </c>
      <c r="I2867" s="1">
        <v>4.1491965086</v>
      </c>
      <c r="J2867" s="1">
        <v>9.9762470309</v>
      </c>
      <c r="K2867" s="1">
        <v>17.9843448309999</v>
      </c>
      <c r="L2867" s="1">
        <v>52.3</v>
      </c>
      <c r="M2867" s="1">
        <v>8.1</v>
      </c>
      <c r="N2867" s="1">
        <v>28.8</v>
      </c>
      <c r="O2867" s="1">
        <v>14.514038877</v>
      </c>
      <c r="P2867" s="1">
        <v>14.114169592</v>
      </c>
      <c r="Q2867" s="1">
        <v>42.83878</v>
      </c>
      <c r="R2867" s="1">
        <v>86.8</v>
      </c>
      <c r="S2867" s="1">
        <v>19.3</v>
      </c>
      <c r="T2867" s="1">
        <v>1326.0</v>
      </c>
      <c r="U2867" s="1">
        <v>41.930618401</v>
      </c>
      <c r="V2867" s="1">
        <v>139.5576024</v>
      </c>
      <c r="W2867" s="1">
        <v>15.151515152</v>
      </c>
      <c r="X2867" s="1">
        <v>10.935251799</v>
      </c>
      <c r="Y2867" s="1">
        <v>76.087201503</v>
      </c>
      <c r="Z2867" s="1">
        <v>12.7</v>
      </c>
      <c r="AA2867" s="1">
        <v>3.505813358</v>
      </c>
      <c r="AB2867" s="1">
        <v>51124.0</v>
      </c>
      <c r="AC2867" s="1">
        <v>59.254807692</v>
      </c>
      <c r="AD2867" s="1">
        <v>83.581033263</v>
      </c>
      <c r="AE2867" s="1">
        <v>15.465793304</v>
      </c>
      <c r="AF2867" s="1">
        <v>26.512354445</v>
      </c>
      <c r="AG2867" s="1">
        <v>1.7750639023</v>
      </c>
      <c r="AH2867" s="1">
        <v>0.454416359</v>
      </c>
      <c r="AI2867" s="1">
        <v>0.0284010224</v>
      </c>
      <c r="AJ2867" s="1">
        <v>3.2661175802</v>
      </c>
      <c r="AK2867" s="1">
        <v>65.677364385</v>
      </c>
      <c r="AL2867" s="1">
        <v>0.848214285699999</v>
      </c>
      <c r="AM2867" s="1">
        <v>49.3467764839999</v>
      </c>
      <c r="AN2867" s="1">
        <v>100.0</v>
      </c>
      <c r="AO2867" s="1">
        <v>25392.0</v>
      </c>
      <c r="AP2867" s="1">
        <v>14.2</v>
      </c>
      <c r="AQ2867" s="1">
        <v>6.0</v>
      </c>
      <c r="AR2867" s="1">
        <v>14.5</v>
      </c>
      <c r="AS2867" s="1">
        <v>21.1</v>
      </c>
      <c r="AT2867" s="1">
        <v>19.0</v>
      </c>
      <c r="AU2867" s="1">
        <v>12.3</v>
      </c>
      <c r="AV2867" s="1">
        <v>34.0</v>
      </c>
      <c r="AW2867" s="1">
        <v>1.2</v>
      </c>
      <c r="AX2867" s="1">
        <v>0.2681</v>
      </c>
      <c r="AY2867" s="1">
        <v>11.7</v>
      </c>
      <c r="AZ2867" s="1">
        <v>11.1</v>
      </c>
      <c r="BA2867" s="1">
        <v>20.2</v>
      </c>
      <c r="BB2867" s="1">
        <v>3.24</v>
      </c>
      <c r="BC2867" s="1" t="s">
        <v>4607</v>
      </c>
      <c r="BD2867" s="1">
        <v>11.9</v>
      </c>
      <c r="BE2867" s="1">
        <v>37.1</v>
      </c>
      <c r="BF2867" s="1">
        <v>27.4</v>
      </c>
      <c r="BG2867" s="1">
        <v>23.6</v>
      </c>
      <c r="BH2867" s="1" t="s">
        <v>4677</v>
      </c>
    </row>
    <row r="2868">
      <c r="A2868" s="1">
        <v>51099.0</v>
      </c>
      <c r="B2868" s="2" t="str">
        <f>IFERROR(__xludf.DUMMYFUNCTION("TO_TEXT(A2868)"),"51099")</f>
        <v>51099</v>
      </c>
      <c r="C2868" s="1">
        <v>25260.0</v>
      </c>
      <c r="D2868" s="1">
        <v>179.638036984241</v>
      </c>
      <c r="E2868" s="1" t="s">
        <v>4678</v>
      </c>
      <c r="F2868" s="1" t="s">
        <v>4679</v>
      </c>
      <c r="G2868" s="1">
        <v>140.616099040404</v>
      </c>
      <c r="H2868" s="1">
        <v>14.5743171929999</v>
      </c>
      <c r="I2868" s="1">
        <v>3.7261152685</v>
      </c>
      <c r="J2868" s="1">
        <v>7.7642656688</v>
      </c>
      <c r="K2868" s="1">
        <v>15.545891693</v>
      </c>
      <c r="L2868" s="1">
        <v>30.2</v>
      </c>
      <c r="M2868" s="1">
        <v>7.7</v>
      </c>
      <c r="N2868" s="1">
        <v>20.2</v>
      </c>
      <c r="O2868" s="1">
        <v>71.128731343</v>
      </c>
      <c r="P2868" s="1">
        <v>7.2438938675</v>
      </c>
      <c r="Q2868" s="1">
        <v>26.57858</v>
      </c>
      <c r="R2868" s="1">
        <v>95.2</v>
      </c>
      <c r="S2868" s="1">
        <v>9.1</v>
      </c>
      <c r="T2868" s="1">
        <v>6579.0</v>
      </c>
      <c r="U2868" s="1">
        <v>22.070223438</v>
      </c>
      <c r="V2868" s="1">
        <v>105.84292126</v>
      </c>
      <c r="W2868" s="1">
        <v>9.4579008074</v>
      </c>
      <c r="X2868" s="1">
        <v>8.4334565619</v>
      </c>
      <c r="Y2868" s="1">
        <v>78.99512302</v>
      </c>
      <c r="Z2868" s="1">
        <v>13.3</v>
      </c>
      <c r="AA2868" s="1">
        <v>6.508531482</v>
      </c>
      <c r="AB2868" s="1">
        <v>86619.0</v>
      </c>
      <c r="AC2868" s="1">
        <v>32.5827814569999</v>
      </c>
      <c r="AD2868" s="1">
        <v>77.051521476</v>
      </c>
      <c r="AE2868" s="1">
        <v>7.9932546374</v>
      </c>
      <c r="AF2868" s="1">
        <v>15.683913452</v>
      </c>
      <c r="AG2868" s="1">
        <v>0.7751646284</v>
      </c>
      <c r="AH2868" s="1">
        <v>1.5390404516</v>
      </c>
      <c r="AI2868" s="1">
        <v>0.1128880527</v>
      </c>
      <c r="AJ2868" s="1">
        <v>5.6669802446</v>
      </c>
      <c r="AK2868" s="1">
        <v>73.414863594</v>
      </c>
      <c r="AL2868" s="1">
        <v>0.3294214536</v>
      </c>
      <c r="AM2868" s="1">
        <v>49.354656632</v>
      </c>
      <c r="AN2868" s="1">
        <v>73.189450475</v>
      </c>
      <c r="AO2868" s="1">
        <v>35201.0</v>
      </c>
      <c r="AP2868" s="1">
        <v>5.6</v>
      </c>
      <c r="AQ2868" s="1">
        <v>6.5</v>
      </c>
      <c r="AR2868" s="1">
        <v>7.2</v>
      </c>
      <c r="AS2868" s="1">
        <v>11.9</v>
      </c>
      <c r="AT2868" s="1">
        <v>25.9</v>
      </c>
      <c r="AU2868" s="1">
        <v>11.3</v>
      </c>
      <c r="AV2868" s="1">
        <v>26.2</v>
      </c>
      <c r="AW2868" s="1">
        <v>0.3</v>
      </c>
      <c r="AX2868" s="1">
        <v>0.0423</v>
      </c>
      <c r="AY2868" s="1">
        <v>5.9</v>
      </c>
      <c r="AZ2868" s="1">
        <v>6.8</v>
      </c>
      <c r="BA2868" s="1">
        <v>10.1</v>
      </c>
      <c r="BB2868" s="1">
        <v>3.38</v>
      </c>
      <c r="BC2868" s="1" t="s">
        <v>4607</v>
      </c>
      <c r="BD2868" s="1">
        <v>6.7</v>
      </c>
      <c r="BE2868" s="1">
        <v>26.5</v>
      </c>
      <c r="BF2868" s="1">
        <v>30.7</v>
      </c>
      <c r="BG2868" s="1">
        <v>36.0</v>
      </c>
      <c r="BH2868" s="1" t="s">
        <v>4679</v>
      </c>
    </row>
    <row r="2869">
      <c r="A2869" s="1">
        <v>51101.0</v>
      </c>
      <c r="B2869" s="2" t="str">
        <f>IFERROR(__xludf.DUMMYFUNCTION("TO_TEXT(A2869)"),"51101")</f>
        <v>51101</v>
      </c>
      <c r="C2869" s="1">
        <v>16156.0</v>
      </c>
      <c r="D2869" s="1">
        <v>273.940962829056</v>
      </c>
      <c r="E2869" s="1" t="s">
        <v>4680</v>
      </c>
      <c r="F2869" s="1" t="s">
        <v>4681</v>
      </c>
      <c r="G2869" s="1">
        <v>58.9762109074634</v>
      </c>
      <c r="H2869" s="1">
        <v>14.086385923</v>
      </c>
      <c r="I2869" s="1">
        <v>3.6975141376</v>
      </c>
      <c r="J2869" s="1">
        <v>7.4889867841</v>
      </c>
      <c r="K2869" s="1">
        <v>16.522573302</v>
      </c>
      <c r="L2869" s="1">
        <v>28.0</v>
      </c>
      <c r="M2869" s="1">
        <v>8.7</v>
      </c>
      <c r="N2869" s="1">
        <v>32.0</v>
      </c>
      <c r="O2869" s="1">
        <v>52.507059931</v>
      </c>
      <c r="P2869" s="1">
        <v>9.8465929361</v>
      </c>
      <c r="Q2869" s="1">
        <v>23.94063</v>
      </c>
      <c r="R2869" s="1">
        <v>92.4</v>
      </c>
      <c r="S2869" s="1">
        <v>10.2</v>
      </c>
      <c r="T2869" s="1">
        <v>3811.0</v>
      </c>
      <c r="U2869" s="1">
        <v>32.747310417</v>
      </c>
      <c r="V2869" s="1">
        <v>71.055639655</v>
      </c>
      <c r="W2869" s="1">
        <v>12.695795548</v>
      </c>
      <c r="X2869" s="1">
        <v>11.767651477</v>
      </c>
      <c r="Y2869" s="1">
        <v>77.548042996</v>
      </c>
      <c r="Z2869" s="1">
        <v>15.4</v>
      </c>
      <c r="AA2869" s="1">
        <v>3.2856761384</v>
      </c>
      <c r="AB2869" s="1">
        <v>68724.0</v>
      </c>
      <c r="AC2869" s="1">
        <v>34.124734231</v>
      </c>
      <c r="AD2869" s="1">
        <v>86.23987034</v>
      </c>
      <c r="AE2869" s="1">
        <v>11.638076017</v>
      </c>
      <c r="AF2869" s="1">
        <v>15.36100124</v>
      </c>
      <c r="AG2869" s="1">
        <v>1.4935946632</v>
      </c>
      <c r="AH2869" s="1">
        <v>1.2751638231</v>
      </c>
      <c r="AI2869" s="1">
        <v>0.0236141449</v>
      </c>
      <c r="AJ2869" s="1">
        <v>2.6861089793</v>
      </c>
      <c r="AK2869" s="1">
        <v>77.041147647</v>
      </c>
      <c r="AL2869" s="1">
        <v>0.1995622505</v>
      </c>
      <c r="AM2869" s="1">
        <v>51.053781215</v>
      </c>
      <c r="AN2869" s="1">
        <v>83.213053028</v>
      </c>
      <c r="AO2869" s="1">
        <v>29311.0</v>
      </c>
      <c r="AP2869" s="1">
        <v>12.1</v>
      </c>
      <c r="AQ2869" s="1">
        <v>3.9</v>
      </c>
      <c r="AR2869" s="1">
        <v>11.7</v>
      </c>
      <c r="AS2869" s="1">
        <v>14.4</v>
      </c>
      <c r="AT2869" s="1">
        <v>23.6</v>
      </c>
      <c r="AU2869" s="1">
        <v>9.8</v>
      </c>
      <c r="AV2869" s="1">
        <v>23.7</v>
      </c>
      <c r="AW2869" s="1">
        <v>0.6</v>
      </c>
      <c r="AX2869" s="1">
        <v>0.0427</v>
      </c>
      <c r="AY2869" s="1">
        <v>6.9</v>
      </c>
      <c r="AZ2869" s="1">
        <v>8.1</v>
      </c>
      <c r="BA2869" s="1">
        <v>15.1</v>
      </c>
      <c r="BB2869" s="1">
        <v>3.24</v>
      </c>
      <c r="BC2869" s="1" t="s">
        <v>4607</v>
      </c>
      <c r="BD2869" s="1">
        <v>7.9</v>
      </c>
      <c r="BE2869" s="1">
        <v>34.3</v>
      </c>
      <c r="BF2869" s="1">
        <v>36.8</v>
      </c>
      <c r="BG2869" s="1">
        <v>21.0</v>
      </c>
      <c r="BH2869" s="1" t="s">
        <v>4681</v>
      </c>
    </row>
    <row r="2870">
      <c r="A2870" s="1">
        <v>51103.0</v>
      </c>
      <c r="B2870" s="2" t="str">
        <f>IFERROR(__xludf.DUMMYFUNCTION("TO_TEXT(A2870)"),"51103")</f>
        <v>51103</v>
      </c>
      <c r="C2870" s="1">
        <v>11055.0</v>
      </c>
      <c r="D2870" s="1">
        <v>133.306620539808</v>
      </c>
      <c r="E2870" s="1" t="s">
        <v>2881</v>
      </c>
      <c r="F2870" s="1" t="s">
        <v>4682</v>
      </c>
      <c r="G2870" s="1">
        <v>82.929114512349</v>
      </c>
      <c r="H2870" s="1">
        <v>16.46333685</v>
      </c>
      <c r="I2870" s="1">
        <v>3.827702079</v>
      </c>
      <c r="J2870" s="1">
        <v>11.0367892979999</v>
      </c>
      <c r="K2870" s="1">
        <v>14.151457392</v>
      </c>
      <c r="L2870" s="1">
        <v>31.3</v>
      </c>
      <c r="M2870" s="1">
        <v>8.2</v>
      </c>
      <c r="N2870" s="1">
        <v>25.7</v>
      </c>
      <c r="O2870" s="1">
        <v>57.6507769289999</v>
      </c>
      <c r="P2870" s="1">
        <v>12.058181818</v>
      </c>
      <c r="Q2870" s="1">
        <v>55.61735</v>
      </c>
      <c r="R2870" s="1">
        <v>88.7</v>
      </c>
      <c r="S2870" s="1">
        <v>24.1</v>
      </c>
      <c r="T2870" s="1">
        <v>1678.0</v>
      </c>
      <c r="U2870" s="1">
        <v>40.6436233609999</v>
      </c>
      <c r="V2870" s="1">
        <v>155.06704369</v>
      </c>
      <c r="W2870" s="1">
        <v>12.463199215</v>
      </c>
      <c r="X2870" s="1">
        <v>11.518737673</v>
      </c>
      <c r="Y2870" s="1">
        <v>76.4462302519999</v>
      </c>
      <c r="Z2870" s="1">
        <v>13.6</v>
      </c>
      <c r="AA2870" s="1">
        <v>1.4433729357</v>
      </c>
      <c r="AB2870" s="1">
        <v>52814.0</v>
      </c>
      <c r="AC2870" s="1">
        <v>74.783362218</v>
      </c>
      <c r="AD2870" s="1">
        <v>75.651497472</v>
      </c>
      <c r="AE2870" s="1">
        <v>12.954545455</v>
      </c>
      <c r="AF2870" s="1">
        <v>28.646944264</v>
      </c>
      <c r="AG2870" s="1">
        <v>0.3338588519</v>
      </c>
      <c r="AH2870" s="1">
        <v>0.7140869888</v>
      </c>
      <c r="AI2870" s="1">
        <v>0.009273857</v>
      </c>
      <c r="AJ2870" s="1">
        <v>2.2720949643</v>
      </c>
      <c r="AK2870" s="1">
        <v>66.771770379</v>
      </c>
      <c r="AL2870" s="1">
        <v>0.4341534009</v>
      </c>
      <c r="AM2870" s="1">
        <v>52.860984884</v>
      </c>
      <c r="AN2870" s="1">
        <v>100.0</v>
      </c>
      <c r="AO2870" s="1">
        <v>32013.0</v>
      </c>
      <c r="AP2870" s="1">
        <v>10.0</v>
      </c>
      <c r="AQ2870" s="1">
        <v>5.4</v>
      </c>
      <c r="AR2870" s="1">
        <v>10.7</v>
      </c>
      <c r="AS2870" s="1">
        <v>34.9</v>
      </c>
      <c r="AT2870" s="1">
        <v>15.7</v>
      </c>
      <c r="AU2870" s="1">
        <v>16.2</v>
      </c>
      <c r="AV2870" s="1">
        <v>31.3</v>
      </c>
      <c r="AW2870" s="1">
        <v>0.1</v>
      </c>
      <c r="AX2870" s="1">
        <v>0.1197</v>
      </c>
      <c r="AY2870" s="1">
        <v>13.3</v>
      </c>
      <c r="AZ2870" s="1">
        <v>10.8</v>
      </c>
      <c r="BA2870" s="1">
        <v>15.1</v>
      </c>
      <c r="BB2870" s="1">
        <v>3.35</v>
      </c>
      <c r="BC2870" s="1" t="s">
        <v>4607</v>
      </c>
      <c r="BD2870" s="1">
        <v>9.6</v>
      </c>
      <c r="BE2870" s="1">
        <v>30.7</v>
      </c>
      <c r="BF2870" s="1">
        <v>28.2</v>
      </c>
      <c r="BG2870" s="1">
        <v>31.5</v>
      </c>
      <c r="BH2870" s="1" t="s">
        <v>4682</v>
      </c>
    </row>
    <row r="2871">
      <c r="A2871" s="1">
        <v>51105.0</v>
      </c>
      <c r="B2871" s="2" t="str">
        <f>IFERROR(__xludf.DUMMYFUNCTION("TO_TEXT(A2871)"),"51105")</f>
        <v>51105</v>
      </c>
      <c r="C2871" s="1">
        <v>24911.0</v>
      </c>
      <c r="D2871" s="1">
        <v>435.518672197892</v>
      </c>
      <c r="E2871" s="1" t="s">
        <v>140</v>
      </c>
      <c r="F2871" s="1" t="s">
        <v>4683</v>
      </c>
      <c r="G2871" s="1">
        <v>57.1984660824848</v>
      </c>
      <c r="H2871" s="1">
        <v>19.3321522659999</v>
      </c>
      <c r="I2871" s="1">
        <v>4.4485072079</v>
      </c>
      <c r="J2871" s="1">
        <v>10.364321608</v>
      </c>
      <c r="K2871" s="1">
        <v>21.930937653</v>
      </c>
      <c r="L2871" s="1">
        <v>37.2</v>
      </c>
      <c r="M2871" s="1">
        <v>8.0</v>
      </c>
      <c r="N2871" s="1">
        <v>33.7</v>
      </c>
      <c r="O2871" s="1">
        <v>35.967483488</v>
      </c>
      <c r="P2871" s="1">
        <v>12.25018718</v>
      </c>
      <c r="Q2871" s="1">
        <v>25.25465</v>
      </c>
      <c r="R2871" s="1">
        <v>84.5</v>
      </c>
      <c r="S2871" s="1">
        <v>32.5</v>
      </c>
      <c r="T2871" s="1">
        <v>4533.0</v>
      </c>
      <c r="U2871" s="1">
        <v>29.5609971319999</v>
      </c>
      <c r="V2871" s="1">
        <v>115.00978592</v>
      </c>
      <c r="W2871" s="1">
        <v>12.931034483</v>
      </c>
      <c r="X2871" s="1">
        <v>10.120350109</v>
      </c>
      <c r="Y2871" s="1">
        <v>75.384391533</v>
      </c>
      <c r="Z2871" s="1">
        <v>17.0</v>
      </c>
      <c r="AA2871" s="1">
        <v>0.0325753552</v>
      </c>
      <c r="AB2871" s="1">
        <v>34796.0</v>
      </c>
      <c r="AC2871" s="1">
        <v>85.9858938979999</v>
      </c>
      <c r="AD2871" s="1">
        <v>70.663460487</v>
      </c>
      <c r="AE2871" s="1">
        <v>14.7533092659999</v>
      </c>
      <c r="AF2871" s="1">
        <v>3.4535491271</v>
      </c>
      <c r="AG2871" s="1">
        <v>0.3950554352</v>
      </c>
      <c r="AH2871" s="1">
        <v>0.2548744743</v>
      </c>
      <c r="AI2871" s="1">
        <v>0.0424790791</v>
      </c>
      <c r="AJ2871" s="1">
        <v>1.9158064653</v>
      </c>
      <c r="AK2871" s="1">
        <v>93.088653838</v>
      </c>
      <c r="AL2871" s="1">
        <v>0.304202338</v>
      </c>
      <c r="AM2871" s="1">
        <v>48.018350962</v>
      </c>
      <c r="AN2871" s="1">
        <v>99.562277719</v>
      </c>
      <c r="AO2871" s="1">
        <v>17820.0</v>
      </c>
      <c r="AP2871" s="1">
        <v>26.1</v>
      </c>
      <c r="AQ2871" s="1">
        <v>12.3</v>
      </c>
      <c r="AR2871" s="1">
        <v>24.6</v>
      </c>
      <c r="AS2871" s="1">
        <v>18.6</v>
      </c>
      <c r="AT2871" s="1">
        <v>18.9</v>
      </c>
      <c r="AU2871" s="1">
        <v>25.3</v>
      </c>
      <c r="AV2871" s="1">
        <v>7.1</v>
      </c>
      <c r="AW2871" s="1">
        <v>0.3</v>
      </c>
      <c r="AX2871" s="1">
        <v>0.8195</v>
      </c>
      <c r="AY2871" s="1">
        <v>27.1</v>
      </c>
      <c r="AZ2871" s="1">
        <v>17.1</v>
      </c>
      <c r="BA2871" s="1">
        <v>23.8</v>
      </c>
      <c r="BB2871" s="1">
        <v>2.98</v>
      </c>
      <c r="BC2871" s="1" t="s">
        <v>4607</v>
      </c>
      <c r="BD2871" s="1">
        <v>23.3</v>
      </c>
      <c r="BE2871" s="1">
        <v>34.5</v>
      </c>
      <c r="BF2871" s="1">
        <v>31.1</v>
      </c>
      <c r="BG2871" s="1">
        <v>11.2</v>
      </c>
      <c r="BH2871" s="1" t="s">
        <v>4683</v>
      </c>
    </row>
    <row r="2872">
      <c r="A2872" s="1">
        <v>51107.0</v>
      </c>
      <c r="B2872" s="2" t="str">
        <f>IFERROR(__xludf.DUMMYFUNCTION("TO_TEXT(A2872)"),"51107")</f>
        <v>51107</v>
      </c>
      <c r="C2872" s="1">
        <v>362435.0</v>
      </c>
      <c r="D2872" s="1">
        <v>515.756189442594</v>
      </c>
      <c r="E2872" s="1" t="s">
        <v>4684</v>
      </c>
      <c r="F2872" s="1" t="s">
        <v>4685</v>
      </c>
      <c r="G2872" s="1">
        <v>702.725449386664</v>
      </c>
      <c r="H2872" s="1">
        <v>11.075939859</v>
      </c>
      <c r="I2872" s="1">
        <v>3.01182361</v>
      </c>
      <c r="J2872" s="1">
        <v>6.5632657607</v>
      </c>
      <c r="K2872" s="1">
        <v>10.980386028</v>
      </c>
      <c r="L2872" s="1">
        <v>22.3</v>
      </c>
      <c r="M2872" s="1">
        <v>10.0</v>
      </c>
      <c r="N2872" s="1">
        <v>16.9</v>
      </c>
      <c r="O2872" s="1">
        <v>91.72235368</v>
      </c>
      <c r="P2872" s="1">
        <v>6.5311802937</v>
      </c>
      <c r="Q2872" s="1">
        <v>77.37138</v>
      </c>
      <c r="R2872" s="1">
        <v>95.5</v>
      </c>
      <c r="S2872" s="1">
        <v>3.6</v>
      </c>
      <c r="T2872" s="1">
        <v>110216.0</v>
      </c>
      <c r="U2872" s="1">
        <v>13.532517965</v>
      </c>
      <c r="V2872" s="1">
        <v>100.42570308</v>
      </c>
      <c r="W2872" s="1">
        <v>11.270553064</v>
      </c>
      <c r="X2872" s="1">
        <v>9.5238095238</v>
      </c>
      <c r="Y2872" s="1">
        <v>84.204020171</v>
      </c>
      <c r="Z2872" s="1">
        <v>6.3</v>
      </c>
      <c r="AA2872" s="1">
        <v>0.7596398759</v>
      </c>
      <c r="AB2872" s="1">
        <v>140382.0</v>
      </c>
      <c r="AC2872" s="1">
        <v>17.912916135</v>
      </c>
      <c r="AD2872" s="1">
        <v>77.81803382</v>
      </c>
      <c r="AE2872" s="1">
        <v>9.3950177936</v>
      </c>
      <c r="AF2872" s="1">
        <v>7.4339437139</v>
      </c>
      <c r="AG2872" s="1">
        <v>0.456433575</v>
      </c>
      <c r="AH2872" s="1">
        <v>19.974191963</v>
      </c>
      <c r="AI2872" s="1">
        <v>0.1083937569</v>
      </c>
      <c r="AJ2872" s="1">
        <v>13.846626521</v>
      </c>
      <c r="AK2872" s="1">
        <v>55.321863095</v>
      </c>
      <c r="AL2872" s="1">
        <v>3.849205348</v>
      </c>
      <c r="AM2872" s="1">
        <v>50.480766867</v>
      </c>
      <c r="AN2872" s="1">
        <v>12.600901025</v>
      </c>
      <c r="AO2872" s="1">
        <v>48578.0</v>
      </c>
      <c r="AP2872" s="1">
        <v>4.0</v>
      </c>
      <c r="AQ2872" s="1">
        <v>3.9</v>
      </c>
      <c r="AR2872" s="1">
        <v>6.5</v>
      </c>
      <c r="AS2872" s="1">
        <v>8.0</v>
      </c>
      <c r="AT2872" s="1">
        <v>29.4</v>
      </c>
      <c r="AU2872" s="1">
        <v>5.5</v>
      </c>
      <c r="AV2872" s="1">
        <v>41.4</v>
      </c>
      <c r="AW2872" s="1">
        <v>3.7</v>
      </c>
      <c r="AX2872" s="1">
        <v>0.0863</v>
      </c>
      <c r="AY2872" s="1">
        <v>3.1</v>
      </c>
      <c r="AZ2872" s="1">
        <v>3.8</v>
      </c>
      <c r="BA2872" s="1">
        <v>3.9</v>
      </c>
      <c r="BB2872" s="1">
        <v>3.72</v>
      </c>
      <c r="BC2872" s="1" t="s">
        <v>4607</v>
      </c>
      <c r="BD2872" s="1">
        <v>6.1</v>
      </c>
      <c r="BE2872" s="1">
        <v>12.4</v>
      </c>
      <c r="BF2872" s="1">
        <v>20.2</v>
      </c>
      <c r="BG2872" s="1">
        <v>61.3</v>
      </c>
      <c r="BH2872" s="1" t="s">
        <v>4685</v>
      </c>
    </row>
    <row r="2873">
      <c r="A2873" s="1">
        <v>51109.0</v>
      </c>
      <c r="B2873" s="2" t="str">
        <f>IFERROR(__xludf.DUMMYFUNCTION("TO_TEXT(A2873)"),"51109")</f>
        <v>51109</v>
      </c>
      <c r="C2873" s="1">
        <v>34350.0</v>
      </c>
      <c r="D2873" s="1">
        <v>496.300795378074</v>
      </c>
      <c r="E2873" s="1" t="s">
        <v>1522</v>
      </c>
      <c r="F2873" s="1" t="s">
        <v>4686</v>
      </c>
      <c r="G2873" s="1">
        <v>69.2120591381133</v>
      </c>
      <c r="H2873" s="1">
        <v>14.904938457</v>
      </c>
      <c r="I2873" s="1">
        <v>3.9172666027</v>
      </c>
      <c r="J2873" s="1">
        <v>7.5115562404</v>
      </c>
      <c r="K2873" s="1">
        <v>16.358196679</v>
      </c>
      <c r="L2873" s="1">
        <v>30.4</v>
      </c>
      <c r="M2873" s="1">
        <v>8.8</v>
      </c>
      <c r="N2873" s="1">
        <v>31.3</v>
      </c>
      <c r="O2873" s="1">
        <v>36.702560854</v>
      </c>
      <c r="P2873" s="1">
        <v>12.516912402</v>
      </c>
      <c r="Q2873" s="1">
        <v>13.94311</v>
      </c>
      <c r="R2873" s="1">
        <v>94.2</v>
      </c>
      <c r="S2873" s="1">
        <v>14.9</v>
      </c>
      <c r="T2873" s="1">
        <v>7095.0</v>
      </c>
      <c r="U2873" s="1">
        <v>27.371388302</v>
      </c>
      <c r="V2873" s="1">
        <v>188.96447468</v>
      </c>
      <c r="W2873" s="1">
        <v>12.17192849</v>
      </c>
      <c r="X2873" s="1">
        <v>10.372933487</v>
      </c>
      <c r="Y2873" s="1">
        <v>78.133201156</v>
      </c>
      <c r="Z2873" s="1">
        <v>14.0</v>
      </c>
      <c r="AA2873" s="1">
        <v>0.701217842099999</v>
      </c>
      <c r="AB2873" s="1">
        <v>63714.0</v>
      </c>
      <c r="AC2873" s="1">
        <v>45.734693878</v>
      </c>
      <c r="AD2873" s="1">
        <v>79.690607735</v>
      </c>
      <c r="AE2873" s="1">
        <v>9.5804249444</v>
      </c>
      <c r="AF2873" s="1">
        <v>15.5663712</v>
      </c>
      <c r="AG2873" s="1">
        <v>0.6172168144</v>
      </c>
      <c r="AH2873" s="1">
        <v>0.6715971505</v>
      </c>
      <c r="AI2873" s="1">
        <v>0.0734134537</v>
      </c>
      <c r="AJ2873" s="1">
        <v>3.1323073577</v>
      </c>
      <c r="AK2873" s="1">
        <v>77.984120942</v>
      </c>
      <c r="AL2873" s="1">
        <v>0.8669397028</v>
      </c>
      <c r="AM2873" s="1">
        <v>50.5981836969999</v>
      </c>
      <c r="AN2873" s="1">
        <v>100.0</v>
      </c>
      <c r="AO2873" s="1">
        <v>28767.0</v>
      </c>
      <c r="AP2873" s="1">
        <v>12.0</v>
      </c>
      <c r="AQ2873" s="1">
        <v>8.1</v>
      </c>
      <c r="AR2873" s="1">
        <v>16.4</v>
      </c>
      <c r="AS2873" s="1">
        <v>17.3</v>
      </c>
      <c r="AT2873" s="1">
        <v>20.9</v>
      </c>
      <c r="AU2873" s="1">
        <v>15.7</v>
      </c>
      <c r="AV2873" s="1">
        <v>22.5</v>
      </c>
      <c r="AW2873" s="1">
        <v>0.8</v>
      </c>
      <c r="AX2873" s="1">
        <v>0.3069</v>
      </c>
      <c r="AY2873" s="1">
        <v>9.5</v>
      </c>
      <c r="AZ2873" s="1">
        <v>10.2</v>
      </c>
      <c r="BA2873" s="1">
        <v>14.2</v>
      </c>
      <c r="BB2873" s="1">
        <v>3.23</v>
      </c>
      <c r="BC2873" s="1" t="s">
        <v>4607</v>
      </c>
      <c r="BD2873" s="1">
        <v>14.8</v>
      </c>
      <c r="BE2873" s="1">
        <v>32.7</v>
      </c>
      <c r="BF2873" s="1">
        <v>28.5</v>
      </c>
      <c r="BG2873" s="1">
        <v>24.1</v>
      </c>
      <c r="BH2873" s="1" t="s">
        <v>4686</v>
      </c>
    </row>
    <row r="2874">
      <c r="A2874" s="1">
        <v>51111.0</v>
      </c>
      <c r="B2874" s="2" t="str">
        <f>IFERROR(__xludf.DUMMYFUNCTION("TO_TEXT(A2874)"),"51111")</f>
        <v>51111</v>
      </c>
      <c r="C2874" s="1">
        <v>12450.0</v>
      </c>
      <c r="D2874" s="1">
        <v>431.6864762566</v>
      </c>
      <c r="E2874" s="1" t="s">
        <v>4687</v>
      </c>
      <c r="F2874" s="1" t="s">
        <v>4688</v>
      </c>
      <c r="G2874" s="1">
        <v>28.8403753297093</v>
      </c>
      <c r="H2874" s="1">
        <v>21.366632995</v>
      </c>
      <c r="I2874" s="1">
        <v>4.272018896</v>
      </c>
      <c r="J2874" s="1">
        <v>15.374841169</v>
      </c>
      <c r="K2874" s="1">
        <v>20.163635584</v>
      </c>
      <c r="L2874" s="1">
        <v>40.0</v>
      </c>
      <c r="M2874" s="1">
        <v>8.0</v>
      </c>
      <c r="N2874" s="1">
        <v>27.8</v>
      </c>
      <c r="O2874" s="1">
        <v>57.131794951</v>
      </c>
      <c r="P2874" s="1">
        <v>15.298376737</v>
      </c>
      <c r="Q2874" s="1">
        <v>16.34655</v>
      </c>
      <c r="R2874" s="1">
        <v>79.8</v>
      </c>
      <c r="S2874" s="1">
        <v>24.8</v>
      </c>
      <c r="T2874" s="1">
        <v>2287.0</v>
      </c>
      <c r="U2874" s="1">
        <v>43.244425011</v>
      </c>
      <c r="V2874" s="1">
        <v>166.94490818</v>
      </c>
      <c r="W2874" s="1">
        <v>14.239828694</v>
      </c>
      <c r="X2874" s="1">
        <v>10.638297872</v>
      </c>
      <c r="Y2874" s="1">
        <v>75.853122588</v>
      </c>
      <c r="Z2874" s="1">
        <v>9.6</v>
      </c>
      <c r="AA2874" s="1">
        <v>0.0184629366</v>
      </c>
      <c r="AB2874" s="1">
        <v>41421.0</v>
      </c>
      <c r="AC2874" s="1">
        <v>66.557591623</v>
      </c>
      <c r="AD2874" s="1">
        <v>71.2999307319999</v>
      </c>
      <c r="AE2874" s="1">
        <v>10.544300708</v>
      </c>
      <c r="AF2874" s="1">
        <v>33.435379778</v>
      </c>
      <c r="AG2874" s="1">
        <v>0.5378123449</v>
      </c>
      <c r="AH2874" s="1">
        <v>0.3144133708</v>
      </c>
      <c r="AI2874" s="1">
        <v>0.2068509019</v>
      </c>
      <c r="AJ2874" s="1">
        <v>4.7989409234</v>
      </c>
      <c r="AK2874" s="1">
        <v>59.3827569089999</v>
      </c>
      <c r="AL2874" s="1">
        <v>0.4794931073</v>
      </c>
      <c r="AM2874" s="1">
        <v>47.046169121</v>
      </c>
      <c r="AN2874" s="1">
        <v>100.0</v>
      </c>
      <c r="AO2874" s="1">
        <v>18383.0</v>
      </c>
      <c r="AP2874" s="1">
        <v>20.6</v>
      </c>
      <c r="AQ2874" s="1">
        <v>6.2</v>
      </c>
      <c r="AR2874" s="1">
        <v>24.2</v>
      </c>
      <c r="AS2874" s="1">
        <v>19.8</v>
      </c>
      <c r="AT2874" s="1">
        <v>18.9</v>
      </c>
      <c r="AU2874" s="1">
        <v>20.6</v>
      </c>
      <c r="AV2874" s="1">
        <v>40.1</v>
      </c>
      <c r="AW2874" s="1">
        <v>0.9</v>
      </c>
      <c r="AX2874" s="1">
        <v>0.9134</v>
      </c>
      <c r="AY2874" s="1">
        <v>19.2</v>
      </c>
      <c r="AZ2874" s="1">
        <v>13.7</v>
      </c>
      <c r="BA2874" s="1">
        <v>20.3</v>
      </c>
      <c r="BB2874" s="1">
        <v>2.93</v>
      </c>
      <c r="BC2874" s="1" t="s">
        <v>4607</v>
      </c>
      <c r="BD2874" s="1">
        <v>22.2</v>
      </c>
      <c r="BE2874" s="1">
        <v>40.4</v>
      </c>
      <c r="BF2874" s="1">
        <v>26.1</v>
      </c>
      <c r="BG2874" s="1">
        <v>11.3</v>
      </c>
      <c r="BH2874" s="1" t="s">
        <v>4688</v>
      </c>
    </row>
    <row r="2875">
      <c r="A2875" s="1">
        <v>51113.0</v>
      </c>
      <c r="B2875" s="2" t="str">
        <f>IFERROR(__xludf.DUMMYFUNCTION("TO_TEXT(A2875)"),"51113")</f>
        <v>51113</v>
      </c>
      <c r="C2875" s="1">
        <v>13122.0</v>
      </c>
      <c r="D2875" s="1">
        <v>320.682945854516</v>
      </c>
      <c r="E2875" s="1" t="s">
        <v>148</v>
      </c>
      <c r="F2875" s="1" t="s">
        <v>4689</v>
      </c>
      <c r="G2875" s="1">
        <v>40.9189206025101</v>
      </c>
      <c r="H2875" s="1">
        <v>15.848099617</v>
      </c>
      <c r="I2875" s="1">
        <v>4.003033974</v>
      </c>
      <c r="J2875" s="1">
        <v>6.5388951522</v>
      </c>
      <c r="K2875" s="1">
        <v>16.414868138</v>
      </c>
      <c r="L2875" s="1">
        <v>37.8</v>
      </c>
      <c r="M2875" s="1">
        <v>8.9</v>
      </c>
      <c r="N2875" s="1">
        <v>25.4</v>
      </c>
      <c r="O2875" s="1">
        <v>51.660655245</v>
      </c>
      <c r="P2875" s="1">
        <v>12.867362722</v>
      </c>
      <c r="Q2875" s="1">
        <v>52.72275</v>
      </c>
      <c r="R2875" s="1">
        <v>95.5</v>
      </c>
      <c r="S2875" s="1">
        <v>16.1</v>
      </c>
      <c r="T2875" s="1">
        <v>2727.0</v>
      </c>
      <c r="U2875" s="1">
        <v>24.019068574</v>
      </c>
      <c r="V2875" s="1">
        <v>91.55762408</v>
      </c>
      <c r="W2875" s="1">
        <v>17.46031746</v>
      </c>
      <c r="X2875" s="1">
        <v>13.013013013</v>
      </c>
      <c r="Y2875" s="1">
        <v>77.959257718</v>
      </c>
      <c r="Z2875" s="1">
        <v>12.3</v>
      </c>
      <c r="AA2875" s="1">
        <v>1.138464456</v>
      </c>
      <c r="AB2875" s="1">
        <v>60450.0</v>
      </c>
      <c r="AC2875" s="1">
        <v>45.9016393439999</v>
      </c>
      <c r="AD2875" s="1">
        <v>73.139031115</v>
      </c>
      <c r="AE2875" s="1">
        <v>12.457482993</v>
      </c>
      <c r="AF2875" s="1">
        <v>8.9356901091</v>
      </c>
      <c r="AG2875" s="1">
        <v>0.2632568635</v>
      </c>
      <c r="AH2875" s="1">
        <v>0.6769462204</v>
      </c>
      <c r="AI2875" s="1">
        <v>0.0300864987</v>
      </c>
      <c r="AJ2875" s="1">
        <v>3.0537796164</v>
      </c>
      <c r="AK2875" s="1">
        <v>84.505453178</v>
      </c>
      <c r="AL2875" s="1">
        <v>0.3650503928</v>
      </c>
      <c r="AM2875" s="1">
        <v>51.741256111</v>
      </c>
      <c r="AN2875" s="1">
        <v>100.0</v>
      </c>
      <c r="AO2875" s="1">
        <v>27144.0</v>
      </c>
      <c r="AP2875" s="1">
        <v>11.7</v>
      </c>
      <c r="AQ2875" s="1">
        <v>5.3</v>
      </c>
      <c r="AR2875" s="1">
        <v>14.2</v>
      </c>
      <c r="AS2875" s="1">
        <v>20.4</v>
      </c>
      <c r="AT2875" s="1">
        <v>21.2</v>
      </c>
      <c r="AU2875" s="1">
        <v>12.9</v>
      </c>
      <c r="AV2875" s="1">
        <v>14.8</v>
      </c>
      <c r="AW2875" s="1">
        <v>0.5</v>
      </c>
      <c r="AX2875" s="1">
        <v>0.2493</v>
      </c>
      <c r="AY2875" s="1">
        <v>9.3</v>
      </c>
      <c r="AZ2875" s="1">
        <v>8.6</v>
      </c>
      <c r="BA2875" s="1">
        <v>10.8</v>
      </c>
      <c r="BB2875" s="1">
        <v>3.14</v>
      </c>
      <c r="BC2875" s="1" t="s">
        <v>4607</v>
      </c>
      <c r="BD2875" s="1">
        <v>13.9</v>
      </c>
      <c r="BE2875" s="1">
        <v>36.3</v>
      </c>
      <c r="BF2875" s="1">
        <v>26.4</v>
      </c>
      <c r="BG2875" s="1">
        <v>23.4</v>
      </c>
      <c r="BH2875" s="1" t="s">
        <v>4689</v>
      </c>
    </row>
    <row r="2876">
      <c r="A2876" s="1">
        <v>51115.0</v>
      </c>
      <c r="B2876" s="2" t="str">
        <f>IFERROR(__xludf.DUMMYFUNCTION("TO_TEXT(A2876)"),"51115")</f>
        <v>51115</v>
      </c>
      <c r="C2876" s="1">
        <v>8848.0</v>
      </c>
      <c r="D2876" s="1">
        <v>85.929081961984</v>
      </c>
      <c r="E2876" s="1" t="s">
        <v>4690</v>
      </c>
      <c r="F2876" s="1" t="s">
        <v>4691</v>
      </c>
      <c r="G2876" s="1">
        <v>102.968631783061</v>
      </c>
      <c r="H2876" s="1">
        <v>14.874664098</v>
      </c>
      <c r="I2876" s="1">
        <v>3.7227494454</v>
      </c>
      <c r="J2876" s="1">
        <v>8.1534772182</v>
      </c>
      <c r="K2876" s="1">
        <v>14.357369524</v>
      </c>
      <c r="L2876" s="1">
        <v>32.0</v>
      </c>
      <c r="M2876" s="1">
        <v>9.1</v>
      </c>
      <c r="N2876" s="1">
        <v>24.8</v>
      </c>
      <c r="O2876" s="1">
        <v>51.704165738</v>
      </c>
      <c r="P2876" s="1">
        <v>9.77182539679999</v>
      </c>
      <c r="Q2876" s="1">
        <v>45.56328</v>
      </c>
      <c r="R2876" s="1">
        <v>94.2</v>
      </c>
      <c r="S2876" s="1">
        <v>16.6</v>
      </c>
      <c r="T2876" s="1">
        <v>1335.0</v>
      </c>
      <c r="U2876" s="1">
        <v>20.374531835</v>
      </c>
      <c r="V2876" s="1">
        <v>39.59947955</v>
      </c>
      <c r="W2876" s="1">
        <v>10.039113429</v>
      </c>
      <c r="X2876" s="1">
        <v>9.93464052289999</v>
      </c>
      <c r="Y2876" s="1">
        <v>78.313276034</v>
      </c>
      <c r="Z2876" s="1">
        <v>6.7</v>
      </c>
      <c r="AA2876" s="1">
        <v>0.0</v>
      </c>
      <c r="AB2876" s="1">
        <v>61764.0</v>
      </c>
      <c r="AC2876" s="1">
        <v>42.606284658</v>
      </c>
      <c r="AD2876" s="1">
        <v>87.1545547589999</v>
      </c>
      <c r="AE2876" s="1">
        <v>12.121988724</v>
      </c>
      <c r="AF2876" s="1">
        <v>8.4753465122</v>
      </c>
      <c r="AG2876" s="1">
        <v>0.3067484663</v>
      </c>
      <c r="AH2876" s="1">
        <v>1.0111338332</v>
      </c>
      <c r="AI2876" s="1">
        <v>0.1249715974</v>
      </c>
      <c r="AJ2876" s="1">
        <v>2.7720972506</v>
      </c>
      <c r="AK2876" s="1">
        <v>85.298795728</v>
      </c>
      <c r="AL2876" s="1">
        <v>0.0</v>
      </c>
      <c r="AM2876" s="1">
        <v>51.885935015</v>
      </c>
      <c r="AN2876" s="1">
        <v>100.0</v>
      </c>
      <c r="AO2876" s="1">
        <v>34918.0</v>
      </c>
      <c r="AP2876" s="1">
        <v>9.6</v>
      </c>
      <c r="AQ2876" s="1">
        <v>2.0</v>
      </c>
      <c r="AR2876" s="1">
        <v>8.5</v>
      </c>
      <c r="AS2876" s="1">
        <v>29.2</v>
      </c>
      <c r="AT2876" s="1">
        <v>16.6</v>
      </c>
      <c r="AU2876" s="1">
        <v>14.5</v>
      </c>
      <c r="AV2876" s="1">
        <v>14.0</v>
      </c>
      <c r="AW2876" s="1">
        <v>0.1</v>
      </c>
      <c r="AX2876" s="1">
        <v>0.0178</v>
      </c>
      <c r="AY2876" s="1">
        <v>8.8</v>
      </c>
      <c r="AZ2876" s="1">
        <v>9.3</v>
      </c>
      <c r="BA2876" s="1">
        <v>14.6</v>
      </c>
      <c r="BB2876" s="1">
        <v>3.19</v>
      </c>
      <c r="BC2876" s="1" t="s">
        <v>4607</v>
      </c>
      <c r="BD2876" s="1">
        <v>9.5</v>
      </c>
      <c r="BE2876" s="1">
        <v>30.8</v>
      </c>
      <c r="BF2876" s="1">
        <v>31.8</v>
      </c>
      <c r="BG2876" s="1">
        <v>27.9</v>
      </c>
      <c r="BH2876" s="1" t="s">
        <v>4691</v>
      </c>
    </row>
    <row r="2877">
      <c r="A2877" s="1">
        <v>51117.0</v>
      </c>
      <c r="B2877" s="2" t="str">
        <f>IFERROR(__xludf.DUMMYFUNCTION("TO_TEXT(A2877)"),"51117")</f>
        <v>51117</v>
      </c>
      <c r="C2877" s="1">
        <v>31209.0</v>
      </c>
      <c r="D2877" s="1">
        <v>625.46941367902</v>
      </c>
      <c r="E2877" s="1" t="s">
        <v>3265</v>
      </c>
      <c r="F2877" s="1" t="s">
        <v>4692</v>
      </c>
      <c r="G2877" s="1">
        <v>49.8969243218916</v>
      </c>
      <c r="H2877" s="1">
        <v>19.021058059</v>
      </c>
      <c r="I2877" s="1">
        <v>4.0440779432</v>
      </c>
      <c r="J2877" s="1">
        <v>10.501193317</v>
      </c>
      <c r="K2877" s="1">
        <v>17.546600948</v>
      </c>
      <c r="L2877" s="1">
        <v>39.1</v>
      </c>
      <c r="M2877" s="1">
        <v>7.5</v>
      </c>
      <c r="N2877" s="1">
        <v>26.9</v>
      </c>
      <c r="O2877" s="1">
        <v>55.440462004</v>
      </c>
      <c r="P2877" s="1">
        <v>11.900269542</v>
      </c>
      <c r="Q2877" s="1">
        <v>52.14104</v>
      </c>
      <c r="R2877" s="1">
        <v>88.9</v>
      </c>
      <c r="S2877" s="1">
        <v>29.8</v>
      </c>
      <c r="T2877" s="1">
        <v>5766.0</v>
      </c>
      <c r="U2877" s="1">
        <v>47.537287548</v>
      </c>
      <c r="V2877" s="1">
        <v>247.85355581</v>
      </c>
      <c r="W2877" s="1">
        <v>13.8416908409999</v>
      </c>
      <c r="X2877" s="1">
        <v>12.747160286</v>
      </c>
      <c r="Y2877" s="1">
        <v>74.161405281</v>
      </c>
      <c r="Z2877" s="1">
        <v>19.4</v>
      </c>
      <c r="AA2877" s="1">
        <v>3.870977093</v>
      </c>
      <c r="AB2877" s="1">
        <v>44832.0</v>
      </c>
      <c r="AC2877" s="1">
        <v>63.093591517</v>
      </c>
      <c r="AD2877" s="1">
        <v>69.885738468</v>
      </c>
      <c r="AE2877" s="1">
        <v>13.149201688</v>
      </c>
      <c r="AF2877" s="1">
        <v>34.159869494</v>
      </c>
      <c r="AG2877" s="1">
        <v>0.3621533442</v>
      </c>
      <c r="AH2877" s="1">
        <v>0.8874388254</v>
      </c>
      <c r="AI2877" s="1">
        <v>0.0978792822</v>
      </c>
      <c r="AJ2877" s="1">
        <v>3.0505709625</v>
      </c>
      <c r="AK2877" s="1">
        <v>59.977161501</v>
      </c>
      <c r="AL2877" s="1">
        <v>0.299136583</v>
      </c>
      <c r="AM2877" s="1">
        <v>51.435562806</v>
      </c>
      <c r="AN2877" s="1">
        <v>77.810370642</v>
      </c>
      <c r="AO2877" s="1">
        <v>21492.0</v>
      </c>
      <c r="AP2877" s="1">
        <v>17.8</v>
      </c>
      <c r="AQ2877" s="1">
        <v>6.1</v>
      </c>
      <c r="AR2877" s="1">
        <v>20.1</v>
      </c>
      <c r="AS2877" s="1">
        <v>23.8</v>
      </c>
      <c r="AT2877" s="1">
        <v>19.2</v>
      </c>
      <c r="AU2877" s="1">
        <v>20.3</v>
      </c>
      <c r="AV2877" s="1">
        <v>39.9</v>
      </c>
      <c r="AW2877" s="1">
        <v>0.2</v>
      </c>
      <c r="AX2877" s="1">
        <v>0.6848</v>
      </c>
      <c r="AY2877" s="1">
        <v>17.3</v>
      </c>
      <c r="AZ2877" s="1">
        <v>14.7</v>
      </c>
      <c r="BA2877" s="1">
        <v>21.3</v>
      </c>
      <c r="BB2877" s="1">
        <v>2.96</v>
      </c>
      <c r="BC2877" s="1" t="s">
        <v>4607</v>
      </c>
      <c r="BD2877" s="1">
        <v>18.1</v>
      </c>
      <c r="BE2877" s="1">
        <v>31.8</v>
      </c>
      <c r="BF2877" s="1">
        <v>30.0</v>
      </c>
      <c r="BG2877" s="1">
        <v>20.2</v>
      </c>
      <c r="BH2877" s="1" t="s">
        <v>4692</v>
      </c>
    </row>
    <row r="2878">
      <c r="A2878" s="1">
        <v>51119.0</v>
      </c>
      <c r="B2878" s="2" t="str">
        <f>IFERROR(__xludf.DUMMYFUNCTION("TO_TEXT(A2878)"),"51119")</f>
        <v>51119</v>
      </c>
      <c r="C2878" s="1">
        <v>10728.0</v>
      </c>
      <c r="D2878" s="1">
        <v>130.312403390828</v>
      </c>
      <c r="E2878" s="1" t="s">
        <v>659</v>
      </c>
      <c r="F2878" s="1" t="s">
        <v>4693</v>
      </c>
      <c r="G2878" s="1">
        <v>82.325240889196</v>
      </c>
      <c r="H2878" s="1">
        <v>15.456693903</v>
      </c>
      <c r="I2878" s="1">
        <v>3.9486376145</v>
      </c>
      <c r="J2878" s="1">
        <v>8.850931677</v>
      </c>
      <c r="K2878" s="1">
        <v>15.1365461029999</v>
      </c>
      <c r="L2878" s="1">
        <v>30.3</v>
      </c>
      <c r="M2878" s="1">
        <v>8.8</v>
      </c>
      <c r="N2878" s="1">
        <v>24.4</v>
      </c>
      <c r="O2878" s="1">
        <v>37.77716945</v>
      </c>
      <c r="P2878" s="1">
        <v>11.401157048</v>
      </c>
      <c r="Q2878" s="1">
        <v>28.09252</v>
      </c>
      <c r="R2878" s="1">
        <v>93.5</v>
      </c>
      <c r="S2878" s="1">
        <v>22.9</v>
      </c>
      <c r="T2878" s="1">
        <v>1678.0</v>
      </c>
      <c r="U2878" s="1">
        <v>31.466030989</v>
      </c>
      <c r="V2878" s="1">
        <v>217.04255921</v>
      </c>
      <c r="W2878" s="1">
        <v>13.966480447</v>
      </c>
      <c r="X2878" s="1">
        <v>13.363636364</v>
      </c>
      <c r="Y2878" s="1">
        <v>77.4066060339999</v>
      </c>
      <c r="Z2878" s="1">
        <v>10.0</v>
      </c>
      <c r="AA2878" s="1">
        <v>0.246586615</v>
      </c>
      <c r="AB2878" s="1">
        <v>54871.0</v>
      </c>
      <c r="AC2878" s="1">
        <v>54.127725857</v>
      </c>
      <c r="AD2878" s="1">
        <v>80.489447687</v>
      </c>
      <c r="AE2878" s="1">
        <v>15.454971857</v>
      </c>
      <c r="AF2878" s="1">
        <v>16.4453524</v>
      </c>
      <c r="AG2878" s="1">
        <v>0.5292970564</v>
      </c>
      <c r="AH2878" s="1">
        <v>0.4642956635</v>
      </c>
      <c r="AI2878" s="1">
        <v>0.0557154796</v>
      </c>
      <c r="AJ2878" s="1">
        <v>2.7950598941</v>
      </c>
      <c r="AK2878" s="1">
        <v>77.481660321</v>
      </c>
      <c r="AL2878" s="1">
        <v>0.0</v>
      </c>
      <c r="AM2878" s="1">
        <v>51.313956728</v>
      </c>
      <c r="AN2878" s="1">
        <v>100.0</v>
      </c>
      <c r="AO2878" s="1">
        <v>29391.0</v>
      </c>
      <c r="AP2878" s="1">
        <v>10.9</v>
      </c>
      <c r="AQ2878" s="1">
        <v>5.3</v>
      </c>
      <c r="AR2878" s="1">
        <v>11.4</v>
      </c>
      <c r="AS2878" s="1">
        <v>29.0</v>
      </c>
      <c r="AT2878" s="1">
        <v>15.6</v>
      </c>
      <c r="AU2878" s="1">
        <v>16.9</v>
      </c>
      <c r="AV2878" s="1">
        <v>22.4</v>
      </c>
      <c r="AW2878" s="1">
        <v>0.1</v>
      </c>
      <c r="AX2878" s="1">
        <v>0.2095</v>
      </c>
      <c r="AY2878" s="1">
        <v>13.8</v>
      </c>
      <c r="AZ2878" s="1">
        <v>9.0</v>
      </c>
      <c r="BA2878" s="1">
        <v>12.0</v>
      </c>
      <c r="BB2878" s="1">
        <v>3.28</v>
      </c>
      <c r="BC2878" s="1" t="s">
        <v>4607</v>
      </c>
      <c r="BD2878" s="1">
        <v>12.9</v>
      </c>
      <c r="BE2878" s="1">
        <v>32.6</v>
      </c>
      <c r="BF2878" s="1">
        <v>32.9</v>
      </c>
      <c r="BG2878" s="1">
        <v>21.5</v>
      </c>
      <c r="BH2878" s="1" t="s">
        <v>4693</v>
      </c>
    </row>
    <row r="2879">
      <c r="A2879" s="1">
        <v>51121.0</v>
      </c>
      <c r="B2879" s="2" t="str">
        <f>IFERROR(__xludf.DUMMYFUNCTION("TO_TEXT(A2879)"),"51121")</f>
        <v>51121</v>
      </c>
      <c r="C2879" s="1">
        <v>97227.0</v>
      </c>
      <c r="D2879" s="1">
        <v>386.513300560928</v>
      </c>
      <c r="E2879" s="1" t="s">
        <v>160</v>
      </c>
      <c r="F2879" s="1" t="s">
        <v>4694</v>
      </c>
      <c r="G2879" s="1">
        <v>251.548911405893</v>
      </c>
      <c r="H2879" s="1">
        <v>15.5520384009999</v>
      </c>
      <c r="I2879" s="1">
        <v>4.0326163533</v>
      </c>
      <c r="J2879" s="1">
        <v>6.9191670766</v>
      </c>
      <c r="K2879" s="1">
        <v>16.8873363409999</v>
      </c>
      <c r="L2879" s="1">
        <v>26.5</v>
      </c>
      <c r="M2879" s="1">
        <v>7.8</v>
      </c>
      <c r="N2879" s="1">
        <v>21.8</v>
      </c>
      <c r="O2879" s="1">
        <v>74.4798287989999</v>
      </c>
      <c r="P2879" s="1">
        <v>10.956911312</v>
      </c>
      <c r="Q2879" s="1">
        <v>70.00883</v>
      </c>
      <c r="R2879" s="1">
        <v>95.4</v>
      </c>
      <c r="S2879" s="1">
        <v>14.6</v>
      </c>
      <c r="T2879" s="1">
        <v>15107.0</v>
      </c>
      <c r="U2879" s="1">
        <v>23.810154233</v>
      </c>
      <c r="V2879" s="1">
        <v>128.07983128</v>
      </c>
      <c r="W2879" s="1">
        <v>19.31372549</v>
      </c>
      <c r="X2879" s="1">
        <v>18.256840886</v>
      </c>
      <c r="Y2879" s="1">
        <v>80.040231731</v>
      </c>
      <c r="Z2879" s="1">
        <v>7.4</v>
      </c>
      <c r="AA2879" s="1">
        <v>3.5234346269</v>
      </c>
      <c r="AB2879" s="1">
        <v>52538.0</v>
      </c>
      <c r="AC2879" s="1">
        <v>36.884248936</v>
      </c>
      <c r="AD2879" s="1">
        <v>55.040441902</v>
      </c>
      <c r="AE2879" s="1">
        <v>16.916874756</v>
      </c>
      <c r="AF2879" s="1">
        <v>4.0541496186</v>
      </c>
      <c r="AG2879" s="1">
        <v>0.3081274941</v>
      </c>
      <c r="AH2879" s="1">
        <v>6.5757437996</v>
      </c>
      <c r="AI2879" s="1">
        <v>0.0545537203</v>
      </c>
      <c r="AJ2879" s="1">
        <v>3.3196949033</v>
      </c>
      <c r="AK2879" s="1">
        <v>83.5409405469999</v>
      </c>
      <c r="AL2879" s="1">
        <v>0.846923627399999</v>
      </c>
      <c r="AM2879" s="1">
        <v>48.0204071319999</v>
      </c>
      <c r="AN2879" s="1">
        <v>24.925841173</v>
      </c>
      <c r="AO2879" s="1">
        <v>26819.0</v>
      </c>
      <c r="AP2879" s="1">
        <v>24.0</v>
      </c>
      <c r="AQ2879" s="1">
        <v>4.6</v>
      </c>
      <c r="AR2879" s="1">
        <v>8.7</v>
      </c>
      <c r="AS2879" s="1">
        <v>11.0</v>
      </c>
      <c r="AT2879" s="1">
        <v>16.0</v>
      </c>
      <c r="AU2879" s="1">
        <v>9.7</v>
      </c>
      <c r="AV2879" s="1">
        <v>15.8</v>
      </c>
      <c r="AW2879" s="1">
        <v>0.8</v>
      </c>
      <c r="AX2879" s="1">
        <v>0.2544</v>
      </c>
      <c r="AY2879" s="1">
        <v>20.5</v>
      </c>
      <c r="AZ2879" s="1">
        <v>10.5</v>
      </c>
      <c r="BA2879" s="1">
        <v>12.0</v>
      </c>
      <c r="BB2879" s="1">
        <v>3.26</v>
      </c>
      <c r="BC2879" s="1" t="s">
        <v>4607</v>
      </c>
      <c r="BD2879" s="1">
        <v>6.8</v>
      </c>
      <c r="BE2879" s="1">
        <v>23.4</v>
      </c>
      <c r="BF2879" s="1">
        <v>24.4</v>
      </c>
      <c r="BG2879" s="1">
        <v>45.5</v>
      </c>
      <c r="BH2879" s="1" t="s">
        <v>4694</v>
      </c>
    </row>
    <row r="2880">
      <c r="A2880" s="1">
        <v>51125.0</v>
      </c>
      <c r="B2880" s="2" t="str">
        <f>IFERROR(__xludf.DUMMYFUNCTION("TO_TEXT(A2880)"),"51125")</f>
        <v>51125</v>
      </c>
      <c r="C2880" s="1">
        <v>14831.0</v>
      </c>
      <c r="D2880" s="1">
        <v>470.852770086854</v>
      </c>
      <c r="E2880" s="1" t="s">
        <v>1891</v>
      </c>
      <c r="F2880" s="1" t="s">
        <v>4695</v>
      </c>
      <c r="G2880" s="1">
        <v>31.4981687317338</v>
      </c>
      <c r="H2880" s="1">
        <v>15.239442076</v>
      </c>
      <c r="I2880" s="1">
        <v>3.9834312994</v>
      </c>
      <c r="J2880" s="1">
        <v>7.5675675676</v>
      </c>
      <c r="K2880" s="1">
        <v>16.497659898</v>
      </c>
      <c r="L2880" s="1">
        <v>28.4</v>
      </c>
      <c r="M2880" s="1">
        <v>8.4</v>
      </c>
      <c r="N2880" s="1">
        <v>22.0</v>
      </c>
      <c r="O2880" s="1">
        <v>54.553928096</v>
      </c>
      <c r="P2880" s="1">
        <v>13.28096456</v>
      </c>
      <c r="Q2880" s="1">
        <v>86.99726</v>
      </c>
      <c r="R2880" s="1">
        <v>92.4</v>
      </c>
      <c r="S2880" s="1">
        <v>19.9</v>
      </c>
      <c r="T2880" s="1">
        <v>2672.0</v>
      </c>
      <c r="U2880" s="1">
        <v>40.868263473</v>
      </c>
      <c r="V2880" s="1">
        <v>142.8037129</v>
      </c>
      <c r="W2880" s="1">
        <v>14.0282131659999</v>
      </c>
      <c r="X2880" s="1">
        <v>11.5755627009999</v>
      </c>
      <c r="Y2880" s="1">
        <v>78.04309464</v>
      </c>
      <c r="Z2880" s="1">
        <v>6.1</v>
      </c>
      <c r="AA2880" s="1">
        <v>3.1003739024</v>
      </c>
      <c r="AB2880" s="1">
        <v>56690.0</v>
      </c>
      <c r="AC2880" s="1">
        <v>54.091392136</v>
      </c>
      <c r="AD2880" s="1">
        <v>74.274631497</v>
      </c>
      <c r="AE2880" s="1">
        <v>12.669295388</v>
      </c>
      <c r="AF2880" s="1">
        <v>11.236182259</v>
      </c>
      <c r="AG2880" s="1">
        <v>0.5324885414</v>
      </c>
      <c r="AH2880" s="1">
        <v>0.7684011863</v>
      </c>
      <c r="AI2880" s="1">
        <v>0.0337018064</v>
      </c>
      <c r="AJ2880" s="1">
        <v>4.4755998922</v>
      </c>
      <c r="AK2880" s="1">
        <v>81.416823942</v>
      </c>
      <c r="AL2880" s="1">
        <v>0.3666102651</v>
      </c>
      <c r="AM2880" s="1">
        <v>51.671609598</v>
      </c>
      <c r="AN2880" s="1">
        <v>100.0</v>
      </c>
      <c r="AO2880" s="1">
        <v>29769.0</v>
      </c>
      <c r="AP2880" s="1">
        <v>14.6</v>
      </c>
      <c r="AQ2880" s="1">
        <v>3.8</v>
      </c>
      <c r="AR2880" s="1">
        <v>13.6</v>
      </c>
      <c r="AS2880" s="1">
        <v>23.3</v>
      </c>
      <c r="AT2880" s="1">
        <v>19.8</v>
      </c>
      <c r="AU2880" s="1">
        <v>14.3</v>
      </c>
      <c r="AV2880" s="1">
        <v>18.3</v>
      </c>
      <c r="AW2880" s="1">
        <v>0.3</v>
      </c>
      <c r="AX2880" s="1">
        <v>0.3563</v>
      </c>
      <c r="AY2880" s="1">
        <v>11.8</v>
      </c>
      <c r="AZ2880" s="1">
        <v>10.0</v>
      </c>
      <c r="BA2880" s="1">
        <v>14.6</v>
      </c>
      <c r="BB2880" s="1">
        <v>3.24</v>
      </c>
      <c r="BC2880" s="1" t="s">
        <v>4607</v>
      </c>
      <c r="BD2880" s="1">
        <v>14.3</v>
      </c>
      <c r="BE2880" s="1">
        <v>35.2</v>
      </c>
      <c r="BF2880" s="1">
        <v>20.2</v>
      </c>
      <c r="BG2880" s="1">
        <v>30.4</v>
      </c>
      <c r="BH2880" s="1" t="s">
        <v>4695</v>
      </c>
    </row>
    <row r="2881">
      <c r="A2881" s="1">
        <v>51127.0</v>
      </c>
      <c r="B2881" s="2" t="str">
        <f>IFERROR(__xludf.DUMMYFUNCTION("TO_TEXT(A2881)"),"51127")</f>
        <v>51127</v>
      </c>
      <c r="C2881" s="1">
        <v>20051.0</v>
      </c>
      <c r="D2881" s="1">
        <v>209.735113368646</v>
      </c>
      <c r="E2881" s="1" t="s">
        <v>4696</v>
      </c>
      <c r="F2881" s="1" t="s">
        <v>4697</v>
      </c>
      <c r="G2881" s="1">
        <v>95.6015408099877</v>
      </c>
      <c r="H2881" s="1">
        <v>12.097618935</v>
      </c>
      <c r="I2881" s="1">
        <v>3.5530882593</v>
      </c>
      <c r="J2881" s="1">
        <v>7.1834992888</v>
      </c>
      <c r="K2881" s="1">
        <v>14.3886208</v>
      </c>
      <c r="L2881" s="1">
        <v>32.9</v>
      </c>
      <c r="M2881" s="1">
        <v>9.4</v>
      </c>
      <c r="N2881" s="1">
        <v>25.5</v>
      </c>
      <c r="O2881" s="1">
        <v>77.600520918</v>
      </c>
      <c r="P2881" s="1">
        <v>9.5732542218</v>
      </c>
      <c r="Q2881" s="1">
        <v>32.28484</v>
      </c>
      <c r="R2881" s="1">
        <v>93.5</v>
      </c>
      <c r="S2881" s="1">
        <v>7.3</v>
      </c>
      <c r="T2881" s="1">
        <v>4327.0</v>
      </c>
      <c r="U2881" s="1">
        <v>21.215622833</v>
      </c>
      <c r="V2881" s="1">
        <v>145.92402058</v>
      </c>
      <c r="W2881" s="1">
        <v>13.205043132</v>
      </c>
      <c r="X2881" s="1">
        <v>11.760797342</v>
      </c>
      <c r="Y2881" s="1">
        <v>79.369439989</v>
      </c>
      <c r="Z2881" s="1">
        <v>9.0</v>
      </c>
      <c r="AA2881" s="1">
        <v>0.0</v>
      </c>
      <c r="AB2881" s="1">
        <v>90858.0</v>
      </c>
      <c r="AC2881" s="1">
        <v>23.89025894</v>
      </c>
      <c r="AD2881" s="1">
        <v>85.1947382</v>
      </c>
      <c r="AE2881" s="1">
        <v>12.44044468</v>
      </c>
      <c r="AF2881" s="1">
        <v>13.456299406</v>
      </c>
      <c r="AG2881" s="1">
        <v>1.13885043099999</v>
      </c>
      <c r="AH2881" s="1">
        <v>1.21923987319999</v>
      </c>
      <c r="AI2881" s="1">
        <v>0.0491268813</v>
      </c>
      <c r="AJ2881" s="1">
        <v>3.6800500201</v>
      </c>
      <c r="AK2881" s="1">
        <v>78.169800366</v>
      </c>
      <c r="AL2881" s="1">
        <v>0.0</v>
      </c>
      <c r="AM2881" s="1">
        <v>48.863382609</v>
      </c>
      <c r="AN2881" s="1">
        <v>100.0</v>
      </c>
      <c r="AO2881" s="1">
        <v>35723.0</v>
      </c>
      <c r="AP2881" s="1">
        <v>5.0</v>
      </c>
      <c r="AQ2881" s="1">
        <v>4.9</v>
      </c>
      <c r="AR2881" s="1">
        <v>8.2</v>
      </c>
      <c r="AS2881" s="1">
        <v>14.7</v>
      </c>
      <c r="AT2881" s="1">
        <v>21.3</v>
      </c>
      <c r="AU2881" s="1">
        <v>10.5</v>
      </c>
      <c r="AV2881" s="1">
        <v>20.1</v>
      </c>
      <c r="AW2881" s="1">
        <v>0.0</v>
      </c>
      <c r="AX2881" s="1">
        <v>0.006</v>
      </c>
      <c r="AY2881" s="1">
        <v>5.0</v>
      </c>
      <c r="AZ2881" s="1">
        <v>5.9</v>
      </c>
      <c r="BA2881" s="1">
        <v>9.2</v>
      </c>
      <c r="BB2881" s="1">
        <v>2.83</v>
      </c>
      <c r="BC2881" s="1" t="s">
        <v>4607</v>
      </c>
      <c r="BD2881" s="1">
        <v>7.3</v>
      </c>
      <c r="BE2881" s="1">
        <v>34.5</v>
      </c>
      <c r="BF2881" s="1">
        <v>31.3</v>
      </c>
      <c r="BG2881" s="1">
        <v>26.9</v>
      </c>
      <c r="BH2881" s="1" t="s">
        <v>4697</v>
      </c>
    </row>
    <row r="2882">
      <c r="A2882" s="1">
        <v>51131.0</v>
      </c>
      <c r="B2882" s="2" t="str">
        <f>IFERROR(__xludf.DUMMYFUNCTION("TO_TEXT(A2882)"),"51131")</f>
        <v>51131</v>
      </c>
      <c r="C2882" s="1">
        <v>12118.0</v>
      </c>
      <c r="D2882" s="1">
        <v>211.691704944847</v>
      </c>
      <c r="E2882" s="1" t="s">
        <v>3275</v>
      </c>
      <c r="F2882" s="1" t="s">
        <v>4698</v>
      </c>
      <c r="G2882" s="1">
        <v>57.2436222909967</v>
      </c>
      <c r="H2882" s="1">
        <v>19.151978147</v>
      </c>
      <c r="I2882" s="1">
        <v>4.2018772686</v>
      </c>
      <c r="J2882" s="1">
        <v>9.46408209809999</v>
      </c>
      <c r="K2882" s="1">
        <v>17.676130785</v>
      </c>
      <c r="L2882" s="1">
        <v>36.0</v>
      </c>
      <c r="M2882" s="1">
        <v>7.7</v>
      </c>
      <c r="N2882" s="1">
        <v>27.7</v>
      </c>
      <c r="O2882" s="1">
        <v>19.581887158</v>
      </c>
      <c r="P2882" s="1">
        <v>14.571229375</v>
      </c>
      <c r="Q2882" s="1">
        <v>101.30002</v>
      </c>
      <c r="R2882" s="1">
        <v>91.4</v>
      </c>
      <c r="S2882" s="1">
        <v>30.0</v>
      </c>
      <c r="T2882" s="1">
        <v>2316.0</v>
      </c>
      <c r="U2882" s="1">
        <v>51.03626943</v>
      </c>
      <c r="V2882" s="1">
        <v>99.56027545</v>
      </c>
      <c r="W2882" s="1">
        <v>14.5812807879999</v>
      </c>
      <c r="X2882" s="1">
        <v>13.4888438129999</v>
      </c>
      <c r="Y2882" s="1">
        <v>75.995752593</v>
      </c>
      <c r="Z2882" s="1">
        <v>15.4</v>
      </c>
      <c r="AA2882" s="1">
        <v>0.4073554907</v>
      </c>
      <c r="AB2882" s="1">
        <v>43157.0</v>
      </c>
      <c r="AC2882" s="1">
        <v>75.634824667</v>
      </c>
      <c r="AD2882" s="1">
        <v>65.443603184</v>
      </c>
      <c r="AE2882" s="1">
        <v>11.8817976609999</v>
      </c>
      <c r="AF2882" s="1">
        <v>33.336173839</v>
      </c>
      <c r="AG2882" s="1">
        <v>0.3749467405</v>
      </c>
      <c r="AH2882" s="1">
        <v>0.9970174691</v>
      </c>
      <c r="AI2882" s="1">
        <v>0.2045164039</v>
      </c>
      <c r="AJ2882" s="1">
        <v>9.3140178952</v>
      </c>
      <c r="AK2882" s="1">
        <v>54.375798892</v>
      </c>
      <c r="AL2882" s="1">
        <v>1.7722640673</v>
      </c>
      <c r="AM2882" s="1">
        <v>52.253941202</v>
      </c>
      <c r="AN2882" s="1">
        <v>100.0</v>
      </c>
      <c r="AO2882" s="1">
        <v>23331.0</v>
      </c>
      <c r="AP2882" s="1">
        <v>21.9</v>
      </c>
      <c r="AQ2882" s="1">
        <v>7.0</v>
      </c>
      <c r="AR2882" s="1">
        <v>20.7</v>
      </c>
      <c r="AS2882" s="1">
        <v>24.8</v>
      </c>
      <c r="AT2882" s="1">
        <v>19.8</v>
      </c>
      <c r="AU2882" s="1">
        <v>14.3</v>
      </c>
      <c r="AV2882" s="1">
        <v>45.9</v>
      </c>
      <c r="AW2882" s="1">
        <v>1.8</v>
      </c>
      <c r="AX2882" s="1">
        <v>0.7911</v>
      </c>
      <c r="AY2882" s="1">
        <v>18.1</v>
      </c>
      <c r="AZ2882" s="1">
        <v>13.8</v>
      </c>
      <c r="BA2882" s="1">
        <v>21.4</v>
      </c>
      <c r="BB2882" s="1">
        <v>3.16</v>
      </c>
      <c r="BC2882" s="1" t="s">
        <v>4607</v>
      </c>
      <c r="BD2882" s="1">
        <v>17.5</v>
      </c>
      <c r="BE2882" s="1">
        <v>35.0</v>
      </c>
      <c r="BF2882" s="1">
        <v>24.9</v>
      </c>
      <c r="BG2882" s="1">
        <v>22.6</v>
      </c>
      <c r="BH2882" s="1" t="s">
        <v>4698</v>
      </c>
    </row>
    <row r="2883">
      <c r="A2883" s="1">
        <v>51133.0</v>
      </c>
      <c r="B2883" s="2" t="str">
        <f>IFERROR(__xludf.DUMMYFUNCTION("TO_TEXT(A2883)"),"51133")</f>
        <v>51133</v>
      </c>
      <c r="C2883" s="1">
        <v>12272.0</v>
      </c>
      <c r="D2883" s="1">
        <v>191.269773249484</v>
      </c>
      <c r="E2883" s="1" t="s">
        <v>3786</v>
      </c>
      <c r="F2883" s="1" t="s">
        <v>4699</v>
      </c>
      <c r="G2883" s="1">
        <v>64.1606867175659</v>
      </c>
      <c r="H2883" s="1">
        <v>16.273741952</v>
      </c>
      <c r="I2883" s="1">
        <v>3.9820384834</v>
      </c>
      <c r="J2883" s="1">
        <v>11.111111111</v>
      </c>
      <c r="K2883" s="1">
        <v>14.5767183309999</v>
      </c>
      <c r="L2883" s="1">
        <v>30.1</v>
      </c>
      <c r="M2883" s="1">
        <v>8.3</v>
      </c>
      <c r="N2883" s="1">
        <v>19.8</v>
      </c>
      <c r="O2883" s="1">
        <v>44.04703974</v>
      </c>
      <c r="P2883" s="1">
        <v>12.557721909</v>
      </c>
      <c r="Q2883" s="1">
        <v>97.75967</v>
      </c>
      <c r="R2883" s="1">
        <v>94.9</v>
      </c>
      <c r="S2883" s="1">
        <v>27.0</v>
      </c>
      <c r="T2883" s="1">
        <v>1831.0</v>
      </c>
      <c r="U2883" s="1">
        <v>38.503549973</v>
      </c>
      <c r="V2883" s="1">
        <v>181.00292073</v>
      </c>
      <c r="W2883" s="1">
        <v>15.4112554109999</v>
      </c>
      <c r="X2883" s="1">
        <v>12.576419214</v>
      </c>
      <c r="Y2883" s="1">
        <v>80.327928794</v>
      </c>
      <c r="Z2883" s="1">
        <v>12.6</v>
      </c>
      <c r="AA2883" s="1">
        <v>0.9573299108</v>
      </c>
      <c r="AB2883" s="1">
        <v>55418.0</v>
      </c>
      <c r="AC2883" s="1">
        <v>56.6971080669999</v>
      </c>
      <c r="AD2883" s="1">
        <v>85.332395357</v>
      </c>
      <c r="AE2883" s="1">
        <v>14.144193726</v>
      </c>
      <c r="AF2883" s="1">
        <v>24.771548531</v>
      </c>
      <c r="AG2883" s="1">
        <v>0.2222771055</v>
      </c>
      <c r="AH2883" s="1">
        <v>0.4857166379</v>
      </c>
      <c r="AI2883" s="1">
        <v>0.115254795399999</v>
      </c>
      <c r="AJ2883" s="1">
        <v>3.8116407343</v>
      </c>
      <c r="AK2883" s="1">
        <v>69.103482341</v>
      </c>
      <c r="AL2883" s="1">
        <v>0.0</v>
      </c>
      <c r="AM2883" s="1">
        <v>50.967317033</v>
      </c>
      <c r="AN2883" s="1">
        <v>100.0</v>
      </c>
      <c r="AO2883" s="1">
        <v>32238.0</v>
      </c>
      <c r="AP2883" s="1">
        <v>11.0</v>
      </c>
      <c r="AQ2883" s="1">
        <v>7.6</v>
      </c>
      <c r="AR2883" s="1">
        <v>10.3</v>
      </c>
      <c r="AS2883" s="1">
        <v>33.9</v>
      </c>
      <c r="AT2883" s="1">
        <v>15.8</v>
      </c>
      <c r="AU2883" s="1">
        <v>14.9</v>
      </c>
      <c r="AV2883" s="1">
        <v>30.1</v>
      </c>
      <c r="AW2883" s="1">
        <v>0.1</v>
      </c>
      <c r="AX2883" s="1">
        <v>0.1439</v>
      </c>
      <c r="AY2883" s="1">
        <v>12.7</v>
      </c>
      <c r="AZ2883" s="1">
        <v>11.0</v>
      </c>
      <c r="BA2883" s="1">
        <v>19.3</v>
      </c>
      <c r="BB2883" s="1">
        <v>3.33</v>
      </c>
      <c r="BC2883" s="1" t="s">
        <v>4607</v>
      </c>
      <c r="BD2883" s="1">
        <v>9.0</v>
      </c>
      <c r="BE2883" s="1">
        <v>32.7</v>
      </c>
      <c r="BF2883" s="1">
        <v>29.5</v>
      </c>
      <c r="BG2883" s="1">
        <v>28.9</v>
      </c>
      <c r="BH2883" s="1" t="s">
        <v>4699</v>
      </c>
    </row>
    <row r="2884">
      <c r="A2884" s="1">
        <v>51135.0</v>
      </c>
      <c r="B2884" s="2" t="str">
        <f>IFERROR(__xludf.DUMMYFUNCTION("TO_TEXT(A2884)"),"51135")</f>
        <v>51135</v>
      </c>
      <c r="C2884" s="1">
        <v>15641.0</v>
      </c>
      <c r="D2884" s="1">
        <v>314.389569355262</v>
      </c>
      <c r="E2884" s="1" t="s">
        <v>4700</v>
      </c>
      <c r="F2884" s="1" t="s">
        <v>4701</v>
      </c>
      <c r="G2884" s="1">
        <v>49.7503782713782</v>
      </c>
      <c r="H2884" s="1">
        <v>21.1383348279999</v>
      </c>
      <c r="I2884" s="1">
        <v>4.3016991131</v>
      </c>
      <c r="J2884" s="1">
        <v>11.764705882</v>
      </c>
      <c r="K2884" s="1">
        <v>20.261374234</v>
      </c>
      <c r="L2884" s="1">
        <v>39.0</v>
      </c>
      <c r="M2884" s="1">
        <v>4.8</v>
      </c>
      <c r="N2884" s="1">
        <v>33.8</v>
      </c>
      <c r="O2884" s="1">
        <v>63.111083076</v>
      </c>
      <c r="P2884" s="1">
        <v>13.432126912</v>
      </c>
      <c r="Q2884" s="1">
        <v>64.79202</v>
      </c>
      <c r="R2884" s="1">
        <v>91.0</v>
      </c>
      <c r="S2884" s="1">
        <v>27.9</v>
      </c>
      <c r="T2884" s="1">
        <v>3020.0</v>
      </c>
      <c r="U2884" s="1">
        <v>44.039735099</v>
      </c>
      <c r="V2884" s="1">
        <v>239.48654086</v>
      </c>
      <c r="W2884" s="1">
        <v>16.7400881059999</v>
      </c>
      <c r="X2884" s="1">
        <v>13.3514986379999</v>
      </c>
      <c r="Y2884" s="1">
        <v>75.29333128</v>
      </c>
      <c r="Z2884" s="1">
        <v>22.6</v>
      </c>
      <c r="AA2884" s="1">
        <v>30.181179882</v>
      </c>
      <c r="AB2884" s="1">
        <v>46368.0</v>
      </c>
      <c r="AC2884" s="1">
        <v>66.94214876</v>
      </c>
      <c r="AD2884" s="1">
        <v>61.277517142</v>
      </c>
      <c r="AE2884" s="1">
        <v>12.055911474</v>
      </c>
      <c r="AF2884" s="1">
        <v>38.638132296</v>
      </c>
      <c r="AG2884" s="1">
        <v>0.7392996109</v>
      </c>
      <c r="AH2884" s="1">
        <v>0.6874189364</v>
      </c>
      <c r="AI2884" s="1">
        <v>0.1037613489</v>
      </c>
      <c r="AJ2884" s="1">
        <v>4.7081712062</v>
      </c>
      <c r="AK2884" s="1">
        <v>54.0272373539999</v>
      </c>
      <c r="AL2884" s="1">
        <v>1.0694822888</v>
      </c>
      <c r="AM2884" s="1">
        <v>45.927367056</v>
      </c>
      <c r="AN2884" s="1">
        <v>52.3434050339999</v>
      </c>
      <c r="AO2884" s="1">
        <v>19256.0</v>
      </c>
      <c r="AP2884" s="1">
        <v>21.3</v>
      </c>
      <c r="AQ2884" s="1">
        <v>8.3</v>
      </c>
      <c r="AR2884" s="1">
        <v>25.1</v>
      </c>
      <c r="AS2884" s="1">
        <v>18.3</v>
      </c>
      <c r="AT2884" s="1">
        <v>19.9</v>
      </c>
      <c r="AU2884" s="1">
        <v>18.1</v>
      </c>
      <c r="AV2884" s="1">
        <v>45.0</v>
      </c>
      <c r="AW2884" s="1">
        <v>1.5</v>
      </c>
      <c r="AX2884" s="1">
        <v>0.9704</v>
      </c>
      <c r="AY2884" s="1">
        <v>21.5</v>
      </c>
      <c r="AZ2884" s="1">
        <v>14.8</v>
      </c>
      <c r="BA2884" s="1">
        <v>17.0</v>
      </c>
      <c r="BB2884" s="1">
        <v>2.96</v>
      </c>
      <c r="BC2884" s="1" t="s">
        <v>4607</v>
      </c>
      <c r="BD2884" s="1">
        <v>20.3</v>
      </c>
      <c r="BE2884" s="1">
        <v>37.7</v>
      </c>
      <c r="BF2884" s="1">
        <v>27.2</v>
      </c>
      <c r="BG2884" s="1">
        <v>14.8</v>
      </c>
      <c r="BH2884" s="1" t="s">
        <v>4701</v>
      </c>
    </row>
    <row r="2885">
      <c r="A2885" s="1">
        <v>51137.0</v>
      </c>
      <c r="B2885" s="2" t="str">
        <f>IFERROR(__xludf.DUMMYFUNCTION("TO_TEXT(A2885)"),"51137")</f>
        <v>51137</v>
      </c>
      <c r="C2885" s="1">
        <v>34873.0</v>
      </c>
      <c r="D2885" s="1">
        <v>340.780097041724</v>
      </c>
      <c r="E2885" s="1" t="s">
        <v>475</v>
      </c>
      <c r="F2885" s="1" t="s">
        <v>4702</v>
      </c>
      <c r="G2885" s="1">
        <v>102.332854244508</v>
      </c>
      <c r="H2885" s="1">
        <v>14.090854956</v>
      </c>
      <c r="I2885" s="1">
        <v>3.7401056208</v>
      </c>
      <c r="J2885" s="1">
        <v>7.6258992806</v>
      </c>
      <c r="K2885" s="1">
        <v>15.630517557</v>
      </c>
      <c r="L2885" s="1">
        <v>36.4</v>
      </c>
      <c r="M2885" s="1">
        <v>8.4</v>
      </c>
      <c r="N2885" s="1">
        <v>25.6</v>
      </c>
      <c r="O2885" s="1">
        <v>64.209551686</v>
      </c>
      <c r="P2885" s="1">
        <v>11.677619956</v>
      </c>
      <c r="Q2885" s="1">
        <v>41.58235</v>
      </c>
      <c r="R2885" s="1">
        <v>93.2</v>
      </c>
      <c r="S2885" s="1">
        <v>12.9</v>
      </c>
      <c r="T2885" s="1">
        <v>7550.0</v>
      </c>
      <c r="U2885" s="1">
        <v>33.748344371</v>
      </c>
      <c r="V2885" s="1">
        <v>110.51132741</v>
      </c>
      <c r="W2885" s="1">
        <v>12.835032088</v>
      </c>
      <c r="X2885" s="1">
        <v>10.806697108</v>
      </c>
      <c r="Y2885" s="1">
        <v>77.64624859</v>
      </c>
      <c r="Z2885" s="1">
        <v>14.7</v>
      </c>
      <c r="AA2885" s="1">
        <v>7.5546071708</v>
      </c>
      <c r="AB2885" s="1">
        <v>63681.0</v>
      </c>
      <c r="AC2885" s="1">
        <v>42.515797788</v>
      </c>
      <c r="AD2885" s="1">
        <v>77.662974801</v>
      </c>
      <c r="AE2885" s="1">
        <v>9.9207582349</v>
      </c>
      <c r="AF2885" s="1">
        <v>12.872503002</v>
      </c>
      <c r="AG2885" s="1">
        <v>0.5294181858</v>
      </c>
      <c r="AH2885" s="1">
        <v>1.0970418077</v>
      </c>
      <c r="AI2885" s="1">
        <v>0.1228031874</v>
      </c>
      <c r="AJ2885" s="1">
        <v>5.2750791398</v>
      </c>
      <c r="AK2885" s="1">
        <v>77.707128043</v>
      </c>
      <c r="AL2885" s="1">
        <v>1.5976154993</v>
      </c>
      <c r="AM2885" s="1">
        <v>51.214387076</v>
      </c>
      <c r="AN2885" s="1">
        <v>57.779038858</v>
      </c>
      <c r="AO2885" s="1">
        <v>30361.0</v>
      </c>
      <c r="AP2885" s="1">
        <v>9.2</v>
      </c>
      <c r="AQ2885" s="1">
        <v>7.7</v>
      </c>
      <c r="AR2885" s="1">
        <v>10.6</v>
      </c>
      <c r="AS2885" s="1">
        <v>19.6</v>
      </c>
      <c r="AT2885" s="1">
        <v>22.2</v>
      </c>
      <c r="AU2885" s="1">
        <v>14.0</v>
      </c>
      <c r="AV2885" s="1">
        <v>20.6</v>
      </c>
      <c r="AW2885" s="1">
        <v>1.4</v>
      </c>
      <c r="AX2885" s="1">
        <v>0.4126</v>
      </c>
      <c r="AY2885" s="1">
        <v>9.7</v>
      </c>
      <c r="AZ2885" s="1">
        <v>9.1</v>
      </c>
      <c r="BA2885" s="1">
        <v>14.5</v>
      </c>
      <c r="BB2885" s="1">
        <v>3.33</v>
      </c>
      <c r="BC2885" s="1" t="s">
        <v>4607</v>
      </c>
      <c r="BD2885" s="1">
        <v>11.3</v>
      </c>
      <c r="BE2885" s="1">
        <v>34.7</v>
      </c>
      <c r="BF2885" s="1">
        <v>28.9</v>
      </c>
      <c r="BG2885" s="1">
        <v>25.1</v>
      </c>
      <c r="BH2885" s="1" t="s">
        <v>4702</v>
      </c>
    </row>
    <row r="2886">
      <c r="A2886" s="1">
        <v>51139.0</v>
      </c>
      <c r="B2886" s="2" t="str">
        <f>IFERROR(__xludf.DUMMYFUNCTION("TO_TEXT(A2886)"),"51139")</f>
        <v>51139</v>
      </c>
      <c r="C2886" s="1">
        <v>23759.0</v>
      </c>
      <c r="D2886" s="1">
        <v>310.819863314262</v>
      </c>
      <c r="E2886" s="1" t="s">
        <v>1545</v>
      </c>
      <c r="F2886" s="1" t="s">
        <v>4703</v>
      </c>
      <c r="G2886" s="1">
        <v>76.4397736575088</v>
      </c>
      <c r="H2886" s="1">
        <v>16.336397899</v>
      </c>
      <c r="I2886" s="1">
        <v>4.2145219946</v>
      </c>
      <c r="J2886" s="1">
        <v>7.0279928529</v>
      </c>
      <c r="K2886" s="1">
        <v>17.945163859</v>
      </c>
      <c r="L2886" s="1">
        <v>35.9</v>
      </c>
      <c r="M2886" s="1">
        <v>8.4</v>
      </c>
      <c r="N2886" s="1">
        <v>30.3</v>
      </c>
      <c r="O2886" s="1">
        <v>32.455702521</v>
      </c>
      <c r="P2886" s="1">
        <v>13.143041445</v>
      </c>
      <c r="Q2886" s="1">
        <v>33.71118</v>
      </c>
      <c r="R2886" s="1">
        <v>99.6</v>
      </c>
      <c r="S2886" s="1">
        <v>19.0</v>
      </c>
      <c r="T2886" s="1">
        <v>4732.0</v>
      </c>
      <c r="U2886" s="1">
        <v>35.819949281</v>
      </c>
      <c r="V2886" s="1">
        <v>154.3112013</v>
      </c>
      <c r="W2886" s="1">
        <v>12.860892388</v>
      </c>
      <c r="X2886" s="1">
        <v>11.100579252</v>
      </c>
      <c r="Y2886" s="1">
        <v>76.807633441</v>
      </c>
      <c r="Z2886" s="1">
        <v>22.5</v>
      </c>
      <c r="AA2886" s="1">
        <v>1.4529711872</v>
      </c>
      <c r="AB2886" s="1">
        <v>49073.0</v>
      </c>
      <c r="AC2886" s="1">
        <v>53.853019935</v>
      </c>
      <c r="AD2886" s="1">
        <v>70.100663954</v>
      </c>
      <c r="AE2886" s="1">
        <v>10.4781514529999</v>
      </c>
      <c r="AF2886" s="1">
        <v>1.9721723144</v>
      </c>
      <c r="AG2886" s="1">
        <v>0.2757698575</v>
      </c>
      <c r="AH2886" s="1">
        <v>0.5013997409</v>
      </c>
      <c r="AI2886" s="1">
        <v>0.0376049806</v>
      </c>
      <c r="AJ2886" s="1">
        <v>2.1434838925</v>
      </c>
      <c r="AK2886" s="1">
        <v>93.924706472</v>
      </c>
      <c r="AL2886" s="1">
        <v>0.2959102553</v>
      </c>
      <c r="AM2886" s="1">
        <v>50.570342205</v>
      </c>
      <c r="AN2886" s="1">
        <v>80.159720489</v>
      </c>
      <c r="AO2886" s="1">
        <v>22683.0</v>
      </c>
      <c r="AP2886" s="1">
        <v>16.0</v>
      </c>
      <c r="AQ2886" s="1">
        <v>8.6</v>
      </c>
      <c r="AR2886" s="1">
        <v>20.8</v>
      </c>
      <c r="AS2886" s="1">
        <v>20.1</v>
      </c>
      <c r="AT2886" s="1">
        <v>20.3</v>
      </c>
      <c r="AU2886" s="1">
        <v>18.4</v>
      </c>
      <c r="AV2886" s="1">
        <v>5.5</v>
      </c>
      <c r="AW2886" s="1">
        <v>0.2</v>
      </c>
      <c r="AX2886" s="1">
        <v>0.425</v>
      </c>
      <c r="AY2886" s="1">
        <v>11.3</v>
      </c>
      <c r="AZ2886" s="1">
        <v>13.9</v>
      </c>
      <c r="BA2886" s="1">
        <v>21.2</v>
      </c>
      <c r="BB2886" s="1">
        <v>3.09</v>
      </c>
      <c r="BC2886" s="1" t="s">
        <v>4607</v>
      </c>
      <c r="BD2886" s="1">
        <v>17.4</v>
      </c>
      <c r="BE2886" s="1">
        <v>45.5</v>
      </c>
      <c r="BF2886" s="1">
        <v>23.4</v>
      </c>
      <c r="BG2886" s="1">
        <v>13.7</v>
      </c>
      <c r="BH2886" s="1" t="s">
        <v>4703</v>
      </c>
    </row>
    <row r="2887">
      <c r="A2887" s="1">
        <v>51141.0</v>
      </c>
      <c r="B2887" s="2" t="str">
        <f>IFERROR(__xludf.DUMMYFUNCTION("TO_TEXT(A2887)"),"51141")</f>
        <v>51141</v>
      </c>
      <c r="C2887" s="1">
        <v>18180.0</v>
      </c>
      <c r="D2887" s="1">
        <v>482.95872532274</v>
      </c>
      <c r="E2887" s="1" t="s">
        <v>4704</v>
      </c>
      <c r="F2887" s="1" t="s">
        <v>4705</v>
      </c>
      <c r="G2887" s="1">
        <v>37.6429683258152</v>
      </c>
      <c r="H2887" s="1">
        <v>17.314424672</v>
      </c>
      <c r="I2887" s="1">
        <v>4.2571083811</v>
      </c>
      <c r="J2887" s="1">
        <v>8.6053412463</v>
      </c>
      <c r="K2887" s="1">
        <v>17.926821561</v>
      </c>
      <c r="L2887" s="1">
        <v>24.5</v>
      </c>
      <c r="M2887" s="1">
        <v>8.1</v>
      </c>
      <c r="N2887" s="1">
        <v>35.8</v>
      </c>
      <c r="O2887" s="1">
        <v>46.31151974</v>
      </c>
      <c r="P2887" s="1">
        <v>13.7105549509999</v>
      </c>
      <c r="Q2887" s="1">
        <v>28.30456</v>
      </c>
      <c r="R2887" s="1">
        <v>93.4</v>
      </c>
      <c r="S2887" s="1">
        <v>22.7</v>
      </c>
      <c r="T2887" s="1">
        <v>3159.0</v>
      </c>
      <c r="U2887" s="1">
        <v>35.612535613</v>
      </c>
      <c r="V2887" s="1">
        <v>146.35628089</v>
      </c>
      <c r="W2887" s="1">
        <v>13.3247918</v>
      </c>
      <c r="X2887" s="1">
        <v>10.947093403</v>
      </c>
      <c r="Y2887" s="1">
        <v>76.081455566</v>
      </c>
      <c r="Z2887" s="1">
        <v>16.9</v>
      </c>
      <c r="AA2887" s="1">
        <v>4.7013334037</v>
      </c>
      <c r="AB2887" s="1">
        <v>42862.0</v>
      </c>
      <c r="AC2887" s="1">
        <v>46.3369963369999</v>
      </c>
      <c r="AD2887" s="1">
        <v>76.486662329</v>
      </c>
      <c r="AE2887" s="1">
        <v>8.8129991738</v>
      </c>
      <c r="AF2887" s="1">
        <v>5.4093815425</v>
      </c>
      <c r="AG2887" s="1">
        <v>0.5375431449</v>
      </c>
      <c r="AH2887" s="1">
        <v>0.3395009336</v>
      </c>
      <c r="AI2887" s="1">
        <v>0.0622418378</v>
      </c>
      <c r="AJ2887" s="1">
        <v>3.1686753805</v>
      </c>
      <c r="AK2887" s="1">
        <v>89.5150795</v>
      </c>
      <c r="AL2887" s="1">
        <v>0.7769145394</v>
      </c>
      <c r="AM2887" s="1">
        <v>50.602614157</v>
      </c>
      <c r="AN2887" s="1">
        <v>100.0</v>
      </c>
      <c r="AO2887" s="1">
        <v>20526.0</v>
      </c>
      <c r="AP2887" s="1">
        <v>22.2</v>
      </c>
      <c r="AQ2887" s="1">
        <v>7.7</v>
      </c>
      <c r="AR2887" s="1">
        <v>20.3</v>
      </c>
      <c r="AS2887" s="1">
        <v>23.8</v>
      </c>
      <c r="AT2887" s="1">
        <v>18.2</v>
      </c>
      <c r="AU2887" s="1">
        <v>19.2</v>
      </c>
      <c r="AV2887" s="1">
        <v>10.0</v>
      </c>
      <c r="AW2887" s="1">
        <v>1.0</v>
      </c>
      <c r="AX2887" s="1">
        <v>0.5947</v>
      </c>
      <c r="AY2887" s="1">
        <v>15.5</v>
      </c>
      <c r="AZ2887" s="1">
        <v>13.3</v>
      </c>
      <c r="BA2887" s="1">
        <v>22.9</v>
      </c>
      <c r="BB2887" s="1">
        <v>2.95</v>
      </c>
      <c r="BC2887" s="1" t="s">
        <v>4607</v>
      </c>
      <c r="BD2887" s="1">
        <v>19.8</v>
      </c>
      <c r="BE2887" s="1">
        <v>34.8</v>
      </c>
      <c r="BF2887" s="1">
        <v>30.2</v>
      </c>
      <c r="BG2887" s="1">
        <v>15.2</v>
      </c>
      <c r="BH2887" s="1" t="s">
        <v>4705</v>
      </c>
    </row>
    <row r="2888">
      <c r="A2888" s="1">
        <v>51143.0</v>
      </c>
      <c r="B2888" s="2" t="str">
        <f>IFERROR(__xludf.DUMMYFUNCTION("TO_TEXT(A2888)"),"51143")</f>
        <v>51143</v>
      </c>
      <c r="C2888" s="1">
        <v>62392.0</v>
      </c>
      <c r="D2888" s="1">
        <v>968.854516204216</v>
      </c>
      <c r="E2888" s="1" t="s">
        <v>4706</v>
      </c>
      <c r="F2888" s="1" t="s">
        <v>4707</v>
      </c>
      <c r="G2888" s="1">
        <v>64.3976974421709</v>
      </c>
      <c r="H2888" s="1">
        <v>18.229614704</v>
      </c>
      <c r="I2888" s="1">
        <v>4.105803073</v>
      </c>
      <c r="J2888" s="1">
        <v>8.0599547511</v>
      </c>
      <c r="K2888" s="1">
        <v>18.269836587</v>
      </c>
      <c r="L2888" s="1">
        <v>37.9</v>
      </c>
      <c r="M2888" s="1">
        <v>7.9</v>
      </c>
      <c r="N2888" s="1">
        <v>30.5</v>
      </c>
      <c r="O2888" s="1">
        <v>28.959468397</v>
      </c>
      <c r="P2888" s="1">
        <v>12.8363192709999</v>
      </c>
      <c r="Q2888" s="1">
        <v>8.1622</v>
      </c>
      <c r="R2888" s="1">
        <v>91.3</v>
      </c>
      <c r="S2888" s="1">
        <v>22.3</v>
      </c>
      <c r="T2888" s="1">
        <v>11953.0</v>
      </c>
      <c r="U2888" s="1">
        <v>37.137120388</v>
      </c>
      <c r="V2888" s="1">
        <v>80.818530073</v>
      </c>
      <c r="W2888" s="1">
        <v>11.566951567</v>
      </c>
      <c r="X2888" s="1">
        <v>10.094430526</v>
      </c>
      <c r="Y2888" s="1">
        <v>76.960305642</v>
      </c>
      <c r="Z2888" s="1">
        <v>13.0</v>
      </c>
      <c r="AA2888" s="1">
        <v>5.8354949249</v>
      </c>
      <c r="AB2888" s="1">
        <v>44710.0</v>
      </c>
      <c r="AC2888" s="1">
        <v>57.935096688</v>
      </c>
      <c r="AD2888" s="1">
        <v>75.009494873</v>
      </c>
      <c r="AE2888" s="1">
        <v>10.849019141</v>
      </c>
      <c r="AF2888" s="1">
        <v>21.36212243</v>
      </c>
      <c r="AG2888" s="1">
        <v>0.3281432017</v>
      </c>
      <c r="AH2888" s="1">
        <v>0.5053405306</v>
      </c>
      <c r="AI2888" s="1">
        <v>0.0344550362</v>
      </c>
      <c r="AJ2888" s="1">
        <v>2.7481993142</v>
      </c>
      <c r="AK2888" s="1">
        <v>73.892926873</v>
      </c>
      <c r="AL2888" s="1">
        <v>0.8083649675</v>
      </c>
      <c r="AM2888" s="1">
        <v>50.699765378</v>
      </c>
      <c r="AN2888" s="1">
        <v>85.62970428</v>
      </c>
      <c r="AO2888" s="1">
        <v>22650.0</v>
      </c>
      <c r="AP2888" s="1">
        <v>15.1</v>
      </c>
      <c r="AQ2888" s="1">
        <v>6.7</v>
      </c>
      <c r="AR2888" s="1">
        <v>17.8</v>
      </c>
      <c r="AS2888" s="1">
        <v>19.8</v>
      </c>
      <c r="AT2888" s="1">
        <v>20.0</v>
      </c>
      <c r="AU2888" s="1">
        <v>17.1</v>
      </c>
      <c r="AV2888" s="1">
        <v>25.7</v>
      </c>
      <c r="AW2888" s="1">
        <v>0.7</v>
      </c>
      <c r="AX2888" s="1">
        <v>0.5384</v>
      </c>
      <c r="AY2888" s="1">
        <v>15.1</v>
      </c>
      <c r="AZ2888" s="1">
        <v>12.3</v>
      </c>
      <c r="BA2888" s="1">
        <v>18.9</v>
      </c>
      <c r="BB2888" s="1">
        <v>3.15</v>
      </c>
      <c r="BC2888" s="1" t="s">
        <v>4607</v>
      </c>
      <c r="BD2888" s="1">
        <v>17.3</v>
      </c>
      <c r="BE2888" s="1">
        <v>35.0</v>
      </c>
      <c r="BF2888" s="1">
        <v>33.1</v>
      </c>
      <c r="BG2888" s="1">
        <v>14.5</v>
      </c>
      <c r="BH2888" s="1" t="s">
        <v>4707</v>
      </c>
    </row>
    <row r="2889">
      <c r="A2889" s="1">
        <v>51145.0</v>
      </c>
      <c r="B2889" s="2" t="str">
        <f>IFERROR(__xludf.DUMMYFUNCTION("TO_TEXT(A2889)"),"51145")</f>
        <v>51145</v>
      </c>
      <c r="C2889" s="1">
        <v>28286.0</v>
      </c>
      <c r="D2889" s="1">
        <v>260.240931045788</v>
      </c>
      <c r="E2889" s="1" t="s">
        <v>4708</v>
      </c>
      <c r="F2889" s="1" t="s">
        <v>4709</v>
      </c>
      <c r="G2889" s="1">
        <v>108.691587777263</v>
      </c>
      <c r="H2889" s="1">
        <v>12.219443792</v>
      </c>
      <c r="I2889" s="1">
        <v>3.4992519065</v>
      </c>
      <c r="J2889" s="1">
        <v>6.6544566545</v>
      </c>
      <c r="K2889" s="1">
        <v>14.104945857</v>
      </c>
      <c r="L2889" s="1">
        <v>27.5</v>
      </c>
      <c r="M2889" s="1">
        <v>9.4</v>
      </c>
      <c r="N2889" s="1">
        <v>26.5</v>
      </c>
      <c r="O2889" s="1">
        <v>65.371175925</v>
      </c>
      <c r="P2889" s="1">
        <v>9.5212695026</v>
      </c>
      <c r="Q2889" s="1">
        <v>48.94934</v>
      </c>
      <c r="R2889" s="1">
        <v>93.6</v>
      </c>
      <c r="S2889" s="1">
        <v>8.1</v>
      </c>
      <c r="T2889" s="1">
        <v>4993.0</v>
      </c>
      <c r="U2889" s="1">
        <v>18.00520729</v>
      </c>
      <c r="V2889" s="1">
        <v>72.977110106</v>
      </c>
      <c r="W2889" s="1">
        <v>12.873796249</v>
      </c>
      <c r="X2889" s="1">
        <v>11.712808032</v>
      </c>
      <c r="Y2889" s="1">
        <v>80.577222917</v>
      </c>
      <c r="Z2889" s="1">
        <v>17.4</v>
      </c>
      <c r="AA2889" s="1">
        <v>1.5733740743</v>
      </c>
      <c r="AB2889" s="1">
        <v>88475.0</v>
      </c>
      <c r="AC2889" s="1">
        <v>24.633674316</v>
      </c>
      <c r="AD2889" s="1">
        <v>89.595205345</v>
      </c>
      <c r="AE2889" s="1">
        <v>8.544713021</v>
      </c>
      <c r="AF2889" s="1">
        <v>9.3014491761</v>
      </c>
      <c r="AG2889" s="1">
        <v>0.4282435164</v>
      </c>
      <c r="AH2889" s="1">
        <v>0.6235225599</v>
      </c>
      <c r="AI2889" s="1">
        <v>0.1473157696</v>
      </c>
      <c r="AJ2889" s="1">
        <v>2.4084415362</v>
      </c>
      <c r="AK2889" s="1">
        <v>85.953612662</v>
      </c>
      <c r="AL2889" s="1">
        <v>0.2048730519</v>
      </c>
      <c r="AM2889" s="1">
        <v>48.165404776</v>
      </c>
      <c r="AN2889" s="1">
        <v>99.675533053</v>
      </c>
      <c r="AO2889" s="1">
        <v>32770.0</v>
      </c>
      <c r="AP2889" s="1">
        <v>5.6</v>
      </c>
      <c r="AQ2889" s="1">
        <v>4.6</v>
      </c>
      <c r="AR2889" s="1">
        <v>9.4</v>
      </c>
      <c r="AS2889" s="1">
        <v>15.7</v>
      </c>
      <c r="AT2889" s="1">
        <v>19.6</v>
      </c>
      <c r="AU2889" s="1">
        <v>10.1</v>
      </c>
      <c r="AV2889" s="1">
        <v>16.1</v>
      </c>
      <c r="AW2889" s="1">
        <v>0.2</v>
      </c>
      <c r="AX2889" s="1">
        <v>0.0118</v>
      </c>
      <c r="AY2889" s="1">
        <v>5.4</v>
      </c>
      <c r="AZ2889" s="1">
        <v>6.2</v>
      </c>
      <c r="BA2889" s="1">
        <v>9.2</v>
      </c>
      <c r="BB2889" s="1">
        <v>3.21</v>
      </c>
      <c r="BC2889" s="1" t="s">
        <v>4607</v>
      </c>
      <c r="BD2889" s="1">
        <v>10.1</v>
      </c>
      <c r="BE2889" s="1">
        <v>30.0</v>
      </c>
      <c r="BF2889" s="1">
        <v>30.6</v>
      </c>
      <c r="BG2889" s="1">
        <v>29.2</v>
      </c>
      <c r="BH2889" s="1" t="s">
        <v>4709</v>
      </c>
    </row>
    <row r="2890">
      <c r="A2890" s="1">
        <v>51147.0</v>
      </c>
      <c r="B2890" s="2" t="str">
        <f>IFERROR(__xludf.DUMMYFUNCTION("TO_TEXT(A2890)"),"51147")</f>
        <v>51147</v>
      </c>
      <c r="C2890" s="1">
        <v>23077.0</v>
      </c>
      <c r="D2890" s="1">
        <v>349.957281734242</v>
      </c>
      <c r="E2890" s="1" t="s">
        <v>4710</v>
      </c>
      <c r="F2890" s="1" t="s">
        <v>4711</v>
      </c>
      <c r="G2890" s="1">
        <v>65.942334120439</v>
      </c>
      <c r="H2890" s="1">
        <v>20.541850714</v>
      </c>
      <c r="I2890" s="1">
        <v>4.3072533664</v>
      </c>
      <c r="J2890" s="1">
        <v>11.203055379</v>
      </c>
      <c r="K2890" s="1">
        <v>18.32614909</v>
      </c>
      <c r="L2890" s="1">
        <v>37.5</v>
      </c>
      <c r="M2890" s="1">
        <v>6.6</v>
      </c>
      <c r="N2890" s="1">
        <v>26.3</v>
      </c>
      <c r="O2890" s="1">
        <v>81.384799726</v>
      </c>
      <c r="P2890" s="1">
        <v>12.059939798</v>
      </c>
      <c r="Q2890" s="1">
        <v>61.66586</v>
      </c>
      <c r="R2890" s="1">
        <v>89.3</v>
      </c>
      <c r="S2890" s="1">
        <v>27.9</v>
      </c>
      <c r="T2890" s="1">
        <v>3662.0</v>
      </c>
      <c r="U2890" s="1">
        <v>33.61551065</v>
      </c>
      <c r="V2890" s="1">
        <v>204.74659856</v>
      </c>
      <c r="W2890" s="1">
        <v>12.954078136</v>
      </c>
      <c r="X2890" s="1">
        <v>10.301754386</v>
      </c>
      <c r="Y2890" s="1">
        <v>76.8686268169999</v>
      </c>
      <c r="Z2890" s="1">
        <v>14.1</v>
      </c>
      <c r="AA2890" s="1">
        <v>12.469595703</v>
      </c>
      <c r="AB2890" s="1">
        <v>48450.0</v>
      </c>
      <c r="AC2890" s="1">
        <v>76.007770763</v>
      </c>
      <c r="AD2890" s="1">
        <v>66.8985668569999</v>
      </c>
      <c r="AE2890" s="1">
        <v>12.805691418</v>
      </c>
      <c r="AF2890" s="1">
        <v>32.758169935</v>
      </c>
      <c r="AG2890" s="1">
        <v>0.3180827887</v>
      </c>
      <c r="AH2890" s="1">
        <v>1.53812636169999</v>
      </c>
      <c r="AI2890" s="1">
        <v>0.0871459694999999</v>
      </c>
      <c r="AJ2890" s="1">
        <v>2.688453159</v>
      </c>
      <c r="AK2890" s="1">
        <v>60.976034858</v>
      </c>
      <c r="AL2890" s="1">
        <v>2.1684546907</v>
      </c>
      <c r="AM2890" s="1">
        <v>49.9302832239999</v>
      </c>
      <c r="AN2890" s="1">
        <v>63.21037316</v>
      </c>
      <c r="AO2890" s="1">
        <v>18789.0</v>
      </c>
      <c r="AP2890" s="1">
        <v>18.0</v>
      </c>
      <c r="AQ2890" s="1">
        <v>6.6</v>
      </c>
      <c r="AR2890" s="1">
        <v>16.9</v>
      </c>
      <c r="AS2890" s="1">
        <v>15.1</v>
      </c>
      <c r="AT2890" s="1">
        <v>15.7</v>
      </c>
      <c r="AU2890" s="1">
        <v>13.4</v>
      </c>
      <c r="AV2890" s="1">
        <v>37.8</v>
      </c>
      <c r="AW2890" s="1">
        <v>1.4</v>
      </c>
      <c r="AX2890" s="1">
        <v>0.7982</v>
      </c>
      <c r="AY2890" s="1">
        <v>20.6</v>
      </c>
      <c r="AZ2890" s="1">
        <v>12.4</v>
      </c>
      <c r="BA2890" s="1">
        <v>16.6</v>
      </c>
      <c r="BB2890" s="1">
        <v>2.91</v>
      </c>
      <c r="BC2890" s="1" t="s">
        <v>4607</v>
      </c>
      <c r="BD2890" s="1">
        <v>14.0</v>
      </c>
      <c r="BE2890" s="1">
        <v>34.1</v>
      </c>
      <c r="BF2890" s="1">
        <v>25.1</v>
      </c>
      <c r="BG2890" s="1">
        <v>26.8</v>
      </c>
      <c r="BH2890" s="1" t="s">
        <v>4711</v>
      </c>
    </row>
    <row r="2891">
      <c r="A2891" s="1">
        <v>51149.0</v>
      </c>
      <c r="B2891" s="2" t="str">
        <f>IFERROR(__xludf.DUMMYFUNCTION("TO_TEXT(A2891)"),"51149")</f>
        <v>51149</v>
      </c>
      <c r="C2891" s="1">
        <v>37664.0</v>
      </c>
      <c r="D2891" s="1">
        <v>265.158755463212</v>
      </c>
      <c r="E2891" s="1" t="s">
        <v>4712</v>
      </c>
      <c r="F2891" s="1" t="s">
        <v>4713</v>
      </c>
      <c r="G2891" s="1">
        <v>142.043207037248</v>
      </c>
      <c r="H2891" s="1">
        <v>17.442791949</v>
      </c>
      <c r="I2891" s="1">
        <v>3.6984035396</v>
      </c>
      <c r="J2891" s="1">
        <v>8.2495812395</v>
      </c>
      <c r="K2891" s="1">
        <v>17.9625804959999</v>
      </c>
      <c r="L2891" s="1">
        <v>31.9</v>
      </c>
      <c r="M2891" s="1">
        <v>7.5</v>
      </c>
      <c r="N2891" s="1">
        <v>29.0</v>
      </c>
      <c r="O2891" s="1">
        <v>40.769769069</v>
      </c>
      <c r="P2891" s="1">
        <v>8.9991500212</v>
      </c>
      <c r="Q2891" s="1">
        <v>15.86924</v>
      </c>
      <c r="R2891" s="1">
        <v>90.9</v>
      </c>
      <c r="S2891" s="1">
        <v>11.3</v>
      </c>
      <c r="T2891" s="1">
        <v>8097.0</v>
      </c>
      <c r="U2891" s="1">
        <v>25.206866741</v>
      </c>
      <c r="V2891" s="1">
        <v>110.80186253</v>
      </c>
      <c r="W2891" s="1">
        <v>12.957998213</v>
      </c>
      <c r="X2891" s="1">
        <v>11.545372866</v>
      </c>
      <c r="Y2891" s="1">
        <v>80.941537019</v>
      </c>
      <c r="Z2891" s="1">
        <v>11.9</v>
      </c>
      <c r="AA2891" s="1">
        <v>10.045189974</v>
      </c>
      <c r="AB2891" s="1">
        <v>68133.0</v>
      </c>
      <c r="AC2891" s="1">
        <v>42.904551201</v>
      </c>
      <c r="AD2891" s="1">
        <v>66.99956198</v>
      </c>
      <c r="AE2891" s="1">
        <v>11.617515639</v>
      </c>
      <c r="AF2891" s="1">
        <v>31.23260333</v>
      </c>
      <c r="AG2891" s="1">
        <v>0.751010976299999</v>
      </c>
      <c r="AH2891" s="1">
        <v>2.2031405914</v>
      </c>
      <c r="AI2891" s="1">
        <v>0.4070164382</v>
      </c>
      <c r="AJ2891" s="1">
        <v>8.4606900898</v>
      </c>
      <c r="AK2891" s="1">
        <v>54.513943595</v>
      </c>
      <c r="AL2891" s="1">
        <v>0.438706793</v>
      </c>
      <c r="AM2891" s="1">
        <v>45.948217005</v>
      </c>
      <c r="AN2891" s="1">
        <v>53.402379286</v>
      </c>
      <c r="AO2891" s="1">
        <v>26721.0</v>
      </c>
      <c r="AP2891" s="1">
        <v>9.6</v>
      </c>
      <c r="AQ2891" s="1">
        <v>9.4</v>
      </c>
      <c r="AR2891" s="1">
        <v>11.5</v>
      </c>
      <c r="AS2891" s="1">
        <v>12.2</v>
      </c>
      <c r="AT2891" s="1">
        <v>21.8</v>
      </c>
      <c r="AU2891" s="1">
        <v>14.0</v>
      </c>
      <c r="AV2891" s="1">
        <v>44.0</v>
      </c>
      <c r="AW2891" s="1">
        <v>0.7</v>
      </c>
      <c r="AX2891" s="1">
        <v>0.3715</v>
      </c>
      <c r="AY2891" s="1">
        <v>8.3</v>
      </c>
      <c r="AZ2891" s="1">
        <v>9.8</v>
      </c>
      <c r="BA2891" s="1">
        <v>14.0</v>
      </c>
      <c r="BB2891" s="1">
        <v>3.24</v>
      </c>
      <c r="BC2891" s="1" t="s">
        <v>4607</v>
      </c>
      <c r="BD2891" s="1">
        <v>9.4</v>
      </c>
      <c r="BE2891" s="1">
        <v>33.8</v>
      </c>
      <c r="BF2891" s="1">
        <v>33.2</v>
      </c>
      <c r="BG2891" s="1">
        <v>23.6</v>
      </c>
      <c r="BH2891" s="1" t="s">
        <v>4713</v>
      </c>
    </row>
    <row r="2892">
      <c r="A2892" s="1">
        <v>51153.0</v>
      </c>
      <c r="B2892" s="2" t="str">
        <f>IFERROR(__xludf.DUMMYFUNCTION("TO_TEXT(A2892)"),"51153")</f>
        <v>51153</v>
      </c>
      <c r="C2892" s="1">
        <v>443630.0</v>
      </c>
      <c r="D2892" s="1">
        <v>336.418184986614</v>
      </c>
      <c r="E2892" s="1" t="s">
        <v>4714</v>
      </c>
      <c r="F2892" s="1" t="s">
        <v>4715</v>
      </c>
      <c r="G2892" s="1">
        <v>1318.68614658168</v>
      </c>
      <c r="H2892" s="1">
        <v>15.279547759</v>
      </c>
      <c r="I2892" s="1">
        <v>3.4228369698</v>
      </c>
      <c r="J2892" s="1">
        <v>7.2291442666</v>
      </c>
      <c r="K2892" s="1">
        <v>13.432226007</v>
      </c>
      <c r="L2892" s="1">
        <v>30.3</v>
      </c>
      <c r="M2892" s="1">
        <v>9.3</v>
      </c>
      <c r="N2892" s="1">
        <v>18.5</v>
      </c>
      <c r="O2892" s="1">
        <v>96.905239277</v>
      </c>
      <c r="P2892" s="1">
        <v>11.672109105</v>
      </c>
      <c r="Q2892" s="1">
        <v>44.49023</v>
      </c>
      <c r="R2892" s="1">
        <v>92.2</v>
      </c>
      <c r="S2892" s="1">
        <v>8.7</v>
      </c>
      <c r="T2892" s="1">
        <v>125133.0</v>
      </c>
      <c r="U2892" s="1">
        <v>21.340493715</v>
      </c>
      <c r="V2892" s="1">
        <v>185.51565295</v>
      </c>
      <c r="W2892" s="1">
        <v>15.517740768</v>
      </c>
      <c r="X2892" s="1">
        <v>12.56049194</v>
      </c>
      <c r="Y2892" s="1">
        <v>82.199572347</v>
      </c>
      <c r="Z2892" s="1">
        <v>9.1</v>
      </c>
      <c r="AA2892" s="1">
        <v>3.3502497111</v>
      </c>
      <c r="AB2892" s="1">
        <v>106200.0</v>
      </c>
      <c r="AC2892" s="1">
        <v>41.4424798569999</v>
      </c>
      <c r="AD2892" s="1">
        <v>73.189153788</v>
      </c>
      <c r="AE2892" s="1">
        <v>12.706332587</v>
      </c>
      <c r="AF2892" s="1">
        <v>20.65122401</v>
      </c>
      <c r="AG2892" s="1">
        <v>1.0871539344</v>
      </c>
      <c r="AH2892" s="1">
        <v>9.2858928529</v>
      </c>
      <c r="AI2892" s="1">
        <v>0.205337054</v>
      </c>
      <c r="AJ2892" s="1">
        <v>24.168876373</v>
      </c>
      <c r="AK2892" s="1">
        <v>42.016106459</v>
      </c>
      <c r="AL2892" s="1">
        <v>6.0436723014</v>
      </c>
      <c r="AM2892" s="1">
        <v>50.002029867</v>
      </c>
      <c r="AN2892" s="1">
        <v>4.1661484271</v>
      </c>
      <c r="AO2892" s="1">
        <v>37063.0</v>
      </c>
      <c r="AP2892" s="1">
        <v>7.0</v>
      </c>
      <c r="AQ2892" s="1">
        <v>5.4</v>
      </c>
      <c r="AR2892" s="1">
        <v>11.0</v>
      </c>
      <c r="AS2892" s="1">
        <v>8.3</v>
      </c>
      <c r="AT2892" s="1">
        <v>28.0</v>
      </c>
      <c r="AU2892" s="1">
        <v>7.2</v>
      </c>
      <c r="AV2892" s="1">
        <v>54.5</v>
      </c>
      <c r="AW2892" s="1">
        <v>6.0</v>
      </c>
      <c r="AX2892" s="1">
        <v>0.2814</v>
      </c>
      <c r="AY2892" s="1">
        <v>6.1</v>
      </c>
      <c r="AZ2892" s="1">
        <v>5.6</v>
      </c>
      <c r="BA2892" s="1">
        <v>6.9</v>
      </c>
      <c r="BB2892" s="1">
        <v>3.36</v>
      </c>
      <c r="BC2892" s="1" t="s">
        <v>4607</v>
      </c>
      <c r="BD2892" s="1">
        <v>11.5</v>
      </c>
      <c r="BE2892" s="1">
        <v>20.0</v>
      </c>
      <c r="BF2892" s="1">
        <v>27.3</v>
      </c>
      <c r="BG2892" s="1">
        <v>41.1</v>
      </c>
      <c r="BH2892" s="1" t="s">
        <v>4715</v>
      </c>
    </row>
    <row r="2893">
      <c r="A2893" s="1">
        <v>51155.0</v>
      </c>
      <c r="B2893" s="2" t="str">
        <f>IFERROR(__xludf.DUMMYFUNCTION("TO_TEXT(A2893)"),"51155")</f>
        <v>51155</v>
      </c>
      <c r="C2893" s="1">
        <v>34417.0</v>
      </c>
      <c r="D2893" s="1">
        <v>319.861941650532</v>
      </c>
      <c r="E2893" s="1" t="s">
        <v>387</v>
      </c>
      <c r="F2893" s="1" t="s">
        <v>4716</v>
      </c>
      <c r="G2893" s="1">
        <v>107.599546924537</v>
      </c>
      <c r="H2893" s="1">
        <v>15.831549205</v>
      </c>
      <c r="I2893" s="1">
        <v>4.0935885654</v>
      </c>
      <c r="J2893" s="1">
        <v>8.6936936937</v>
      </c>
      <c r="K2893" s="1">
        <v>16.465240314</v>
      </c>
      <c r="L2893" s="1">
        <v>30.5</v>
      </c>
      <c r="M2893" s="1">
        <v>8.1</v>
      </c>
      <c r="N2893" s="1">
        <v>32.4</v>
      </c>
      <c r="O2893" s="1">
        <v>83.103922918</v>
      </c>
      <c r="P2893" s="1">
        <v>9.7800179737</v>
      </c>
      <c r="Q2893" s="1">
        <v>40.95483</v>
      </c>
      <c r="R2893" s="1">
        <v>94.8</v>
      </c>
      <c r="S2893" s="1">
        <v>20.5</v>
      </c>
      <c r="T2893" s="1">
        <v>6156.0</v>
      </c>
      <c r="U2893" s="1">
        <v>27.729044834</v>
      </c>
      <c r="V2893" s="1">
        <v>252.58055568</v>
      </c>
      <c r="W2893" s="1">
        <v>9.2064582618</v>
      </c>
      <c r="X2893" s="1">
        <v>8.3711196373</v>
      </c>
      <c r="Y2893" s="1">
        <v>76.187420847</v>
      </c>
      <c r="Z2893" s="1">
        <v>14.6</v>
      </c>
      <c r="AA2893" s="1">
        <v>6.3962398103</v>
      </c>
      <c r="AB2893" s="1">
        <v>50834.0</v>
      </c>
      <c r="AC2893" s="1">
        <v>62.62818984</v>
      </c>
      <c r="AD2893" s="1">
        <v>72.337349398</v>
      </c>
      <c r="AE2893" s="1">
        <v>9.8642665312</v>
      </c>
      <c r="AF2893" s="1">
        <v>5.0020548347</v>
      </c>
      <c r="AG2893" s="1">
        <v>0.2377737333</v>
      </c>
      <c r="AH2893" s="1">
        <v>0.5959020724</v>
      </c>
      <c r="AI2893" s="1">
        <v>0.0146773909</v>
      </c>
      <c r="AJ2893" s="1">
        <v>1.8082545647</v>
      </c>
      <c r="AK2893" s="1">
        <v>90.876533787</v>
      </c>
      <c r="AL2893" s="1">
        <v>0.5935262804</v>
      </c>
      <c r="AM2893" s="1">
        <v>50.0499031289999</v>
      </c>
      <c r="AN2893" s="1">
        <v>46.9029593939999</v>
      </c>
      <c r="AO2893" s="1">
        <v>25738.0</v>
      </c>
      <c r="AP2893" s="1">
        <v>13.5</v>
      </c>
      <c r="AQ2893" s="1">
        <v>6.7</v>
      </c>
      <c r="AR2893" s="1">
        <v>15.9</v>
      </c>
      <c r="AS2893" s="1">
        <v>20.7</v>
      </c>
      <c r="AT2893" s="1">
        <v>18.5</v>
      </c>
      <c r="AU2893" s="1">
        <v>17.3</v>
      </c>
      <c r="AV2893" s="1">
        <v>8.9</v>
      </c>
      <c r="AW2893" s="1">
        <v>0.4</v>
      </c>
      <c r="AX2893" s="1">
        <v>0.4368</v>
      </c>
      <c r="AY2893" s="1">
        <v>14.6</v>
      </c>
      <c r="AZ2893" s="1">
        <v>11.7</v>
      </c>
      <c r="BA2893" s="1">
        <v>17.8</v>
      </c>
      <c r="BB2893" s="1">
        <v>2.95</v>
      </c>
      <c r="BC2893" s="1" t="s">
        <v>4607</v>
      </c>
      <c r="BD2893" s="1">
        <v>12.6</v>
      </c>
      <c r="BE2893" s="1">
        <v>33.2</v>
      </c>
      <c r="BF2893" s="1">
        <v>34.2</v>
      </c>
      <c r="BG2893" s="1">
        <v>20.0</v>
      </c>
      <c r="BH2893" s="1" t="s">
        <v>4716</v>
      </c>
    </row>
    <row r="2894">
      <c r="A2894" s="1">
        <v>51157.0</v>
      </c>
      <c r="B2894" s="2" t="str">
        <f>IFERROR(__xludf.DUMMYFUNCTION("TO_TEXT(A2894)"),"51157")</f>
        <v>51157</v>
      </c>
      <c r="C2894" s="1">
        <v>7416.0</v>
      </c>
      <c r="D2894" s="1">
        <v>266.365363981717</v>
      </c>
      <c r="E2894" s="1" t="s">
        <v>4717</v>
      </c>
      <c r="F2894" s="1" t="s">
        <v>4718</v>
      </c>
      <c r="G2894" s="1">
        <v>27.8414576472825</v>
      </c>
      <c r="H2894" s="1">
        <v>12.294684089</v>
      </c>
      <c r="I2894" s="1">
        <v>3.6162812434</v>
      </c>
      <c r="J2894" s="1">
        <v>7.323943662</v>
      </c>
      <c r="K2894" s="1">
        <v>13.404757641</v>
      </c>
      <c r="L2894" s="1">
        <v>39.1</v>
      </c>
      <c r="M2894" s="1">
        <v>7.4</v>
      </c>
      <c r="N2894" s="1">
        <v>20.2</v>
      </c>
      <c r="O2894" s="1">
        <v>49.3964464939999</v>
      </c>
      <c r="P2894" s="1">
        <v>14.1282003359999</v>
      </c>
      <c r="Q2894" s="1">
        <v>40.97801</v>
      </c>
      <c r="R2894" s="1">
        <v>94.8</v>
      </c>
      <c r="S2894" s="1">
        <v>13.6</v>
      </c>
      <c r="T2894" s="1">
        <v>1272.0</v>
      </c>
      <c r="U2894" s="1">
        <v>36.79245283</v>
      </c>
      <c r="V2894" s="1">
        <v>40.567951318</v>
      </c>
      <c r="W2894" s="1">
        <v>16.0246533129999</v>
      </c>
      <c r="X2894" s="1">
        <v>15.109034268</v>
      </c>
      <c r="Y2894" s="1">
        <v>84.24476527</v>
      </c>
      <c r="Z2894" s="1">
        <v>9.5</v>
      </c>
      <c r="AA2894" s="1">
        <v>20.566794427</v>
      </c>
      <c r="AB2894" s="1">
        <v>71035.0</v>
      </c>
      <c r="AC2894" s="1">
        <v>34.782608696</v>
      </c>
      <c r="AD2894" s="1">
        <v>73.790322581</v>
      </c>
      <c r="AE2894" s="1">
        <v>15.166548547</v>
      </c>
      <c r="AF2894" s="1">
        <v>4.2471042471</v>
      </c>
      <c r="AG2894" s="1">
        <v>0.3585217871</v>
      </c>
      <c r="AH2894" s="1">
        <v>0.8549365692</v>
      </c>
      <c r="AI2894" s="1">
        <v>0.0689464975</v>
      </c>
      <c r="AJ2894" s="1">
        <v>3.8472145615</v>
      </c>
      <c r="AK2894" s="1">
        <v>88.6789851079999</v>
      </c>
      <c r="AL2894" s="1">
        <v>0.458781362</v>
      </c>
      <c r="AM2894" s="1">
        <v>50.923883067</v>
      </c>
      <c r="AN2894" s="1">
        <v>100.0</v>
      </c>
      <c r="AO2894" s="1">
        <v>34886.0</v>
      </c>
      <c r="AP2894" s="1">
        <v>9.2</v>
      </c>
      <c r="AQ2894" s="1">
        <v>2.4</v>
      </c>
      <c r="AR2894" s="1">
        <v>12.8</v>
      </c>
      <c r="AS2894" s="1">
        <v>23.4</v>
      </c>
      <c r="AT2894" s="1">
        <v>18.4</v>
      </c>
      <c r="AU2894" s="1">
        <v>12.2</v>
      </c>
      <c r="AV2894" s="1">
        <v>10.6</v>
      </c>
      <c r="AW2894" s="1">
        <v>1.1</v>
      </c>
      <c r="AX2894" s="1">
        <v>0.00699999999999999</v>
      </c>
      <c r="AY2894" s="1">
        <v>8.5</v>
      </c>
      <c r="AZ2894" s="1">
        <v>9.2</v>
      </c>
      <c r="BA2894" s="1">
        <v>11.8</v>
      </c>
      <c r="BB2894" s="1">
        <v>3.26</v>
      </c>
      <c r="BC2894" s="1" t="s">
        <v>4607</v>
      </c>
      <c r="BD2894" s="1">
        <v>11.6</v>
      </c>
      <c r="BE2894" s="1">
        <v>27.6</v>
      </c>
      <c r="BF2894" s="1">
        <v>25.0</v>
      </c>
      <c r="BG2894" s="1">
        <v>35.8</v>
      </c>
      <c r="BH2894" s="1" t="s">
        <v>4718</v>
      </c>
    </row>
    <row r="2895">
      <c r="A2895" s="1">
        <v>51159.0</v>
      </c>
      <c r="B2895" s="2" t="str">
        <f>IFERROR(__xludf.DUMMYFUNCTION("TO_TEXT(A2895)"),"51159")</f>
        <v>51159</v>
      </c>
      <c r="C2895" s="1">
        <v>8868.0</v>
      </c>
      <c r="D2895" s="1">
        <v>191.495245234424</v>
      </c>
      <c r="E2895" s="1" t="s">
        <v>995</v>
      </c>
      <c r="F2895" s="1" t="s">
        <v>4719</v>
      </c>
      <c r="G2895" s="1">
        <v>46.3092438099129</v>
      </c>
      <c r="H2895" s="1">
        <v>19.014133997</v>
      </c>
      <c r="I2895" s="1">
        <v>4.1047315462</v>
      </c>
      <c r="J2895" s="1">
        <v>10.166358595</v>
      </c>
      <c r="K2895" s="1">
        <v>18.876946027</v>
      </c>
      <c r="L2895" s="1">
        <v>30.1</v>
      </c>
      <c r="M2895" s="1">
        <v>8.1</v>
      </c>
      <c r="N2895" s="1">
        <v>27.7</v>
      </c>
      <c r="O2895" s="1">
        <v>60.600821266</v>
      </c>
      <c r="P2895" s="1">
        <v>12.599854757</v>
      </c>
      <c r="Q2895" s="1">
        <v>48.31939</v>
      </c>
      <c r="R2895" s="1">
        <v>95.1</v>
      </c>
      <c r="S2895" s="1">
        <v>22.5</v>
      </c>
      <c r="T2895" s="1">
        <v>1473.0</v>
      </c>
      <c r="U2895" s="1">
        <v>13.034623218</v>
      </c>
      <c r="V2895" s="1">
        <v>118.8320507</v>
      </c>
      <c r="W2895" s="1">
        <v>16.531604538</v>
      </c>
      <c r="X2895" s="1">
        <v>14.633344295</v>
      </c>
      <c r="Y2895" s="1">
        <v>75.328577184</v>
      </c>
      <c r="Z2895" s="1">
        <v>15.7</v>
      </c>
      <c r="AA2895" s="1">
        <v>1.9910681181</v>
      </c>
      <c r="AB2895" s="1">
        <v>49399.0</v>
      </c>
      <c r="AC2895" s="1">
        <v>57.26172466</v>
      </c>
      <c r="AD2895" s="1">
        <v>72.061165976</v>
      </c>
      <c r="AE2895" s="1">
        <v>10.377358491</v>
      </c>
      <c r="AF2895" s="1">
        <v>29.431290108</v>
      </c>
      <c r="AG2895" s="1">
        <v>0.4868333702</v>
      </c>
      <c r="AH2895" s="1">
        <v>0.6306705023</v>
      </c>
      <c r="AI2895" s="1">
        <v>0.0442575791</v>
      </c>
      <c r="AJ2895" s="1">
        <v>7.1918566054</v>
      </c>
      <c r="AK2895" s="1">
        <v>60.433724275</v>
      </c>
      <c r="AL2895" s="1">
        <v>1.8124782154</v>
      </c>
      <c r="AM2895" s="1">
        <v>43.748616951</v>
      </c>
      <c r="AN2895" s="1">
        <v>100.0</v>
      </c>
      <c r="AO2895" s="1">
        <v>19191.0</v>
      </c>
      <c r="AP2895" s="1">
        <v>16.7</v>
      </c>
      <c r="AQ2895" s="1">
        <v>6.3</v>
      </c>
      <c r="AR2895" s="1">
        <v>19.4</v>
      </c>
      <c r="AS2895" s="1">
        <v>19.8</v>
      </c>
      <c r="AT2895" s="1">
        <v>16.9</v>
      </c>
      <c r="AU2895" s="1">
        <v>14.2</v>
      </c>
      <c r="AV2895" s="1">
        <v>38.6</v>
      </c>
      <c r="AW2895" s="1">
        <v>1.6</v>
      </c>
      <c r="AX2895" s="1">
        <v>0.6975</v>
      </c>
      <c r="AY2895" s="1">
        <v>17.8</v>
      </c>
      <c r="AZ2895" s="1">
        <v>10.4</v>
      </c>
      <c r="BA2895" s="1">
        <v>15.5</v>
      </c>
      <c r="BB2895" s="1">
        <v>3.19</v>
      </c>
      <c r="BC2895" s="1" t="s">
        <v>4607</v>
      </c>
      <c r="BD2895" s="1">
        <v>19.4</v>
      </c>
      <c r="BE2895" s="1">
        <v>35.4</v>
      </c>
      <c r="BF2895" s="1">
        <v>27.5</v>
      </c>
      <c r="BG2895" s="1">
        <v>17.7</v>
      </c>
      <c r="BH2895" s="1" t="s">
        <v>4719</v>
      </c>
    </row>
    <row r="2896">
      <c r="A2896" s="1">
        <v>51161.0</v>
      </c>
      <c r="B2896" s="2" t="str">
        <f>IFERROR(__xludf.DUMMYFUNCTION("TO_TEXT(A2896)"),"51161")</f>
        <v>51161</v>
      </c>
      <c r="C2896" s="1">
        <v>93655.0</v>
      </c>
      <c r="D2896" s="1">
        <v>250.585965205573</v>
      </c>
      <c r="E2896" s="1" t="s">
        <v>4720</v>
      </c>
      <c r="F2896" s="1" t="s">
        <v>4721</v>
      </c>
      <c r="G2896" s="1">
        <v>373.743996089996</v>
      </c>
      <c r="H2896" s="1">
        <v>14.166914942</v>
      </c>
      <c r="I2896" s="1">
        <v>3.5274497405</v>
      </c>
      <c r="J2896" s="1">
        <v>7.1145499151</v>
      </c>
      <c r="K2896" s="1">
        <v>14.994519825</v>
      </c>
      <c r="L2896" s="1">
        <v>29.6</v>
      </c>
      <c r="M2896" s="1">
        <v>8.9</v>
      </c>
      <c r="N2896" s="1">
        <v>25.4</v>
      </c>
      <c r="O2896" s="1">
        <v>82.1620334289999</v>
      </c>
      <c r="P2896" s="1">
        <v>8.2436634835</v>
      </c>
      <c r="Q2896" s="1">
        <v>130.1611</v>
      </c>
      <c r="R2896" s="1">
        <v>95.2</v>
      </c>
      <c r="S2896" s="1">
        <v>8.4</v>
      </c>
      <c r="T2896" s="1">
        <v>18873.0</v>
      </c>
      <c r="U2896" s="1">
        <v>26.625337784</v>
      </c>
      <c r="V2896" s="1">
        <v>184.45182724</v>
      </c>
      <c r="W2896" s="1">
        <v>11.064718163</v>
      </c>
      <c r="X2896" s="1">
        <v>9.7054182009</v>
      </c>
      <c r="Y2896" s="1">
        <v>78.986767074</v>
      </c>
      <c r="Z2896" s="1">
        <v>11.5</v>
      </c>
      <c r="AA2896" s="1">
        <v>3.3287104105</v>
      </c>
      <c r="AB2896" s="1">
        <v>68734.0</v>
      </c>
      <c r="AC2896" s="1">
        <v>30.230156388</v>
      </c>
      <c r="AD2896" s="1">
        <v>74.076102548</v>
      </c>
      <c r="AE2896" s="1">
        <v>9.6155372688</v>
      </c>
      <c r="AF2896" s="1">
        <v>6.00916309669999</v>
      </c>
      <c r="AG2896" s="1">
        <v>0.2242938994</v>
      </c>
      <c r="AH2896" s="1">
        <v>3.5313001605</v>
      </c>
      <c r="AI2896" s="1">
        <v>0.0457091833</v>
      </c>
      <c r="AJ2896" s="1">
        <v>3.1454296132</v>
      </c>
      <c r="AK2896" s="1">
        <v>85.49636984</v>
      </c>
      <c r="AL2896" s="1">
        <v>0.9956719665</v>
      </c>
      <c r="AM2896" s="1">
        <v>51.8097647569999</v>
      </c>
      <c r="AN2896" s="1">
        <v>18.540530008</v>
      </c>
      <c r="AO2896" s="1">
        <v>32220.0</v>
      </c>
      <c r="AP2896" s="1">
        <v>8.0</v>
      </c>
      <c r="AQ2896" s="1">
        <v>4.8</v>
      </c>
      <c r="AR2896" s="1">
        <v>8.4</v>
      </c>
      <c r="AS2896" s="1">
        <v>19.6</v>
      </c>
      <c r="AT2896" s="1">
        <v>20.7</v>
      </c>
      <c r="AU2896" s="1">
        <v>11.7</v>
      </c>
      <c r="AV2896" s="1">
        <v>13.1</v>
      </c>
      <c r="AW2896" s="1">
        <v>1.0</v>
      </c>
      <c r="AX2896" s="1">
        <v>0.1363</v>
      </c>
      <c r="AY2896" s="1">
        <v>6.5</v>
      </c>
      <c r="AZ2896" s="1">
        <v>7.9</v>
      </c>
      <c r="BA2896" s="1">
        <v>10.8</v>
      </c>
      <c r="BB2896" s="1">
        <v>3.27</v>
      </c>
      <c r="BC2896" s="1" t="s">
        <v>4607</v>
      </c>
      <c r="BD2896" s="1">
        <v>7.7</v>
      </c>
      <c r="BE2896" s="1">
        <v>25.0</v>
      </c>
      <c r="BF2896" s="1">
        <v>31.8</v>
      </c>
      <c r="BG2896" s="1">
        <v>35.6</v>
      </c>
      <c r="BH2896" s="1" t="s">
        <v>4721</v>
      </c>
    </row>
    <row r="2897">
      <c r="A2897" s="1">
        <v>51163.0</v>
      </c>
      <c r="B2897" s="2" t="str">
        <f>IFERROR(__xludf.DUMMYFUNCTION("TO_TEXT(A2897)"),"51163")</f>
        <v>51163</v>
      </c>
      <c r="C2897" s="1">
        <v>22450.0</v>
      </c>
      <c r="D2897" s="1">
        <v>597.565171557149</v>
      </c>
      <c r="E2897" s="1" t="s">
        <v>4722</v>
      </c>
      <c r="F2897" s="1" t="s">
        <v>4723</v>
      </c>
      <c r="G2897" s="1">
        <v>37.5691239526213</v>
      </c>
      <c r="H2897" s="1">
        <v>15.2230907</v>
      </c>
      <c r="I2897" s="1">
        <v>3.9599644612</v>
      </c>
      <c r="J2897" s="1">
        <v>6.8725099602</v>
      </c>
      <c r="K2897" s="1">
        <v>16.174326933</v>
      </c>
      <c r="L2897" s="1">
        <v>27.0</v>
      </c>
      <c r="M2897" s="1">
        <v>8.3</v>
      </c>
      <c r="N2897" s="1">
        <v>26.4</v>
      </c>
      <c r="O2897" s="1">
        <v>56.471062895</v>
      </c>
      <c r="P2897" s="1">
        <v>11.917192812</v>
      </c>
      <c r="Q2897" s="1">
        <v>92.67841</v>
      </c>
      <c r="R2897" s="1">
        <v>90.6</v>
      </c>
      <c r="S2897" s="1">
        <v>16.7</v>
      </c>
      <c r="T2897" s="1">
        <v>3966.0</v>
      </c>
      <c r="U2897" s="1">
        <v>27.130610187</v>
      </c>
      <c r="V2897" s="1">
        <v>141.35385582</v>
      </c>
      <c r="W2897" s="1">
        <v>12.345013477</v>
      </c>
      <c r="X2897" s="1">
        <v>10.7103825139999</v>
      </c>
      <c r="Y2897" s="1">
        <v>80.3165427919999</v>
      </c>
      <c r="Z2897" s="1">
        <v>13.1</v>
      </c>
      <c r="AA2897" s="1">
        <v>5.3939847954</v>
      </c>
      <c r="AB2897" s="1">
        <v>53413.0</v>
      </c>
      <c r="AC2897" s="1">
        <v>44.166666667</v>
      </c>
      <c r="AD2897" s="1">
        <v>78.32720793</v>
      </c>
      <c r="AE2897" s="1">
        <v>11.909746453</v>
      </c>
      <c r="AF2897" s="1">
        <v>3.2876230661</v>
      </c>
      <c r="AG2897" s="1">
        <v>0.6021448664</v>
      </c>
      <c r="AH2897" s="1">
        <v>0.6812587904</v>
      </c>
      <c r="AI2897" s="1">
        <v>0.02197609</v>
      </c>
      <c r="AJ2897" s="1">
        <v>2.0657524613</v>
      </c>
      <c r="AK2897" s="1">
        <v>91.868846695</v>
      </c>
      <c r="AL2897" s="1">
        <v>0.2712688836</v>
      </c>
      <c r="AM2897" s="1">
        <v>50.465893108</v>
      </c>
      <c r="AN2897" s="1">
        <v>91.639395705</v>
      </c>
      <c r="AO2897" s="1">
        <v>29603.0</v>
      </c>
      <c r="AP2897" s="1">
        <v>14.7</v>
      </c>
      <c r="AQ2897" s="1">
        <v>4.8</v>
      </c>
      <c r="AR2897" s="1">
        <v>13.8</v>
      </c>
      <c r="AS2897" s="1">
        <v>24.0</v>
      </c>
      <c r="AT2897" s="1">
        <v>17.9</v>
      </c>
      <c r="AU2897" s="1">
        <v>15.3</v>
      </c>
      <c r="AV2897" s="1">
        <v>6.8</v>
      </c>
      <c r="AW2897" s="1">
        <v>0.3</v>
      </c>
      <c r="AX2897" s="1">
        <v>0.0984</v>
      </c>
      <c r="AY2897" s="1">
        <v>11.5</v>
      </c>
      <c r="AZ2897" s="1">
        <v>10.2</v>
      </c>
      <c r="BA2897" s="1">
        <v>15.4</v>
      </c>
      <c r="BB2897" s="1">
        <v>3.07</v>
      </c>
      <c r="BC2897" s="1" t="s">
        <v>4607</v>
      </c>
      <c r="BD2897" s="1">
        <v>13.2</v>
      </c>
      <c r="BE2897" s="1">
        <v>33.7</v>
      </c>
      <c r="BF2897" s="1">
        <v>26.5</v>
      </c>
      <c r="BG2897" s="1">
        <v>26.7</v>
      </c>
      <c r="BH2897" s="1" t="s">
        <v>4723</v>
      </c>
    </row>
    <row r="2898">
      <c r="A2898" s="1">
        <v>51165.0</v>
      </c>
      <c r="B2898" s="2" t="str">
        <f>IFERROR(__xludf.DUMMYFUNCTION("TO_TEXT(A2898)"),"51165")</f>
        <v>51165</v>
      </c>
      <c r="C2898" s="1">
        <v>78427.0</v>
      </c>
      <c r="D2898" s="1">
        <v>849.14834286153</v>
      </c>
      <c r="E2898" s="1" t="s">
        <v>2977</v>
      </c>
      <c r="F2898" s="1" t="s">
        <v>4724</v>
      </c>
      <c r="G2898" s="1">
        <v>92.3595984839472</v>
      </c>
      <c r="H2898" s="1">
        <v>14.6643851229999</v>
      </c>
      <c r="I2898" s="1">
        <v>3.795814005</v>
      </c>
      <c r="J2898" s="1">
        <v>6.121045392</v>
      </c>
      <c r="K2898" s="1">
        <v>14.784180444</v>
      </c>
      <c r="L2898" s="1">
        <v>27.8</v>
      </c>
      <c r="M2898" s="1">
        <v>8.7</v>
      </c>
      <c r="N2898" s="1">
        <v>29.4</v>
      </c>
      <c r="O2898" s="1">
        <v>72.100794088</v>
      </c>
      <c r="P2898" s="1">
        <v>15.394270294</v>
      </c>
      <c r="Q2898" s="1">
        <v>28.66865</v>
      </c>
      <c r="R2898" s="1">
        <v>94.2</v>
      </c>
      <c r="S2898" s="1">
        <v>9.3</v>
      </c>
      <c r="T2898" s="1">
        <v>17516.0</v>
      </c>
      <c r="U2898" s="1">
        <v>24.440511532</v>
      </c>
      <c r="V2898" s="1">
        <v>112.28571611</v>
      </c>
      <c r="W2898" s="1">
        <v>12.180023423</v>
      </c>
      <c r="X2898" s="1">
        <v>9.430784776</v>
      </c>
      <c r="Y2898" s="1">
        <v>80.740228021</v>
      </c>
      <c r="Z2898" s="1">
        <v>10.2</v>
      </c>
      <c r="AA2898" s="1">
        <v>6.08187162799999</v>
      </c>
      <c r="AB2898" s="1">
        <v>61375.0</v>
      </c>
      <c r="AC2898" s="1">
        <v>40.037934305</v>
      </c>
      <c r="AD2898" s="1">
        <v>73.780133135</v>
      </c>
      <c r="AE2898" s="1">
        <v>9.7247398456</v>
      </c>
      <c r="AF2898" s="1">
        <v>2.046920388</v>
      </c>
      <c r="AG2898" s="1">
        <v>0.5945054404</v>
      </c>
      <c r="AH2898" s="1">
        <v>0.9096056324</v>
      </c>
      <c r="AI2898" s="1">
        <v>0.0726207474</v>
      </c>
      <c r="AJ2898" s="1">
        <v>7.3408497858</v>
      </c>
      <c r="AK2898" s="1">
        <v>88.29082763</v>
      </c>
      <c r="AL2898" s="1">
        <v>1.9188742604</v>
      </c>
      <c r="AM2898" s="1">
        <v>50.796366501</v>
      </c>
      <c r="AN2898" s="1">
        <v>59.332494693</v>
      </c>
      <c r="AO2898" s="1">
        <v>27160.0</v>
      </c>
      <c r="AP2898" s="1">
        <v>11.6</v>
      </c>
      <c r="AQ2898" s="1">
        <v>5.2</v>
      </c>
      <c r="AR2898" s="1">
        <v>18.0</v>
      </c>
      <c r="AS2898" s="1">
        <v>17.9</v>
      </c>
      <c r="AT2898" s="1">
        <v>22.6</v>
      </c>
      <c r="AU2898" s="1">
        <v>13.2</v>
      </c>
      <c r="AV2898" s="1">
        <v>10.1</v>
      </c>
      <c r="AW2898" s="1">
        <v>2.4</v>
      </c>
      <c r="AX2898" s="1">
        <v>0.3432</v>
      </c>
      <c r="AY2898" s="1">
        <v>8.1</v>
      </c>
      <c r="AZ2898" s="1">
        <v>8.4</v>
      </c>
      <c r="BA2898" s="1">
        <v>11.3</v>
      </c>
      <c r="BB2898" s="1">
        <v>2.99</v>
      </c>
      <c r="BC2898" s="1" t="s">
        <v>4607</v>
      </c>
      <c r="BD2898" s="1">
        <v>16.0</v>
      </c>
      <c r="BE2898" s="1">
        <v>35.1</v>
      </c>
      <c r="BF2898" s="1">
        <v>22.5</v>
      </c>
      <c r="BG2898" s="1">
        <v>26.3</v>
      </c>
      <c r="BH2898" s="1" t="s">
        <v>4724</v>
      </c>
    </row>
    <row r="2899">
      <c r="A2899" s="1">
        <v>51167.0</v>
      </c>
      <c r="B2899" s="2" t="str">
        <f>IFERROR(__xludf.DUMMYFUNCTION("TO_TEXT(A2899)"),"51167")</f>
        <v>51167</v>
      </c>
      <c r="C2899" s="1">
        <v>27973.0</v>
      </c>
      <c r="D2899" s="1">
        <v>473.821384426112</v>
      </c>
      <c r="E2899" s="1" t="s">
        <v>172</v>
      </c>
      <c r="F2899" s="1" t="s">
        <v>4725</v>
      </c>
      <c r="G2899" s="1">
        <v>59.0370146207745</v>
      </c>
      <c r="H2899" s="1">
        <v>18.16071952</v>
      </c>
      <c r="I2899" s="1">
        <v>4.3493594737</v>
      </c>
      <c r="J2899" s="1">
        <v>8.7452471483</v>
      </c>
      <c r="K2899" s="1">
        <v>18.972923113</v>
      </c>
      <c r="L2899" s="1">
        <v>38.0</v>
      </c>
      <c r="M2899" s="1">
        <v>8.4</v>
      </c>
      <c r="N2899" s="1">
        <v>38.0</v>
      </c>
      <c r="O2899" s="1">
        <v>44.295255563</v>
      </c>
      <c r="P2899" s="1">
        <v>11.009304303</v>
      </c>
      <c r="Q2899" s="1">
        <v>25.87992</v>
      </c>
      <c r="R2899" s="1">
        <v>89.6</v>
      </c>
      <c r="S2899" s="1">
        <v>21.7</v>
      </c>
      <c r="T2899" s="1">
        <v>5244.0</v>
      </c>
      <c r="U2899" s="1">
        <v>25.93440122</v>
      </c>
      <c r="V2899" s="1">
        <v>184.96902218</v>
      </c>
      <c r="W2899" s="1">
        <v>12.940100594</v>
      </c>
      <c r="X2899" s="1">
        <v>11.524334252</v>
      </c>
      <c r="Y2899" s="1">
        <v>74.648226677</v>
      </c>
      <c r="Z2899" s="1">
        <v>18.9</v>
      </c>
      <c r="AA2899" s="1">
        <v>2.3457686533</v>
      </c>
      <c r="AB2899" s="1">
        <v>38966.0</v>
      </c>
      <c r="AC2899" s="1">
        <v>61.9184526919999</v>
      </c>
      <c r="AD2899" s="1">
        <v>76.0875512999999</v>
      </c>
      <c r="AE2899" s="1">
        <v>13.041323952</v>
      </c>
      <c r="AF2899" s="1">
        <v>0.9159563332</v>
      </c>
      <c r="AG2899" s="1">
        <v>0.2542246149</v>
      </c>
      <c r="AH2899" s="1">
        <v>0.2317930313</v>
      </c>
      <c r="AI2899" s="1">
        <v>0.0261701809</v>
      </c>
      <c r="AJ2899" s="1">
        <v>1.3907581875</v>
      </c>
      <c r="AK2899" s="1">
        <v>96.564229101</v>
      </c>
      <c r="AL2899" s="1">
        <v>0.0420778823</v>
      </c>
      <c r="AM2899" s="1">
        <v>51.087931808</v>
      </c>
      <c r="AN2899" s="1">
        <v>88.185624805</v>
      </c>
      <c r="AO2899" s="1">
        <v>21171.0</v>
      </c>
      <c r="AP2899" s="1">
        <v>17.0</v>
      </c>
      <c r="AQ2899" s="1">
        <v>6.6</v>
      </c>
      <c r="AR2899" s="1">
        <v>21.8</v>
      </c>
      <c r="AS2899" s="1">
        <v>18.5</v>
      </c>
      <c r="AT2899" s="1">
        <v>19.8</v>
      </c>
      <c r="AU2899" s="1">
        <v>23.1</v>
      </c>
      <c r="AV2899" s="1">
        <v>3.2</v>
      </c>
      <c r="AW2899" s="1">
        <v>0.2</v>
      </c>
      <c r="AX2899" s="1">
        <v>0.418</v>
      </c>
      <c r="AY2899" s="1">
        <v>20.0</v>
      </c>
      <c r="AZ2899" s="1">
        <v>15.2</v>
      </c>
      <c r="BA2899" s="1">
        <v>21.5</v>
      </c>
      <c r="BB2899" s="1">
        <v>3.03</v>
      </c>
      <c r="BC2899" s="1" t="s">
        <v>4607</v>
      </c>
      <c r="BD2899" s="1">
        <v>19.7</v>
      </c>
      <c r="BE2899" s="1">
        <v>38.0</v>
      </c>
      <c r="BF2899" s="1">
        <v>30.1</v>
      </c>
      <c r="BG2899" s="1">
        <v>12.2</v>
      </c>
      <c r="BH2899" s="1" t="s">
        <v>4725</v>
      </c>
    </row>
    <row r="2900">
      <c r="A2900" s="1">
        <v>51169.0</v>
      </c>
      <c r="B2900" s="2" t="str">
        <f>IFERROR(__xludf.DUMMYFUNCTION("TO_TEXT(A2900)"),"51169")</f>
        <v>51169</v>
      </c>
      <c r="C2900" s="1">
        <v>22378.0</v>
      </c>
      <c r="D2900" s="1">
        <v>535.52689293321</v>
      </c>
      <c r="E2900" s="1" t="s">
        <v>394</v>
      </c>
      <c r="F2900" s="1" t="s">
        <v>4726</v>
      </c>
      <c r="G2900" s="1">
        <v>41.7868837126559</v>
      </c>
      <c r="H2900" s="1">
        <v>17.738564536</v>
      </c>
      <c r="I2900" s="1">
        <v>4.1757720252</v>
      </c>
      <c r="J2900" s="1">
        <v>7.8509119746</v>
      </c>
      <c r="K2900" s="1">
        <v>18.887196425</v>
      </c>
      <c r="L2900" s="1">
        <v>30.3</v>
      </c>
      <c r="M2900" s="1">
        <v>8.3</v>
      </c>
      <c r="N2900" s="1">
        <v>33.8</v>
      </c>
      <c r="O2900" s="1">
        <v>40.302886482</v>
      </c>
      <c r="P2900" s="1">
        <v>10.980783629</v>
      </c>
      <c r="Q2900" s="1">
        <v>32.01464</v>
      </c>
      <c r="R2900" s="1">
        <v>94.6</v>
      </c>
      <c r="S2900" s="1">
        <v>24.5</v>
      </c>
      <c r="T2900" s="1">
        <v>3993.0</v>
      </c>
      <c r="U2900" s="1">
        <v>28.199348861</v>
      </c>
      <c r="V2900" s="1">
        <v>101.48849797</v>
      </c>
      <c r="W2900" s="1">
        <v>11.422295442</v>
      </c>
      <c r="X2900" s="1">
        <v>9.0333333333</v>
      </c>
      <c r="Y2900" s="1">
        <v>75.742456306</v>
      </c>
      <c r="Z2900" s="1">
        <v>17.2</v>
      </c>
      <c r="AA2900" s="1">
        <v>3.9768380317</v>
      </c>
      <c r="AB2900" s="1">
        <v>40161.0</v>
      </c>
      <c r="AC2900" s="1">
        <v>62.313117066</v>
      </c>
      <c r="AD2900" s="1">
        <v>77.940002281</v>
      </c>
      <c r="AE2900" s="1">
        <v>11.3302921959999</v>
      </c>
      <c r="AF2900" s="1">
        <v>0.8033807003</v>
      </c>
      <c r="AG2900" s="1">
        <v>0.2879167828</v>
      </c>
      <c r="AH2900" s="1">
        <v>0.1903965821</v>
      </c>
      <c r="AI2900" s="1">
        <v>0.0789449243</v>
      </c>
      <c r="AJ2900" s="1">
        <v>1.4256524566</v>
      </c>
      <c r="AK2900" s="1">
        <v>96.544998607</v>
      </c>
      <c r="AL2900" s="1">
        <v>0.4591933346</v>
      </c>
      <c r="AM2900" s="1">
        <v>49.712083217</v>
      </c>
      <c r="AN2900" s="1">
        <v>82.124519998</v>
      </c>
      <c r="AO2900" s="1">
        <v>20935.0</v>
      </c>
      <c r="AP2900" s="1">
        <v>20.1</v>
      </c>
      <c r="AQ2900" s="1">
        <v>7.8</v>
      </c>
      <c r="AR2900" s="1">
        <v>20.7</v>
      </c>
      <c r="AS2900" s="1">
        <v>21.3</v>
      </c>
      <c r="AT2900" s="1">
        <v>18.8</v>
      </c>
      <c r="AU2900" s="1">
        <v>23.0</v>
      </c>
      <c r="AV2900" s="1">
        <v>3.1</v>
      </c>
      <c r="AW2900" s="1">
        <v>0.3</v>
      </c>
      <c r="AX2900" s="1">
        <v>0.6488</v>
      </c>
      <c r="AY2900" s="1">
        <v>14.8</v>
      </c>
      <c r="AZ2900" s="1">
        <v>14.3</v>
      </c>
      <c r="BA2900" s="1">
        <v>19.7</v>
      </c>
      <c r="BB2900" s="1">
        <v>2.84</v>
      </c>
      <c r="BC2900" s="1" t="s">
        <v>4607</v>
      </c>
      <c r="BD2900" s="1">
        <v>18.6</v>
      </c>
      <c r="BE2900" s="1">
        <v>38.1</v>
      </c>
      <c r="BF2900" s="1">
        <v>30.0</v>
      </c>
      <c r="BG2900" s="1">
        <v>13.3</v>
      </c>
      <c r="BH2900" s="1" t="s">
        <v>4726</v>
      </c>
    </row>
    <row r="2901">
      <c r="A2901" s="1">
        <v>51171.0</v>
      </c>
      <c r="B2901" s="2" t="str">
        <f>IFERROR(__xludf.DUMMYFUNCTION("TO_TEXT(A2901)"),"51171")</f>
        <v>51171</v>
      </c>
      <c r="C2901" s="1">
        <v>42857.0</v>
      </c>
      <c r="D2901" s="1">
        <v>508.263247311416</v>
      </c>
      <c r="E2901" s="1" t="s">
        <v>4727</v>
      </c>
      <c r="F2901" s="1" t="s">
        <v>4728</v>
      </c>
      <c r="G2901" s="1">
        <v>84.3204780725395</v>
      </c>
      <c r="H2901" s="1">
        <v>14.4409258009999</v>
      </c>
      <c r="I2901" s="1">
        <v>3.8184152883</v>
      </c>
      <c r="J2901" s="1">
        <v>7.4658573596</v>
      </c>
      <c r="K2901" s="1">
        <v>15.6910128379999</v>
      </c>
      <c r="L2901" s="1">
        <v>33.1</v>
      </c>
      <c r="M2901" s="1">
        <v>8.9</v>
      </c>
      <c r="N2901" s="1">
        <v>26.9</v>
      </c>
      <c r="O2901" s="1">
        <v>63.648703355</v>
      </c>
      <c r="P2901" s="1">
        <v>12.210713229</v>
      </c>
      <c r="Q2901" s="1">
        <v>48.583</v>
      </c>
      <c r="R2901" s="1">
        <v>96.7</v>
      </c>
      <c r="S2901" s="1">
        <v>14.9</v>
      </c>
      <c r="T2901" s="1">
        <v>9105.0</v>
      </c>
      <c r="U2901" s="1">
        <v>29.643053267</v>
      </c>
      <c r="V2901" s="1">
        <v>177.81186807</v>
      </c>
      <c r="W2901" s="1">
        <v>12.398373984</v>
      </c>
      <c r="X2901" s="1">
        <v>9.7417840376</v>
      </c>
      <c r="Y2901" s="1">
        <v>79.47203828</v>
      </c>
      <c r="Z2901" s="1">
        <v>15.6</v>
      </c>
      <c r="AA2901" s="1">
        <v>2.9058044651</v>
      </c>
      <c r="AB2901" s="1">
        <v>55283.0</v>
      </c>
      <c r="AC2901" s="1">
        <v>46.9306930689999</v>
      </c>
      <c r="AD2901" s="1">
        <v>70.626624314</v>
      </c>
      <c r="AE2901" s="1">
        <v>11.824783045</v>
      </c>
      <c r="AF2901" s="1">
        <v>2.4116605743</v>
      </c>
      <c r="AG2901" s="1">
        <v>0.4299147068</v>
      </c>
      <c r="AH2901" s="1">
        <v>1.1541025818</v>
      </c>
      <c r="AI2901" s="1">
        <v>0.0459801825</v>
      </c>
      <c r="AJ2901" s="1">
        <v>7.3062510058</v>
      </c>
      <c r="AK2901" s="1">
        <v>87.399130975</v>
      </c>
      <c r="AL2901" s="1">
        <v>1.9656624874</v>
      </c>
      <c r="AM2901" s="1">
        <v>51.083982803</v>
      </c>
      <c r="AN2901" s="1">
        <v>66.584907008</v>
      </c>
      <c r="AO2901" s="1">
        <v>26444.0</v>
      </c>
      <c r="AP2901" s="1">
        <v>10.6</v>
      </c>
      <c r="AQ2901" s="1">
        <v>5.5</v>
      </c>
      <c r="AR2901" s="1">
        <v>14.3</v>
      </c>
      <c r="AS2901" s="1">
        <v>20.2</v>
      </c>
      <c r="AT2901" s="1">
        <v>20.4</v>
      </c>
      <c r="AU2901" s="1">
        <v>14.7</v>
      </c>
      <c r="AV2901" s="1">
        <v>11.1</v>
      </c>
      <c r="AW2901" s="1">
        <v>2.2</v>
      </c>
      <c r="AX2901" s="1">
        <v>0.3158</v>
      </c>
      <c r="AY2901" s="1">
        <v>10.3</v>
      </c>
      <c r="AZ2901" s="1">
        <v>9.7</v>
      </c>
      <c r="BA2901" s="1">
        <v>13.0</v>
      </c>
      <c r="BB2901" s="1">
        <v>3.21</v>
      </c>
      <c r="BC2901" s="1" t="s">
        <v>4607</v>
      </c>
      <c r="BD2901" s="1">
        <v>13.0</v>
      </c>
      <c r="BE2901" s="1">
        <v>37.9</v>
      </c>
      <c r="BF2901" s="1">
        <v>28.6</v>
      </c>
      <c r="BG2901" s="1">
        <v>20.5</v>
      </c>
      <c r="BH2901" s="1" t="s">
        <v>4728</v>
      </c>
    </row>
    <row r="2902">
      <c r="A2902" s="1">
        <v>51173.0</v>
      </c>
      <c r="B2902" s="2" t="str">
        <f>IFERROR(__xludf.DUMMYFUNCTION("TO_TEXT(A2902)"),"51173")</f>
        <v>51173</v>
      </c>
      <c r="C2902" s="1">
        <v>31513.0</v>
      </c>
      <c r="D2902" s="1">
        <v>450.930148200604</v>
      </c>
      <c r="E2902" s="1" t="s">
        <v>4729</v>
      </c>
      <c r="F2902" s="1" t="s">
        <v>4730</v>
      </c>
      <c r="G2902" s="1">
        <v>69.8844380349147</v>
      </c>
      <c r="H2902" s="1">
        <v>17.646700682</v>
      </c>
      <c r="I2902" s="1">
        <v>4.2367499898</v>
      </c>
      <c r="J2902" s="1">
        <v>9.7608589556</v>
      </c>
      <c r="K2902" s="1">
        <v>19.449484175</v>
      </c>
      <c r="L2902" s="1">
        <v>31.4</v>
      </c>
      <c r="M2902" s="1">
        <v>7.9</v>
      </c>
      <c r="N2902" s="1">
        <v>31.2</v>
      </c>
      <c r="O2902" s="1">
        <v>93.34947839</v>
      </c>
      <c r="P2902" s="1">
        <v>10.700249334</v>
      </c>
      <c r="Q2902" s="1">
        <v>61.97808</v>
      </c>
      <c r="R2902" s="1">
        <v>94.9</v>
      </c>
      <c r="S2902" s="1">
        <v>25.2</v>
      </c>
      <c r="T2902" s="1">
        <v>6007.0</v>
      </c>
      <c r="U2902" s="1">
        <v>33.860496088</v>
      </c>
      <c r="V2902" s="1">
        <v>202.58091273</v>
      </c>
      <c r="W2902" s="1">
        <v>11.291569992</v>
      </c>
      <c r="X2902" s="1">
        <v>10.130074892</v>
      </c>
      <c r="Y2902" s="1">
        <v>74.254508889</v>
      </c>
      <c r="Z2902" s="1">
        <v>15.5</v>
      </c>
      <c r="AA2902" s="1">
        <v>6.2040463812</v>
      </c>
      <c r="AB2902" s="1">
        <v>40972.0</v>
      </c>
      <c r="AC2902" s="1">
        <v>67.366283006</v>
      </c>
      <c r="AD2902" s="1">
        <v>71.368682556</v>
      </c>
      <c r="AE2902" s="1">
        <v>10.157938487</v>
      </c>
      <c r="AF2902" s="1">
        <v>2.3661065897</v>
      </c>
      <c r="AG2902" s="1">
        <v>0.1640850617</v>
      </c>
      <c r="AH2902" s="1">
        <v>0.4692832765</v>
      </c>
      <c r="AI2902" s="1">
        <v>0.0262536099</v>
      </c>
      <c r="AJ2902" s="1">
        <v>2.1527960095</v>
      </c>
      <c r="AK2902" s="1">
        <v>93.879627199</v>
      </c>
      <c r="AL2902" s="1">
        <v>0.3379862778</v>
      </c>
      <c r="AM2902" s="1">
        <v>50.95825676</v>
      </c>
      <c r="AN2902" s="1">
        <v>75.285643318</v>
      </c>
      <c r="AO2902" s="1">
        <v>22161.0</v>
      </c>
      <c r="AP2902" s="1">
        <v>17.7</v>
      </c>
      <c r="AQ2902" s="1">
        <v>7.3</v>
      </c>
      <c r="AR2902" s="1">
        <v>17.4</v>
      </c>
      <c r="AS2902" s="1">
        <v>20.0</v>
      </c>
      <c r="AT2902" s="1">
        <v>20.0</v>
      </c>
      <c r="AU2902" s="1">
        <v>20.9</v>
      </c>
      <c r="AV2902" s="1">
        <v>5.6</v>
      </c>
      <c r="AW2902" s="1">
        <v>0.5</v>
      </c>
      <c r="AX2902" s="1">
        <v>0.6527</v>
      </c>
      <c r="AY2902" s="1">
        <v>16.5</v>
      </c>
      <c r="AZ2902" s="1">
        <v>15.1</v>
      </c>
      <c r="BA2902" s="1">
        <v>21.8</v>
      </c>
      <c r="BB2902" s="1">
        <v>3.01</v>
      </c>
      <c r="BC2902" s="1" t="s">
        <v>4607</v>
      </c>
      <c r="BD2902" s="1">
        <v>16.7</v>
      </c>
      <c r="BE2902" s="1">
        <v>37.7</v>
      </c>
      <c r="BF2902" s="1">
        <v>31.0</v>
      </c>
      <c r="BG2902" s="1">
        <v>14.6</v>
      </c>
      <c r="BH2902" s="1" t="s">
        <v>4730</v>
      </c>
    </row>
    <row r="2903">
      <c r="A2903" s="1">
        <v>51175.0</v>
      </c>
      <c r="B2903" s="2" t="str">
        <f>IFERROR(__xludf.DUMMYFUNCTION("TO_TEXT(A2903)"),"51175")</f>
        <v>51175</v>
      </c>
      <c r="C2903" s="1">
        <v>18291.0</v>
      </c>
      <c r="D2903" s="1">
        <v>599.118584227994</v>
      </c>
      <c r="E2903" s="1" t="s">
        <v>4731</v>
      </c>
      <c r="F2903" s="1" t="s">
        <v>4732</v>
      </c>
      <c r="G2903" s="1">
        <v>30.529849150931</v>
      </c>
      <c r="H2903" s="1">
        <v>16.4593527609999</v>
      </c>
      <c r="I2903" s="1">
        <v>3.9260265617</v>
      </c>
      <c r="J2903" s="1">
        <v>9.5132743363</v>
      </c>
      <c r="K2903" s="1">
        <v>17.10984205</v>
      </c>
      <c r="L2903" s="1">
        <v>44.9</v>
      </c>
      <c r="M2903" s="1">
        <v>7.1</v>
      </c>
      <c r="N2903" s="1">
        <v>33.6</v>
      </c>
      <c r="O2903" s="1">
        <v>30.958535272</v>
      </c>
      <c r="P2903" s="1">
        <v>11.035072712</v>
      </c>
      <c r="Q2903" s="1">
        <v>22.53521</v>
      </c>
      <c r="R2903" s="1">
        <v>86.8</v>
      </c>
      <c r="S2903" s="1">
        <v>20.2</v>
      </c>
      <c r="T2903" s="1">
        <v>3406.0</v>
      </c>
      <c r="U2903" s="1">
        <v>39.312977099</v>
      </c>
      <c r="V2903" s="1">
        <v>125.21913348</v>
      </c>
      <c r="W2903" s="1">
        <v>12.416356877</v>
      </c>
      <c r="X2903" s="1">
        <v>10.242792109</v>
      </c>
      <c r="Y2903" s="1">
        <v>77.933923408</v>
      </c>
      <c r="Z2903" s="1">
        <v>17.0</v>
      </c>
      <c r="AA2903" s="1">
        <v>13.79683053</v>
      </c>
      <c r="AB2903" s="1">
        <v>52741.0</v>
      </c>
      <c r="AC2903" s="1">
        <v>49.357142857</v>
      </c>
      <c r="AD2903" s="1">
        <v>73.1524072369999</v>
      </c>
      <c r="AE2903" s="1">
        <v>9.8363338789</v>
      </c>
      <c r="AF2903" s="1">
        <v>34.550210395</v>
      </c>
      <c r="AG2903" s="1">
        <v>0.5060843853</v>
      </c>
      <c r="AH2903" s="1">
        <v>0.4719663369</v>
      </c>
      <c r="AI2903" s="1">
        <v>0.0682360969</v>
      </c>
      <c r="AJ2903" s="1">
        <v>1.8366882748</v>
      </c>
      <c r="AK2903" s="1">
        <v>61.088365745</v>
      </c>
      <c r="AL2903" s="1">
        <v>0.0</v>
      </c>
      <c r="AM2903" s="1">
        <v>48.015466849</v>
      </c>
      <c r="AN2903" s="1">
        <v>97.964458805</v>
      </c>
      <c r="AO2903" s="1">
        <v>24018.0</v>
      </c>
      <c r="AP2903" s="1">
        <v>14.7</v>
      </c>
      <c r="AQ2903" s="1">
        <v>5.8</v>
      </c>
      <c r="AR2903" s="1">
        <v>17.4</v>
      </c>
      <c r="AS2903" s="1">
        <v>17.7</v>
      </c>
      <c r="AT2903" s="1">
        <v>19.7</v>
      </c>
      <c r="AU2903" s="1">
        <v>16.3</v>
      </c>
      <c r="AV2903" s="1">
        <v>39.6</v>
      </c>
      <c r="AW2903" s="1">
        <v>0.0</v>
      </c>
      <c r="AX2903" s="1">
        <v>0.5756</v>
      </c>
      <c r="AY2903" s="1">
        <v>13.3</v>
      </c>
      <c r="AZ2903" s="1">
        <v>10.0</v>
      </c>
      <c r="BA2903" s="1">
        <v>14.5</v>
      </c>
      <c r="BB2903" s="1">
        <v>3.02</v>
      </c>
      <c r="BC2903" s="1" t="s">
        <v>4607</v>
      </c>
      <c r="BD2903" s="1">
        <v>15.2</v>
      </c>
      <c r="BE2903" s="1">
        <v>29.8</v>
      </c>
      <c r="BF2903" s="1">
        <v>36.6</v>
      </c>
      <c r="BG2903" s="1">
        <v>18.4</v>
      </c>
      <c r="BH2903" s="1" t="s">
        <v>4732</v>
      </c>
    </row>
    <row r="2904">
      <c r="A2904" s="1">
        <v>51177.0</v>
      </c>
      <c r="B2904" s="2" t="str">
        <f>IFERROR(__xludf.DUMMYFUNCTION("TO_TEXT(A2904)"),"51177")</f>
        <v>51177</v>
      </c>
      <c r="C2904" s="1">
        <v>129181.0</v>
      </c>
      <c r="D2904" s="1">
        <v>401.494129975899</v>
      </c>
      <c r="E2904" s="1" t="s">
        <v>4733</v>
      </c>
      <c r="F2904" s="1" t="s">
        <v>4734</v>
      </c>
      <c r="G2904" s="1">
        <v>321.75065674747</v>
      </c>
      <c r="H2904" s="1">
        <v>14.499582599</v>
      </c>
      <c r="I2904" s="1">
        <v>3.6254897009</v>
      </c>
      <c r="J2904" s="1">
        <v>7.2444899098</v>
      </c>
      <c r="K2904" s="1">
        <v>15.761410719</v>
      </c>
      <c r="L2904" s="1">
        <v>32.4</v>
      </c>
      <c r="M2904" s="1">
        <v>8.9</v>
      </c>
      <c r="N2904" s="1">
        <v>25.0</v>
      </c>
      <c r="O2904" s="1">
        <v>74.504277066</v>
      </c>
      <c r="P2904" s="1">
        <v>9.5402940304</v>
      </c>
      <c r="Q2904" s="1">
        <v>62.39053</v>
      </c>
      <c r="R2904" s="1">
        <v>91.2</v>
      </c>
      <c r="S2904" s="1">
        <v>10.1</v>
      </c>
      <c r="T2904" s="1">
        <v>32799.0</v>
      </c>
      <c r="U2904" s="1">
        <v>25.732491844</v>
      </c>
      <c r="V2904" s="1">
        <v>172.04748049</v>
      </c>
      <c r="W2904" s="1">
        <v>13.30472103</v>
      </c>
      <c r="X2904" s="1">
        <v>11.997201819</v>
      </c>
      <c r="Y2904" s="1">
        <v>79.301879721</v>
      </c>
      <c r="Z2904" s="1">
        <v>11.3</v>
      </c>
      <c r="AA2904" s="1">
        <v>4.1044832076</v>
      </c>
      <c r="AB2904" s="1">
        <v>86695.0</v>
      </c>
      <c r="AC2904" s="1">
        <v>40.615281163</v>
      </c>
      <c r="AD2904" s="1">
        <v>77.66788012</v>
      </c>
      <c r="AE2904" s="1">
        <v>11.508564513</v>
      </c>
      <c r="AF2904" s="1">
        <v>16.107212563</v>
      </c>
      <c r="AG2904" s="1">
        <v>0.451437</v>
      </c>
      <c r="AH2904" s="1">
        <v>2.9105022423</v>
      </c>
      <c r="AI2904" s="1">
        <v>0.1594183465</v>
      </c>
      <c r="AJ2904" s="1">
        <v>10.2511956379999</v>
      </c>
      <c r="AK2904" s="1">
        <v>67.372875043</v>
      </c>
      <c r="AL2904" s="1">
        <v>1.8596382999</v>
      </c>
      <c r="AM2904" s="1">
        <v>50.905853782</v>
      </c>
      <c r="AN2904" s="1">
        <v>32.327589729</v>
      </c>
      <c r="AO2904" s="1">
        <v>32367.0</v>
      </c>
      <c r="AP2904" s="1">
        <v>8.5</v>
      </c>
      <c r="AQ2904" s="1">
        <v>5.6</v>
      </c>
      <c r="AR2904" s="1">
        <v>10.4</v>
      </c>
      <c r="AS2904" s="1">
        <v>12.1</v>
      </c>
      <c r="AT2904" s="1">
        <v>25.8</v>
      </c>
      <c r="AU2904" s="1">
        <v>11.2</v>
      </c>
      <c r="AV2904" s="1">
        <v>29.9</v>
      </c>
      <c r="AW2904" s="1">
        <v>1.5</v>
      </c>
      <c r="AX2904" s="1">
        <v>0.1732</v>
      </c>
      <c r="AY2904" s="1">
        <v>6.6</v>
      </c>
      <c r="AZ2904" s="1">
        <v>7.5</v>
      </c>
      <c r="BA2904" s="1">
        <v>10.5</v>
      </c>
      <c r="BB2904" s="1">
        <v>3.15</v>
      </c>
      <c r="BC2904" s="1" t="s">
        <v>4607</v>
      </c>
      <c r="BD2904" s="1">
        <v>8.8</v>
      </c>
      <c r="BE2904" s="1">
        <v>29.5</v>
      </c>
      <c r="BF2904" s="1">
        <v>29.9</v>
      </c>
      <c r="BG2904" s="1">
        <v>31.7</v>
      </c>
      <c r="BH2904" s="1" t="s">
        <v>4734</v>
      </c>
    </row>
    <row r="2905">
      <c r="A2905" s="1">
        <v>51179.0</v>
      </c>
      <c r="B2905" s="2" t="str">
        <f>IFERROR(__xludf.DUMMYFUNCTION("TO_TEXT(A2905)"),"51179")</f>
        <v>51179</v>
      </c>
      <c r="C2905" s="1">
        <v>139548.0</v>
      </c>
      <c r="D2905" s="1">
        <v>269.053064019346</v>
      </c>
      <c r="E2905" s="1" t="s">
        <v>1736</v>
      </c>
      <c r="F2905" s="1" t="s">
        <v>4735</v>
      </c>
      <c r="G2905" s="1">
        <v>518.663485616227</v>
      </c>
      <c r="H2905" s="1">
        <v>11.7728230409999</v>
      </c>
      <c r="I2905" s="1">
        <v>3.1811931232</v>
      </c>
      <c r="J2905" s="1">
        <v>7.176953354</v>
      </c>
      <c r="K2905" s="1">
        <v>14.718886029</v>
      </c>
      <c r="L2905" s="1">
        <v>34.5</v>
      </c>
      <c r="M2905" s="1">
        <v>9.2</v>
      </c>
      <c r="N2905" s="1">
        <v>17.9</v>
      </c>
      <c r="O2905" s="1">
        <v>77.590124146</v>
      </c>
      <c r="P2905" s="1">
        <v>7.7203453716</v>
      </c>
      <c r="Q2905" s="1">
        <v>30.00361</v>
      </c>
      <c r="R2905" s="1">
        <v>94.7</v>
      </c>
      <c r="S2905" s="1">
        <v>6.5</v>
      </c>
      <c r="T2905" s="1">
        <v>37832.0</v>
      </c>
      <c r="U2905" s="1">
        <v>22.814019877</v>
      </c>
      <c r="V2905" s="1">
        <v>196.85457545</v>
      </c>
      <c r="W2905" s="1">
        <v>10.832769127</v>
      </c>
      <c r="X2905" s="1">
        <v>9.669731018</v>
      </c>
      <c r="Y2905" s="1">
        <v>80.323687086</v>
      </c>
      <c r="Z2905" s="1">
        <v>7.3</v>
      </c>
      <c r="AA2905" s="1">
        <v>3.4312594674</v>
      </c>
      <c r="AB2905" s="1">
        <v>108421.0</v>
      </c>
      <c r="AC2905" s="1">
        <v>30.653479336</v>
      </c>
      <c r="AD2905" s="1">
        <v>76.172077361</v>
      </c>
      <c r="AE2905" s="1">
        <v>9.3057930974</v>
      </c>
      <c r="AF2905" s="1">
        <v>18.293544945</v>
      </c>
      <c r="AG2905" s="1">
        <v>0.694185116</v>
      </c>
      <c r="AH2905" s="1">
        <v>3.726993865</v>
      </c>
      <c r="AI2905" s="1">
        <v>0.1713790344</v>
      </c>
      <c r="AJ2905" s="1">
        <v>13.576953854</v>
      </c>
      <c r="AK2905" s="1">
        <v>60.389437183</v>
      </c>
      <c r="AL2905" s="1">
        <v>1.8705110702</v>
      </c>
      <c r="AM2905" s="1">
        <v>49.570552147</v>
      </c>
      <c r="AN2905" s="1">
        <v>19.754809594</v>
      </c>
      <c r="AO2905" s="1">
        <v>37782.0</v>
      </c>
      <c r="AP2905" s="1">
        <v>5.1</v>
      </c>
      <c r="AQ2905" s="1">
        <v>4.9</v>
      </c>
      <c r="AR2905" s="1">
        <v>6.5</v>
      </c>
      <c r="AS2905" s="1">
        <v>9.1</v>
      </c>
      <c r="AT2905" s="1">
        <v>26.8</v>
      </c>
      <c r="AU2905" s="1">
        <v>8.6</v>
      </c>
      <c r="AV2905" s="1">
        <v>35.3</v>
      </c>
      <c r="AW2905" s="1">
        <v>1.5</v>
      </c>
      <c r="AX2905" s="1">
        <v>0.1356</v>
      </c>
      <c r="AY2905" s="1">
        <v>5.4</v>
      </c>
      <c r="AZ2905" s="1">
        <v>5.6</v>
      </c>
      <c r="BA2905" s="1">
        <v>7.2</v>
      </c>
      <c r="BB2905" s="1">
        <v>3.29</v>
      </c>
      <c r="BC2905" s="1" t="s">
        <v>4607</v>
      </c>
      <c r="BD2905" s="1">
        <v>6.8</v>
      </c>
      <c r="BE2905" s="1">
        <v>22.9</v>
      </c>
      <c r="BF2905" s="1">
        <v>30.4</v>
      </c>
      <c r="BG2905" s="1">
        <v>39.9</v>
      </c>
      <c r="BH2905" s="1" t="s">
        <v>4735</v>
      </c>
    </row>
    <row r="2906">
      <c r="A2906" s="1">
        <v>51181.0</v>
      </c>
      <c r="B2906" s="2" t="str">
        <f>IFERROR(__xludf.DUMMYFUNCTION("TO_TEXT(A2906)"),"51181")</f>
        <v>51181</v>
      </c>
      <c r="C2906" s="1">
        <v>6731.0</v>
      </c>
      <c r="D2906" s="1">
        <v>278.94933395701</v>
      </c>
      <c r="E2906" s="1" t="s">
        <v>3308</v>
      </c>
      <c r="F2906" s="1" t="s">
        <v>4736</v>
      </c>
      <c r="G2906" s="1">
        <v>24.1298299749206</v>
      </c>
      <c r="H2906" s="1">
        <v>18.484572217</v>
      </c>
      <c r="I2906" s="1">
        <v>4.1254035281</v>
      </c>
      <c r="J2906" s="1">
        <v>8.6746987952</v>
      </c>
      <c r="K2906" s="1">
        <v>17.290804708</v>
      </c>
      <c r="L2906" s="1">
        <v>26.0</v>
      </c>
      <c r="M2906" s="1">
        <v>7.1</v>
      </c>
      <c r="N2906" s="1">
        <v>23.1</v>
      </c>
      <c r="O2906" s="1">
        <v>9.2802493624</v>
      </c>
      <c r="P2906" s="1">
        <v>9.9686028257</v>
      </c>
      <c r="Q2906" s="1">
        <v>30.58104</v>
      </c>
      <c r="R2906" s="1">
        <v>93.8</v>
      </c>
      <c r="S2906" s="1">
        <v>20.2</v>
      </c>
      <c r="T2906" s="1">
        <v>1171.0</v>
      </c>
      <c r="U2906" s="1">
        <v>35.012809564</v>
      </c>
      <c r="V2906" s="1">
        <v>225.51304217</v>
      </c>
      <c r="W2906" s="1">
        <v>8.8724584104</v>
      </c>
      <c r="X2906" s="1">
        <v>6.8376068376</v>
      </c>
      <c r="Y2906" s="1">
        <v>76.142482129</v>
      </c>
      <c r="Z2906" s="1">
        <v>15.0</v>
      </c>
      <c r="AA2906" s="1">
        <v>10.321274741</v>
      </c>
      <c r="AB2906" s="1">
        <v>54663.0</v>
      </c>
      <c r="AC2906" s="1">
        <v>62.3737373739999</v>
      </c>
      <c r="AD2906" s="1">
        <v>76.847826087</v>
      </c>
      <c r="AE2906" s="1">
        <v>11.145038168</v>
      </c>
      <c r="AF2906" s="1">
        <v>41.859746679</v>
      </c>
      <c r="AG2906" s="1">
        <v>0.4479456287</v>
      </c>
      <c r="AH2906" s="1">
        <v>0.4788384306</v>
      </c>
      <c r="AI2906" s="1">
        <v>0.0926784059</v>
      </c>
      <c r="AJ2906" s="1">
        <v>2.5486561631</v>
      </c>
      <c r="AK2906" s="1">
        <v>52.903923386</v>
      </c>
      <c r="AL2906" s="1">
        <v>0.0</v>
      </c>
      <c r="AM2906" s="1">
        <v>50.6024096389999</v>
      </c>
      <c r="AN2906" s="1">
        <v>100.0</v>
      </c>
      <c r="AO2906" s="1">
        <v>25838.0</v>
      </c>
      <c r="AP2906" s="1">
        <v>11.9</v>
      </c>
      <c r="AQ2906" s="1">
        <v>8.2</v>
      </c>
      <c r="AR2906" s="1">
        <v>16.4</v>
      </c>
      <c r="AS2906" s="1">
        <v>19.1</v>
      </c>
      <c r="AT2906" s="1">
        <v>18.6</v>
      </c>
      <c r="AU2906" s="1">
        <v>14.6</v>
      </c>
      <c r="AV2906" s="1">
        <v>48.1</v>
      </c>
      <c r="AW2906" s="1">
        <v>0.0</v>
      </c>
      <c r="AX2906" s="1">
        <v>0.384</v>
      </c>
      <c r="AY2906" s="1">
        <v>11.9</v>
      </c>
      <c r="AZ2906" s="1">
        <v>11.4</v>
      </c>
      <c r="BA2906" s="1">
        <v>16.9</v>
      </c>
      <c r="BB2906" s="1">
        <v>3.06</v>
      </c>
      <c r="BC2906" s="1" t="s">
        <v>4607</v>
      </c>
      <c r="BD2906" s="1">
        <v>15.0</v>
      </c>
      <c r="BE2906" s="1">
        <v>36.2</v>
      </c>
      <c r="BF2906" s="1">
        <v>28.1</v>
      </c>
      <c r="BG2906" s="1">
        <v>20.6</v>
      </c>
      <c r="BH2906" s="1" t="s">
        <v>4736</v>
      </c>
    </row>
    <row r="2907">
      <c r="A2907" s="1">
        <v>51183.0</v>
      </c>
      <c r="B2907" s="2" t="str">
        <f>IFERROR(__xludf.DUMMYFUNCTION("TO_TEXT(A2907)"),"51183")</f>
        <v>51183</v>
      </c>
      <c r="C2907" s="1">
        <v>11733.0</v>
      </c>
      <c r="D2907" s="1">
        <v>490.219959921678</v>
      </c>
      <c r="E2907" s="1" t="s">
        <v>674</v>
      </c>
      <c r="F2907" s="1" t="s">
        <v>4737</v>
      </c>
      <c r="G2907" s="1">
        <v>23.9341539701373</v>
      </c>
      <c r="H2907" s="1">
        <v>21.081818993</v>
      </c>
      <c r="I2907" s="1">
        <v>3.9336777453</v>
      </c>
      <c r="J2907" s="1">
        <v>12.423312883</v>
      </c>
      <c r="K2907" s="1">
        <v>19.324991978</v>
      </c>
      <c r="L2907" s="1">
        <v>39.4</v>
      </c>
      <c r="M2907" s="1">
        <v>5.7</v>
      </c>
      <c r="N2907" s="1">
        <v>28.7</v>
      </c>
      <c r="O2907" s="1">
        <v>27.4758004469999</v>
      </c>
      <c r="P2907" s="1">
        <v>13.062409289</v>
      </c>
      <c r="Q2907" s="1">
        <v>26.37826</v>
      </c>
      <c r="R2907" s="1">
        <v>89.1</v>
      </c>
      <c r="S2907" s="1">
        <v>29.6</v>
      </c>
      <c r="T2907" s="1">
        <v>1697.0</v>
      </c>
      <c r="U2907" s="1">
        <v>47.259870359</v>
      </c>
      <c r="V2907" s="1">
        <v>102.73532811</v>
      </c>
      <c r="W2907" s="1">
        <v>13.175230567</v>
      </c>
      <c r="X2907" s="1">
        <v>11.980830671</v>
      </c>
      <c r="Y2907" s="1">
        <v>74.743652304</v>
      </c>
      <c r="Z2907" s="1">
        <v>10.8</v>
      </c>
      <c r="AA2907" s="1">
        <v>18.438196014</v>
      </c>
      <c r="AB2907" s="1">
        <v>43031.0</v>
      </c>
      <c r="AC2907" s="1">
        <v>80.222841226</v>
      </c>
      <c r="AD2907" s="1">
        <v>67.226009439</v>
      </c>
      <c r="AE2907" s="1">
        <v>15.118549512</v>
      </c>
      <c r="AF2907" s="1">
        <v>56.073685147</v>
      </c>
      <c r="AG2907" s="1">
        <v>0.5072528255</v>
      </c>
      <c r="AH2907" s="1">
        <v>0.400462757</v>
      </c>
      <c r="AI2907" s="1">
        <v>0.0088991724</v>
      </c>
      <c r="AJ2907" s="1">
        <v>3.1058111596</v>
      </c>
      <c r="AK2907" s="1">
        <v>38.835988253</v>
      </c>
      <c r="AL2907" s="1">
        <v>0.6725438517</v>
      </c>
      <c r="AM2907" s="1">
        <v>40.749310314</v>
      </c>
      <c r="AN2907" s="1">
        <v>100.0</v>
      </c>
      <c r="AO2907" s="1">
        <v>16653.0</v>
      </c>
      <c r="AP2907" s="1">
        <v>18.5</v>
      </c>
      <c r="AQ2907" s="1">
        <v>6.6</v>
      </c>
      <c r="AR2907" s="1">
        <v>27.7</v>
      </c>
      <c r="AS2907" s="1">
        <v>16.1</v>
      </c>
      <c r="AT2907" s="1">
        <v>8.1</v>
      </c>
      <c r="AU2907" s="1">
        <v>19.4</v>
      </c>
      <c r="AV2907" s="1">
        <v>61.7</v>
      </c>
      <c r="AW2907" s="1">
        <v>0.9</v>
      </c>
      <c r="AX2907" s="1">
        <v>0.8507</v>
      </c>
      <c r="AY2907" s="1">
        <v>21.6</v>
      </c>
      <c r="AZ2907" s="1">
        <v>14.5</v>
      </c>
      <c r="BA2907" s="1">
        <v>21.1</v>
      </c>
      <c r="BB2907" s="1">
        <v>3.1</v>
      </c>
      <c r="BC2907" s="1" t="s">
        <v>4607</v>
      </c>
      <c r="BD2907" s="1">
        <v>19.7</v>
      </c>
      <c r="BE2907" s="1">
        <v>42.5</v>
      </c>
      <c r="BF2907" s="1">
        <v>25.1</v>
      </c>
      <c r="BG2907" s="1">
        <v>12.7</v>
      </c>
      <c r="BH2907" s="1" t="s">
        <v>4737</v>
      </c>
    </row>
    <row r="2908">
      <c r="A2908" s="1">
        <v>51185.0</v>
      </c>
      <c r="B2908" s="2" t="str">
        <f>IFERROR(__xludf.DUMMYFUNCTION("TO_TEXT(A2908)"),"51185")</f>
        <v>51185</v>
      </c>
      <c r="C2908" s="1">
        <v>43367.0</v>
      </c>
      <c r="D2908" s="1">
        <v>518.846507765476</v>
      </c>
      <c r="E2908" s="1" t="s">
        <v>1287</v>
      </c>
      <c r="F2908" s="1" t="s">
        <v>4738</v>
      </c>
      <c r="G2908" s="1">
        <v>83.5834863508464</v>
      </c>
      <c r="H2908" s="1">
        <v>17.2113331009999</v>
      </c>
      <c r="I2908" s="1">
        <v>4.25598302839999</v>
      </c>
      <c r="J2908" s="1">
        <v>9.8161523309</v>
      </c>
      <c r="K2908" s="1">
        <v>19.454271915</v>
      </c>
      <c r="L2908" s="1">
        <v>32.2</v>
      </c>
      <c r="M2908" s="1">
        <v>7.8</v>
      </c>
      <c r="N2908" s="1">
        <v>37.3</v>
      </c>
      <c r="O2908" s="1">
        <v>55.259771951</v>
      </c>
      <c r="P2908" s="1">
        <v>11.561833344</v>
      </c>
      <c r="Q2908" s="1">
        <v>65.70142</v>
      </c>
      <c r="R2908" s="1">
        <v>88.9</v>
      </c>
      <c r="S2908" s="1">
        <v>24.1</v>
      </c>
      <c r="T2908" s="1">
        <v>8065.0</v>
      </c>
      <c r="U2908" s="1">
        <v>30.68815871</v>
      </c>
      <c r="V2908" s="1">
        <v>207.90745215</v>
      </c>
      <c r="W2908" s="1">
        <v>10.258596192</v>
      </c>
      <c r="X2908" s="1">
        <v>8.7496390413</v>
      </c>
      <c r="Y2908" s="1">
        <v>73.872582419</v>
      </c>
      <c r="Z2908" s="1">
        <v>14.3</v>
      </c>
      <c r="AA2908" s="1">
        <v>8.3706379555</v>
      </c>
      <c r="AB2908" s="1">
        <v>42074.0</v>
      </c>
      <c r="AC2908" s="1">
        <v>62.435233161</v>
      </c>
      <c r="AD2908" s="1">
        <v>75.830301608</v>
      </c>
      <c r="AE2908" s="1">
        <v>8.8036676786</v>
      </c>
      <c r="AF2908" s="1">
        <v>3.18443275</v>
      </c>
      <c r="AG2908" s="1">
        <v>0.1982621466</v>
      </c>
      <c r="AH2908" s="1">
        <v>0.675559907</v>
      </c>
      <c r="AI2908" s="1">
        <v>0.0244768082</v>
      </c>
      <c r="AJ2908" s="1">
        <v>1.0622934769</v>
      </c>
      <c r="AK2908" s="1">
        <v>93.814710562</v>
      </c>
      <c r="AL2908" s="1">
        <v>0.1852640012</v>
      </c>
      <c r="AM2908" s="1">
        <v>50.495655367</v>
      </c>
      <c r="AN2908" s="1">
        <v>51.887838857</v>
      </c>
      <c r="AO2908" s="1">
        <v>23548.0</v>
      </c>
      <c r="AP2908" s="1">
        <v>17.8</v>
      </c>
      <c r="AQ2908" s="1">
        <v>8.3</v>
      </c>
      <c r="AR2908" s="1">
        <v>21.2</v>
      </c>
      <c r="AS2908" s="1">
        <v>19.2</v>
      </c>
      <c r="AT2908" s="1">
        <v>19.4</v>
      </c>
      <c r="AU2908" s="1">
        <v>23.8</v>
      </c>
      <c r="AV2908" s="1">
        <v>5.9</v>
      </c>
      <c r="AW2908" s="1">
        <v>0.3</v>
      </c>
      <c r="AX2908" s="1">
        <v>0.5801</v>
      </c>
      <c r="AY2908" s="1">
        <v>21.7</v>
      </c>
      <c r="AZ2908" s="1">
        <v>13.6</v>
      </c>
      <c r="BA2908" s="1">
        <v>21.1</v>
      </c>
      <c r="BB2908" s="1">
        <v>2.78</v>
      </c>
      <c r="BC2908" s="1" t="s">
        <v>4607</v>
      </c>
      <c r="BD2908" s="1">
        <v>18.3</v>
      </c>
      <c r="BE2908" s="1">
        <v>36.5</v>
      </c>
      <c r="BF2908" s="1">
        <v>30.3</v>
      </c>
      <c r="BG2908" s="1">
        <v>14.9</v>
      </c>
      <c r="BH2908" s="1" t="s">
        <v>4738</v>
      </c>
    </row>
    <row r="2909">
      <c r="A2909" s="1">
        <v>51187.0</v>
      </c>
      <c r="B2909" s="2" t="str">
        <f>IFERROR(__xludf.DUMMYFUNCTION("TO_TEXT(A2909)"),"51187")</f>
        <v>51187</v>
      </c>
      <c r="C2909" s="1">
        <v>38807.0</v>
      </c>
      <c r="D2909" s="1">
        <v>213.762637925636</v>
      </c>
      <c r="E2909" s="1" t="s">
        <v>1045</v>
      </c>
      <c r="F2909" s="1" t="s">
        <v>4739</v>
      </c>
      <c r="G2909" s="1">
        <v>181.542482711596</v>
      </c>
      <c r="H2909" s="1">
        <v>13.934790999</v>
      </c>
      <c r="I2909" s="1">
        <v>3.708003422</v>
      </c>
      <c r="J2909" s="1">
        <v>6.9444444444</v>
      </c>
      <c r="K2909" s="1">
        <v>16.293415657</v>
      </c>
      <c r="L2909" s="1">
        <v>32.4</v>
      </c>
      <c r="M2909" s="1">
        <v>8.9</v>
      </c>
      <c r="N2909" s="1">
        <v>29.9</v>
      </c>
      <c r="O2909" s="1">
        <v>79.693945442</v>
      </c>
      <c r="P2909" s="1">
        <v>11.311415302</v>
      </c>
      <c r="Q2909" s="1">
        <v>53.0799</v>
      </c>
      <c r="R2909" s="1">
        <v>93.8</v>
      </c>
      <c r="S2909" s="1">
        <v>13.9</v>
      </c>
      <c r="T2909" s="1">
        <v>8660.0</v>
      </c>
      <c r="U2909" s="1">
        <v>34.422632794</v>
      </c>
      <c r="V2909" s="1">
        <v>138.09328969</v>
      </c>
      <c r="W2909" s="1">
        <v>12.345679012</v>
      </c>
      <c r="X2909" s="1">
        <v>10.8031272209999</v>
      </c>
      <c r="Y2909" s="1">
        <v>76.571858886</v>
      </c>
      <c r="Z2909" s="1">
        <v>15.4</v>
      </c>
      <c r="AA2909" s="1">
        <v>3.1223839395</v>
      </c>
      <c r="AB2909" s="1">
        <v>65635.0</v>
      </c>
      <c r="AC2909" s="1">
        <v>44.610561852</v>
      </c>
      <c r="AD2909" s="1">
        <v>77.00118228</v>
      </c>
      <c r="AE2909" s="1">
        <v>10.983915375</v>
      </c>
      <c r="AF2909" s="1">
        <v>4.6121540884</v>
      </c>
      <c r="AG2909" s="1">
        <v>0.5274604405</v>
      </c>
      <c r="AH2909" s="1">
        <v>1.3448991326</v>
      </c>
      <c r="AI2909" s="1">
        <v>0.0699947504</v>
      </c>
      <c r="AJ2909" s="1">
        <v>4.8771342149</v>
      </c>
      <c r="AK2909" s="1">
        <v>86.58600605</v>
      </c>
      <c r="AL2909" s="1">
        <v>0.6122724208</v>
      </c>
      <c r="AM2909" s="1">
        <v>50.156238282</v>
      </c>
      <c r="AN2909" s="1">
        <v>50.408516301</v>
      </c>
      <c r="AO2909" s="1">
        <v>29179.0</v>
      </c>
      <c r="AP2909" s="1">
        <v>10.4</v>
      </c>
      <c r="AQ2909" s="1">
        <v>6.5</v>
      </c>
      <c r="AR2909" s="1">
        <v>14.1</v>
      </c>
      <c r="AS2909" s="1">
        <v>14.6</v>
      </c>
      <c r="AT2909" s="1">
        <v>22.8</v>
      </c>
      <c r="AU2909" s="1">
        <v>13.9</v>
      </c>
      <c r="AV2909" s="1">
        <v>12.0</v>
      </c>
      <c r="AW2909" s="1">
        <v>0.5</v>
      </c>
      <c r="AX2909" s="1">
        <v>0.234</v>
      </c>
      <c r="AY2909" s="1">
        <v>9.7</v>
      </c>
      <c r="AZ2909" s="1">
        <v>9.1</v>
      </c>
      <c r="BA2909" s="1">
        <v>13.6</v>
      </c>
      <c r="BB2909" s="1">
        <v>3.07</v>
      </c>
      <c r="BC2909" s="1" t="s">
        <v>4607</v>
      </c>
      <c r="BD2909" s="1">
        <v>13.1</v>
      </c>
      <c r="BE2909" s="1">
        <v>35.9</v>
      </c>
      <c r="BF2909" s="1">
        <v>29.3</v>
      </c>
      <c r="BG2909" s="1">
        <v>21.7</v>
      </c>
      <c r="BH2909" s="1" t="s">
        <v>4739</v>
      </c>
    </row>
    <row r="2910">
      <c r="A2910" s="1">
        <v>51191.0</v>
      </c>
      <c r="B2910" s="2" t="str">
        <f>IFERROR(__xludf.DUMMYFUNCTION("TO_TEXT(A2910)"),"51191")</f>
        <v>51191</v>
      </c>
      <c r="C2910" s="1">
        <v>54562.0</v>
      </c>
      <c r="D2910" s="1">
        <v>560.974447952193</v>
      </c>
      <c r="E2910" s="1" t="s">
        <v>188</v>
      </c>
      <c r="F2910" s="1" t="s">
        <v>4740</v>
      </c>
      <c r="G2910" s="1">
        <v>97.2628970876936</v>
      </c>
      <c r="H2910" s="1">
        <v>16.694227699</v>
      </c>
      <c r="I2910" s="1">
        <v>4.0139765654</v>
      </c>
      <c r="J2910" s="1">
        <v>8.8376804254</v>
      </c>
      <c r="K2910" s="1">
        <v>17.723214939</v>
      </c>
      <c r="L2910" s="1">
        <v>30.2</v>
      </c>
      <c r="M2910" s="1">
        <v>8.5</v>
      </c>
      <c r="N2910" s="1">
        <v>27.0</v>
      </c>
      <c r="O2910" s="1">
        <v>62.929149355</v>
      </c>
      <c r="P2910" s="1">
        <v>10.838415754</v>
      </c>
      <c r="Q2910" s="1">
        <v>68.03096</v>
      </c>
      <c r="R2910" s="1">
        <v>94.0</v>
      </c>
      <c r="S2910" s="1">
        <v>20.5</v>
      </c>
      <c r="T2910" s="1">
        <v>10007.0</v>
      </c>
      <c r="U2910" s="1">
        <v>27.430798441</v>
      </c>
      <c r="V2910" s="1">
        <v>154.79734371</v>
      </c>
      <c r="W2910" s="1">
        <v>9.7956463794</v>
      </c>
      <c r="X2910" s="1">
        <v>8.3239595051</v>
      </c>
      <c r="Y2910" s="1">
        <v>77.147603723</v>
      </c>
      <c r="Z2910" s="1">
        <v>18.2</v>
      </c>
      <c r="AA2910" s="1">
        <v>3.3954915331</v>
      </c>
      <c r="AB2910" s="1">
        <v>45510.0</v>
      </c>
      <c r="AC2910" s="1">
        <v>50.9193972069999</v>
      </c>
      <c r="AD2910" s="1">
        <v>75.22726255</v>
      </c>
      <c r="AE2910" s="1">
        <v>9.2032643049</v>
      </c>
      <c r="AF2910" s="1">
        <v>1.4705341715</v>
      </c>
      <c r="AG2910" s="1">
        <v>0.2481526414</v>
      </c>
      <c r="AH2910" s="1">
        <v>0.540421308</v>
      </c>
      <c r="AI2910" s="1">
        <v>0.0459541929</v>
      </c>
      <c r="AJ2910" s="1">
        <v>1.6378074336</v>
      </c>
      <c r="AK2910" s="1">
        <v>95.218925775</v>
      </c>
      <c r="AL2910" s="1">
        <v>0.2168656201</v>
      </c>
      <c r="AM2910" s="1">
        <v>50.7407815889999</v>
      </c>
      <c r="AN2910" s="1">
        <v>71.676142576</v>
      </c>
      <c r="AO2910" s="1">
        <v>25287.0</v>
      </c>
      <c r="AP2910" s="1">
        <v>14.3</v>
      </c>
      <c r="AQ2910" s="1">
        <v>6.4</v>
      </c>
      <c r="AR2910" s="1">
        <v>15.9</v>
      </c>
      <c r="AS2910" s="1">
        <v>20.3</v>
      </c>
      <c r="AT2910" s="1">
        <v>18.9</v>
      </c>
      <c r="AU2910" s="1">
        <v>18.0</v>
      </c>
      <c r="AV2910" s="1">
        <v>4.5</v>
      </c>
      <c r="AW2910" s="1">
        <v>0.2</v>
      </c>
      <c r="AX2910" s="1">
        <v>0.3101</v>
      </c>
      <c r="AY2910" s="1">
        <v>12.3</v>
      </c>
      <c r="AZ2910" s="1">
        <v>12.5</v>
      </c>
      <c r="BA2910" s="1">
        <v>18.8</v>
      </c>
      <c r="BB2910" s="1">
        <v>3.26</v>
      </c>
      <c r="BC2910" s="1" t="s">
        <v>4607</v>
      </c>
      <c r="BD2910" s="1">
        <v>14.3</v>
      </c>
      <c r="BE2910" s="1">
        <v>34.3</v>
      </c>
      <c r="BF2910" s="1">
        <v>28.6</v>
      </c>
      <c r="BG2910" s="1">
        <v>22.8</v>
      </c>
      <c r="BH2910" s="1" t="s">
        <v>4740</v>
      </c>
    </row>
    <row r="2911">
      <c r="A2911" s="1">
        <v>51193.0</v>
      </c>
      <c r="B2911" s="2" t="str">
        <f>IFERROR(__xludf.DUMMYFUNCTION("TO_TEXT(A2911)"),"51193")</f>
        <v>51193</v>
      </c>
      <c r="C2911" s="1">
        <v>17528.0</v>
      </c>
      <c r="D2911" s="1">
        <v>229.373692754862</v>
      </c>
      <c r="E2911" s="1" t="s">
        <v>3809</v>
      </c>
      <c r="F2911" s="1" t="s">
        <v>4741</v>
      </c>
      <c r="G2911" s="1">
        <v>76.4167842854266</v>
      </c>
      <c r="H2911" s="1">
        <v>16.5018856029999</v>
      </c>
      <c r="I2911" s="1">
        <v>3.8416169185</v>
      </c>
      <c r="J2911" s="1">
        <v>9.7598760651</v>
      </c>
      <c r="K2911" s="1">
        <v>17.076270559</v>
      </c>
      <c r="L2911" s="1">
        <v>34.6</v>
      </c>
      <c r="M2911" s="1">
        <v>8.5</v>
      </c>
      <c r="N2911" s="1">
        <v>26.7</v>
      </c>
      <c r="O2911" s="1">
        <v>42.626332073</v>
      </c>
      <c r="P2911" s="1">
        <v>13.134283345</v>
      </c>
      <c r="Q2911" s="1">
        <v>11.24859</v>
      </c>
      <c r="R2911" s="1">
        <v>92.1</v>
      </c>
      <c r="S2911" s="1">
        <v>26.8</v>
      </c>
      <c r="T2911" s="1">
        <v>3320.0</v>
      </c>
      <c r="U2911" s="1">
        <v>29.457831325</v>
      </c>
      <c r="V2911" s="1">
        <v>139.0899543</v>
      </c>
      <c r="W2911" s="1">
        <v>13.824561404</v>
      </c>
      <c r="X2911" s="1">
        <v>12.853107345</v>
      </c>
      <c r="Y2911" s="1">
        <v>77.257954888</v>
      </c>
      <c r="Z2911" s="1">
        <v>16.8</v>
      </c>
      <c r="AA2911" s="1">
        <v>2.0590149281</v>
      </c>
      <c r="AB2911" s="1">
        <v>51414.0</v>
      </c>
      <c r="AC2911" s="1">
        <v>74.477545576</v>
      </c>
      <c r="AD2911" s="1">
        <v>74.474513925</v>
      </c>
      <c r="AE2911" s="1">
        <v>13.383253914</v>
      </c>
      <c r="AF2911" s="1">
        <v>25.535614133</v>
      </c>
      <c r="AG2911" s="1">
        <v>0.8300616938</v>
      </c>
      <c r="AH2911" s="1">
        <v>0.8861469434</v>
      </c>
      <c r="AI2911" s="1">
        <v>0.0953449243</v>
      </c>
      <c r="AJ2911" s="1">
        <v>6.66292765</v>
      </c>
      <c r="AK2911" s="1">
        <v>63.95961862</v>
      </c>
      <c r="AL2911" s="1">
        <v>1.5296367113</v>
      </c>
      <c r="AM2911" s="1">
        <v>51.205832866</v>
      </c>
      <c r="AN2911" s="1">
        <v>78.841526298</v>
      </c>
      <c r="AO2911" s="1">
        <v>29824.0</v>
      </c>
      <c r="AP2911" s="1">
        <v>11.1</v>
      </c>
      <c r="AQ2911" s="1">
        <v>6.6</v>
      </c>
      <c r="AR2911" s="1">
        <v>15.0</v>
      </c>
      <c r="AS2911" s="1">
        <v>23.0</v>
      </c>
      <c r="AT2911" s="1">
        <v>19.1</v>
      </c>
      <c r="AU2911" s="1">
        <v>16.8</v>
      </c>
      <c r="AV2911" s="1">
        <v>36.3</v>
      </c>
      <c r="AW2911" s="1">
        <v>1.2</v>
      </c>
      <c r="AX2911" s="1">
        <v>0.206</v>
      </c>
      <c r="AY2911" s="1">
        <v>15.9</v>
      </c>
      <c r="AZ2911" s="1">
        <v>10.5</v>
      </c>
      <c r="BA2911" s="1">
        <v>13.0</v>
      </c>
      <c r="BB2911" s="1">
        <v>3.33</v>
      </c>
      <c r="BC2911" s="1" t="s">
        <v>4607</v>
      </c>
      <c r="BD2911" s="1">
        <v>15.5</v>
      </c>
      <c r="BE2911" s="1">
        <v>33.8</v>
      </c>
      <c r="BF2911" s="1">
        <v>31.5</v>
      </c>
      <c r="BG2911" s="1">
        <v>19.2</v>
      </c>
      <c r="BH2911" s="1" t="s">
        <v>4741</v>
      </c>
    </row>
    <row r="2912">
      <c r="A2912" s="1">
        <v>51195.0</v>
      </c>
      <c r="B2912" s="2" t="str">
        <f>IFERROR(__xludf.DUMMYFUNCTION("TO_TEXT(A2912)"),"51195")</f>
        <v>51195</v>
      </c>
      <c r="C2912" s="1">
        <v>40074.0</v>
      </c>
      <c r="D2912" s="1">
        <v>403.191171432437</v>
      </c>
      <c r="E2912" s="1" t="s">
        <v>4525</v>
      </c>
      <c r="F2912" s="1" t="s">
        <v>4742</v>
      </c>
      <c r="G2912" s="1">
        <v>99.3920572656069</v>
      </c>
      <c r="H2912" s="1">
        <v>19.9712783829999</v>
      </c>
      <c r="I2912" s="1">
        <v>4.5241997733</v>
      </c>
      <c r="J2912" s="1">
        <v>9.9555251454</v>
      </c>
      <c r="K2912" s="1">
        <v>19.064934607</v>
      </c>
      <c r="L2912" s="1">
        <v>35.3</v>
      </c>
      <c r="M2912" s="1">
        <v>7.8</v>
      </c>
      <c r="N2912" s="1">
        <v>33.8</v>
      </c>
      <c r="O2912" s="1">
        <v>70.676927531</v>
      </c>
      <c r="P2912" s="1">
        <v>11.612858815</v>
      </c>
      <c r="Q2912" s="1">
        <v>51.83227</v>
      </c>
      <c r="R2912" s="1">
        <v>96.3</v>
      </c>
      <c r="S2912" s="1">
        <v>32.5</v>
      </c>
      <c r="T2912" s="1">
        <v>7535.0</v>
      </c>
      <c r="U2912" s="1">
        <v>39.548772395</v>
      </c>
      <c r="V2912" s="1">
        <v>213.83378825</v>
      </c>
      <c r="W2912" s="1">
        <v>13.4975369459999</v>
      </c>
      <c r="X2912" s="1">
        <v>11.86</v>
      </c>
      <c r="Y2912" s="1">
        <v>72.87521727</v>
      </c>
      <c r="Z2912" s="1">
        <v>17.6</v>
      </c>
      <c r="AA2912" s="1">
        <v>3.6872055065</v>
      </c>
      <c r="AB2912" s="1">
        <v>38045.0</v>
      </c>
      <c r="AC2912" s="1">
        <v>72.370001716</v>
      </c>
      <c r="AD2912" s="1">
        <v>65.9791088189999</v>
      </c>
      <c r="AE2912" s="1">
        <v>13.147555297</v>
      </c>
      <c r="AF2912" s="1">
        <v>5.6429548564</v>
      </c>
      <c r="AG2912" s="1">
        <v>0.199936862</v>
      </c>
      <c r="AH2912" s="1">
        <v>0.4340734505</v>
      </c>
      <c r="AI2912" s="1">
        <v>0.00789224459999999</v>
      </c>
      <c r="AJ2912" s="1">
        <v>1.239082395</v>
      </c>
      <c r="AK2912" s="1">
        <v>91.418499421</v>
      </c>
      <c r="AL2912" s="1">
        <v>0.2404625527</v>
      </c>
      <c r="AM2912" s="1">
        <v>47.966431653</v>
      </c>
      <c r="AN2912" s="1">
        <v>56.6703657239999</v>
      </c>
      <c r="AO2912" s="1">
        <v>20896.0</v>
      </c>
      <c r="AP2912" s="1">
        <v>21.2</v>
      </c>
      <c r="AQ2912" s="1">
        <v>10.4</v>
      </c>
      <c r="AR2912" s="1">
        <v>24.8</v>
      </c>
      <c r="AS2912" s="1">
        <v>15.8</v>
      </c>
      <c r="AT2912" s="1">
        <v>20.2</v>
      </c>
      <c r="AU2912" s="1">
        <v>24.9</v>
      </c>
      <c r="AV2912" s="1">
        <v>8.1</v>
      </c>
      <c r="AW2912" s="1">
        <v>0.4</v>
      </c>
      <c r="AX2912" s="1">
        <v>0.7937</v>
      </c>
      <c r="AY2912" s="1">
        <v>20.4</v>
      </c>
      <c r="AZ2912" s="1">
        <v>17.3</v>
      </c>
      <c r="BA2912" s="1">
        <v>25.0</v>
      </c>
      <c r="BB2912" s="1">
        <v>3.01</v>
      </c>
      <c r="BC2912" s="1" t="s">
        <v>4607</v>
      </c>
      <c r="BD2912" s="1">
        <v>24.1</v>
      </c>
      <c r="BE2912" s="1">
        <v>29.7</v>
      </c>
      <c r="BF2912" s="1">
        <v>31.3</v>
      </c>
      <c r="BG2912" s="1">
        <v>15.0</v>
      </c>
      <c r="BH2912" s="1" t="s">
        <v>4742</v>
      </c>
    </row>
    <row r="2913">
      <c r="A2913" s="1">
        <v>51197.0</v>
      </c>
      <c r="B2913" s="2" t="str">
        <f>IFERROR(__xludf.DUMMYFUNCTION("TO_TEXT(A2913)"),"51197")</f>
        <v>51197</v>
      </c>
      <c r="C2913" s="1">
        <v>29171.0</v>
      </c>
      <c r="D2913" s="1">
        <v>461.818660509761</v>
      </c>
      <c r="E2913" s="1" t="s">
        <v>4743</v>
      </c>
      <c r="F2913" s="1" t="s">
        <v>4744</v>
      </c>
      <c r="G2913" s="1">
        <v>63.1654857077465</v>
      </c>
      <c r="H2913" s="1">
        <v>15.602748311</v>
      </c>
      <c r="I2913" s="1">
        <v>4.0309084687</v>
      </c>
      <c r="J2913" s="1">
        <v>7.84030784029999</v>
      </c>
      <c r="K2913" s="1">
        <v>17.206555572</v>
      </c>
      <c r="L2913" s="1">
        <v>35.5</v>
      </c>
      <c r="M2913" s="1">
        <v>8.5</v>
      </c>
      <c r="N2913" s="1">
        <v>31.0</v>
      </c>
      <c r="O2913" s="1">
        <v>79.900803831</v>
      </c>
      <c r="P2913" s="1">
        <v>12.159181152</v>
      </c>
      <c r="Q2913" s="1">
        <v>48.4731</v>
      </c>
      <c r="R2913" s="1">
        <v>93.5</v>
      </c>
      <c r="S2913" s="1">
        <v>23.8</v>
      </c>
      <c r="T2913" s="1">
        <v>5746.0</v>
      </c>
      <c r="U2913" s="1">
        <v>35.2071005919999</v>
      </c>
      <c r="V2913" s="1">
        <v>121.7442</v>
      </c>
      <c r="W2913" s="1">
        <v>11.9186046509999</v>
      </c>
      <c r="X2913" s="1">
        <v>9.8775854791</v>
      </c>
      <c r="Y2913" s="1">
        <v>75.608193341</v>
      </c>
      <c r="Z2913" s="1">
        <v>13.2</v>
      </c>
      <c r="AA2913" s="1">
        <v>1.73509757379999</v>
      </c>
      <c r="AB2913" s="1">
        <v>46345.0</v>
      </c>
      <c r="AC2913" s="1">
        <v>50.409638554</v>
      </c>
      <c r="AD2913" s="1">
        <v>76.219155165</v>
      </c>
      <c r="AE2913" s="1">
        <v>10.626118068</v>
      </c>
      <c r="AF2913" s="1">
        <v>2.7613549419</v>
      </c>
      <c r="AG2913" s="1">
        <v>0.2503999444</v>
      </c>
      <c r="AH2913" s="1">
        <v>0.6225220839</v>
      </c>
      <c r="AI2913" s="1">
        <v>0.027822216</v>
      </c>
      <c r="AJ2913" s="1">
        <v>1.3702441399</v>
      </c>
      <c r="AK2913" s="1">
        <v>93.597412534</v>
      </c>
      <c r="AL2913" s="1">
        <v>0.0506970849</v>
      </c>
      <c r="AM2913" s="1">
        <v>51.182444182</v>
      </c>
      <c r="AN2913" s="1">
        <v>75.330938943</v>
      </c>
      <c r="AO2913" s="1">
        <v>24431.0</v>
      </c>
      <c r="AP2913" s="1">
        <v>16.2</v>
      </c>
      <c r="AQ2913" s="1">
        <v>7.5</v>
      </c>
      <c r="AR2913" s="1">
        <v>17.8</v>
      </c>
      <c r="AS2913" s="1">
        <v>19.6</v>
      </c>
      <c r="AT2913" s="1">
        <v>20.3</v>
      </c>
      <c r="AU2913" s="1">
        <v>18.5</v>
      </c>
      <c r="AV2913" s="1">
        <v>5.9</v>
      </c>
      <c r="AW2913" s="1">
        <v>0.3</v>
      </c>
      <c r="AX2913" s="1">
        <v>0.4279</v>
      </c>
      <c r="AY2913" s="1">
        <v>12.8</v>
      </c>
      <c r="AZ2913" s="1">
        <v>12.3</v>
      </c>
      <c r="BA2913" s="1">
        <v>19.0</v>
      </c>
      <c r="BB2913" s="1">
        <v>3.01</v>
      </c>
      <c r="BC2913" s="1" t="s">
        <v>4607</v>
      </c>
      <c r="BD2913" s="1">
        <v>13.8</v>
      </c>
      <c r="BE2913" s="1">
        <v>37.9</v>
      </c>
      <c r="BF2913" s="1">
        <v>29.3</v>
      </c>
      <c r="BG2913" s="1">
        <v>19.0</v>
      </c>
      <c r="BH2913" s="1" t="s">
        <v>4744</v>
      </c>
    </row>
    <row r="2914">
      <c r="A2914" s="1">
        <v>51199.0</v>
      </c>
      <c r="B2914" s="2" t="str">
        <f>IFERROR(__xludf.DUMMYFUNCTION("TO_TEXT(A2914)"),"51199")</f>
        <v>51199</v>
      </c>
      <c r="C2914" s="1">
        <v>66919.0</v>
      </c>
      <c r="D2914" s="1">
        <v>104.65744132728</v>
      </c>
      <c r="E2914" s="1" t="s">
        <v>2074</v>
      </c>
      <c r="F2914" s="1" t="s">
        <v>4745</v>
      </c>
      <c r="G2914" s="1">
        <v>639.409860888285</v>
      </c>
      <c r="H2914" s="1">
        <v>12.54417082</v>
      </c>
      <c r="I2914" s="1">
        <v>3.4404494744</v>
      </c>
      <c r="J2914" s="1">
        <v>6.70540903</v>
      </c>
      <c r="K2914" s="1">
        <v>13.854255617</v>
      </c>
      <c r="L2914" s="1">
        <v>27.1</v>
      </c>
      <c r="M2914" s="1">
        <v>8.9</v>
      </c>
      <c r="N2914" s="1">
        <v>17.0</v>
      </c>
      <c r="O2914" s="1">
        <v>77.685445436</v>
      </c>
      <c r="P2914" s="1">
        <v>7.64140121769999</v>
      </c>
      <c r="Q2914" s="1">
        <v>124.00537</v>
      </c>
      <c r="R2914" s="1">
        <v>96.9</v>
      </c>
      <c r="S2914" s="1">
        <v>6.6</v>
      </c>
      <c r="T2914" s="1">
        <v>16121.0</v>
      </c>
      <c r="U2914" s="1">
        <v>24.427765027</v>
      </c>
      <c r="V2914" s="1">
        <v>161.99025086</v>
      </c>
      <c r="W2914" s="1">
        <v>10.724759112</v>
      </c>
      <c r="X2914" s="1">
        <v>9.5187842972</v>
      </c>
      <c r="Y2914" s="1">
        <v>82.734503747</v>
      </c>
      <c r="Z2914" s="1">
        <v>8.8</v>
      </c>
      <c r="AA2914" s="1">
        <v>4.2759540681</v>
      </c>
      <c r="AB2914" s="1">
        <v>86317.0</v>
      </c>
      <c r="AC2914" s="1">
        <v>24.157124682</v>
      </c>
      <c r="AD2914" s="1">
        <v>71.80403786</v>
      </c>
      <c r="AE2914" s="1">
        <v>9.8369430948</v>
      </c>
      <c r="AF2914" s="1">
        <v>13.157739587</v>
      </c>
      <c r="AG2914" s="1">
        <v>0.5527223418</v>
      </c>
      <c r="AH2914" s="1">
        <v>5.9310792088</v>
      </c>
      <c r="AI2914" s="1">
        <v>0.2682545765</v>
      </c>
      <c r="AJ2914" s="1">
        <v>6.59139816639999</v>
      </c>
      <c r="AK2914" s="1">
        <v>70.489048728</v>
      </c>
      <c r="AL2914" s="1">
        <v>1.5560604873</v>
      </c>
      <c r="AM2914" s="1">
        <v>50.9580520589999</v>
      </c>
      <c r="AN2914" s="1">
        <v>6.0995356226</v>
      </c>
      <c r="AO2914" s="1">
        <v>36722.0</v>
      </c>
      <c r="AP2914" s="1">
        <v>6.2</v>
      </c>
      <c r="AQ2914" s="1">
        <v>6.1</v>
      </c>
      <c r="AR2914" s="1">
        <v>6.2</v>
      </c>
      <c r="AS2914" s="1">
        <v>14.3</v>
      </c>
      <c r="AT2914" s="1">
        <v>24.4</v>
      </c>
      <c r="AU2914" s="1">
        <v>10.6</v>
      </c>
      <c r="AV2914" s="1">
        <v>27.5</v>
      </c>
      <c r="AW2914" s="1">
        <v>1.5</v>
      </c>
      <c r="AX2914" s="1">
        <v>0.1054</v>
      </c>
      <c r="AY2914" s="1">
        <v>5.1</v>
      </c>
      <c r="AZ2914" s="1">
        <v>7.0</v>
      </c>
      <c r="BA2914" s="1">
        <v>9.2</v>
      </c>
      <c r="BB2914" s="1">
        <v>3.32</v>
      </c>
      <c r="BC2914" s="1" t="s">
        <v>4607</v>
      </c>
      <c r="BD2914" s="1">
        <v>5.3</v>
      </c>
      <c r="BE2914" s="1">
        <v>18.9</v>
      </c>
      <c r="BF2914" s="1">
        <v>28.7</v>
      </c>
      <c r="BG2914" s="1">
        <v>47.1</v>
      </c>
      <c r="BH2914" s="1" t="s">
        <v>4745</v>
      </c>
    </row>
    <row r="2915">
      <c r="A2915" s="1">
        <v>51510.0</v>
      </c>
      <c r="B2915" s="2" t="str">
        <f>IFERROR(__xludf.DUMMYFUNCTION("TO_TEXT(A2915)"),"51510")</f>
        <v>51510</v>
      </c>
      <c r="C2915" s="1">
        <v>151473.0</v>
      </c>
      <c r="D2915" s="1">
        <v>15.049363292176</v>
      </c>
      <c r="E2915" s="1" t="s">
        <v>4746</v>
      </c>
      <c r="F2915" s="1" t="s">
        <v>4747</v>
      </c>
      <c r="G2915" s="1">
        <v>10065.0769776253</v>
      </c>
      <c r="H2915" s="1">
        <v>14.814075957</v>
      </c>
      <c r="I2915" s="1">
        <v>3.7548423539</v>
      </c>
      <c r="J2915" s="1">
        <v>6.9833410697</v>
      </c>
      <c r="K2915" s="1">
        <v>15.073357652</v>
      </c>
      <c r="L2915" s="1">
        <v>23.9</v>
      </c>
      <c r="M2915" s="1">
        <v>7.7</v>
      </c>
      <c r="N2915" s="1">
        <v>16.0</v>
      </c>
      <c r="O2915" s="1">
        <v>100.0</v>
      </c>
      <c r="P2915" s="1">
        <v>11.126418498</v>
      </c>
      <c r="Q2915" s="1">
        <v>68.73496</v>
      </c>
      <c r="R2915" s="1">
        <v>80.6</v>
      </c>
      <c r="S2915" s="1">
        <v>16.1</v>
      </c>
      <c r="T2915" s="1">
        <v>28500.0</v>
      </c>
      <c r="U2915" s="1">
        <v>32.431578947</v>
      </c>
      <c r="V2915" s="1">
        <v>186.36743433</v>
      </c>
      <c r="W2915" s="1">
        <v>16.6164695509999</v>
      </c>
      <c r="X2915" s="1">
        <v>13.4344929679999</v>
      </c>
      <c r="Y2915" s="1">
        <v>84.378934656</v>
      </c>
      <c r="Z2915" s="1">
        <v>6.0</v>
      </c>
      <c r="AA2915" s="1">
        <v>6.508531482</v>
      </c>
      <c r="AB2915" s="1">
        <v>99425.0</v>
      </c>
      <c r="AC2915" s="1">
        <v>53.351933659</v>
      </c>
      <c r="AD2915" s="1">
        <v>42.8542848569999</v>
      </c>
      <c r="AE2915" s="1">
        <v>13.6960627629999</v>
      </c>
      <c r="AF2915" s="1">
        <v>21.999626238</v>
      </c>
      <c r="AG2915" s="1">
        <v>0.6347723167</v>
      </c>
      <c r="AH2915" s="1">
        <v>6.7308291285</v>
      </c>
      <c r="AI2915" s="1">
        <v>0.1438983368</v>
      </c>
      <c r="AJ2915" s="1">
        <v>16.748894288</v>
      </c>
      <c r="AK2915" s="1">
        <v>51.7523204389999</v>
      </c>
      <c r="AL2915" s="1">
        <v>5.77194711059999</v>
      </c>
      <c r="AM2915" s="1">
        <v>51.866317822</v>
      </c>
      <c r="AN2915" s="1">
        <v>0.0</v>
      </c>
      <c r="AO2915" s="1">
        <v>55534.0</v>
      </c>
      <c r="AP2915" s="1">
        <v>9.8</v>
      </c>
      <c r="AQ2915" s="1">
        <v>4.0</v>
      </c>
      <c r="AR2915" s="1">
        <v>8.6</v>
      </c>
      <c r="AS2915" s="1">
        <v>10.0</v>
      </c>
      <c r="AT2915" s="1">
        <v>18.0</v>
      </c>
      <c r="AU2915" s="1">
        <v>6.9</v>
      </c>
      <c r="AV2915" s="1">
        <v>48.0</v>
      </c>
      <c r="AW2915" s="1">
        <v>6.2</v>
      </c>
      <c r="AX2915" s="1">
        <v>0.1869</v>
      </c>
      <c r="AY2915" s="1">
        <v>8.6</v>
      </c>
      <c r="AZ2915" s="1">
        <v>8.4</v>
      </c>
      <c r="BA2915" s="1">
        <v>9.1</v>
      </c>
      <c r="BB2915" s="1">
        <v>3.78</v>
      </c>
      <c r="BC2915" s="1" t="s">
        <v>4607</v>
      </c>
      <c r="BD2915" s="1">
        <v>7.0</v>
      </c>
      <c r="BE2915" s="1">
        <v>11.6</v>
      </c>
      <c r="BF2915" s="1">
        <v>18.3</v>
      </c>
      <c r="BG2915" s="1">
        <v>63.1</v>
      </c>
      <c r="BH2915" s="1" t="s">
        <v>4747</v>
      </c>
    </row>
    <row r="2916">
      <c r="A2916" s="1">
        <v>51520.0</v>
      </c>
      <c r="B2916" s="2" t="str">
        <f>IFERROR(__xludf.DUMMYFUNCTION("TO_TEXT(A2916)"),"51520")</f>
        <v>51520</v>
      </c>
      <c r="C2916" s="1">
        <v>17340.0</v>
      </c>
      <c r="D2916" s="1">
        <v>13.029230523732</v>
      </c>
      <c r="E2916" s="1" t="s">
        <v>4748</v>
      </c>
      <c r="F2916" s="1" t="s">
        <v>4749</v>
      </c>
      <c r="G2916" s="1">
        <v>1330.85372681189</v>
      </c>
      <c r="H2916" s="1">
        <v>18.282478575</v>
      </c>
      <c r="I2916" s="1">
        <v>4.41205049899999</v>
      </c>
      <c r="J2916" s="1">
        <v>7.123655914</v>
      </c>
      <c r="K2916" s="1">
        <v>19.402873656</v>
      </c>
      <c r="L2916" s="1">
        <v>29.1</v>
      </c>
      <c r="M2916" s="1">
        <v>6.6</v>
      </c>
      <c r="N2916" s="1">
        <v>31.0</v>
      </c>
      <c r="O2916" s="1">
        <v>91.8362769829999</v>
      </c>
      <c r="P2916" s="1">
        <v>9.3165798345</v>
      </c>
      <c r="Q2916" s="1">
        <v>53.60334</v>
      </c>
      <c r="R2916" s="1">
        <v>90.7</v>
      </c>
      <c r="S2916" s="1">
        <v>33.1</v>
      </c>
      <c r="T2916" s="1">
        <v>3438.0</v>
      </c>
      <c r="U2916" s="1">
        <v>47.760325771</v>
      </c>
      <c r="V2916" s="1">
        <v>266.60416606</v>
      </c>
      <c r="W2916" s="1">
        <v>14.211212516</v>
      </c>
      <c r="X2916" s="1">
        <v>12.291249165</v>
      </c>
      <c r="Y2916" s="1">
        <v>71.5594284089999</v>
      </c>
      <c r="Z2916" s="1">
        <v>22.4</v>
      </c>
      <c r="AA2916" s="1">
        <v>15.104251751</v>
      </c>
      <c r="AB2916" s="1">
        <v>36903.0</v>
      </c>
      <c r="AC2916" s="1">
        <v>75.784357048</v>
      </c>
      <c r="AD2916" s="1">
        <v>58.9300189139999</v>
      </c>
      <c r="AE2916" s="1">
        <v>14.395121259</v>
      </c>
      <c r="AF2916" s="1">
        <v>6.1582332241</v>
      </c>
      <c r="AG2916" s="1">
        <v>0.4975124378</v>
      </c>
      <c r="AH2916" s="1">
        <v>0.9464870768</v>
      </c>
      <c r="AI2916" s="1">
        <v>0.0485377988</v>
      </c>
      <c r="AJ2916" s="1">
        <v>2.6089066861</v>
      </c>
      <c r="AK2916" s="1">
        <v>87.853415848</v>
      </c>
      <c r="AL2916" s="1">
        <v>0.2065857018</v>
      </c>
      <c r="AM2916" s="1">
        <v>52.608906686</v>
      </c>
      <c r="AN2916" s="1">
        <v>0.0392486683</v>
      </c>
      <c r="AO2916" s="1">
        <v>21865.0</v>
      </c>
      <c r="AP2916" s="1">
        <v>20.6</v>
      </c>
      <c r="AQ2916" s="1">
        <v>8.7</v>
      </c>
      <c r="AR2916" s="1">
        <v>16.4</v>
      </c>
      <c r="AS2916" s="1">
        <v>19.5</v>
      </c>
      <c r="AT2916" s="1">
        <v>21.3</v>
      </c>
      <c r="AU2916" s="1">
        <v>21.3</v>
      </c>
      <c r="AV2916" s="1">
        <v>11.9</v>
      </c>
      <c r="AW2916" s="1">
        <v>0.1</v>
      </c>
      <c r="AX2916" s="1">
        <v>0.7552</v>
      </c>
      <c r="AY2916" s="1">
        <v>21.8</v>
      </c>
      <c r="AZ2916" s="1">
        <v>16.6</v>
      </c>
      <c r="BA2916" s="1">
        <v>25.6</v>
      </c>
      <c r="BB2916" s="1">
        <v>3.01</v>
      </c>
      <c r="BC2916" s="1" t="s">
        <v>4607</v>
      </c>
      <c r="BD2916" s="1">
        <v>15.3</v>
      </c>
      <c r="BE2916" s="1">
        <v>29.7</v>
      </c>
      <c r="BF2916" s="1">
        <v>29.6</v>
      </c>
      <c r="BG2916" s="1">
        <v>25.4</v>
      </c>
      <c r="BH2916" s="1" t="s">
        <v>4749</v>
      </c>
    </row>
    <row r="2917">
      <c r="A2917" s="1">
        <v>51530.0</v>
      </c>
      <c r="B2917" s="2" t="str">
        <f>IFERROR(__xludf.DUMMYFUNCTION("TO_TEXT(A2917)"),"51530")</f>
        <v>51530</v>
      </c>
      <c r="C2917" s="1">
        <v>6610.0</v>
      </c>
      <c r="D2917" s="1">
        <v>6.699062751</v>
      </c>
      <c r="E2917" s="1" t="s">
        <v>4750</v>
      </c>
      <c r="F2917" s="1" t="s">
        <v>4751</v>
      </c>
      <c r="G2917" s="1">
        <v>986.705192306684</v>
      </c>
      <c r="H2917" s="1">
        <v>20.588815667</v>
      </c>
      <c r="I2917" s="1">
        <v>4.7265922686</v>
      </c>
      <c r="J2917" s="1">
        <v>6.7567567568</v>
      </c>
      <c r="K2917" s="1">
        <v>21.024275194</v>
      </c>
      <c r="L2917" s="1">
        <v>25.8</v>
      </c>
      <c r="M2917" s="1">
        <v>3.5</v>
      </c>
      <c r="N2917" s="1">
        <v>25.2</v>
      </c>
      <c r="O2917" s="1">
        <v>97.248120301</v>
      </c>
      <c r="P2917" s="1">
        <v>10.362364908</v>
      </c>
      <c r="Q2917" s="1">
        <v>15.8052799999999</v>
      </c>
      <c r="R2917" s="1">
        <v>87.3</v>
      </c>
      <c r="S2917" s="1">
        <v>20.2</v>
      </c>
      <c r="T2917" s="1">
        <v>1201.0</v>
      </c>
      <c r="U2917" s="1">
        <v>32.889258951</v>
      </c>
      <c r="V2917" s="1">
        <v>97.972718366</v>
      </c>
      <c r="W2917" s="1">
        <v>24.907749077</v>
      </c>
      <c r="X2917" s="1">
        <v>22.4299065419999</v>
      </c>
      <c r="Y2917" s="1">
        <v>77.482572377</v>
      </c>
      <c r="Z2917" s="1">
        <v>8.8</v>
      </c>
      <c r="AA2917" s="1">
        <v>52.666654287</v>
      </c>
      <c r="AB2917" s="1">
        <v>43390.0</v>
      </c>
      <c r="AC2917" s="1">
        <v>57.383966245</v>
      </c>
      <c r="AD2917" s="1">
        <v>66.71918078</v>
      </c>
      <c r="AE2917" s="1">
        <v>16.7840862</v>
      </c>
      <c r="AF2917" s="1">
        <v>5.5154721821</v>
      </c>
      <c r="AG2917" s="1">
        <v>1.2025012025</v>
      </c>
      <c r="AH2917" s="1">
        <v>0.769600769599999</v>
      </c>
      <c r="AI2917" s="1">
        <v>0.4489337823</v>
      </c>
      <c r="AJ2917" s="1">
        <v>2.7256693923</v>
      </c>
      <c r="AK2917" s="1">
        <v>87.461920795</v>
      </c>
      <c r="AL2917" s="1">
        <v>0.0</v>
      </c>
      <c r="AM2917" s="1">
        <v>53.0543530539999</v>
      </c>
      <c r="AN2917" s="1">
        <v>3.8947368421</v>
      </c>
      <c r="AO2917" s="1">
        <v>16405.0</v>
      </c>
      <c r="AP2917" s="1">
        <v>27.6</v>
      </c>
      <c r="AQ2917" s="1">
        <v>6.1</v>
      </c>
      <c r="AR2917" s="1">
        <v>18.8</v>
      </c>
      <c r="AS2917" s="1">
        <v>16.6</v>
      </c>
      <c r="AT2917" s="1">
        <v>20.9</v>
      </c>
      <c r="AU2917" s="1">
        <v>13.5</v>
      </c>
      <c r="AV2917" s="1">
        <v>11.5</v>
      </c>
      <c r="AW2917" s="1">
        <v>0.0</v>
      </c>
      <c r="AX2917" s="1">
        <v>0.617</v>
      </c>
      <c r="AY2917" s="1">
        <v>17.2</v>
      </c>
      <c r="AZ2917" s="1">
        <v>13.0</v>
      </c>
      <c r="BA2917" s="1">
        <v>16.5</v>
      </c>
      <c r="BB2917" s="1">
        <v>3.09</v>
      </c>
      <c r="BC2917" s="1" t="s">
        <v>4607</v>
      </c>
      <c r="BD2917" s="1">
        <v>18.9</v>
      </c>
      <c r="BE2917" s="1">
        <v>40.3</v>
      </c>
      <c r="BF2917" s="1">
        <v>24.9</v>
      </c>
      <c r="BG2917" s="1">
        <v>15.9</v>
      </c>
      <c r="BH2917" s="1" t="s">
        <v>4751</v>
      </c>
    </row>
    <row r="2918">
      <c r="A2918" s="1">
        <v>51540.0</v>
      </c>
      <c r="B2918" s="2" t="str">
        <f>IFERROR(__xludf.DUMMYFUNCTION("TO_TEXT(A2918)"),"51540")</f>
        <v>51540</v>
      </c>
      <c r="C2918" s="1">
        <v>45538.0</v>
      </c>
      <c r="D2918" s="1">
        <v>10.23795206087</v>
      </c>
      <c r="E2918" s="1" t="s">
        <v>4752</v>
      </c>
      <c r="F2918" s="1" t="s">
        <v>4753</v>
      </c>
      <c r="G2918" s="1">
        <v>4447.95987803544</v>
      </c>
      <c r="H2918" s="1">
        <v>18.402175447</v>
      </c>
      <c r="I2918" s="1">
        <v>4.0778858133</v>
      </c>
      <c r="J2918" s="1">
        <v>6.2441093308</v>
      </c>
      <c r="K2918" s="1">
        <v>19.366817229</v>
      </c>
      <c r="L2918" s="1">
        <v>28.9</v>
      </c>
      <c r="M2918" s="1">
        <v>7.5</v>
      </c>
      <c r="N2918" s="1">
        <v>24.5</v>
      </c>
      <c r="O2918" s="1">
        <v>100.0</v>
      </c>
      <c r="P2918" s="1">
        <v>11.7301403879999</v>
      </c>
      <c r="Q2918" s="1">
        <v>287.38624</v>
      </c>
      <c r="R2918" s="1">
        <v>92.6</v>
      </c>
      <c r="S2918" s="1">
        <v>18.3</v>
      </c>
      <c r="T2918" s="1">
        <v>7266.0</v>
      </c>
      <c r="U2918" s="1">
        <v>35.218827415</v>
      </c>
      <c r="V2918" s="1">
        <v>479.50367547</v>
      </c>
      <c r="W2918" s="1">
        <v>21.635150167</v>
      </c>
      <c r="X2918" s="1">
        <v>20.901521677</v>
      </c>
      <c r="Y2918" s="1">
        <v>79.751236188</v>
      </c>
      <c r="Z2918" s="1">
        <v>7.2</v>
      </c>
      <c r="AA2918" s="1">
        <v>3.2376382314</v>
      </c>
      <c r="AB2918" s="1">
        <v>56997.0</v>
      </c>
      <c r="AC2918" s="1">
        <v>56.233269598</v>
      </c>
      <c r="AD2918" s="1">
        <v>43.222478913</v>
      </c>
      <c r="AE2918" s="1">
        <v>18.712759978</v>
      </c>
      <c r="AF2918" s="1">
        <v>17.933370742</v>
      </c>
      <c r="AG2918" s="1">
        <v>0.4177317788</v>
      </c>
      <c r="AH2918" s="1">
        <v>7.5773635098</v>
      </c>
      <c r="AI2918" s="1">
        <v>0.0685828294</v>
      </c>
      <c r="AJ2918" s="1">
        <v>5.7401749901</v>
      </c>
      <c r="AK2918" s="1">
        <v>65.997464514</v>
      </c>
      <c r="AL2918" s="1">
        <v>2.7727804264</v>
      </c>
      <c r="AM2918" s="1">
        <v>51.54311366</v>
      </c>
      <c r="AN2918" s="1">
        <v>0.0</v>
      </c>
      <c r="AO2918" s="1">
        <v>30729.0</v>
      </c>
      <c r="AP2918" s="1">
        <v>25.9</v>
      </c>
      <c r="AQ2918" s="1">
        <v>3.9</v>
      </c>
      <c r="AR2918" s="1">
        <v>9.7</v>
      </c>
      <c r="AS2918" s="1">
        <v>9.4</v>
      </c>
      <c r="AT2918" s="1">
        <v>15.6</v>
      </c>
      <c r="AU2918" s="1">
        <v>8.9</v>
      </c>
      <c r="AV2918" s="1">
        <v>34.0</v>
      </c>
      <c r="AW2918" s="1">
        <v>3.1</v>
      </c>
      <c r="AX2918" s="1">
        <v>0.3489</v>
      </c>
      <c r="AY2918" s="1">
        <v>22.1</v>
      </c>
      <c r="AZ2918" s="1">
        <v>11.8</v>
      </c>
      <c r="BA2918" s="1">
        <v>13.1</v>
      </c>
      <c r="BB2918" s="1">
        <v>4.47</v>
      </c>
      <c r="BC2918" s="1" t="s">
        <v>4607</v>
      </c>
      <c r="BD2918" s="1">
        <v>8.9</v>
      </c>
      <c r="BE2918" s="1">
        <v>16.5</v>
      </c>
      <c r="BF2918" s="1">
        <v>19.7</v>
      </c>
      <c r="BG2918" s="1">
        <v>54.9</v>
      </c>
      <c r="BH2918" s="1" t="s">
        <v>4753</v>
      </c>
    </row>
    <row r="2919">
      <c r="A2919" s="1">
        <v>51550.0</v>
      </c>
      <c r="B2919" s="2" t="str">
        <f>IFERROR(__xludf.DUMMYFUNCTION("TO_TEXT(A2919)"),"51550")</f>
        <v>51550</v>
      </c>
      <c r="C2919" s="1">
        <v>233194.0</v>
      </c>
      <c r="D2919" s="1">
        <v>338.51021033356</v>
      </c>
      <c r="E2919" s="1" t="s">
        <v>4754</v>
      </c>
      <c r="F2919" s="1" t="s">
        <v>4755</v>
      </c>
      <c r="G2919" s="1">
        <v>688.883209077256</v>
      </c>
      <c r="H2919" s="1">
        <v>15.3648536859999</v>
      </c>
      <c r="I2919" s="1">
        <v>3.9021689645</v>
      </c>
      <c r="J2919" s="1">
        <v>8.697365181</v>
      </c>
      <c r="K2919" s="1">
        <v>14.1846059359999</v>
      </c>
      <c r="L2919" s="1">
        <v>36.2</v>
      </c>
      <c r="M2919" s="1">
        <v>8.2</v>
      </c>
      <c r="N2919" s="1">
        <v>24.5</v>
      </c>
      <c r="O2919" s="1">
        <v>92.584458775</v>
      </c>
      <c r="P2919" s="1">
        <v>7.90131152809999</v>
      </c>
      <c r="Q2919" s="1">
        <v>81.94778</v>
      </c>
      <c r="R2919" s="1">
        <v>93.1</v>
      </c>
      <c r="S2919" s="1">
        <v>11.9</v>
      </c>
      <c r="T2919" s="1">
        <v>57186.0</v>
      </c>
      <c r="U2919" s="1">
        <v>33.298359738</v>
      </c>
      <c r="V2919" s="1">
        <v>423.18770133</v>
      </c>
      <c r="W2919" s="1">
        <v>15.646382077</v>
      </c>
      <c r="X2919" s="1">
        <v>14.5130800659999</v>
      </c>
      <c r="Y2919" s="1">
        <v>78.5346168419999</v>
      </c>
      <c r="Z2919" s="1">
        <v>12.1</v>
      </c>
      <c r="AA2919" s="1">
        <v>4.9172248222</v>
      </c>
      <c r="AB2919" s="1">
        <v>78846.0</v>
      </c>
      <c r="AC2919" s="1">
        <v>37.415735866</v>
      </c>
      <c r="AD2919" s="1">
        <v>71.33206696</v>
      </c>
      <c r="AE2919" s="1">
        <v>13.802806695</v>
      </c>
      <c r="AF2919" s="1">
        <v>29.608381348</v>
      </c>
      <c r="AG2919" s="1">
        <v>0.4817956263</v>
      </c>
      <c r="AH2919" s="1">
        <v>3.5279474435</v>
      </c>
      <c r="AI2919" s="1">
        <v>0.1372437498</v>
      </c>
      <c r="AJ2919" s="1">
        <v>6.5308242044</v>
      </c>
      <c r="AK2919" s="1">
        <v>56.8720789339999</v>
      </c>
      <c r="AL2919" s="1">
        <v>0.8888729271</v>
      </c>
      <c r="AM2919" s="1">
        <v>51.201810134</v>
      </c>
      <c r="AN2919" s="1">
        <v>7.6270538097</v>
      </c>
      <c r="AO2919" s="1">
        <v>30764.0</v>
      </c>
      <c r="AP2919" s="1">
        <v>9.5</v>
      </c>
      <c r="AQ2919" s="1">
        <v>6.3</v>
      </c>
      <c r="AR2919" s="1">
        <v>8.6</v>
      </c>
      <c r="AS2919" s="1">
        <v>11.9</v>
      </c>
      <c r="AT2919" s="1">
        <v>24.5</v>
      </c>
      <c r="AU2919" s="1">
        <v>10.2</v>
      </c>
      <c r="AV2919" s="1">
        <v>41.1</v>
      </c>
      <c r="AW2919" s="1">
        <v>0.7</v>
      </c>
      <c r="AX2919" s="1">
        <v>0.2448</v>
      </c>
      <c r="AY2919" s="1">
        <v>8.3</v>
      </c>
      <c r="AZ2919" s="1">
        <v>8.5</v>
      </c>
      <c r="BA2919" s="1">
        <v>12.2</v>
      </c>
      <c r="BB2919" s="1">
        <v>3.04</v>
      </c>
      <c r="BC2919" s="1" t="s">
        <v>4607</v>
      </c>
      <c r="BD2919" s="1">
        <v>7.9</v>
      </c>
      <c r="BE2919" s="1">
        <v>24.0</v>
      </c>
      <c r="BF2919" s="1">
        <v>34.9</v>
      </c>
      <c r="BG2919" s="1">
        <v>33.2</v>
      </c>
      <c r="BH2919" s="1" t="s">
        <v>4755</v>
      </c>
    </row>
    <row r="2920">
      <c r="A2920" s="1">
        <v>51570.0</v>
      </c>
      <c r="B2920" s="2" t="str">
        <f>IFERROR(__xludf.DUMMYFUNCTION("TO_TEXT(A2920)"),"51570")</f>
        <v>51570</v>
      </c>
      <c r="C2920" s="1">
        <v>17554.0</v>
      </c>
      <c r="D2920" s="1">
        <v>7.521669664386</v>
      </c>
      <c r="E2920" s="1" t="s">
        <v>4756</v>
      </c>
      <c r="F2920" s="1" t="s">
        <v>4757</v>
      </c>
      <c r="G2920" s="1">
        <v>2333.79033954597</v>
      </c>
      <c r="H2920" s="1">
        <v>17.073839303</v>
      </c>
      <c r="I2920" s="1">
        <v>4.1891519523</v>
      </c>
      <c r="J2920" s="1">
        <v>10.56122449</v>
      </c>
      <c r="K2920" s="1">
        <v>16.608089783</v>
      </c>
      <c r="L2920" s="1">
        <v>26.5</v>
      </c>
      <c r="M2920" s="1">
        <v>8.3</v>
      </c>
      <c r="N2920" s="1">
        <v>24.6</v>
      </c>
      <c r="O2920" s="1">
        <v>99.333754523</v>
      </c>
      <c r="P2920" s="1">
        <v>10.263991552</v>
      </c>
      <c r="Q2920" s="1">
        <v>134.6046</v>
      </c>
      <c r="R2920" s="1">
        <v>91.5</v>
      </c>
      <c r="S2920" s="1">
        <v>17.4</v>
      </c>
      <c r="T2920" s="1">
        <v>3982.0</v>
      </c>
      <c r="U2920" s="1">
        <v>45.35409342</v>
      </c>
      <c r="V2920" s="1">
        <v>289.97747748</v>
      </c>
      <c r="W2920" s="1">
        <v>17.626648161</v>
      </c>
      <c r="X2920" s="1">
        <v>14.661076171</v>
      </c>
      <c r="Y2920" s="1">
        <v>74.489826676</v>
      </c>
      <c r="Z2920" s="1">
        <v>10.4</v>
      </c>
      <c r="AA2920" s="1">
        <v>2.9647053704</v>
      </c>
      <c r="AB2920" s="1">
        <v>56800.0</v>
      </c>
      <c r="AC2920" s="1">
        <v>53.6180727139999</v>
      </c>
      <c r="AD2920" s="1">
        <v>63.566770627</v>
      </c>
      <c r="AE2920" s="1">
        <v>15.207238762</v>
      </c>
      <c r="AF2920" s="1">
        <v>15.734873549</v>
      </c>
      <c r="AG2920" s="1">
        <v>0.706555262699999</v>
      </c>
      <c r="AH2920" s="1">
        <v>4.0038131554</v>
      </c>
      <c r="AI2920" s="1">
        <v>0.1906577693</v>
      </c>
      <c r="AJ2920" s="1">
        <v>6.28609880559999</v>
      </c>
      <c r="AK2920" s="1">
        <v>70.95833567</v>
      </c>
      <c r="AL2920" s="1">
        <v>1.7415215399</v>
      </c>
      <c r="AM2920" s="1">
        <v>54.21409746</v>
      </c>
      <c r="AN2920" s="1">
        <v>0.0</v>
      </c>
      <c r="AO2920" s="1">
        <v>27209.0</v>
      </c>
      <c r="AP2920" s="1">
        <v>12.9</v>
      </c>
      <c r="AQ2920" s="1">
        <v>8.4</v>
      </c>
      <c r="AR2920" s="1">
        <v>11.0</v>
      </c>
      <c r="AS2920" s="1">
        <v>20.2</v>
      </c>
      <c r="AT2920" s="1">
        <v>22.2</v>
      </c>
      <c r="AU2920" s="1">
        <v>16.7</v>
      </c>
      <c r="AV2920" s="1">
        <v>24.4</v>
      </c>
      <c r="AW2920" s="1">
        <v>1.7</v>
      </c>
      <c r="AX2920" s="1">
        <v>0.5498</v>
      </c>
      <c r="AY2920" s="1">
        <v>9.4</v>
      </c>
      <c r="AZ2920" s="1">
        <v>11.5</v>
      </c>
      <c r="BA2920" s="1">
        <v>16.2</v>
      </c>
      <c r="BB2920" s="1">
        <v>3.15</v>
      </c>
      <c r="BC2920" s="1" t="s">
        <v>4607</v>
      </c>
      <c r="BD2920" s="1">
        <v>8.5</v>
      </c>
      <c r="BE2920" s="1">
        <v>31.4</v>
      </c>
      <c r="BF2920" s="1">
        <v>34.6</v>
      </c>
      <c r="BG2920" s="1">
        <v>25.5</v>
      </c>
      <c r="BH2920" s="1" t="s">
        <v>4757</v>
      </c>
    </row>
    <row r="2921">
      <c r="A2921" s="1">
        <v>51580.0</v>
      </c>
      <c r="B2921" s="2" t="str">
        <f>IFERROR(__xludf.DUMMYFUNCTION("TO_TEXT(A2921)"),"51580")</f>
        <v>51580</v>
      </c>
      <c r="C2921" s="1">
        <v>5650.0</v>
      </c>
      <c r="D2921" s="1">
        <v>5.468481545416</v>
      </c>
      <c r="E2921" s="1" t="s">
        <v>4758</v>
      </c>
      <c r="F2921" s="1" t="s">
        <v>4759</v>
      </c>
      <c r="G2921" s="1">
        <v>1033.19357541513</v>
      </c>
      <c r="H2921" s="1">
        <v>18.292814651</v>
      </c>
      <c r="I2921" s="1">
        <v>4.3187974645</v>
      </c>
      <c r="J2921" s="1">
        <v>17.973856209</v>
      </c>
      <c r="K2921" s="1">
        <v>18.206430874</v>
      </c>
      <c r="L2921" s="1">
        <v>26.7</v>
      </c>
      <c r="M2921" s="1">
        <v>7.2</v>
      </c>
      <c r="N2921" s="1">
        <v>23.8</v>
      </c>
      <c r="O2921" s="1">
        <v>100.0</v>
      </c>
      <c r="P2921" s="1">
        <v>10.286797819</v>
      </c>
      <c r="Q2921" s="1">
        <v>54.23974</v>
      </c>
      <c r="R2921" s="1">
        <v>80.8</v>
      </c>
      <c r="S2921" s="1">
        <v>26.1</v>
      </c>
      <c r="T2921" s="1">
        <v>1052.0</v>
      </c>
      <c r="U2921" s="1">
        <v>31.74904943</v>
      </c>
      <c r="V2921" s="1">
        <v>246.56569215</v>
      </c>
      <c r="W2921" s="1">
        <v>14.3724696359999</v>
      </c>
      <c r="X2921" s="1">
        <v>11.19867275</v>
      </c>
      <c r="Y2921" s="1">
        <v>77.482572377</v>
      </c>
      <c r="Z2921" s="1">
        <v>9.5</v>
      </c>
      <c r="AA2921" s="1">
        <v>9.8008219302</v>
      </c>
      <c r="AB2921" s="1">
        <v>40504.0</v>
      </c>
      <c r="AC2921" s="1">
        <v>59.6574690769999</v>
      </c>
      <c r="AD2921" s="1">
        <v>73.515981735</v>
      </c>
      <c r="AE2921" s="1">
        <v>10.992434357</v>
      </c>
      <c r="AF2921" s="1">
        <v>13.095238095</v>
      </c>
      <c r="AG2921" s="1">
        <v>0.4761904762</v>
      </c>
      <c r="AH2921" s="1">
        <v>1.1538461538</v>
      </c>
      <c r="AI2921" s="1">
        <v>0.0</v>
      </c>
      <c r="AJ2921" s="1">
        <v>2.2710622711</v>
      </c>
      <c r="AK2921" s="1">
        <v>80.970695971</v>
      </c>
      <c r="AL2921" s="1">
        <v>0.0</v>
      </c>
      <c r="AM2921" s="1">
        <v>51.703296703</v>
      </c>
      <c r="AN2921" s="1">
        <v>0.0</v>
      </c>
      <c r="AO2921" s="1">
        <v>21512.0</v>
      </c>
      <c r="AP2921" s="1">
        <v>21.4</v>
      </c>
      <c r="AQ2921" s="1">
        <v>5.2</v>
      </c>
      <c r="AR2921" s="1">
        <v>15.1</v>
      </c>
      <c r="AS2921" s="1">
        <v>20.0</v>
      </c>
      <c r="AT2921" s="1">
        <v>20.4</v>
      </c>
      <c r="AU2921" s="1">
        <v>20.8</v>
      </c>
      <c r="AV2921" s="1">
        <v>18.5</v>
      </c>
      <c r="AW2921" s="1">
        <v>0.0</v>
      </c>
      <c r="AX2921" s="1">
        <v>0.4842</v>
      </c>
      <c r="AY2921" s="1">
        <v>14.5</v>
      </c>
      <c r="AZ2921" s="1">
        <v>12.7</v>
      </c>
      <c r="BA2921" s="1">
        <v>19.7</v>
      </c>
      <c r="BB2921" s="1">
        <v>2.82</v>
      </c>
      <c r="BC2921" s="1" t="s">
        <v>4607</v>
      </c>
      <c r="BD2921" s="1">
        <v>12.7</v>
      </c>
      <c r="BE2921" s="1">
        <v>44.4</v>
      </c>
      <c r="BF2921" s="1">
        <v>27.3</v>
      </c>
      <c r="BG2921" s="1">
        <v>15.6</v>
      </c>
      <c r="BH2921" s="1" t="s">
        <v>4759</v>
      </c>
    </row>
    <row r="2922">
      <c r="A2922" s="1">
        <v>51590.0</v>
      </c>
      <c r="B2922" s="2" t="str">
        <f>IFERROR(__xludf.DUMMYFUNCTION("TO_TEXT(A2922)"),"51590")</f>
        <v>51590</v>
      </c>
      <c r="C2922" s="1">
        <v>42360.0</v>
      </c>
      <c r="D2922" s="1">
        <v>42.9101604448019</v>
      </c>
      <c r="E2922" s="1" t="s">
        <v>4760</v>
      </c>
      <c r="F2922" s="1" t="s">
        <v>4761</v>
      </c>
      <c r="G2922" s="1">
        <v>987.178783786891</v>
      </c>
      <c r="H2922" s="1">
        <v>21.940664145</v>
      </c>
      <c r="I2922" s="1">
        <v>4.32675570769999</v>
      </c>
      <c r="J2922" s="1">
        <v>12.326152168</v>
      </c>
      <c r="K2922" s="1">
        <v>20.799102398</v>
      </c>
      <c r="L2922" s="1">
        <v>29.6</v>
      </c>
      <c r="M2922" s="1">
        <v>6.5</v>
      </c>
      <c r="N2922" s="1">
        <v>30.2</v>
      </c>
      <c r="O2922" s="1">
        <v>82.245964464</v>
      </c>
      <c r="P2922" s="1">
        <v>10.552795822</v>
      </c>
      <c r="Q2922" s="1">
        <v>102.11524</v>
      </c>
      <c r="R2922" s="1">
        <v>80.6</v>
      </c>
      <c r="S2922" s="1">
        <v>38.1</v>
      </c>
      <c r="T2922" s="1">
        <v>8993.0</v>
      </c>
      <c r="U2922" s="1">
        <v>55.3986433889999</v>
      </c>
      <c r="V2922" s="1">
        <v>622.76949257</v>
      </c>
      <c r="W2922" s="1">
        <v>17.260787992</v>
      </c>
      <c r="X2922" s="1">
        <v>14.920460779</v>
      </c>
      <c r="Y2922" s="1">
        <v>72.355913004</v>
      </c>
      <c r="Z2922" s="1">
        <v>12.0</v>
      </c>
      <c r="AA2922" s="1">
        <v>5.7952273126</v>
      </c>
      <c r="AB2922" s="1">
        <v>36015.0</v>
      </c>
      <c r="AC2922" s="1">
        <v>97.617796462</v>
      </c>
      <c r="AD2922" s="1">
        <v>53.4552735539999</v>
      </c>
      <c r="AE2922" s="1">
        <v>16.099542915</v>
      </c>
      <c r="AF2922" s="1">
        <v>50.460767208</v>
      </c>
      <c r="AG2922" s="1">
        <v>0.4816553216</v>
      </c>
      <c r="AH2922" s="1">
        <v>1.34175411</v>
      </c>
      <c r="AI2922" s="1">
        <v>0.0614356277</v>
      </c>
      <c r="AJ2922" s="1">
        <v>4.6420760327</v>
      </c>
      <c r="AK2922" s="1">
        <v>41.938416927</v>
      </c>
      <c r="AL2922" s="1">
        <v>0.6531762295</v>
      </c>
      <c r="AM2922" s="1">
        <v>53.997001941</v>
      </c>
      <c r="AN2922" s="1">
        <v>4.5151550343</v>
      </c>
      <c r="AO2922" s="1">
        <v>21742.0</v>
      </c>
      <c r="AP2922" s="1">
        <v>22.5</v>
      </c>
      <c r="AQ2922" s="1">
        <v>11.8</v>
      </c>
      <c r="AR2922" s="1">
        <v>20.2</v>
      </c>
      <c r="AS2922" s="1">
        <v>19.6</v>
      </c>
      <c r="AT2922" s="1">
        <v>21.9</v>
      </c>
      <c r="AU2922" s="1">
        <v>20.0</v>
      </c>
      <c r="AV2922" s="1">
        <v>55.6</v>
      </c>
      <c r="AW2922" s="1">
        <v>0.7</v>
      </c>
      <c r="AX2922" s="1">
        <v>0.9551</v>
      </c>
      <c r="AY2922" s="1">
        <v>23.5</v>
      </c>
      <c r="AZ2922" s="1">
        <v>16.8</v>
      </c>
      <c r="BA2922" s="1">
        <v>23.1</v>
      </c>
      <c r="BB2922" s="1">
        <v>2.68</v>
      </c>
      <c r="BC2922" s="1" t="s">
        <v>4607</v>
      </c>
      <c r="BD2922" s="1">
        <v>18.2</v>
      </c>
      <c r="BE2922" s="1">
        <v>31.5</v>
      </c>
      <c r="BF2922" s="1">
        <v>32.6</v>
      </c>
      <c r="BG2922" s="1">
        <v>17.6</v>
      </c>
      <c r="BH2922" s="1" t="s">
        <v>4761</v>
      </c>
    </row>
    <row r="2923">
      <c r="A2923" s="1">
        <v>51595.0</v>
      </c>
      <c r="B2923" s="2" t="str">
        <f>IFERROR(__xludf.DUMMYFUNCTION("TO_TEXT(A2923)"),"51595")</f>
        <v>51595</v>
      </c>
      <c r="C2923" s="1">
        <v>5565.0</v>
      </c>
      <c r="D2923" s="1">
        <v>6.90023154555</v>
      </c>
      <c r="E2923" s="1" t="s">
        <v>4762</v>
      </c>
      <c r="F2923" s="1" t="s">
        <v>4763</v>
      </c>
      <c r="G2923" s="1">
        <v>806.494675325628</v>
      </c>
      <c r="H2923" s="1">
        <v>29.20369107</v>
      </c>
      <c r="I2923" s="1">
        <v>4.8880240155</v>
      </c>
      <c r="J2923" s="1">
        <v>11.0</v>
      </c>
      <c r="K2923" s="1">
        <v>23.625174335</v>
      </c>
      <c r="L2923" s="1">
        <v>25.9</v>
      </c>
      <c r="M2923" s="1">
        <v>6.1</v>
      </c>
      <c r="N2923" s="1">
        <v>25.1</v>
      </c>
      <c r="O2923" s="1">
        <v>89.92745065</v>
      </c>
      <c r="P2923" s="1">
        <v>11.583011583</v>
      </c>
      <c r="Q2923" s="1">
        <v>48.31939</v>
      </c>
      <c r="R2923" s="1">
        <v>89.912280702</v>
      </c>
      <c r="S2923" s="1">
        <v>37.4</v>
      </c>
      <c r="T2923" s="1">
        <v>1411.0</v>
      </c>
      <c r="U2923" s="1">
        <v>77.462792346</v>
      </c>
      <c r="V2923" s="1">
        <v>596.71348572</v>
      </c>
      <c r="W2923" s="1">
        <v>25.1131221719999</v>
      </c>
      <c r="X2923" s="1">
        <v>22.9357798169999</v>
      </c>
      <c r="Y2923" s="1">
        <v>77.482572377</v>
      </c>
      <c r="Z2923" s="1">
        <v>11.9</v>
      </c>
      <c r="AA2923" s="1">
        <v>0.5955350292</v>
      </c>
      <c r="AB2923" s="1">
        <v>36908.0</v>
      </c>
      <c r="AC2923" s="1">
        <v>92.405063291</v>
      </c>
      <c r="AD2923" s="1">
        <v>41.481831052</v>
      </c>
      <c r="AE2923" s="1">
        <v>22.684958354</v>
      </c>
      <c r="AF2923" s="1">
        <v>62.956453818</v>
      </c>
      <c r="AG2923" s="1">
        <v>0.800624877999999</v>
      </c>
      <c r="AH2923" s="1">
        <v>1.0544815466</v>
      </c>
      <c r="AI2923" s="1">
        <v>0.1171646163</v>
      </c>
      <c r="AJ2923" s="1">
        <v>6.4440538957</v>
      </c>
      <c r="AK2923" s="1">
        <v>28.1780902169999</v>
      </c>
      <c r="AL2923" s="1">
        <v>0.253016738</v>
      </c>
      <c r="AM2923" s="1">
        <v>53.7199765669999</v>
      </c>
      <c r="AN2923" s="1">
        <v>6.3101062932</v>
      </c>
      <c r="AO2923" s="1">
        <v>18608.0</v>
      </c>
      <c r="AP2923" s="1">
        <v>33.0</v>
      </c>
      <c r="AQ2923" s="1">
        <v>18.8</v>
      </c>
      <c r="AR2923" s="1">
        <v>23.1</v>
      </c>
      <c r="AS2923" s="1">
        <v>16.9</v>
      </c>
      <c r="AT2923" s="1">
        <v>24.8</v>
      </c>
      <c r="AU2923" s="1">
        <v>22.5</v>
      </c>
      <c r="AV2923" s="1">
        <v>68.4</v>
      </c>
      <c r="AW2923" s="1">
        <v>1.5</v>
      </c>
      <c r="AX2923" s="1">
        <v>0.9978</v>
      </c>
      <c r="AY2923" s="1">
        <v>20.5</v>
      </c>
      <c r="AZ2923" s="1">
        <v>19.0</v>
      </c>
      <c r="BA2923" s="1">
        <v>25.6</v>
      </c>
      <c r="BB2923" s="1">
        <v>2.87</v>
      </c>
      <c r="BC2923" s="1" t="s">
        <v>4607</v>
      </c>
      <c r="BD2923" s="1">
        <v>20.6</v>
      </c>
      <c r="BE2923" s="1">
        <v>33.8</v>
      </c>
      <c r="BF2923" s="1">
        <v>31.8</v>
      </c>
      <c r="BG2923" s="1">
        <v>13.8</v>
      </c>
      <c r="BH2923" s="1" t="s">
        <v>4763</v>
      </c>
    </row>
    <row r="2924">
      <c r="A2924" s="1">
        <v>51600.0</v>
      </c>
      <c r="B2924" s="2" t="str">
        <f>IFERROR(__xludf.DUMMYFUNCTION("TO_TEXT(A2924)"),"51600")</f>
        <v>51600</v>
      </c>
      <c r="C2924" s="1">
        <v>23620.0</v>
      </c>
      <c r="D2924" s="1">
        <v>6.240227628444</v>
      </c>
      <c r="E2924" s="1" t="s">
        <v>4764</v>
      </c>
      <c r="F2924" s="1" t="s">
        <v>4765</v>
      </c>
      <c r="G2924" s="1">
        <v>3785.11833323772</v>
      </c>
      <c r="H2924" s="1">
        <v>13.411943003</v>
      </c>
      <c r="I2924" s="1">
        <v>3.2577055253</v>
      </c>
      <c r="J2924" s="1">
        <v>6.76025917929999</v>
      </c>
      <c r="K2924" s="1">
        <v>12.665359761</v>
      </c>
      <c r="L2924" s="1">
        <v>24.3</v>
      </c>
      <c r="M2924" s="1">
        <v>9.8</v>
      </c>
      <c r="N2924" s="1">
        <v>19.0</v>
      </c>
      <c r="O2924" s="1">
        <v>100.0</v>
      </c>
      <c r="P2924" s="1">
        <v>9.3722499267</v>
      </c>
      <c r="Q2924" s="1">
        <v>16.59958</v>
      </c>
      <c r="R2924" s="1">
        <v>89.912280702</v>
      </c>
      <c r="S2924" s="1">
        <v>6.9</v>
      </c>
      <c r="T2924" s="1">
        <v>5400.0</v>
      </c>
      <c r="U2924" s="1">
        <v>16.9259259259999</v>
      </c>
      <c r="V2924" s="1">
        <v>84.504719898</v>
      </c>
      <c r="W2924" s="1">
        <v>13.982300885</v>
      </c>
      <c r="X2924" s="1">
        <v>12.376414532</v>
      </c>
      <c r="Y2924" s="1">
        <v>78.924131413</v>
      </c>
      <c r="Z2924" s="1">
        <v>7.2</v>
      </c>
      <c r="AA2924" s="1">
        <v>0.1566505368</v>
      </c>
      <c r="AB2924" s="1">
        <v>105532.0</v>
      </c>
      <c r="AC2924" s="1">
        <v>28.659140424</v>
      </c>
      <c r="AD2924" s="1">
        <v>70.922483339</v>
      </c>
      <c r="AE2924" s="1">
        <v>15.135849964</v>
      </c>
      <c r="AF2924" s="1">
        <v>5.6604541385</v>
      </c>
      <c r="AG2924" s="1">
        <v>0.6673720192</v>
      </c>
      <c r="AH2924" s="1">
        <v>19.182876211</v>
      </c>
      <c r="AI2924" s="1">
        <v>0.1505656385</v>
      </c>
      <c r="AJ2924" s="1">
        <v>17.400504598</v>
      </c>
      <c r="AK2924" s="1">
        <v>54.94425002</v>
      </c>
      <c r="AL2924" s="1">
        <v>5.1301893664</v>
      </c>
      <c r="AM2924" s="1">
        <v>50.288923252</v>
      </c>
      <c r="AN2924" s="1">
        <v>0.0</v>
      </c>
      <c r="AO2924" s="1">
        <v>45222.0</v>
      </c>
      <c r="AP2924" s="1">
        <v>6.2</v>
      </c>
      <c r="AQ2924" s="1">
        <v>5.5</v>
      </c>
      <c r="AR2924" s="1">
        <v>8.2</v>
      </c>
      <c r="AS2924" s="1">
        <v>15.2</v>
      </c>
      <c r="AT2924" s="1">
        <v>20.9</v>
      </c>
      <c r="AU2924" s="1">
        <v>7.5</v>
      </c>
      <c r="AV2924" s="1">
        <v>40.9</v>
      </c>
      <c r="AW2924" s="1">
        <v>7.2</v>
      </c>
      <c r="AX2924" s="1">
        <v>0.2047</v>
      </c>
      <c r="AY2924" s="1">
        <v>7.1</v>
      </c>
      <c r="AZ2924" s="1">
        <v>5.4</v>
      </c>
      <c r="BA2924" s="1">
        <v>4.8</v>
      </c>
      <c r="BB2924" s="1">
        <v>3.23</v>
      </c>
      <c r="BC2924" s="1" t="s">
        <v>4607</v>
      </c>
      <c r="BD2924" s="1">
        <v>6.0</v>
      </c>
      <c r="BE2924" s="1">
        <v>13.4</v>
      </c>
      <c r="BF2924" s="1">
        <v>19.8</v>
      </c>
      <c r="BG2924" s="1">
        <v>60.8</v>
      </c>
      <c r="BH2924" s="1" t="s">
        <v>4765</v>
      </c>
    </row>
    <row r="2925">
      <c r="A2925" s="1">
        <v>51610.0</v>
      </c>
      <c r="B2925" s="2" t="str">
        <f>IFERROR(__xludf.DUMMYFUNCTION("TO_TEXT(A2925)"),"51610")</f>
        <v>51610</v>
      </c>
      <c r="C2925" s="1">
        <v>13597.0</v>
      </c>
      <c r="D2925" s="1">
        <v>2.050706255314</v>
      </c>
      <c r="E2925" s="1" t="s">
        <v>4766</v>
      </c>
      <c r="F2925" s="1" t="s">
        <v>4767</v>
      </c>
      <c r="G2925" s="1">
        <v>6630.3986564463</v>
      </c>
      <c r="H2925" s="1">
        <v>12.44784586</v>
      </c>
      <c r="I2925" s="1">
        <v>3.3014931082</v>
      </c>
      <c r="J2925" s="1">
        <v>5.8109833972</v>
      </c>
      <c r="K2925" s="1">
        <v>13.023780008</v>
      </c>
      <c r="L2925" s="1">
        <v>19.6</v>
      </c>
      <c r="M2925" s="1">
        <v>7.7</v>
      </c>
      <c r="N2925" s="1">
        <v>16.2</v>
      </c>
      <c r="O2925" s="1">
        <v>100.0</v>
      </c>
      <c r="P2925" s="1">
        <v>3.6982017201</v>
      </c>
      <c r="Q2925" s="1">
        <v>288.00658</v>
      </c>
      <c r="R2925" s="1">
        <v>98.5</v>
      </c>
      <c r="S2925" s="1">
        <v>2.9</v>
      </c>
      <c r="T2925" s="1">
        <v>3578.0</v>
      </c>
      <c r="U2925" s="1">
        <v>19.22861934</v>
      </c>
      <c r="V2925" s="1">
        <v>157.60441292</v>
      </c>
      <c r="W2925" s="1">
        <v>13.962264151</v>
      </c>
      <c r="X2925" s="1">
        <v>11.2796208529999</v>
      </c>
      <c r="Y2925" s="1">
        <v>81.565955872</v>
      </c>
      <c r="Z2925" s="1">
        <v>5.4</v>
      </c>
      <c r="AA2925" s="1">
        <v>6.508531482</v>
      </c>
      <c r="AB2925" s="1">
        <v>137551.0</v>
      </c>
      <c r="AC2925" s="1">
        <v>9.29451287789999</v>
      </c>
      <c r="AD2925" s="1">
        <v>61.630558723</v>
      </c>
      <c r="AE2925" s="1">
        <v>12.150433944</v>
      </c>
      <c r="AF2925" s="1">
        <v>4.4408340103</v>
      </c>
      <c r="AG2925" s="1">
        <v>0.5551042513</v>
      </c>
      <c r="AH2925" s="1">
        <v>9.9106417547</v>
      </c>
      <c r="AI2925" s="1">
        <v>0.0541565123</v>
      </c>
      <c r="AJ2925" s="1">
        <v>11.149471974</v>
      </c>
      <c r="AK2925" s="1">
        <v>70.884105064</v>
      </c>
      <c r="AL2925" s="1">
        <v>1.0045317221</v>
      </c>
      <c r="AM2925" s="1">
        <v>50.913891145</v>
      </c>
      <c r="AN2925" s="1">
        <v>0.0</v>
      </c>
      <c r="AO2925" s="1">
        <v>66104.0</v>
      </c>
      <c r="AP2925" s="1">
        <v>2.7</v>
      </c>
      <c r="AQ2925" s="1">
        <v>5.3</v>
      </c>
      <c r="AR2925" s="1">
        <v>2.0</v>
      </c>
      <c r="AS2925" s="1">
        <v>12.4</v>
      </c>
      <c r="AT2925" s="1">
        <v>24.7</v>
      </c>
      <c r="AU2925" s="1">
        <v>5.6</v>
      </c>
      <c r="AV2925" s="1">
        <v>27.9</v>
      </c>
      <c r="AW2925" s="1">
        <v>2.0</v>
      </c>
      <c r="AX2925" s="1">
        <v>0.1347</v>
      </c>
      <c r="AY2925" s="1">
        <v>3.5</v>
      </c>
      <c r="AZ2925" s="1">
        <v>4.5</v>
      </c>
      <c r="BA2925" s="1">
        <v>2.4</v>
      </c>
      <c r="BB2925" s="1">
        <v>3.92</v>
      </c>
      <c r="BC2925" s="1" t="s">
        <v>4607</v>
      </c>
      <c r="BD2925" s="1">
        <v>1.1</v>
      </c>
      <c r="BE2925" s="1">
        <v>7.3</v>
      </c>
      <c r="BF2925" s="1">
        <v>14.1</v>
      </c>
      <c r="BG2925" s="1">
        <v>77.6</v>
      </c>
      <c r="BH2925" s="1" t="s">
        <v>4767</v>
      </c>
    </row>
    <row r="2926">
      <c r="A2926" s="1">
        <v>51620.0</v>
      </c>
      <c r="B2926" s="2" t="str">
        <f>IFERROR(__xludf.DUMMYFUNCTION("TO_TEXT(A2926)"),"51620")</f>
        <v>51620</v>
      </c>
      <c r="C2926" s="1">
        <v>8413.0</v>
      </c>
      <c r="D2926" s="1">
        <v>8.222374909924</v>
      </c>
      <c r="E2926" s="1" t="s">
        <v>4768</v>
      </c>
      <c r="F2926" s="1" t="s">
        <v>4769</v>
      </c>
      <c r="G2926" s="1">
        <v>1023.18370205255</v>
      </c>
      <c r="H2926" s="1">
        <v>22.182295888</v>
      </c>
      <c r="I2926" s="1">
        <v>4.3267368642</v>
      </c>
      <c r="J2926" s="1">
        <v>11.674528302</v>
      </c>
      <c r="K2926" s="1">
        <v>19.743404588</v>
      </c>
      <c r="L2926" s="1">
        <v>49.1</v>
      </c>
      <c r="M2926" s="1">
        <v>4.4</v>
      </c>
      <c r="N2926" s="1">
        <v>27.2</v>
      </c>
      <c r="O2926" s="1">
        <v>45.257515731</v>
      </c>
      <c r="P2926" s="1">
        <v>9.7779148674</v>
      </c>
      <c r="Q2926" s="1">
        <v>122.3092</v>
      </c>
      <c r="R2926" s="1">
        <v>92.6</v>
      </c>
      <c r="S2926" s="1">
        <v>34.1</v>
      </c>
      <c r="T2926" s="1">
        <v>1984.0</v>
      </c>
      <c r="U2926" s="1">
        <v>56.149193548</v>
      </c>
      <c r="V2926" s="1">
        <v>310.4134942</v>
      </c>
      <c r="W2926" s="1">
        <v>21.313868613</v>
      </c>
      <c r="X2926" s="1">
        <v>18.802919708</v>
      </c>
      <c r="Y2926" s="1">
        <v>68.777421209</v>
      </c>
      <c r="Z2926" s="1">
        <v>14.0</v>
      </c>
      <c r="AA2926" s="1">
        <v>28.404502383</v>
      </c>
      <c r="AB2926" s="1">
        <v>37327.0</v>
      </c>
      <c r="AC2926" s="1">
        <v>98.927613941</v>
      </c>
      <c r="AD2926" s="1">
        <v>49.77311401</v>
      </c>
      <c r="AE2926" s="1">
        <v>18.360277136</v>
      </c>
      <c r="AF2926" s="1">
        <v>57.481592412</v>
      </c>
      <c r="AG2926" s="1">
        <v>0.4367902159</v>
      </c>
      <c r="AH2926" s="1">
        <v>0.960938475</v>
      </c>
      <c r="AI2926" s="1">
        <v>0.0623986023</v>
      </c>
      <c r="AJ2926" s="1">
        <v>2.5583426931</v>
      </c>
      <c r="AK2926" s="1">
        <v>36.952452265</v>
      </c>
      <c r="AL2926" s="1">
        <v>0.1165803109</v>
      </c>
      <c r="AM2926" s="1">
        <v>54.873330837</v>
      </c>
      <c r="AN2926" s="1">
        <v>3.2509904451</v>
      </c>
      <c r="AO2926" s="1">
        <v>23182.0</v>
      </c>
      <c r="AP2926" s="1">
        <v>16.7</v>
      </c>
      <c r="AQ2926" s="1">
        <v>14.6</v>
      </c>
      <c r="AR2926" s="1">
        <v>18.8</v>
      </c>
      <c r="AS2926" s="1">
        <v>17.9</v>
      </c>
      <c r="AT2926" s="1">
        <v>24.3</v>
      </c>
      <c r="AU2926" s="1">
        <v>11.1</v>
      </c>
      <c r="AV2926" s="1">
        <v>62.2</v>
      </c>
      <c r="AW2926" s="1">
        <v>0.0</v>
      </c>
      <c r="AX2926" s="1">
        <v>0.6555</v>
      </c>
      <c r="AY2926" s="1">
        <v>19.2</v>
      </c>
      <c r="AZ2926" s="1">
        <v>14.6</v>
      </c>
      <c r="BA2926" s="1">
        <v>17.6</v>
      </c>
      <c r="BB2926" s="1">
        <v>3.09</v>
      </c>
      <c r="BC2926" s="1" t="s">
        <v>4607</v>
      </c>
      <c r="BD2926" s="1">
        <v>13.7</v>
      </c>
      <c r="BE2926" s="1">
        <v>29.1</v>
      </c>
      <c r="BF2926" s="1">
        <v>38.1</v>
      </c>
      <c r="BG2926" s="1">
        <v>19.1</v>
      </c>
      <c r="BH2926" s="1" t="s">
        <v>4769</v>
      </c>
    </row>
    <row r="2927">
      <c r="A2927" s="1">
        <v>51630.0</v>
      </c>
      <c r="B2927" s="2" t="str">
        <f>IFERROR(__xludf.DUMMYFUNCTION("TO_TEXT(A2927)"),"51630")</f>
        <v>51630</v>
      </c>
      <c r="C2927" s="1">
        <v>27853.0</v>
      </c>
      <c r="D2927" s="1">
        <v>10.441055998644</v>
      </c>
      <c r="E2927" s="1" t="s">
        <v>4770</v>
      </c>
      <c r="F2927" s="1" t="s">
        <v>4771</v>
      </c>
      <c r="G2927" s="1">
        <v>2667.64204728117</v>
      </c>
      <c r="H2927" s="1">
        <v>17.343956911</v>
      </c>
      <c r="I2927" s="1">
        <v>3.9013489671</v>
      </c>
      <c r="J2927" s="1">
        <v>8.1165452653</v>
      </c>
      <c r="K2927" s="1">
        <v>17.5106481509999</v>
      </c>
      <c r="L2927" s="1">
        <v>31.7</v>
      </c>
      <c r="M2927" s="1">
        <v>7.7</v>
      </c>
      <c r="N2927" s="1">
        <v>26.1</v>
      </c>
      <c r="O2927" s="1">
        <v>100.0</v>
      </c>
      <c r="P2927" s="1">
        <v>11.1511581909999</v>
      </c>
      <c r="Q2927" s="1">
        <v>148.09591</v>
      </c>
      <c r="R2927" s="1">
        <v>82.6</v>
      </c>
      <c r="S2927" s="1">
        <v>21.2</v>
      </c>
      <c r="T2927" s="1">
        <v>5902.0</v>
      </c>
      <c r="U2927" s="1">
        <v>50.016943409</v>
      </c>
      <c r="V2927" s="1">
        <v>422.55221538</v>
      </c>
      <c r="W2927" s="1">
        <v>20.4965920159999</v>
      </c>
      <c r="X2927" s="1">
        <v>18.186347783</v>
      </c>
      <c r="Y2927" s="1">
        <v>78.152492274</v>
      </c>
      <c r="Z2927" s="1">
        <v>10.9</v>
      </c>
      <c r="AA2927" s="1">
        <v>1.959147689</v>
      </c>
      <c r="AB2927" s="1">
        <v>58448.0</v>
      </c>
      <c r="AC2927" s="1">
        <v>66.187448161</v>
      </c>
      <c r="AD2927" s="1">
        <v>36.184086184</v>
      </c>
      <c r="AE2927" s="1">
        <v>17.644202758</v>
      </c>
      <c r="AF2927" s="1">
        <v>23.222618721</v>
      </c>
      <c r="AG2927" s="1">
        <v>0.7720285479</v>
      </c>
      <c r="AH2927" s="1">
        <v>2.9817458139</v>
      </c>
      <c r="AI2927" s="1">
        <v>0.1200933297</v>
      </c>
      <c r="AJ2927" s="1">
        <v>10.955942904</v>
      </c>
      <c r="AK2927" s="1">
        <v>59.031018391</v>
      </c>
      <c r="AL2927" s="1">
        <v>3.8337811755</v>
      </c>
      <c r="AM2927" s="1">
        <v>53.849849026</v>
      </c>
      <c r="AN2927" s="1">
        <v>1.1652804085</v>
      </c>
      <c r="AO2927" s="1">
        <v>30480.0</v>
      </c>
      <c r="AP2927" s="1">
        <v>16.6</v>
      </c>
      <c r="AQ2927" s="1">
        <v>7.4</v>
      </c>
      <c r="AR2927" s="1">
        <v>8.7</v>
      </c>
      <c r="AS2927" s="1">
        <v>10.4</v>
      </c>
      <c r="AT2927" s="1">
        <v>20.8</v>
      </c>
      <c r="AU2927" s="1">
        <v>9.5</v>
      </c>
      <c r="AV2927" s="1">
        <v>39.9</v>
      </c>
      <c r="AW2927" s="1">
        <v>2.2</v>
      </c>
      <c r="AX2927" s="1">
        <v>0.5323</v>
      </c>
      <c r="AY2927" s="1">
        <v>16.9</v>
      </c>
      <c r="AZ2927" s="1">
        <v>12.1</v>
      </c>
      <c r="BA2927" s="1">
        <v>12.9</v>
      </c>
      <c r="BB2927" s="1">
        <v>3.87</v>
      </c>
      <c r="BC2927" s="1" t="s">
        <v>4607</v>
      </c>
      <c r="BD2927" s="1">
        <v>9.8</v>
      </c>
      <c r="BE2927" s="1">
        <v>23.7</v>
      </c>
      <c r="BF2927" s="1">
        <v>25.5</v>
      </c>
      <c r="BG2927" s="1">
        <v>40.9</v>
      </c>
      <c r="BH2927" s="1" t="s">
        <v>4771</v>
      </c>
    </row>
    <row r="2928">
      <c r="A2928" s="1">
        <v>51640.0</v>
      </c>
      <c r="B2928" s="2" t="str">
        <f>IFERROR(__xludf.DUMMYFUNCTION("TO_TEXT(A2928)"),"51640")</f>
        <v>51640</v>
      </c>
      <c r="C2928" s="1">
        <v>6858.0</v>
      </c>
      <c r="D2928" s="1">
        <v>8.303543588976</v>
      </c>
      <c r="E2928" s="1" t="s">
        <v>4772</v>
      </c>
      <c r="F2928" s="1" t="s">
        <v>4773</v>
      </c>
      <c r="G2928" s="1">
        <v>825.91244647705</v>
      </c>
      <c r="H2928" s="1">
        <v>21.043623797</v>
      </c>
      <c r="I2928" s="1">
        <v>4.4999697794</v>
      </c>
      <c r="J2928" s="1">
        <v>12.137681159</v>
      </c>
      <c r="K2928" s="1">
        <v>19.116548062</v>
      </c>
      <c r="L2928" s="1">
        <v>28.9</v>
      </c>
      <c r="M2928" s="1">
        <v>8.3</v>
      </c>
      <c r="N2928" s="1">
        <v>27.5</v>
      </c>
      <c r="O2928" s="1">
        <v>69.00028401</v>
      </c>
      <c r="P2928" s="1">
        <v>15.057314941</v>
      </c>
      <c r="Q2928" s="1">
        <v>48.31939</v>
      </c>
      <c r="R2928" s="1">
        <v>92.9</v>
      </c>
      <c r="S2928" s="1">
        <v>34.7</v>
      </c>
      <c r="T2928" s="1">
        <v>1404.0</v>
      </c>
      <c r="U2928" s="1">
        <v>34.33048433</v>
      </c>
      <c r="V2928" s="1">
        <v>316.8202765</v>
      </c>
      <c r="W2928" s="1">
        <v>14.285714286</v>
      </c>
      <c r="X2928" s="1">
        <v>11.603053435</v>
      </c>
      <c r="Y2928" s="1">
        <v>67.471481028</v>
      </c>
      <c r="Z2928" s="1">
        <v>12.6</v>
      </c>
      <c r="AA2928" s="1">
        <v>1.1883731991</v>
      </c>
      <c r="AB2928" s="1">
        <v>36571.0</v>
      </c>
      <c r="AC2928" s="1">
        <v>65.5145929339999</v>
      </c>
      <c r="AD2928" s="1">
        <v>65.609044493</v>
      </c>
      <c r="AE2928" s="1">
        <v>15.5581039759999</v>
      </c>
      <c r="AF2928" s="1">
        <v>5.79168612799999</v>
      </c>
      <c r="AG2928" s="1">
        <v>0.4359333645</v>
      </c>
      <c r="AH2928" s="1">
        <v>0.7940214853</v>
      </c>
      <c r="AI2928" s="1">
        <v>0.3113809746</v>
      </c>
      <c r="AJ2928" s="1">
        <v>15.849291608</v>
      </c>
      <c r="AK2928" s="1">
        <v>75.354195859</v>
      </c>
      <c r="AL2928" s="1">
        <v>4.5760852531</v>
      </c>
      <c r="AM2928" s="1">
        <v>53.61980383</v>
      </c>
      <c r="AN2928" s="1">
        <v>13.717693837</v>
      </c>
      <c r="AO2928" s="1">
        <v>20796.0</v>
      </c>
      <c r="AP2928" s="1">
        <v>25.0</v>
      </c>
      <c r="AQ2928" s="1">
        <v>6.6</v>
      </c>
      <c r="AR2928" s="1">
        <v>23.4</v>
      </c>
      <c r="AS2928" s="1">
        <v>21.8</v>
      </c>
      <c r="AT2928" s="1">
        <v>21.7</v>
      </c>
      <c r="AU2928" s="1">
        <v>24.3</v>
      </c>
      <c r="AV2928" s="1">
        <v>25.8</v>
      </c>
      <c r="AW2928" s="1">
        <v>3.4</v>
      </c>
      <c r="AX2928" s="1">
        <v>0.9777</v>
      </c>
      <c r="AY2928" s="1">
        <v>19.0</v>
      </c>
      <c r="AZ2928" s="1">
        <v>16.5</v>
      </c>
      <c r="BA2928" s="1">
        <v>22.9</v>
      </c>
      <c r="BB2928" s="1">
        <v>2.96</v>
      </c>
      <c r="BC2928" s="1" t="s">
        <v>4607</v>
      </c>
      <c r="BD2928" s="1">
        <v>24.3</v>
      </c>
      <c r="BE2928" s="1">
        <v>30.4</v>
      </c>
      <c r="BF2928" s="1">
        <v>30.5</v>
      </c>
      <c r="BG2928" s="1">
        <v>14.8</v>
      </c>
      <c r="BH2928" s="1" t="s">
        <v>4773</v>
      </c>
    </row>
    <row r="2929">
      <c r="A2929" s="1">
        <v>51650.0</v>
      </c>
      <c r="B2929" s="2" t="str">
        <f>IFERROR(__xludf.DUMMYFUNCTION("TO_TEXT(A2929)"),"51650")</f>
        <v>51650</v>
      </c>
      <c r="C2929" s="1">
        <v>136789.0</v>
      </c>
      <c r="D2929" s="1">
        <v>51.470837927126</v>
      </c>
      <c r="E2929" s="1" t="s">
        <v>4774</v>
      </c>
      <c r="F2929" s="1" t="s">
        <v>4775</v>
      </c>
      <c r="G2929" s="1">
        <v>2657.60196470223</v>
      </c>
      <c r="H2929" s="1">
        <v>17.384383648</v>
      </c>
      <c r="I2929" s="1">
        <v>4.0447065593</v>
      </c>
      <c r="J2929" s="1">
        <v>9.6553992927</v>
      </c>
      <c r="K2929" s="1">
        <v>20.322792996</v>
      </c>
      <c r="L2929" s="1">
        <v>38.1</v>
      </c>
      <c r="M2929" s="1">
        <v>6.6</v>
      </c>
      <c r="N2929" s="1">
        <v>23.6</v>
      </c>
      <c r="O2929" s="1">
        <v>88.817340435</v>
      </c>
      <c r="P2929" s="1">
        <v>9.6362253919</v>
      </c>
      <c r="Q2929" s="1">
        <v>41.58344</v>
      </c>
      <c r="R2929" s="1">
        <v>92.6</v>
      </c>
      <c r="S2929" s="1">
        <v>23.7</v>
      </c>
      <c r="T2929" s="1">
        <v>28549.0</v>
      </c>
      <c r="U2929" s="1">
        <v>46.313355984</v>
      </c>
      <c r="V2929" s="1">
        <v>295.11859872</v>
      </c>
      <c r="W2929" s="1">
        <v>22.579442736</v>
      </c>
      <c r="X2929" s="1">
        <v>19.388951949</v>
      </c>
      <c r="Y2929" s="1">
        <v>76.6668412999999</v>
      </c>
      <c r="Z2929" s="1">
        <v>15.0</v>
      </c>
      <c r="AA2929" s="1">
        <v>10.314014463</v>
      </c>
      <c r="AB2929" s="1">
        <v>54763.0</v>
      </c>
      <c r="AC2929" s="1">
        <v>59.456472598</v>
      </c>
      <c r="AD2929" s="1">
        <v>56.1769087519999</v>
      </c>
      <c r="AE2929" s="1">
        <v>18.330667885</v>
      </c>
      <c r="AF2929" s="1">
        <v>49.6161950069999</v>
      </c>
      <c r="AG2929" s="1">
        <v>0.5360612897</v>
      </c>
      <c r="AH2929" s="1">
        <v>2.4480132228</v>
      </c>
      <c r="AI2929" s="1">
        <v>0.1764535079</v>
      </c>
      <c r="AJ2929" s="1">
        <v>6.0202660949</v>
      </c>
      <c r="AK2929" s="1">
        <v>37.853372347</v>
      </c>
      <c r="AL2929" s="1">
        <v>0.9475396183</v>
      </c>
      <c r="AM2929" s="1">
        <v>51.934660085</v>
      </c>
      <c r="AN2929" s="1">
        <v>0.2488430979</v>
      </c>
      <c r="AO2929" s="1">
        <v>25943.0</v>
      </c>
      <c r="AP2929" s="1">
        <v>15.6</v>
      </c>
      <c r="AQ2929" s="1">
        <v>8.9</v>
      </c>
      <c r="AR2929" s="1">
        <v>9.9</v>
      </c>
      <c r="AS2929" s="1">
        <v>13.7</v>
      </c>
      <c r="AT2929" s="1">
        <v>21.8</v>
      </c>
      <c r="AU2929" s="1">
        <v>13.4</v>
      </c>
      <c r="AV2929" s="1">
        <v>60.3</v>
      </c>
      <c r="AW2929" s="1">
        <v>0.9</v>
      </c>
      <c r="AX2929" s="1">
        <v>0.6823</v>
      </c>
      <c r="AY2929" s="1">
        <v>13.8</v>
      </c>
      <c r="AZ2929" s="1">
        <v>13.0</v>
      </c>
      <c r="BA2929" s="1">
        <v>17.9</v>
      </c>
      <c r="BB2929" s="1">
        <v>3.0</v>
      </c>
      <c r="BC2929" s="1" t="s">
        <v>4607</v>
      </c>
      <c r="BD2929" s="1">
        <v>8.6</v>
      </c>
      <c r="BE2929" s="1">
        <v>29.1</v>
      </c>
      <c r="BF2929" s="1">
        <v>35.5</v>
      </c>
      <c r="BG2929" s="1">
        <v>26.9</v>
      </c>
      <c r="BH2929" s="1" t="s">
        <v>4775</v>
      </c>
    </row>
    <row r="2930">
      <c r="A2930" s="1">
        <v>51660.0</v>
      </c>
      <c r="B2930" s="2" t="str">
        <f>IFERROR(__xludf.DUMMYFUNCTION("TO_TEXT(A2930)"),"51660")</f>
        <v>51660</v>
      </c>
      <c r="C2930" s="1">
        <v>51979.0</v>
      </c>
      <c r="D2930" s="1">
        <v>17.33203190705</v>
      </c>
      <c r="E2930" s="1" t="s">
        <v>4776</v>
      </c>
      <c r="F2930" s="1" t="s">
        <v>4777</v>
      </c>
      <c r="G2930" s="1">
        <v>2999.0136343366</v>
      </c>
      <c r="H2930" s="1">
        <v>22.512790091</v>
      </c>
      <c r="I2930" s="1">
        <v>4.433088228</v>
      </c>
      <c r="J2930" s="1">
        <v>6.5382892969</v>
      </c>
      <c r="K2930" s="1">
        <v>19.693651792</v>
      </c>
      <c r="L2930" s="1">
        <v>25.4</v>
      </c>
      <c r="M2930" s="1">
        <v>7.7</v>
      </c>
      <c r="N2930" s="1">
        <v>26.2</v>
      </c>
      <c r="O2930" s="1">
        <v>83.111174715</v>
      </c>
      <c r="P2930" s="1">
        <v>15.8228605629999</v>
      </c>
      <c r="Q2930" s="1">
        <v>134.64908</v>
      </c>
      <c r="R2930" s="1">
        <v>88.2</v>
      </c>
      <c r="S2930" s="1">
        <v>19.8</v>
      </c>
      <c r="T2930" s="1">
        <v>8664.0</v>
      </c>
      <c r="U2930" s="1">
        <v>36.3804247459999</v>
      </c>
      <c r="V2930" s="1">
        <v>214.289796</v>
      </c>
      <c r="W2930" s="1">
        <v>26.4962406019999</v>
      </c>
      <c r="X2930" s="1">
        <v>22.0521232</v>
      </c>
      <c r="Y2930" s="1">
        <v>79.750689057</v>
      </c>
      <c r="Z2930" s="1">
        <v>7.0</v>
      </c>
      <c r="AA2930" s="1">
        <v>1.1065615101</v>
      </c>
      <c r="AB2930" s="1">
        <v>42640.0</v>
      </c>
      <c r="AC2930" s="1">
        <v>71.313131313</v>
      </c>
      <c r="AD2930" s="1">
        <v>38.15601145</v>
      </c>
      <c r="AE2930" s="1">
        <v>21.7839916969999</v>
      </c>
      <c r="AF2930" s="1">
        <v>7.4010327022</v>
      </c>
      <c r="AG2930" s="1">
        <v>0.7902578054</v>
      </c>
      <c r="AH2930" s="1">
        <v>4.4935502378</v>
      </c>
      <c r="AI2930" s="1">
        <v>0.2424444321</v>
      </c>
      <c r="AJ2930" s="1">
        <v>20.626283938</v>
      </c>
      <c r="AK2930" s="1">
        <v>65.104658264</v>
      </c>
      <c r="AL2930" s="1">
        <v>7.8222345286</v>
      </c>
      <c r="AM2930" s="1">
        <v>51.905317121</v>
      </c>
      <c r="AN2930" s="1">
        <v>0.0</v>
      </c>
      <c r="AO2930" s="1">
        <v>18892.0</v>
      </c>
      <c r="AP2930" s="1">
        <v>33.1</v>
      </c>
      <c r="AQ2930" s="1">
        <v>5.9</v>
      </c>
      <c r="AR2930" s="1">
        <v>14.9</v>
      </c>
      <c r="AS2930" s="1">
        <v>8.1</v>
      </c>
      <c r="AT2930" s="1">
        <v>15.8</v>
      </c>
      <c r="AU2930" s="1">
        <v>6.8</v>
      </c>
      <c r="AV2930" s="1">
        <v>31.7</v>
      </c>
      <c r="AW2930" s="1">
        <v>7.5</v>
      </c>
      <c r="AX2930" s="1">
        <v>0.7959</v>
      </c>
      <c r="AY2930" s="1">
        <v>24.9</v>
      </c>
      <c r="AZ2930" s="1">
        <v>11.6</v>
      </c>
      <c r="BA2930" s="1">
        <v>11.1</v>
      </c>
      <c r="BB2930" s="1">
        <v>3.14</v>
      </c>
      <c r="BC2930" s="1" t="s">
        <v>4607</v>
      </c>
      <c r="BD2930" s="1">
        <v>16.1</v>
      </c>
      <c r="BE2930" s="1">
        <v>25.6</v>
      </c>
      <c r="BF2930" s="1">
        <v>22.0</v>
      </c>
      <c r="BG2930" s="1">
        <v>36.3</v>
      </c>
      <c r="BH2930" s="1" t="s">
        <v>4777</v>
      </c>
    </row>
    <row r="2931">
      <c r="A2931" s="1">
        <v>51670.0</v>
      </c>
      <c r="B2931" s="2" t="str">
        <f>IFERROR(__xludf.DUMMYFUNCTION("TO_TEXT(A2931)"),"51670")</f>
        <v>51670</v>
      </c>
      <c r="C2931" s="1">
        <v>22332.0</v>
      </c>
      <c r="D2931" s="1">
        <v>10.291578539854</v>
      </c>
      <c r="E2931" s="1" t="s">
        <v>4778</v>
      </c>
      <c r="F2931" s="1" t="s">
        <v>4779</v>
      </c>
      <c r="G2931" s="1">
        <v>2169.9295121268</v>
      </c>
      <c r="H2931" s="1">
        <v>20.160164609</v>
      </c>
      <c r="I2931" s="1">
        <v>4.352600683</v>
      </c>
      <c r="J2931" s="1">
        <v>13.34125099</v>
      </c>
      <c r="K2931" s="1">
        <v>19.544392371</v>
      </c>
      <c r="L2931" s="1">
        <v>29.6</v>
      </c>
      <c r="M2931" s="1">
        <v>6.1</v>
      </c>
      <c r="N2931" s="1">
        <v>26.6</v>
      </c>
      <c r="O2931" s="1">
        <v>89.6109069979999</v>
      </c>
      <c r="P2931" s="1">
        <v>11.754097491</v>
      </c>
      <c r="Q2931" s="1">
        <v>39.78604</v>
      </c>
      <c r="R2931" s="1">
        <v>90.9</v>
      </c>
      <c r="S2931" s="1">
        <v>30.9</v>
      </c>
      <c r="T2931" s="1">
        <v>5633.0</v>
      </c>
      <c r="U2931" s="1">
        <v>49.7603408489999</v>
      </c>
      <c r="V2931" s="1">
        <v>424.78196032</v>
      </c>
      <c r="W2931" s="1">
        <v>19.514946418</v>
      </c>
      <c r="X2931" s="1">
        <v>16.847575058</v>
      </c>
      <c r="Y2931" s="1">
        <v>70.888593535</v>
      </c>
      <c r="Z2931" s="1">
        <v>16.9</v>
      </c>
      <c r="AA2931" s="1">
        <v>12.895960875</v>
      </c>
      <c r="AB2931" s="1">
        <v>42568.0</v>
      </c>
      <c r="AC2931" s="1">
        <v>92.819875776</v>
      </c>
      <c r="AD2931" s="1">
        <v>49.733492875</v>
      </c>
      <c r="AE2931" s="1">
        <v>18.799727211</v>
      </c>
      <c r="AF2931" s="1">
        <v>41.259514958</v>
      </c>
      <c r="AG2931" s="1">
        <v>0.6771109931</v>
      </c>
      <c r="AH2931" s="1">
        <v>1.4029031687</v>
      </c>
      <c r="AI2931" s="1">
        <v>0.2611081607</v>
      </c>
      <c r="AJ2931" s="1">
        <v>8.3200566472</v>
      </c>
      <c r="AK2931" s="1">
        <v>45.4239688439999</v>
      </c>
      <c r="AL2931" s="1">
        <v>1.8277391975</v>
      </c>
      <c r="AM2931" s="1">
        <v>53.372278279</v>
      </c>
      <c r="AN2931" s="1">
        <v>0.0</v>
      </c>
      <c r="AO2931" s="1">
        <v>21827.0</v>
      </c>
      <c r="AP2931" s="1">
        <v>20.5</v>
      </c>
      <c r="AQ2931" s="1">
        <v>10.8</v>
      </c>
      <c r="AR2931" s="1">
        <v>19.1</v>
      </c>
      <c r="AS2931" s="1">
        <v>15.7</v>
      </c>
      <c r="AT2931" s="1">
        <v>25.5</v>
      </c>
      <c r="AU2931" s="1">
        <v>19.6</v>
      </c>
      <c r="AV2931" s="1">
        <v>50.1</v>
      </c>
      <c r="AW2931" s="1">
        <v>1.3</v>
      </c>
      <c r="AX2931" s="1">
        <v>0.9296</v>
      </c>
      <c r="AY2931" s="1">
        <v>19.3</v>
      </c>
      <c r="AZ2931" s="1">
        <v>16.2</v>
      </c>
      <c r="BA2931" s="1">
        <v>22.4</v>
      </c>
      <c r="BB2931" s="1">
        <v>3.37</v>
      </c>
      <c r="BC2931" s="1" t="s">
        <v>4607</v>
      </c>
      <c r="BD2931" s="1">
        <v>18.7</v>
      </c>
      <c r="BE2931" s="1">
        <v>36.7</v>
      </c>
      <c r="BF2931" s="1">
        <v>29.8</v>
      </c>
      <c r="BG2931" s="1">
        <v>14.8</v>
      </c>
      <c r="BH2931" s="1" t="s">
        <v>4779</v>
      </c>
    </row>
    <row r="2932">
      <c r="A2932" s="1">
        <v>51678.0</v>
      </c>
      <c r="B2932" s="2" t="str">
        <f>IFERROR(__xludf.DUMMYFUNCTION("TO_TEXT(A2932)"),"51678")</f>
        <v>51678</v>
      </c>
      <c r="C2932" s="1">
        <v>7036.0</v>
      </c>
      <c r="D2932" s="1">
        <v>2.497259087148</v>
      </c>
      <c r="E2932" s="1" t="s">
        <v>4780</v>
      </c>
      <c r="F2932" s="1" t="s">
        <v>4781</v>
      </c>
      <c r="G2932" s="1">
        <v>2817.48899672058</v>
      </c>
      <c r="H2932" s="1">
        <v>17.994410008</v>
      </c>
      <c r="I2932" s="1">
        <v>4.2779738971</v>
      </c>
      <c r="J2932" s="1">
        <v>6.8702290076</v>
      </c>
      <c r="K2932" s="1">
        <v>16.829293082</v>
      </c>
      <c r="L2932" s="1">
        <v>19.0</v>
      </c>
      <c r="M2932" s="1">
        <v>7.9</v>
      </c>
      <c r="N2932" s="1">
        <v>19.0</v>
      </c>
      <c r="O2932" s="1">
        <v>100.0</v>
      </c>
      <c r="P2932" s="1">
        <v>8.8343558282</v>
      </c>
      <c r="Q2932" s="1">
        <v>48.31939</v>
      </c>
      <c r="R2932" s="1">
        <v>89.912280702</v>
      </c>
      <c r="S2932" s="1">
        <v>13.7</v>
      </c>
      <c r="T2932" s="1">
        <v>583.0</v>
      </c>
      <c r="U2932" s="1">
        <v>27.787307033</v>
      </c>
      <c r="V2932" s="1">
        <v>124.42109629</v>
      </c>
      <c r="W2932" s="1">
        <v>15.633423181</v>
      </c>
      <c r="X2932" s="1">
        <v>15.8045977009999</v>
      </c>
      <c r="Y2932" s="1">
        <v>77.482572377</v>
      </c>
      <c r="Z2932" s="1">
        <v>7.1</v>
      </c>
      <c r="AA2932" s="1">
        <v>1.1813413483</v>
      </c>
      <c r="AB2932" s="1">
        <v>48726.0</v>
      </c>
      <c r="AC2932" s="1">
        <v>40.660660661</v>
      </c>
      <c r="AD2932" s="1">
        <v>52.9233870969999</v>
      </c>
      <c r="AE2932" s="1">
        <v>20.232815965</v>
      </c>
      <c r="AF2932" s="1">
        <v>8.6463004484</v>
      </c>
      <c r="AG2932" s="1">
        <v>0.1961883408</v>
      </c>
      <c r="AH2932" s="1">
        <v>3.3492152466</v>
      </c>
      <c r="AI2932" s="1">
        <v>0.0980941704</v>
      </c>
      <c r="AJ2932" s="1">
        <v>3.3912556054</v>
      </c>
      <c r="AK2932" s="1">
        <v>82.25896861</v>
      </c>
      <c r="AL2932" s="1">
        <v>0.0</v>
      </c>
      <c r="AM2932" s="1">
        <v>43.834080717</v>
      </c>
      <c r="AN2932" s="1">
        <v>0.0</v>
      </c>
      <c r="AO2932" s="1">
        <v>15745.0</v>
      </c>
      <c r="AP2932" s="1">
        <v>18.4</v>
      </c>
      <c r="AQ2932" s="1">
        <v>3.9</v>
      </c>
      <c r="AR2932" s="1">
        <v>15.0</v>
      </c>
      <c r="AS2932" s="1">
        <v>14.2</v>
      </c>
      <c r="AT2932" s="1">
        <v>8.3</v>
      </c>
      <c r="AU2932" s="1">
        <v>12.6</v>
      </c>
      <c r="AV2932" s="1">
        <v>19.5</v>
      </c>
      <c r="AW2932" s="1">
        <v>0.7</v>
      </c>
      <c r="AX2932" s="1">
        <v>0.383</v>
      </c>
      <c r="AY2932" s="1">
        <v>22.9</v>
      </c>
      <c r="AZ2932" s="1">
        <v>13.0</v>
      </c>
      <c r="BA2932" s="1">
        <v>15.2</v>
      </c>
      <c r="BB2932" s="1">
        <v>3.13</v>
      </c>
      <c r="BC2932" s="1" t="s">
        <v>4607</v>
      </c>
      <c r="BD2932" s="1">
        <v>8.6</v>
      </c>
      <c r="BE2932" s="1">
        <v>21.9</v>
      </c>
      <c r="BF2932" s="1">
        <v>22.9</v>
      </c>
      <c r="BG2932" s="1">
        <v>46.7</v>
      </c>
      <c r="BH2932" s="1" t="s">
        <v>4781</v>
      </c>
    </row>
    <row r="2933">
      <c r="A2933" s="1">
        <v>51680.0</v>
      </c>
      <c r="B2933" s="2" t="str">
        <f>IFERROR(__xludf.DUMMYFUNCTION("TO_TEXT(A2933)"),"51680")</f>
        <v>51680</v>
      </c>
      <c r="C2933" s="1">
        <v>78755.0</v>
      </c>
      <c r="D2933" s="1">
        <v>49.128213463182</v>
      </c>
      <c r="E2933" s="1" t="s">
        <v>4782</v>
      </c>
      <c r="F2933" s="1" t="s">
        <v>4783</v>
      </c>
      <c r="G2933" s="1">
        <v>1603.05035433501</v>
      </c>
      <c r="H2933" s="1">
        <v>19.682801389</v>
      </c>
      <c r="I2933" s="1">
        <v>4.4754839688</v>
      </c>
      <c r="J2933" s="1">
        <v>8.1375</v>
      </c>
      <c r="K2933" s="1">
        <v>17.4858770379999</v>
      </c>
      <c r="L2933" s="1">
        <v>35.4</v>
      </c>
      <c r="M2933" s="1">
        <v>6.7</v>
      </c>
      <c r="N2933" s="1">
        <v>26.4</v>
      </c>
      <c r="O2933" s="1">
        <v>94.704107559</v>
      </c>
      <c r="P2933" s="1">
        <v>10.156822013</v>
      </c>
      <c r="Q2933" s="1">
        <v>124.69906</v>
      </c>
      <c r="R2933" s="1">
        <v>86.4</v>
      </c>
      <c r="S2933" s="1">
        <v>25.1</v>
      </c>
      <c r="T2933" s="1">
        <v>15092.0</v>
      </c>
      <c r="U2933" s="1">
        <v>45.295520806</v>
      </c>
      <c r="V2933" s="1">
        <v>423.02995203</v>
      </c>
      <c r="W2933" s="1">
        <v>18.475954738</v>
      </c>
      <c r="X2933" s="1">
        <v>17.416545718</v>
      </c>
      <c r="Y2933" s="1">
        <v>77.035007479</v>
      </c>
      <c r="Z2933" s="1">
        <v>9.7</v>
      </c>
      <c r="AA2933" s="1">
        <v>8.6486603275</v>
      </c>
      <c r="AB2933" s="1">
        <v>43200.0</v>
      </c>
      <c r="AC2933" s="1">
        <v>77.136038186</v>
      </c>
      <c r="AD2933" s="1">
        <v>49.709644091</v>
      </c>
      <c r="AE2933" s="1">
        <v>16.183019148</v>
      </c>
      <c r="AF2933" s="1">
        <v>27.832842218</v>
      </c>
      <c r="AG2933" s="1">
        <v>0.4225214914</v>
      </c>
      <c r="AH2933" s="1">
        <v>2.9308623335</v>
      </c>
      <c r="AI2933" s="1">
        <v>0.0925407301</v>
      </c>
      <c r="AJ2933" s="1">
        <v>4.4042081679</v>
      </c>
      <c r="AK2933" s="1">
        <v>62.390716704</v>
      </c>
      <c r="AL2933" s="1">
        <v>1.2905369484</v>
      </c>
      <c r="AM2933" s="1">
        <v>53.095243894</v>
      </c>
      <c r="AN2933" s="1">
        <v>2.6916154986</v>
      </c>
      <c r="AO2933" s="1">
        <v>22016.0</v>
      </c>
      <c r="AP2933" s="1">
        <v>24.3</v>
      </c>
      <c r="AQ2933" s="1">
        <v>7.2</v>
      </c>
      <c r="AR2933" s="1">
        <v>11.8</v>
      </c>
      <c r="AS2933" s="1">
        <v>14.0</v>
      </c>
      <c r="AT2933" s="1">
        <v>19.3</v>
      </c>
      <c r="AU2933" s="1">
        <v>12.6</v>
      </c>
      <c r="AV2933" s="1">
        <v>37.0</v>
      </c>
      <c r="AW2933" s="1">
        <v>1.3</v>
      </c>
      <c r="AX2933" s="1">
        <v>0.7007</v>
      </c>
      <c r="AY2933" s="1">
        <v>16.8</v>
      </c>
      <c r="AZ2933" s="1">
        <v>13.8</v>
      </c>
      <c r="BA2933" s="1">
        <v>18.3</v>
      </c>
      <c r="BB2933" s="1">
        <v>3.01</v>
      </c>
      <c r="BC2933" s="1" t="s">
        <v>4607</v>
      </c>
      <c r="BD2933" s="1">
        <v>11.3</v>
      </c>
      <c r="BE2933" s="1">
        <v>25.2</v>
      </c>
      <c r="BF2933" s="1">
        <v>27.9</v>
      </c>
      <c r="BG2933" s="1">
        <v>35.6</v>
      </c>
      <c r="BH2933" s="1" t="s">
        <v>4783</v>
      </c>
    </row>
    <row r="2934">
      <c r="A2934" s="1">
        <v>51683.0</v>
      </c>
      <c r="B2934" s="2" t="str">
        <f>IFERROR(__xludf.DUMMYFUNCTION("TO_TEXT(A2934)"),"51683")</f>
        <v>51683</v>
      </c>
      <c r="C2934" s="1">
        <v>41149.0</v>
      </c>
      <c r="D2934" s="1">
        <v>9.882113507834</v>
      </c>
      <c r="E2934" s="1" t="s">
        <v>4784</v>
      </c>
      <c r="F2934" s="1" t="s">
        <v>4785</v>
      </c>
      <c r="G2934" s="1">
        <v>4163.9877914152</v>
      </c>
      <c r="H2934" s="1">
        <v>17.754901975</v>
      </c>
      <c r="I2934" s="1">
        <v>3.6129557108</v>
      </c>
      <c r="J2934" s="1">
        <v>7.0932632764</v>
      </c>
      <c r="K2934" s="1">
        <v>15.462198143</v>
      </c>
      <c r="L2934" s="1">
        <v>31.0</v>
      </c>
      <c r="M2934" s="1">
        <v>9.7</v>
      </c>
      <c r="N2934" s="1">
        <v>25.7</v>
      </c>
      <c r="O2934" s="1">
        <v>100.0</v>
      </c>
      <c r="P2934" s="1">
        <v>16.560612163</v>
      </c>
      <c r="Q2934" s="1">
        <v>101.20238</v>
      </c>
      <c r="R2934" s="1">
        <v>78.2</v>
      </c>
      <c r="S2934" s="1">
        <v>14.7</v>
      </c>
      <c r="T2934" s="1">
        <v>11034.0</v>
      </c>
      <c r="U2934" s="1">
        <v>24.025738626</v>
      </c>
      <c r="V2934" s="1">
        <v>308.56927498</v>
      </c>
      <c r="W2934" s="1">
        <v>18.704746581</v>
      </c>
      <c r="X2934" s="1">
        <v>12.64274062</v>
      </c>
      <c r="Y2934" s="1">
        <v>78.640900938</v>
      </c>
      <c r="Z2934" s="1">
        <v>4.0</v>
      </c>
      <c r="AA2934" s="1">
        <v>0.9667252069</v>
      </c>
      <c r="AB2934" s="1">
        <v>79141.0</v>
      </c>
      <c r="AC2934" s="1">
        <v>52.886808306</v>
      </c>
      <c r="AD2934" s="1">
        <v>65.110989097</v>
      </c>
      <c r="AE2934" s="1">
        <v>16.051454139</v>
      </c>
      <c r="AF2934" s="1">
        <v>13.38824716</v>
      </c>
      <c r="AG2934" s="1">
        <v>1.3880550419</v>
      </c>
      <c r="AH2934" s="1">
        <v>6.2582550851</v>
      </c>
      <c r="AI2934" s="1">
        <v>0.2353449725</v>
      </c>
      <c r="AJ2934" s="1">
        <v>37.751254773</v>
      </c>
      <c r="AK2934" s="1">
        <v>40.207968108</v>
      </c>
      <c r="AL2934" s="1">
        <v>9.2257435654</v>
      </c>
      <c r="AM2934" s="1">
        <v>49.869119378</v>
      </c>
      <c r="AN2934" s="1">
        <v>0.0</v>
      </c>
      <c r="AO2934" s="1">
        <v>29365.0</v>
      </c>
      <c r="AP2934" s="1">
        <v>8.7</v>
      </c>
      <c r="AQ2934" s="1">
        <v>6.0</v>
      </c>
      <c r="AR2934" s="1">
        <v>18.5</v>
      </c>
      <c r="AS2934" s="1">
        <v>8.2</v>
      </c>
      <c r="AT2934" s="1">
        <v>26.8</v>
      </c>
      <c r="AU2934" s="1">
        <v>7.4</v>
      </c>
      <c r="AV2934" s="1">
        <v>56.5</v>
      </c>
      <c r="AW2934" s="1">
        <v>9.8</v>
      </c>
      <c r="AX2934" s="1">
        <v>0.4308</v>
      </c>
      <c r="AY2934" s="1">
        <v>7.4</v>
      </c>
      <c r="AZ2934" s="1">
        <v>6.0</v>
      </c>
      <c r="BA2934" s="1">
        <v>6.8</v>
      </c>
      <c r="BB2934" s="1">
        <v>3.19</v>
      </c>
      <c r="BC2934" s="1" t="s">
        <v>4607</v>
      </c>
      <c r="BD2934" s="1">
        <v>17.3</v>
      </c>
      <c r="BE2934" s="1">
        <v>25.8</v>
      </c>
      <c r="BF2934" s="1">
        <v>27.3</v>
      </c>
      <c r="BG2934" s="1">
        <v>29.6</v>
      </c>
      <c r="BH2934" s="1" t="s">
        <v>4785</v>
      </c>
    </row>
    <row r="2935">
      <c r="A2935" s="1">
        <v>51685.0</v>
      </c>
      <c r="B2935" s="2" t="str">
        <f>IFERROR(__xludf.DUMMYFUNCTION("TO_TEXT(A2935)"),"51685")</f>
        <v>51685</v>
      </c>
      <c r="C2935" s="1">
        <v>15827.0</v>
      </c>
      <c r="D2935" s="1">
        <v>2.538958875352</v>
      </c>
      <c r="E2935" s="1" t="s">
        <v>4786</v>
      </c>
      <c r="F2935" s="1" t="s">
        <v>4787</v>
      </c>
      <c r="G2935" s="1">
        <v>6233.65748600625</v>
      </c>
      <c r="H2935" s="1">
        <v>19.457826092</v>
      </c>
      <c r="I2935" s="1">
        <v>3.6262111843</v>
      </c>
      <c r="J2935" s="1">
        <v>7.80443539465</v>
      </c>
      <c r="K2935" s="1">
        <v>16.4128684059999</v>
      </c>
      <c r="L2935" s="1">
        <v>40.6</v>
      </c>
      <c r="M2935" s="1">
        <v>8.9</v>
      </c>
      <c r="N2935" s="1">
        <v>27.4</v>
      </c>
      <c r="O2935" s="1">
        <v>100.0</v>
      </c>
      <c r="P2935" s="1">
        <v>16.426266219</v>
      </c>
      <c r="Q2935" s="1">
        <v>48.31939</v>
      </c>
      <c r="R2935" s="1">
        <v>89.4</v>
      </c>
      <c r="S2935" s="1">
        <v>11.9</v>
      </c>
      <c r="T2935" s="1">
        <v>4189.0</v>
      </c>
      <c r="U2935" s="1">
        <v>29.362616376</v>
      </c>
      <c r="V2935" s="1">
        <v>147.55610206</v>
      </c>
      <c r="W2935" s="1">
        <v>19.238900634</v>
      </c>
      <c r="X2935" s="1">
        <v>16.504443504</v>
      </c>
      <c r="Y2935" s="1">
        <v>92.461280589</v>
      </c>
      <c r="Z2935" s="1">
        <v>21.2</v>
      </c>
      <c r="AA2935" s="1">
        <v>10.977607161</v>
      </c>
      <c r="AB2935" s="1">
        <v>77032.0</v>
      </c>
      <c r="AC2935" s="1">
        <v>61.7781359119999</v>
      </c>
      <c r="AD2935" s="1">
        <v>65.830854229</v>
      </c>
      <c r="AE2935" s="1">
        <v>17.581475129</v>
      </c>
      <c r="AF2935" s="1">
        <v>13.630322991</v>
      </c>
      <c r="AG2935" s="1">
        <v>1.5947304559</v>
      </c>
      <c r="AH2935" s="1">
        <v>11.879586295</v>
      </c>
      <c r="AI2935" s="1">
        <v>0.3062344716</v>
      </c>
      <c r="AJ2935" s="1">
        <v>40.099381753</v>
      </c>
      <c r="AK2935" s="1">
        <v>32.160397527</v>
      </c>
      <c r="AL2935" s="1">
        <v>9.3943698347</v>
      </c>
      <c r="AM2935" s="1">
        <v>48.517940718</v>
      </c>
      <c r="AN2935" s="1">
        <v>0.0</v>
      </c>
      <c r="AO2935" s="1">
        <v>28851.0</v>
      </c>
      <c r="AP2935" s="1">
        <v>8.7</v>
      </c>
      <c r="AQ2935" s="1">
        <v>4.6</v>
      </c>
      <c r="AR2935" s="1">
        <v>17.5</v>
      </c>
      <c r="AS2935" s="1">
        <v>6.7</v>
      </c>
      <c r="AT2935" s="1">
        <v>27.2</v>
      </c>
      <c r="AU2935" s="1">
        <v>7.6</v>
      </c>
      <c r="AV2935" s="1">
        <v>62.5</v>
      </c>
      <c r="AW2935" s="1">
        <v>12.2</v>
      </c>
      <c r="AX2935" s="1">
        <v>0.4304</v>
      </c>
      <c r="AY2935" s="1">
        <v>6.3</v>
      </c>
      <c r="AZ2935" s="1">
        <v>6.8</v>
      </c>
      <c r="BA2935" s="1">
        <v>8.4</v>
      </c>
      <c r="BB2935" s="1">
        <v>3.33</v>
      </c>
      <c r="BC2935" s="1" t="s">
        <v>4607</v>
      </c>
      <c r="BD2935" s="1">
        <v>17.3</v>
      </c>
      <c r="BE2935" s="1">
        <v>26.4</v>
      </c>
      <c r="BF2935" s="1">
        <v>28.4</v>
      </c>
      <c r="BG2935" s="1">
        <v>27.9</v>
      </c>
      <c r="BH2935" s="1" t="s">
        <v>4787</v>
      </c>
    </row>
    <row r="2936">
      <c r="A2936" s="1">
        <v>51690.0</v>
      </c>
      <c r="B2936" s="2" t="str">
        <f>IFERROR(__xludf.DUMMYFUNCTION("TO_TEXT(A2936)"),"51690")</f>
        <v>51690</v>
      </c>
      <c r="C2936" s="1">
        <v>13551.0</v>
      </c>
      <c r="D2936" s="1">
        <v>10.95626394371</v>
      </c>
      <c r="E2936" s="1" t="s">
        <v>4788</v>
      </c>
      <c r="F2936" s="1" t="s">
        <v>4789</v>
      </c>
      <c r="G2936" s="1">
        <v>1236.8267202781</v>
      </c>
      <c r="H2936" s="1">
        <v>21.570155104</v>
      </c>
      <c r="I2936" s="1">
        <v>4.3584311883</v>
      </c>
      <c r="J2936" s="1">
        <v>12.662337662</v>
      </c>
      <c r="K2936" s="1">
        <v>20.337232588</v>
      </c>
      <c r="L2936" s="1">
        <v>29.3</v>
      </c>
      <c r="M2936" s="1">
        <v>6.0</v>
      </c>
      <c r="N2936" s="1">
        <v>35.3</v>
      </c>
      <c r="O2936" s="1">
        <v>94.739888575</v>
      </c>
      <c r="P2936" s="1">
        <v>10.101793505</v>
      </c>
      <c r="Q2936" s="1">
        <v>7.60918999999999</v>
      </c>
      <c r="R2936" s="1">
        <v>87.3</v>
      </c>
      <c r="S2936" s="1">
        <v>33.7</v>
      </c>
      <c r="T2936" s="1">
        <v>3111.0</v>
      </c>
      <c r="U2936" s="1">
        <v>61.298617808</v>
      </c>
      <c r="V2936" s="1">
        <v>281.86543671</v>
      </c>
      <c r="W2936" s="1">
        <v>15.471045808</v>
      </c>
      <c r="X2936" s="1">
        <v>13.832599119</v>
      </c>
      <c r="Y2936" s="1">
        <v>69.115111512</v>
      </c>
      <c r="Z2936" s="1">
        <v>14.4</v>
      </c>
      <c r="AA2936" s="1">
        <v>10.122694465</v>
      </c>
      <c r="AB2936" s="1">
        <v>33892.0</v>
      </c>
      <c r="AC2936" s="1">
        <v>99.255952381</v>
      </c>
      <c r="AD2936" s="1">
        <v>58.312611012</v>
      </c>
      <c r="AE2936" s="1">
        <v>16.138059701</v>
      </c>
      <c r="AF2936" s="1">
        <v>46.4734149739999</v>
      </c>
      <c r="AG2936" s="1">
        <v>0.4805456518</v>
      </c>
      <c r="AH2936" s="1">
        <v>1.1703611843</v>
      </c>
      <c r="AI2936" s="1">
        <v>0.0620058906</v>
      </c>
      <c r="AJ2936" s="1">
        <v>6.0765772748</v>
      </c>
      <c r="AK2936" s="1">
        <v>43.80716168</v>
      </c>
      <c r="AL2936" s="1">
        <v>0.5074453041</v>
      </c>
      <c r="AM2936" s="1">
        <v>53.681599752</v>
      </c>
      <c r="AN2936" s="1">
        <v>0.0</v>
      </c>
      <c r="AO2936" s="1">
        <v>22221.0</v>
      </c>
      <c r="AP2936" s="1">
        <v>24.1</v>
      </c>
      <c r="AQ2936" s="1">
        <v>10.0</v>
      </c>
      <c r="AR2936" s="1">
        <v>20.9</v>
      </c>
      <c r="AS2936" s="1">
        <v>20.6</v>
      </c>
      <c r="AT2936" s="1">
        <v>22.4</v>
      </c>
      <c r="AU2936" s="1">
        <v>19.9</v>
      </c>
      <c r="AV2936" s="1">
        <v>53.4</v>
      </c>
      <c r="AW2936" s="1">
        <v>0.7</v>
      </c>
      <c r="AX2936" s="1">
        <v>0.9185</v>
      </c>
      <c r="AY2936" s="1">
        <v>19.5</v>
      </c>
      <c r="AZ2936" s="1">
        <v>17.3</v>
      </c>
      <c r="BA2936" s="1">
        <v>24.4</v>
      </c>
      <c r="BB2936" s="1">
        <v>2.85</v>
      </c>
      <c r="BC2936" s="1" t="s">
        <v>4607</v>
      </c>
      <c r="BD2936" s="1">
        <v>17.2</v>
      </c>
      <c r="BE2936" s="1">
        <v>28.5</v>
      </c>
      <c r="BF2936" s="1">
        <v>33.3</v>
      </c>
      <c r="BG2936" s="1">
        <v>21.0</v>
      </c>
      <c r="BH2936" s="1" t="s">
        <v>4789</v>
      </c>
    </row>
    <row r="2937">
      <c r="A2937" s="1">
        <v>51700.0</v>
      </c>
      <c r="B2937" s="2" t="str">
        <f>IFERROR(__xludf.DUMMYFUNCTION("TO_TEXT(A2937)"),"51700")</f>
        <v>51700</v>
      </c>
      <c r="C2937" s="1">
        <v>181606.0</v>
      </c>
      <c r="D2937" s="1">
        <v>69.081772930488</v>
      </c>
      <c r="E2937" s="1" t="s">
        <v>4790</v>
      </c>
      <c r="F2937" s="1" t="s">
        <v>4791</v>
      </c>
      <c r="G2937" s="1">
        <v>2628.85551855678</v>
      </c>
      <c r="H2937" s="1">
        <v>19.107170499</v>
      </c>
      <c r="I2937" s="1">
        <v>3.9945414633</v>
      </c>
      <c r="J2937" s="1">
        <v>9.7396630934</v>
      </c>
      <c r="K2937" s="1">
        <v>18.4790486309999</v>
      </c>
      <c r="L2937" s="1">
        <v>34.6</v>
      </c>
      <c r="M2937" s="1">
        <v>7.1</v>
      </c>
      <c r="N2937" s="1">
        <v>24.9</v>
      </c>
      <c r="O2937" s="1">
        <v>97.845826947</v>
      </c>
      <c r="P2937" s="1">
        <v>11.129868645</v>
      </c>
      <c r="Q2937" s="1">
        <v>56.30254</v>
      </c>
      <c r="R2937" s="1">
        <v>93.0</v>
      </c>
      <c r="S2937" s="1">
        <v>21.7</v>
      </c>
      <c r="T2937" s="1">
        <v>41437.0</v>
      </c>
      <c r="U2937" s="1">
        <v>44.9646451239999</v>
      </c>
      <c r="V2937" s="1">
        <v>455.98132125</v>
      </c>
      <c r="W2937" s="1">
        <v>17.965196043</v>
      </c>
      <c r="X2937" s="1">
        <v>15.753675126</v>
      </c>
      <c r="Y2937" s="1">
        <v>76.727107866</v>
      </c>
      <c r="Z2937" s="1">
        <v>13.9</v>
      </c>
      <c r="AA2937" s="1">
        <v>6.3226799073</v>
      </c>
      <c r="AB2937" s="1">
        <v>50283.0</v>
      </c>
      <c r="AC2937" s="1">
        <v>65.730062207</v>
      </c>
      <c r="AD2937" s="1">
        <v>49.1070913389999</v>
      </c>
      <c r="AE2937" s="1">
        <v>17.032967033</v>
      </c>
      <c r="AF2937" s="1">
        <v>40.8014510769999</v>
      </c>
      <c r="AG2937" s="1">
        <v>0.5794229284</v>
      </c>
      <c r="AH2937" s="1">
        <v>3.3718495628</v>
      </c>
      <c r="AI2937" s="1">
        <v>0.2362478027</v>
      </c>
      <c r="AJ2937" s="1">
        <v>9.181754056</v>
      </c>
      <c r="AK2937" s="1">
        <v>42.552036098</v>
      </c>
      <c r="AL2937" s="1">
        <v>1.69178898449999</v>
      </c>
      <c r="AM2937" s="1">
        <v>51.726512378</v>
      </c>
      <c r="AN2937" s="1">
        <v>0.0282206077</v>
      </c>
      <c r="AO2937" s="1">
        <v>25520.0</v>
      </c>
      <c r="AP2937" s="1">
        <v>16.1</v>
      </c>
      <c r="AQ2937" s="1">
        <v>8.3</v>
      </c>
      <c r="AR2937" s="1">
        <v>10.8</v>
      </c>
      <c r="AS2937" s="1">
        <v>11.7</v>
      </c>
      <c r="AT2937" s="1">
        <v>23.4</v>
      </c>
      <c r="AU2937" s="1">
        <v>13.2</v>
      </c>
      <c r="AV2937" s="1">
        <v>55.3</v>
      </c>
      <c r="AW2937" s="1">
        <v>2.1</v>
      </c>
      <c r="AX2937" s="1">
        <v>0.7568</v>
      </c>
      <c r="AY2937" s="1">
        <v>15.1</v>
      </c>
      <c r="AZ2937" s="1">
        <v>13.2</v>
      </c>
      <c r="BA2937" s="1">
        <v>16.8</v>
      </c>
      <c r="BB2937" s="1">
        <v>3.01</v>
      </c>
      <c r="BC2937" s="1" t="s">
        <v>4607</v>
      </c>
      <c r="BD2937" s="1">
        <v>9.0</v>
      </c>
      <c r="BE2937" s="1">
        <v>28.5</v>
      </c>
      <c r="BF2937" s="1">
        <v>36.2</v>
      </c>
      <c r="BG2937" s="1">
        <v>26.3</v>
      </c>
      <c r="BH2937" s="1" t="s">
        <v>4791</v>
      </c>
    </row>
    <row r="2938">
      <c r="A2938" s="1">
        <v>51710.0</v>
      </c>
      <c r="B2938" s="2" t="str">
        <f>IFERROR(__xludf.DUMMYFUNCTION("TO_TEXT(A2938)"),"51710")</f>
        <v>51710</v>
      </c>
      <c r="C2938" s="1">
        <v>245724.0</v>
      </c>
      <c r="D2938" s="1">
        <v>53.27660686517</v>
      </c>
      <c r="E2938" s="1" t="s">
        <v>4792</v>
      </c>
      <c r="F2938" s="1" t="s">
        <v>4793</v>
      </c>
      <c r="G2938" s="1">
        <v>4612.23066667641</v>
      </c>
      <c r="H2938" s="1">
        <v>19.405438363</v>
      </c>
      <c r="I2938" s="1">
        <v>4.2217171689</v>
      </c>
      <c r="J2938" s="1">
        <v>10.694954763</v>
      </c>
      <c r="K2938" s="1">
        <v>19.25546929</v>
      </c>
      <c r="L2938" s="1">
        <v>33.6</v>
      </c>
      <c r="M2938" s="1">
        <v>6.5</v>
      </c>
      <c r="N2938" s="1">
        <v>24.4</v>
      </c>
      <c r="O2938" s="1">
        <v>93.373228502</v>
      </c>
      <c r="P2938" s="1">
        <v>11.660729339</v>
      </c>
      <c r="Q2938" s="1">
        <v>97.26076</v>
      </c>
      <c r="R2938" s="1">
        <v>82.3</v>
      </c>
      <c r="S2938" s="1">
        <v>28.2</v>
      </c>
      <c r="T2938" s="1">
        <v>48217.0</v>
      </c>
      <c r="U2938" s="1">
        <v>50.432420101</v>
      </c>
      <c r="V2938" s="1">
        <v>603.47556472</v>
      </c>
      <c r="W2938" s="1">
        <v>23.315973216</v>
      </c>
      <c r="X2938" s="1">
        <v>21.750570075</v>
      </c>
      <c r="Y2938" s="1">
        <v>75.362875013</v>
      </c>
      <c r="Z2938" s="1">
        <v>10.8</v>
      </c>
      <c r="AA2938" s="1">
        <v>8.2796601169</v>
      </c>
      <c r="AB2938" s="1">
        <v>48519.0</v>
      </c>
      <c r="AC2938" s="1">
        <v>73.827008058</v>
      </c>
      <c r="AD2938" s="1">
        <v>43.138789632</v>
      </c>
      <c r="AE2938" s="1">
        <v>21.011855852</v>
      </c>
      <c r="AF2938" s="1">
        <v>40.819662728</v>
      </c>
      <c r="AG2938" s="1">
        <v>0.6477490618</v>
      </c>
      <c r="AH2938" s="1">
        <v>3.8553565283</v>
      </c>
      <c r="AI2938" s="1">
        <v>0.2306658582</v>
      </c>
      <c r="AJ2938" s="1">
        <v>8.3605106606</v>
      </c>
      <c r="AK2938" s="1">
        <v>43.257018306</v>
      </c>
      <c r="AL2938" s="1">
        <v>1.4463224579</v>
      </c>
      <c r="AM2938" s="1">
        <v>47.870745178</v>
      </c>
      <c r="AN2938" s="1">
        <v>0.0</v>
      </c>
      <c r="AO2938" s="1">
        <v>25450.0</v>
      </c>
      <c r="AP2938" s="1">
        <v>21.0</v>
      </c>
      <c r="AQ2938" s="1">
        <v>9.7</v>
      </c>
      <c r="AR2938" s="1">
        <v>12.5</v>
      </c>
      <c r="AS2938" s="1">
        <v>9.9</v>
      </c>
      <c r="AT2938" s="1">
        <v>20.2</v>
      </c>
      <c r="AU2938" s="1">
        <v>12.3</v>
      </c>
      <c r="AV2938" s="1">
        <v>56.2</v>
      </c>
      <c r="AW2938" s="1">
        <v>1.4</v>
      </c>
      <c r="AX2938" s="1">
        <v>0.7705</v>
      </c>
      <c r="AY2938" s="1">
        <v>19.0</v>
      </c>
      <c r="AZ2938" s="1">
        <v>13.9</v>
      </c>
      <c r="BA2938" s="1">
        <v>18.3</v>
      </c>
      <c r="BB2938" s="1">
        <v>3.28</v>
      </c>
      <c r="BC2938" s="1" t="s">
        <v>4607</v>
      </c>
      <c r="BD2938" s="1">
        <v>12.0</v>
      </c>
      <c r="BE2938" s="1">
        <v>25.6</v>
      </c>
      <c r="BF2938" s="1">
        <v>33.6</v>
      </c>
      <c r="BG2938" s="1">
        <v>28.8</v>
      </c>
      <c r="BH2938" s="1" t="s">
        <v>4793</v>
      </c>
    </row>
    <row r="2939">
      <c r="A2939" s="1">
        <v>51720.0</v>
      </c>
      <c r="B2939" s="2" t="str">
        <f>IFERROR(__xludf.DUMMYFUNCTION("TO_TEXT(A2939)"),"51720")</f>
        <v>51720</v>
      </c>
      <c r="C2939" s="1">
        <v>3978.0</v>
      </c>
      <c r="D2939" s="1">
        <v>7.48085366366</v>
      </c>
      <c r="E2939" s="1" t="s">
        <v>4794</v>
      </c>
      <c r="F2939" s="1" t="s">
        <v>4795</v>
      </c>
      <c r="G2939" s="1">
        <v>531.757494378492</v>
      </c>
      <c r="H2939" s="1">
        <v>18.644334687</v>
      </c>
      <c r="I2939" s="1">
        <v>4.4644972136</v>
      </c>
      <c r="J2939" s="1">
        <v>6.8548387097</v>
      </c>
      <c r="K2939" s="1">
        <v>19.665039259</v>
      </c>
      <c r="L2939" s="1">
        <v>31.8</v>
      </c>
      <c r="M2939" s="1">
        <v>7.4</v>
      </c>
      <c r="N2939" s="1">
        <v>37.4</v>
      </c>
      <c r="O2939" s="1">
        <v>99.621020718</v>
      </c>
      <c r="P2939" s="1">
        <v>11.39439723</v>
      </c>
      <c r="Q2939" s="1">
        <v>152.43902</v>
      </c>
      <c r="R2939" s="1">
        <v>95.3</v>
      </c>
      <c r="S2939" s="1">
        <v>31.3</v>
      </c>
      <c r="T2939" s="1">
        <v>923.0</v>
      </c>
      <c r="U2939" s="1">
        <v>45.178764897</v>
      </c>
      <c r="V2939" s="1">
        <v>365.19330059</v>
      </c>
      <c r="W2939" s="1">
        <v>22.580645161</v>
      </c>
      <c r="X2939" s="1">
        <v>21.74386921</v>
      </c>
      <c r="Y2939" s="1">
        <v>73.017981055</v>
      </c>
      <c r="Z2939" s="1">
        <v>9.5</v>
      </c>
      <c r="AA2939" s="1">
        <v>2.189783424</v>
      </c>
      <c r="AB2939" s="1">
        <v>34442.0</v>
      </c>
      <c r="AC2939" s="1">
        <v>92.230576441</v>
      </c>
      <c r="AD2939" s="1">
        <v>46.344145135</v>
      </c>
      <c r="AE2939" s="1">
        <v>22.662076879</v>
      </c>
      <c r="AF2939" s="1">
        <v>5.6703629032</v>
      </c>
      <c r="AG2939" s="1">
        <v>0.3528225806</v>
      </c>
      <c r="AH2939" s="1">
        <v>1.8901209677</v>
      </c>
      <c r="AI2939" s="1">
        <v>0.0252016129</v>
      </c>
      <c r="AJ2939" s="1">
        <v>4.8387096774</v>
      </c>
      <c r="AK2939" s="1">
        <v>85.15625</v>
      </c>
      <c r="AL2939" s="1">
        <v>0.0</v>
      </c>
      <c r="AM2939" s="1">
        <v>53.150201613</v>
      </c>
      <c r="AN2939" s="1">
        <v>2.5770591208</v>
      </c>
      <c r="AO2939" s="1">
        <v>19522.0</v>
      </c>
      <c r="AP2939" s="1">
        <v>26.5</v>
      </c>
      <c r="AQ2939" s="1">
        <v>13.6</v>
      </c>
      <c r="AR2939" s="1">
        <v>17.2</v>
      </c>
      <c r="AS2939" s="1">
        <v>15.5</v>
      </c>
      <c r="AT2939" s="1">
        <v>20.3</v>
      </c>
      <c r="AU2939" s="1">
        <v>17.8</v>
      </c>
      <c r="AV2939" s="1">
        <v>13.7</v>
      </c>
      <c r="AW2939" s="1">
        <v>1.3</v>
      </c>
      <c r="AX2939" s="1">
        <v>0.8513</v>
      </c>
      <c r="AY2939" s="1">
        <v>19.3</v>
      </c>
      <c r="AZ2939" s="1">
        <v>19.0</v>
      </c>
      <c r="BA2939" s="1">
        <v>27.0</v>
      </c>
      <c r="BB2939" s="1">
        <v>2.99</v>
      </c>
      <c r="BC2939" s="1" t="s">
        <v>4607</v>
      </c>
      <c r="BD2939" s="1">
        <v>16.0</v>
      </c>
      <c r="BE2939" s="1">
        <v>24.0</v>
      </c>
      <c r="BF2939" s="1">
        <v>37.3</v>
      </c>
      <c r="BG2939" s="1">
        <v>22.8</v>
      </c>
      <c r="BH2939" s="1" t="s">
        <v>4795</v>
      </c>
    </row>
    <row r="2940">
      <c r="A2940" s="1">
        <v>51730.0</v>
      </c>
      <c r="B2940" s="2" t="str">
        <f>IFERROR(__xludf.DUMMYFUNCTION("TO_TEXT(A2940)"),"51730")</f>
        <v>51730</v>
      </c>
      <c r="C2940" s="1">
        <v>31997.0</v>
      </c>
      <c r="D2940" s="1">
        <v>22.946090894954</v>
      </c>
      <c r="E2940" s="1" t="s">
        <v>4796</v>
      </c>
      <c r="F2940" s="1" t="s">
        <v>4797</v>
      </c>
      <c r="G2940" s="1">
        <v>1394.44231030376</v>
      </c>
      <c r="H2940" s="1">
        <v>25.8528868069999</v>
      </c>
      <c r="I2940" s="1">
        <v>4.7261907857</v>
      </c>
      <c r="J2940" s="1">
        <v>11.809720786</v>
      </c>
      <c r="K2940" s="1">
        <v>23.660211603</v>
      </c>
      <c r="L2940" s="1">
        <v>40.4</v>
      </c>
      <c r="M2940" s="1">
        <v>4.0</v>
      </c>
      <c r="N2940" s="1">
        <v>29.1</v>
      </c>
      <c r="O2940" s="1">
        <v>91.826033313</v>
      </c>
      <c r="P2940" s="1">
        <v>10.993551377</v>
      </c>
      <c r="Q2940" s="1">
        <v>69.29134</v>
      </c>
      <c r="R2940" s="1">
        <v>83.0</v>
      </c>
      <c r="S2940" s="1">
        <v>38.9</v>
      </c>
      <c r="T2940" s="1">
        <v>6671.0</v>
      </c>
      <c r="U2940" s="1">
        <v>67.036426323</v>
      </c>
      <c r="V2940" s="1">
        <v>714.07640463</v>
      </c>
      <c r="W2940" s="1">
        <v>24.781783681</v>
      </c>
      <c r="X2940" s="1">
        <v>22.477600312</v>
      </c>
      <c r="Y2940" s="1">
        <v>67.878013814</v>
      </c>
      <c r="Z2940" s="1">
        <v>14.3</v>
      </c>
      <c r="AA2940" s="1">
        <v>20.536271388</v>
      </c>
      <c r="AB2940" s="1">
        <v>37049.0</v>
      </c>
      <c r="AC2940" s="1">
        <v>98.664440735</v>
      </c>
      <c r="AD2940" s="1">
        <v>40.500226006</v>
      </c>
      <c r="AE2940" s="1">
        <v>25.611860684</v>
      </c>
      <c r="AF2940" s="1">
        <v>76.310704216</v>
      </c>
      <c r="AG2940" s="1">
        <v>0.4973548326</v>
      </c>
      <c r="AH2940" s="1">
        <v>1.1467671936</v>
      </c>
      <c r="AI2940" s="1">
        <v>0.161561124</v>
      </c>
      <c r="AJ2940" s="1">
        <v>5.1984667533</v>
      </c>
      <c r="AK2940" s="1">
        <v>14.8066018309999</v>
      </c>
      <c r="AL2940" s="1">
        <v>1.2328117591</v>
      </c>
      <c r="AM2940" s="1">
        <v>54.040612032</v>
      </c>
      <c r="AN2940" s="1">
        <v>2.1067242443</v>
      </c>
      <c r="AO2940" s="1">
        <v>20464.0</v>
      </c>
      <c r="AP2940" s="1">
        <v>29.4</v>
      </c>
      <c r="AQ2940" s="1">
        <v>13.7</v>
      </c>
      <c r="AR2940" s="1">
        <v>21.3</v>
      </c>
      <c r="AS2940" s="1">
        <v>15.7</v>
      </c>
      <c r="AT2940" s="1">
        <v>20.6</v>
      </c>
      <c r="AU2940" s="1">
        <v>20.5</v>
      </c>
      <c r="AV2940" s="1">
        <v>85.0</v>
      </c>
      <c r="AW2940" s="1">
        <v>1.3</v>
      </c>
      <c r="AX2940" s="1">
        <v>0.9659</v>
      </c>
      <c r="AY2940" s="1">
        <v>21.6</v>
      </c>
      <c r="AZ2940" s="1">
        <v>20.0</v>
      </c>
      <c r="BA2940" s="1">
        <v>26.5</v>
      </c>
      <c r="BB2940" s="1">
        <v>2.88</v>
      </c>
      <c r="BC2940" s="1" t="s">
        <v>4607</v>
      </c>
      <c r="BD2940" s="1">
        <v>17.2</v>
      </c>
      <c r="BE2940" s="1">
        <v>35.7</v>
      </c>
      <c r="BF2940" s="1">
        <v>27.3</v>
      </c>
      <c r="BG2940" s="1">
        <v>19.8</v>
      </c>
      <c r="BH2940" s="1" t="s">
        <v>4797</v>
      </c>
    </row>
    <row r="2941">
      <c r="A2941" s="1">
        <v>51735.0</v>
      </c>
      <c r="B2941" s="2" t="str">
        <f>IFERROR(__xludf.DUMMYFUNCTION("TO_TEXT(A2941)"),"51735")</f>
        <v>51735</v>
      </c>
      <c r="C2941" s="1">
        <v>12068.0</v>
      </c>
      <c r="D2941" s="1">
        <v>15.386466245662</v>
      </c>
      <c r="E2941" s="1" t="s">
        <v>4798</v>
      </c>
      <c r="F2941" s="1" t="s">
        <v>4799</v>
      </c>
      <c r="G2941" s="1">
        <v>784.325640944515</v>
      </c>
      <c r="H2941" s="1">
        <v>11.671152773</v>
      </c>
      <c r="I2941" s="1">
        <v>3.48640553</v>
      </c>
      <c r="J2941" s="1">
        <v>4.9853372434</v>
      </c>
      <c r="K2941" s="1">
        <v>13.563563615</v>
      </c>
      <c r="L2941" s="1">
        <v>37.3</v>
      </c>
      <c r="M2941" s="1">
        <v>9.2</v>
      </c>
      <c r="N2941" s="1">
        <v>25.4</v>
      </c>
      <c r="O2941" s="1">
        <v>95.407407407</v>
      </c>
      <c r="P2941" s="1">
        <v>6.1923313512</v>
      </c>
      <c r="Q2941" s="1">
        <v>66.37352</v>
      </c>
      <c r="R2941" s="1">
        <v>96.3</v>
      </c>
      <c r="S2941" s="1">
        <v>5.4</v>
      </c>
      <c r="T2941" s="1">
        <v>2657.0</v>
      </c>
      <c r="U2941" s="1">
        <v>17.613850207</v>
      </c>
      <c r="V2941" s="1">
        <v>128.77497611</v>
      </c>
      <c r="W2941" s="1">
        <v>8.6767895879</v>
      </c>
      <c r="X2941" s="1">
        <v>7.700770077</v>
      </c>
      <c r="Y2941" s="1">
        <v>78.625194563</v>
      </c>
      <c r="Z2941" s="1">
        <v>7.4</v>
      </c>
      <c r="AA2941" s="1">
        <v>5.0151182673</v>
      </c>
      <c r="AB2941" s="1">
        <v>96057.0</v>
      </c>
      <c r="AC2941" s="1">
        <v>18.147268409</v>
      </c>
      <c r="AD2941" s="1">
        <v>83.401950163</v>
      </c>
      <c r="AE2941" s="1">
        <v>8.4639498433</v>
      </c>
      <c r="AF2941" s="1">
        <v>1.1238720263</v>
      </c>
      <c r="AG2941" s="1">
        <v>0.4347826087</v>
      </c>
      <c r="AH2941" s="1">
        <v>2.3625922888</v>
      </c>
      <c r="AI2941" s="1">
        <v>0.0656275636</v>
      </c>
      <c r="AJ2941" s="1">
        <v>3.0762920427</v>
      </c>
      <c r="AK2941" s="1">
        <v>91.0664479079999</v>
      </c>
      <c r="AL2941" s="1">
        <v>0.381613183</v>
      </c>
      <c r="AM2941" s="1">
        <v>49.991796555</v>
      </c>
      <c r="AN2941" s="1">
        <v>6.5020576132</v>
      </c>
      <c r="AO2941" s="1">
        <v>39020.0</v>
      </c>
      <c r="AP2941" s="1">
        <v>4.7</v>
      </c>
      <c r="AQ2941" s="1">
        <v>3.2</v>
      </c>
      <c r="AR2941" s="1">
        <v>5.2</v>
      </c>
      <c r="AS2941" s="1">
        <v>17.9</v>
      </c>
      <c r="AT2941" s="1">
        <v>22.6</v>
      </c>
      <c r="AU2941" s="1">
        <v>10.6</v>
      </c>
      <c r="AV2941" s="1">
        <v>7.6</v>
      </c>
      <c r="AW2941" s="1">
        <v>0.4</v>
      </c>
      <c r="AX2941" s="1">
        <v>0.0041</v>
      </c>
      <c r="AY2941" s="1">
        <v>5.3</v>
      </c>
      <c r="AZ2941" s="1">
        <v>6.2</v>
      </c>
      <c r="BA2941" s="1">
        <v>8.9</v>
      </c>
      <c r="BB2941" s="1">
        <v>3.07</v>
      </c>
      <c r="BC2941" s="1" t="s">
        <v>4607</v>
      </c>
      <c r="BD2941" s="1">
        <v>5.1</v>
      </c>
      <c r="BE2941" s="1">
        <v>25.9</v>
      </c>
      <c r="BF2941" s="1">
        <v>26.8</v>
      </c>
      <c r="BG2941" s="1">
        <v>42.2</v>
      </c>
      <c r="BH2941" s="1" t="s">
        <v>4799</v>
      </c>
    </row>
    <row r="2942">
      <c r="A2942" s="1">
        <v>51740.0</v>
      </c>
      <c r="B2942" s="2" t="str">
        <f>IFERROR(__xludf.DUMMYFUNCTION("TO_TEXT(A2942)"),"51740")</f>
        <v>51740</v>
      </c>
      <c r="C2942" s="1">
        <v>96071.0</v>
      </c>
      <c r="D2942" s="1">
        <v>33.300461975272</v>
      </c>
      <c r="E2942" s="1" t="s">
        <v>4800</v>
      </c>
      <c r="F2942" s="1" t="s">
        <v>4801</v>
      </c>
      <c r="G2942" s="1">
        <v>2884.97499137818</v>
      </c>
      <c r="H2942" s="1">
        <v>18.504931704</v>
      </c>
      <c r="I2942" s="1">
        <v>4.0403953272</v>
      </c>
      <c r="J2942" s="1">
        <v>11.449205585</v>
      </c>
      <c r="K2942" s="1">
        <v>18.98329946</v>
      </c>
      <c r="L2942" s="1">
        <v>39.0</v>
      </c>
      <c r="M2942" s="1">
        <v>6.9</v>
      </c>
      <c r="N2942" s="1">
        <v>27.7</v>
      </c>
      <c r="O2942" s="1">
        <v>97.52865442</v>
      </c>
      <c r="P2942" s="1">
        <v>11.101945064</v>
      </c>
      <c r="Q2942" s="1">
        <v>52.86977</v>
      </c>
      <c r="R2942" s="1">
        <v>86.0</v>
      </c>
      <c r="S2942" s="1">
        <v>29.1</v>
      </c>
      <c r="T2942" s="1">
        <v>21793.0</v>
      </c>
      <c r="U2942" s="1">
        <v>55.155325104</v>
      </c>
      <c r="V2942" s="1">
        <v>706.89942158</v>
      </c>
      <c r="W2942" s="1">
        <v>21.199782845</v>
      </c>
      <c r="X2942" s="1">
        <v>19.386351128</v>
      </c>
      <c r="Y2942" s="1">
        <v>73.8817559439999</v>
      </c>
      <c r="Z2942" s="1">
        <v>12.3</v>
      </c>
      <c r="AA2942" s="1">
        <v>3.9387483598</v>
      </c>
      <c r="AB2942" s="1">
        <v>47343.0</v>
      </c>
      <c r="AC2942" s="1">
        <v>76.993583868</v>
      </c>
      <c r="AD2942" s="1">
        <v>54.317128678</v>
      </c>
      <c r="AE2942" s="1">
        <v>19.9116934909999</v>
      </c>
      <c r="AF2942" s="1">
        <v>53.325513568</v>
      </c>
      <c r="AG2942" s="1">
        <v>0.515681799</v>
      </c>
      <c r="AH2942" s="1">
        <v>1.5311945219</v>
      </c>
      <c r="AI2942" s="1">
        <v>0.1574520247</v>
      </c>
      <c r="AJ2942" s="1">
        <v>4.6580437907</v>
      </c>
      <c r="AK2942" s="1">
        <v>37.31190295</v>
      </c>
      <c r="AL2942" s="1">
        <v>0.728105790799999</v>
      </c>
      <c r="AM2942" s="1">
        <v>51.969735396</v>
      </c>
      <c r="AN2942" s="1">
        <v>0.0</v>
      </c>
      <c r="AO2942" s="1">
        <v>23878.0</v>
      </c>
      <c r="AP2942" s="1">
        <v>18.2</v>
      </c>
      <c r="AQ2942" s="1">
        <v>10.9</v>
      </c>
      <c r="AR2942" s="1">
        <v>15.1</v>
      </c>
      <c r="AS2942" s="1">
        <v>13.8</v>
      </c>
      <c r="AT2942" s="1">
        <v>23.5</v>
      </c>
      <c r="AU2942" s="1">
        <v>13.5</v>
      </c>
      <c r="AV2942" s="1">
        <v>61.1</v>
      </c>
      <c r="AW2942" s="1">
        <v>0.6</v>
      </c>
      <c r="AX2942" s="1">
        <v>0.7991</v>
      </c>
      <c r="AY2942" s="1">
        <v>18.5</v>
      </c>
      <c r="AZ2942" s="1">
        <v>13.7</v>
      </c>
      <c r="BA2942" s="1">
        <v>19.3</v>
      </c>
      <c r="BB2942" s="1">
        <v>2.93</v>
      </c>
      <c r="BC2942" s="1" t="s">
        <v>4607</v>
      </c>
      <c r="BD2942" s="1">
        <v>11.7</v>
      </c>
      <c r="BE2942" s="1">
        <v>30.1</v>
      </c>
      <c r="BF2942" s="1">
        <v>36.3</v>
      </c>
      <c r="BG2942" s="1">
        <v>21.9</v>
      </c>
      <c r="BH2942" s="1" t="s">
        <v>4801</v>
      </c>
    </row>
    <row r="2943">
      <c r="A2943" s="1">
        <v>51750.0</v>
      </c>
      <c r="B2943" s="2" t="str">
        <f>IFERROR(__xludf.DUMMYFUNCTION("TO_TEXT(A2943)"),"51750")</f>
        <v>51750</v>
      </c>
      <c r="C2943" s="1">
        <v>17186.0</v>
      </c>
      <c r="D2943" s="1">
        <v>9.87147369502</v>
      </c>
      <c r="E2943" s="1" t="s">
        <v>4802</v>
      </c>
      <c r="F2943" s="1" t="s">
        <v>4803</v>
      </c>
      <c r="G2943" s="1">
        <v>1740.97612281234</v>
      </c>
      <c r="H2943" s="1">
        <v>22.3246456419999</v>
      </c>
      <c r="I2943" s="1">
        <v>4.8331403647</v>
      </c>
      <c r="J2943" s="1">
        <v>10.878243513</v>
      </c>
      <c r="K2943" s="1">
        <v>22.3055400959999</v>
      </c>
      <c r="L2943" s="1">
        <v>34.2</v>
      </c>
      <c r="M2943" s="1">
        <v>6.4</v>
      </c>
      <c r="N2943" s="1">
        <v>18.2</v>
      </c>
      <c r="O2943" s="1">
        <v>97.8790833739999</v>
      </c>
      <c r="P2943" s="1">
        <v>9.0517892194</v>
      </c>
      <c r="Q2943" s="1">
        <v>67.95787</v>
      </c>
      <c r="R2943" s="1">
        <v>96.9</v>
      </c>
      <c r="S2943" s="1">
        <v>18.0</v>
      </c>
      <c r="T2943" s="1">
        <v>1838.0</v>
      </c>
      <c r="U2943" s="1">
        <v>26.659412405</v>
      </c>
      <c r="V2943" s="1">
        <v>581.87863674</v>
      </c>
      <c r="W2943" s="1">
        <v>24.531668153</v>
      </c>
      <c r="X2943" s="1">
        <v>25.260170293</v>
      </c>
      <c r="Y2943" s="1">
        <v>76.441666448</v>
      </c>
      <c r="Z2943" s="1">
        <v>8.5</v>
      </c>
      <c r="AA2943" s="1">
        <v>7.1328300687</v>
      </c>
      <c r="AB2943" s="1">
        <v>39254.0</v>
      </c>
      <c r="AC2943" s="1">
        <v>45.505269684</v>
      </c>
      <c r="AD2943" s="1">
        <v>49.209268113</v>
      </c>
      <c r="AE2943" s="1">
        <v>19.988534302</v>
      </c>
      <c r="AF2943" s="1">
        <v>9.5152407438</v>
      </c>
      <c r="AG2943" s="1">
        <v>0.2562844212</v>
      </c>
      <c r="AH2943" s="1">
        <v>2.1320682698</v>
      </c>
      <c r="AI2943" s="1">
        <v>0.0272643001</v>
      </c>
      <c r="AJ2943" s="1">
        <v>3.0099787338</v>
      </c>
      <c r="AK2943" s="1">
        <v>82.828943781</v>
      </c>
      <c r="AL2943" s="1">
        <v>0.2571745865</v>
      </c>
      <c r="AM2943" s="1">
        <v>53.001799444</v>
      </c>
      <c r="AN2943" s="1">
        <v>2.9314968308</v>
      </c>
      <c r="AO2943" s="1">
        <v>18108.0</v>
      </c>
      <c r="AP2943" s="1">
        <v>39.3</v>
      </c>
      <c r="AQ2943" s="1">
        <v>9.2</v>
      </c>
      <c r="AR2943" s="1">
        <v>10.4</v>
      </c>
      <c r="AS2943" s="1">
        <v>8.0</v>
      </c>
      <c r="AT2943" s="1">
        <v>11.4</v>
      </c>
      <c r="AU2943" s="1">
        <v>12.9</v>
      </c>
      <c r="AV2943" s="1">
        <v>17.0</v>
      </c>
      <c r="AW2943" s="1">
        <v>0.3</v>
      </c>
      <c r="AX2943" s="1">
        <v>0.4935</v>
      </c>
      <c r="AY2943" s="1">
        <v>30.5</v>
      </c>
      <c r="AZ2943" s="1">
        <v>13.5</v>
      </c>
      <c r="BA2943" s="1">
        <v>15.2</v>
      </c>
      <c r="BB2943" s="1">
        <v>3.15</v>
      </c>
      <c r="BC2943" s="1" t="s">
        <v>4607</v>
      </c>
      <c r="BD2943" s="1">
        <v>8.8</v>
      </c>
      <c r="BE2943" s="1">
        <v>23.8</v>
      </c>
      <c r="BF2943" s="1">
        <v>29.4</v>
      </c>
      <c r="BG2943" s="1">
        <v>38.0</v>
      </c>
      <c r="BH2943" s="1" t="s">
        <v>4803</v>
      </c>
    </row>
    <row r="2944">
      <c r="A2944" s="1">
        <v>51760.0</v>
      </c>
      <c r="B2944" s="2" t="str">
        <f>IFERROR(__xludf.DUMMYFUNCTION("TO_TEXT(A2944)"),"51760")</f>
        <v>51760</v>
      </c>
      <c r="C2944" s="1">
        <v>216773.0</v>
      </c>
      <c r="D2944" s="1">
        <v>59.823469366076</v>
      </c>
      <c r="E2944" s="1" t="s">
        <v>4804</v>
      </c>
      <c r="F2944" s="1" t="s">
        <v>4805</v>
      </c>
      <c r="G2944" s="1">
        <v>3623.54444329377</v>
      </c>
      <c r="H2944" s="1">
        <v>19.530587234</v>
      </c>
      <c r="I2944" s="1">
        <v>4.2846762777</v>
      </c>
      <c r="J2944" s="1">
        <v>10.981887512</v>
      </c>
      <c r="K2944" s="1">
        <v>19.533257502</v>
      </c>
      <c r="L2944" s="1">
        <v>30.9</v>
      </c>
      <c r="M2944" s="1">
        <v>6.2</v>
      </c>
      <c r="N2944" s="1">
        <v>22.8</v>
      </c>
      <c r="O2944" s="1">
        <v>91.378651806</v>
      </c>
      <c r="P2944" s="1">
        <v>14.03727311</v>
      </c>
      <c r="Q2944" s="1">
        <v>103.50964</v>
      </c>
      <c r="R2944" s="1">
        <v>75.4</v>
      </c>
      <c r="S2944" s="1">
        <v>34.5</v>
      </c>
      <c r="T2944" s="1">
        <v>39362.0</v>
      </c>
      <c r="U2944" s="1">
        <v>63.444438799</v>
      </c>
      <c r="V2944" s="1">
        <v>596.34270465</v>
      </c>
      <c r="W2944" s="1">
        <v>23.549910072</v>
      </c>
      <c r="X2944" s="1">
        <v>22.0858542209999</v>
      </c>
      <c r="Y2944" s="1">
        <v>77.438049581</v>
      </c>
      <c r="Z2944" s="1">
        <v>11.5</v>
      </c>
      <c r="AA2944" s="1">
        <v>7.8346003071</v>
      </c>
      <c r="AB2944" s="1">
        <v>48747.0</v>
      </c>
      <c r="AC2944" s="1">
        <v>89.799359299</v>
      </c>
      <c r="AD2944" s="1">
        <v>42.245620284</v>
      </c>
      <c r="AE2944" s="1">
        <v>22.416869051</v>
      </c>
      <c r="AF2944" s="1">
        <v>46.790189831</v>
      </c>
      <c r="AG2944" s="1">
        <v>0.5371902633</v>
      </c>
      <c r="AH2944" s="1">
        <v>2.3585668516</v>
      </c>
      <c r="AI2944" s="1">
        <v>0.1586656351</v>
      </c>
      <c r="AJ2944" s="1">
        <v>7.0700183143</v>
      </c>
      <c r="AK2944" s="1">
        <v>41.604489844</v>
      </c>
      <c r="AL2944" s="1">
        <v>2.8553775961</v>
      </c>
      <c r="AM2944" s="1">
        <v>52.594379827</v>
      </c>
      <c r="AN2944" s="1">
        <v>0.0</v>
      </c>
      <c r="AO2944" s="1">
        <v>29011.0</v>
      </c>
      <c r="AP2944" s="1">
        <v>25.4</v>
      </c>
      <c r="AQ2944" s="1">
        <v>9.1</v>
      </c>
      <c r="AR2944" s="1">
        <v>16.0</v>
      </c>
      <c r="AS2944" s="1">
        <v>11.5</v>
      </c>
      <c r="AT2944" s="1">
        <v>18.2</v>
      </c>
      <c r="AU2944" s="1">
        <v>15.5</v>
      </c>
      <c r="AV2944" s="1">
        <v>60.2</v>
      </c>
      <c r="AW2944" s="1">
        <v>2.6</v>
      </c>
      <c r="AX2944" s="1">
        <v>0.7689</v>
      </c>
      <c r="AY2944" s="1">
        <v>19.2</v>
      </c>
      <c r="AZ2944" s="1">
        <v>15.8</v>
      </c>
      <c r="BA2944" s="1">
        <v>21.9</v>
      </c>
      <c r="BB2944" s="1">
        <v>3.23</v>
      </c>
      <c r="BC2944" s="1" t="s">
        <v>4607</v>
      </c>
      <c r="BD2944" s="1">
        <v>14.6</v>
      </c>
      <c r="BE2944" s="1">
        <v>21.8</v>
      </c>
      <c r="BF2944" s="1">
        <v>24.0</v>
      </c>
      <c r="BG2944" s="1">
        <v>39.6</v>
      </c>
      <c r="BH2944" s="1" t="s">
        <v>4805</v>
      </c>
    </row>
    <row r="2945">
      <c r="A2945" s="1">
        <v>51770.0</v>
      </c>
      <c r="B2945" s="2" t="str">
        <f>IFERROR(__xludf.DUMMYFUNCTION("TO_TEXT(A2945)"),"51770")</f>
        <v>51770</v>
      </c>
      <c r="C2945" s="1">
        <v>99329.0</v>
      </c>
      <c r="D2945" s="1">
        <v>42.525813664494</v>
      </c>
      <c r="E2945" s="1" t="s">
        <v>4806</v>
      </c>
      <c r="F2945" s="1" t="s">
        <v>4807</v>
      </c>
      <c r="G2945" s="1">
        <v>2335.73426210379</v>
      </c>
      <c r="H2945" s="1">
        <v>19.689716831</v>
      </c>
      <c r="I2945" s="1">
        <v>4.3692107276</v>
      </c>
      <c r="J2945" s="1">
        <v>9.8439145839</v>
      </c>
      <c r="K2945" s="1">
        <v>19.57036459</v>
      </c>
      <c r="L2945" s="1">
        <v>34.9</v>
      </c>
      <c r="M2945" s="1">
        <v>6.9</v>
      </c>
      <c r="N2945" s="1">
        <v>29.3</v>
      </c>
      <c r="O2945" s="1">
        <v>92.131461786</v>
      </c>
      <c r="P2945" s="1">
        <v>12.673621678</v>
      </c>
      <c r="Q2945" s="1">
        <v>90.14694</v>
      </c>
      <c r="R2945" s="1">
        <v>90.0</v>
      </c>
      <c r="S2945" s="1">
        <v>32.3</v>
      </c>
      <c r="T2945" s="1">
        <v>21419.0</v>
      </c>
      <c r="U2945" s="1">
        <v>52.747560577</v>
      </c>
      <c r="V2945" s="1">
        <v>381.56234447</v>
      </c>
      <c r="W2945" s="1">
        <v>18.993888105</v>
      </c>
      <c r="X2945" s="1">
        <v>17.392865693</v>
      </c>
      <c r="Y2945" s="1">
        <v>74.030530543</v>
      </c>
      <c r="Z2945" s="1">
        <v>11.6</v>
      </c>
      <c r="AA2945" s="1">
        <v>7.7462490915</v>
      </c>
      <c r="AB2945" s="1">
        <v>42715.0</v>
      </c>
      <c r="AC2945" s="1">
        <v>81.226106902</v>
      </c>
      <c r="AD2945" s="1">
        <v>51.8186359639999</v>
      </c>
      <c r="AE2945" s="1">
        <v>17.504497059</v>
      </c>
      <c r="AF2945" s="1">
        <v>28.853082466</v>
      </c>
      <c r="AG2945" s="1">
        <v>0.4263410729</v>
      </c>
      <c r="AH2945" s="1">
        <v>3.4407526021</v>
      </c>
      <c r="AI2945" s="1">
        <v>0.1000800641</v>
      </c>
      <c r="AJ2945" s="1">
        <v>6.542233787</v>
      </c>
      <c r="AK2945" s="1">
        <v>58.142514011</v>
      </c>
      <c r="AL2945" s="1">
        <v>1.8917782068</v>
      </c>
      <c r="AM2945" s="1">
        <v>52.070656525</v>
      </c>
      <c r="AN2945" s="1">
        <v>0.0061835271</v>
      </c>
      <c r="AO2945" s="1">
        <v>23611.0</v>
      </c>
      <c r="AP2945" s="1">
        <v>22.2</v>
      </c>
      <c r="AQ2945" s="1">
        <v>7.4</v>
      </c>
      <c r="AR2945" s="1">
        <v>14.8</v>
      </c>
      <c r="AS2945" s="1">
        <v>14.9</v>
      </c>
      <c r="AT2945" s="1">
        <v>22.0</v>
      </c>
      <c r="AU2945" s="1">
        <v>17.3</v>
      </c>
      <c r="AV2945" s="1">
        <v>39.9</v>
      </c>
      <c r="AW2945" s="1">
        <v>2.0</v>
      </c>
      <c r="AX2945" s="1">
        <v>0.8058</v>
      </c>
      <c r="AY2945" s="1">
        <v>19.5</v>
      </c>
      <c r="AZ2945" s="1">
        <v>14.1</v>
      </c>
      <c r="BA2945" s="1">
        <v>19.3</v>
      </c>
      <c r="BB2945" s="1">
        <v>2.86</v>
      </c>
      <c r="BC2945" s="1" t="s">
        <v>4607</v>
      </c>
      <c r="BD2945" s="1">
        <v>13.8</v>
      </c>
      <c r="BE2945" s="1">
        <v>34.1</v>
      </c>
      <c r="BF2945" s="1">
        <v>28.7</v>
      </c>
      <c r="BG2945" s="1">
        <v>23.4</v>
      </c>
      <c r="BH2945" s="1" t="s">
        <v>4807</v>
      </c>
    </row>
    <row r="2946">
      <c r="A2946" s="1">
        <v>51775.0</v>
      </c>
      <c r="B2946" s="2" t="str">
        <f>IFERROR(__xludf.DUMMYFUNCTION("TO_TEXT(A2946)"),"51775")</f>
        <v>51775</v>
      </c>
      <c r="C2946" s="1">
        <v>25290.0</v>
      </c>
      <c r="D2946" s="1">
        <v>14.440312483806</v>
      </c>
      <c r="E2946" s="1" t="s">
        <v>4808</v>
      </c>
      <c r="F2946" s="1" t="s">
        <v>4809</v>
      </c>
      <c r="G2946" s="1">
        <v>1751.34714213153</v>
      </c>
      <c r="H2946" s="1">
        <v>13.475167975</v>
      </c>
      <c r="I2946" s="1">
        <v>3.7708029945</v>
      </c>
      <c r="J2946" s="1">
        <v>7.1030640669</v>
      </c>
      <c r="K2946" s="1">
        <v>14.865510825</v>
      </c>
      <c r="L2946" s="1">
        <v>27.0</v>
      </c>
      <c r="M2946" s="1">
        <v>7.9</v>
      </c>
      <c r="N2946" s="1">
        <v>21.4</v>
      </c>
      <c r="O2946" s="1">
        <v>86.626078542</v>
      </c>
      <c r="P2946" s="1">
        <v>8.5306586703</v>
      </c>
      <c r="Q2946" s="1">
        <v>100.5336</v>
      </c>
      <c r="R2946" s="1">
        <v>96.7</v>
      </c>
      <c r="S2946" s="1">
        <v>11.9</v>
      </c>
      <c r="T2946" s="1">
        <v>4800.0</v>
      </c>
      <c r="U2946" s="1">
        <v>38.020833333</v>
      </c>
      <c r="V2946" s="1">
        <v>106.27620004</v>
      </c>
      <c r="W2946" s="1">
        <v>14.8111332009999</v>
      </c>
      <c r="X2946" s="1">
        <v>12.506253127</v>
      </c>
      <c r="Y2946" s="1">
        <v>75.0668927339999</v>
      </c>
      <c r="Z2946" s="1">
        <v>8.8</v>
      </c>
      <c r="AA2946" s="1">
        <v>11.588698697</v>
      </c>
      <c r="AB2946" s="1">
        <v>57274.0</v>
      </c>
      <c r="AC2946" s="1">
        <v>36.706299013</v>
      </c>
      <c r="AD2946" s="1">
        <v>64.922578686</v>
      </c>
      <c r="AE2946" s="1">
        <v>11.7830100609999</v>
      </c>
      <c r="AF2946" s="1">
        <v>7.4211285731</v>
      </c>
      <c r="AG2946" s="1">
        <v>0.4055687712</v>
      </c>
      <c r="AH2946" s="1">
        <v>2.0473423546</v>
      </c>
      <c r="AI2946" s="1">
        <v>0.0506960964</v>
      </c>
      <c r="AJ2946" s="1">
        <v>3.408337558</v>
      </c>
      <c r="AK2946" s="1">
        <v>85.005654565</v>
      </c>
      <c r="AL2946" s="1">
        <v>0.627910845</v>
      </c>
      <c r="AM2946" s="1">
        <v>52.419763678</v>
      </c>
      <c r="AN2946" s="1">
        <v>0.0</v>
      </c>
      <c r="AO2946" s="1">
        <v>28892.0</v>
      </c>
      <c r="AP2946" s="1">
        <v>9.4</v>
      </c>
      <c r="AQ2946" s="1">
        <v>5.0</v>
      </c>
      <c r="AR2946" s="1">
        <v>10.5</v>
      </c>
      <c r="AS2946" s="1">
        <v>17.8</v>
      </c>
      <c r="AT2946" s="1">
        <v>19.5</v>
      </c>
      <c r="AU2946" s="1">
        <v>13.3</v>
      </c>
      <c r="AV2946" s="1">
        <v>14.3</v>
      </c>
      <c r="AW2946" s="1">
        <v>0.8</v>
      </c>
      <c r="AX2946" s="1">
        <v>0.3658</v>
      </c>
      <c r="AY2946" s="1">
        <v>9.4</v>
      </c>
      <c r="AZ2946" s="1">
        <v>9.2</v>
      </c>
      <c r="BA2946" s="1">
        <v>12.0</v>
      </c>
      <c r="BB2946" s="1">
        <v>3.16</v>
      </c>
      <c r="BC2946" s="1" t="s">
        <v>4607</v>
      </c>
      <c r="BD2946" s="1">
        <v>10.8</v>
      </c>
      <c r="BE2946" s="1">
        <v>29.0</v>
      </c>
      <c r="BF2946" s="1">
        <v>32.3</v>
      </c>
      <c r="BG2946" s="1">
        <v>27.9</v>
      </c>
      <c r="BH2946" s="1" t="s">
        <v>4809</v>
      </c>
    </row>
    <row r="2947">
      <c r="A2947" s="1">
        <v>51790.0</v>
      </c>
      <c r="B2947" s="2" t="str">
        <f>IFERROR(__xludf.DUMMYFUNCTION("TO_TEXT(A2947)"),"51790")</f>
        <v>51790</v>
      </c>
      <c r="C2947" s="1">
        <v>24234.0</v>
      </c>
      <c r="D2947" s="1">
        <v>19.963630551874</v>
      </c>
      <c r="E2947" s="1" t="s">
        <v>4810</v>
      </c>
      <c r="F2947" s="1" t="s">
        <v>4811</v>
      </c>
      <c r="G2947" s="1">
        <v>1213.90745721475</v>
      </c>
      <c r="H2947" s="1">
        <v>15.540419733</v>
      </c>
      <c r="I2947" s="1">
        <v>4.0774628463</v>
      </c>
      <c r="J2947" s="1">
        <v>8.68670234659999</v>
      </c>
      <c r="K2947" s="1">
        <v>16.656578296</v>
      </c>
      <c r="L2947" s="1">
        <v>31.1</v>
      </c>
      <c r="M2947" s="1">
        <v>8.3</v>
      </c>
      <c r="N2947" s="1">
        <v>27.2</v>
      </c>
      <c r="O2947" s="1">
        <v>98.6313484379999</v>
      </c>
      <c r="P2947" s="1">
        <v>10.087719298</v>
      </c>
      <c r="Q2947" s="1">
        <v>48.92368</v>
      </c>
      <c r="R2947" s="1">
        <v>89.6</v>
      </c>
      <c r="S2947" s="1">
        <v>19.0</v>
      </c>
      <c r="T2947" s="1">
        <v>4476.0</v>
      </c>
      <c r="U2947" s="1">
        <v>36.818588025</v>
      </c>
      <c r="V2947" s="1">
        <v>153.38050636</v>
      </c>
      <c r="W2947" s="1">
        <v>16.706788637</v>
      </c>
      <c r="X2947" s="1">
        <v>15.699558174</v>
      </c>
      <c r="Y2947" s="1">
        <v>75.060511696</v>
      </c>
      <c r="Z2947" s="1">
        <v>13.9</v>
      </c>
      <c r="AA2947" s="1">
        <v>1.5092314096</v>
      </c>
      <c r="AB2947" s="1">
        <v>47319.0</v>
      </c>
      <c r="AC2947" s="1">
        <v>55.20177712</v>
      </c>
      <c r="AD2947" s="1">
        <v>56.787072243</v>
      </c>
      <c r="AE2947" s="1">
        <v>14.552491534</v>
      </c>
      <c r="AF2947" s="1">
        <v>11.3353663429999</v>
      </c>
      <c r="AG2947" s="1">
        <v>0.3691517535</v>
      </c>
      <c r="AH2947" s="1">
        <v>1.5448198379</v>
      </c>
      <c r="AI2947" s="1">
        <v>0.0401251906</v>
      </c>
      <c r="AJ2947" s="1">
        <v>3.2340903619</v>
      </c>
      <c r="AK2947" s="1">
        <v>80.695770805</v>
      </c>
      <c r="AL2947" s="1">
        <v>1.1081656599</v>
      </c>
      <c r="AM2947" s="1">
        <v>54.116844555</v>
      </c>
      <c r="AN2947" s="1">
        <v>3.6932536006</v>
      </c>
      <c r="AO2947" s="1">
        <v>26678.0</v>
      </c>
      <c r="AP2947" s="1">
        <v>15.8</v>
      </c>
      <c r="AQ2947" s="1">
        <v>5.0</v>
      </c>
      <c r="AR2947" s="1">
        <v>11.8</v>
      </c>
      <c r="AS2947" s="1">
        <v>20.7</v>
      </c>
      <c r="AT2947" s="1">
        <v>18.5</v>
      </c>
      <c r="AU2947" s="1">
        <v>16.2</v>
      </c>
      <c r="AV2947" s="1">
        <v>18.3</v>
      </c>
      <c r="AW2947" s="1">
        <v>0.6</v>
      </c>
      <c r="AX2947" s="1">
        <v>0.46</v>
      </c>
      <c r="AY2947" s="1">
        <v>11.3</v>
      </c>
      <c r="AZ2947" s="1">
        <v>11.9</v>
      </c>
      <c r="BA2947" s="1">
        <v>15.7</v>
      </c>
      <c r="BB2947" s="1">
        <v>2.94</v>
      </c>
      <c r="BC2947" s="1" t="s">
        <v>4607</v>
      </c>
      <c r="BD2947" s="1">
        <v>10.3</v>
      </c>
      <c r="BE2947" s="1">
        <v>29.8</v>
      </c>
      <c r="BF2947" s="1">
        <v>26.5</v>
      </c>
      <c r="BG2947" s="1">
        <v>33.4</v>
      </c>
      <c r="BH2947" s="1" t="s">
        <v>4811</v>
      </c>
    </row>
    <row r="2948">
      <c r="A2948" s="1">
        <v>51800.0</v>
      </c>
      <c r="B2948" s="2" t="str">
        <f>IFERROR(__xludf.DUMMYFUNCTION("TO_TEXT(A2948)"),"51800")</f>
        <v>51800</v>
      </c>
      <c r="C2948" s="1">
        <v>87061.0</v>
      </c>
      <c r="D2948" s="1">
        <v>399.1532900754</v>
      </c>
      <c r="E2948" s="1" t="s">
        <v>4812</v>
      </c>
      <c r="F2948" s="1" t="s">
        <v>4813</v>
      </c>
      <c r="G2948" s="1">
        <v>218.114198641715</v>
      </c>
      <c r="H2948" s="1">
        <v>16.601173219</v>
      </c>
      <c r="I2948" s="1">
        <v>3.8190108017</v>
      </c>
      <c r="J2948" s="1">
        <v>9.1816613261</v>
      </c>
      <c r="K2948" s="1">
        <v>16.438070724</v>
      </c>
      <c r="L2948" s="1">
        <v>32.4</v>
      </c>
      <c r="M2948" s="1">
        <v>7.7</v>
      </c>
      <c r="N2948" s="1">
        <v>27.2</v>
      </c>
      <c r="O2948" s="1">
        <v>76.240468168</v>
      </c>
      <c r="P2948" s="1">
        <v>8.7651792818</v>
      </c>
      <c r="Q2948" s="1">
        <v>90.87182</v>
      </c>
      <c r="R2948" s="1">
        <v>86.7</v>
      </c>
      <c r="S2948" s="1">
        <v>16.1</v>
      </c>
      <c r="T2948" s="1">
        <v>21796.0</v>
      </c>
      <c r="U2948" s="1">
        <v>35.6625068819999</v>
      </c>
      <c r="V2948" s="1">
        <v>276.48870813</v>
      </c>
      <c r="W2948" s="1">
        <v>15.642722117</v>
      </c>
      <c r="X2948" s="1">
        <v>14.533588029</v>
      </c>
      <c r="Y2948" s="1">
        <v>78.320449947</v>
      </c>
      <c r="Z2948" s="1">
        <v>13.8</v>
      </c>
      <c r="AA2948" s="1">
        <v>5.7307404215</v>
      </c>
      <c r="AB2948" s="1">
        <v>69753.0</v>
      </c>
      <c r="AC2948" s="1">
        <v>49.320983355</v>
      </c>
      <c r="AD2948" s="1">
        <v>69.284294235</v>
      </c>
      <c r="AE2948" s="1">
        <v>14.293206639</v>
      </c>
      <c r="AF2948" s="1">
        <v>41.521083512</v>
      </c>
      <c r="AG2948" s="1">
        <v>0.4112518506</v>
      </c>
      <c r="AH2948" s="1">
        <v>1.8709217525</v>
      </c>
      <c r="AI2948" s="1">
        <v>0.1283105774</v>
      </c>
      <c r="AJ2948" s="1">
        <v>4.6707243516</v>
      </c>
      <c r="AK2948" s="1">
        <v>49.118824368</v>
      </c>
      <c r="AL2948" s="1">
        <v>0.4821855873</v>
      </c>
      <c r="AM2948" s="1">
        <v>51.5567253389999</v>
      </c>
      <c r="AN2948" s="1">
        <v>21.632677189</v>
      </c>
      <c r="AO2948" s="1">
        <v>30331.0</v>
      </c>
      <c r="AP2948" s="1">
        <v>11.5</v>
      </c>
      <c r="AQ2948" s="1">
        <v>7.3</v>
      </c>
      <c r="AR2948" s="1">
        <v>12.0</v>
      </c>
      <c r="AS2948" s="1">
        <v>13.0</v>
      </c>
      <c r="AT2948" s="1">
        <v>25.1</v>
      </c>
      <c r="AU2948" s="1">
        <v>11.5</v>
      </c>
      <c r="AV2948" s="1">
        <v>50.0</v>
      </c>
      <c r="AW2948" s="1">
        <v>0.5</v>
      </c>
      <c r="AX2948" s="1">
        <v>0.3266</v>
      </c>
      <c r="AY2948" s="1">
        <v>9.8</v>
      </c>
      <c r="AZ2948" s="1">
        <v>9.8</v>
      </c>
      <c r="BA2948" s="1">
        <v>13.4</v>
      </c>
      <c r="BB2948" s="1">
        <v>3.05</v>
      </c>
      <c r="BC2948" s="1" t="s">
        <v>4607</v>
      </c>
      <c r="BD2948" s="1">
        <v>10.1</v>
      </c>
      <c r="BE2948" s="1">
        <v>27.1</v>
      </c>
      <c r="BF2948" s="1">
        <v>33.3</v>
      </c>
      <c r="BG2948" s="1">
        <v>29.5</v>
      </c>
      <c r="BH2948" s="1" t="s">
        <v>4813</v>
      </c>
    </row>
    <row r="2949">
      <c r="A2949" s="1">
        <v>51810.0</v>
      </c>
      <c r="B2949" s="2" t="str">
        <f>IFERROR(__xludf.DUMMYFUNCTION("TO_TEXT(A2949)"),"51810")</f>
        <v>51810</v>
      </c>
      <c r="C2949" s="1">
        <v>449733.0</v>
      </c>
      <c r="D2949" s="1">
        <v>244.719833735439</v>
      </c>
      <c r="E2949" s="1" t="s">
        <v>4814</v>
      </c>
      <c r="F2949" s="1" t="s">
        <v>4815</v>
      </c>
      <c r="G2949" s="1">
        <v>1837.74642674118</v>
      </c>
      <c r="H2949" s="1">
        <v>11.786793793</v>
      </c>
      <c r="I2949" s="1">
        <v>3.4755612887</v>
      </c>
      <c r="J2949" s="1">
        <v>7.9701120797</v>
      </c>
      <c r="K2949" s="1">
        <v>14.952018469</v>
      </c>
      <c r="L2949" s="1">
        <v>26.9</v>
      </c>
      <c r="M2949" s="1">
        <v>8.7</v>
      </c>
      <c r="N2949" s="1">
        <v>21.6</v>
      </c>
      <c r="O2949" s="1">
        <v>97.861842856</v>
      </c>
      <c r="P2949" s="1">
        <v>8.9489364723</v>
      </c>
      <c r="Q2949" s="1">
        <v>74.15054</v>
      </c>
      <c r="R2949" s="1">
        <v>93.4</v>
      </c>
      <c r="S2949" s="1">
        <v>10.4</v>
      </c>
      <c r="T2949" s="1">
        <v>100327.0</v>
      </c>
      <c r="U2949" s="1">
        <v>31.482053684</v>
      </c>
      <c r="V2949" s="1">
        <v>152.41356503</v>
      </c>
      <c r="W2949" s="1">
        <v>15.972180765</v>
      </c>
      <c r="X2949" s="1">
        <v>14.628788107</v>
      </c>
      <c r="Y2949" s="1">
        <v>80.586842124</v>
      </c>
      <c r="Z2949" s="1">
        <v>9.5</v>
      </c>
      <c r="AA2949" s="1">
        <v>2.614700869</v>
      </c>
      <c r="AB2949" s="1">
        <v>76520.0</v>
      </c>
      <c r="AC2949" s="1">
        <v>38.854260285</v>
      </c>
      <c r="AD2949" s="1">
        <v>64.0829346089999</v>
      </c>
      <c r="AE2949" s="1">
        <v>13.986958715</v>
      </c>
      <c r="AF2949" s="1">
        <v>19.102643556</v>
      </c>
      <c r="AG2949" s="1">
        <v>0.4604732679</v>
      </c>
      <c r="AH2949" s="1">
        <v>7.4153300058</v>
      </c>
      <c r="AI2949" s="1">
        <v>0.1772588846</v>
      </c>
      <c r="AJ2949" s="1">
        <v>8.2998473974</v>
      </c>
      <c r="AK2949" s="1">
        <v>61.309583308</v>
      </c>
      <c r="AL2949" s="1">
        <v>1.3387484601</v>
      </c>
      <c r="AM2949" s="1">
        <v>50.895068516</v>
      </c>
      <c r="AN2949" s="1">
        <v>1.5344959063</v>
      </c>
      <c r="AO2949" s="1">
        <v>33250.0</v>
      </c>
      <c r="AP2949" s="1">
        <v>8.2</v>
      </c>
      <c r="AQ2949" s="1">
        <v>5.8</v>
      </c>
      <c r="AR2949" s="1">
        <v>6.8</v>
      </c>
      <c r="AS2949" s="1">
        <v>12.3</v>
      </c>
      <c r="AT2949" s="1">
        <v>22.9</v>
      </c>
      <c r="AU2949" s="1">
        <v>10.3</v>
      </c>
      <c r="AV2949" s="1">
        <v>37.1</v>
      </c>
      <c r="AW2949" s="1">
        <v>1.4</v>
      </c>
      <c r="AX2949" s="1">
        <v>0.1926</v>
      </c>
      <c r="AY2949" s="1">
        <v>7.3</v>
      </c>
      <c r="AZ2949" s="1">
        <v>8.2</v>
      </c>
      <c r="BA2949" s="1">
        <v>10.7</v>
      </c>
      <c r="BB2949" s="1">
        <v>3.27</v>
      </c>
      <c r="BC2949" s="1" t="s">
        <v>4607</v>
      </c>
      <c r="BD2949" s="1">
        <v>6.5</v>
      </c>
      <c r="BE2949" s="1">
        <v>21.0</v>
      </c>
      <c r="BF2949" s="1">
        <v>36.5</v>
      </c>
      <c r="BG2949" s="1">
        <v>36.0</v>
      </c>
      <c r="BH2949" s="1" t="s">
        <v>4815</v>
      </c>
    </row>
    <row r="2950">
      <c r="A2950" s="1">
        <v>51820.0</v>
      </c>
      <c r="B2950" s="2" t="str">
        <f>IFERROR(__xludf.DUMMYFUNCTION("TO_TEXT(A2950)"),"51820")</f>
        <v>51820</v>
      </c>
      <c r="C2950" s="1">
        <v>21366.0</v>
      </c>
      <c r="D2950" s="1">
        <v>15.030176339388</v>
      </c>
      <c r="E2950" s="1" t="s">
        <v>4816</v>
      </c>
      <c r="F2950" s="1" t="s">
        <v>4817</v>
      </c>
      <c r="G2950" s="1">
        <v>1421.54020801528</v>
      </c>
      <c r="H2950" s="1">
        <v>17.427630068</v>
      </c>
      <c r="I2950" s="1">
        <v>4.1433796954</v>
      </c>
      <c r="J2950" s="1">
        <v>8.8421052632</v>
      </c>
      <c r="K2950" s="1">
        <v>17.998718623</v>
      </c>
      <c r="L2950" s="1">
        <v>39.3</v>
      </c>
      <c r="M2950" s="1">
        <v>8.0</v>
      </c>
      <c r="N2950" s="1">
        <v>33.3</v>
      </c>
      <c r="O2950" s="1">
        <v>68.846996096</v>
      </c>
      <c r="P2950" s="1">
        <v>11.856922058</v>
      </c>
      <c r="Q2950" s="1">
        <v>94.05652</v>
      </c>
      <c r="R2950" s="1">
        <v>83.1</v>
      </c>
      <c r="S2950" s="1">
        <v>25.0</v>
      </c>
      <c r="T2950" s="1">
        <v>4961.0</v>
      </c>
      <c r="U2950" s="1">
        <v>46.885708527</v>
      </c>
      <c r="V2950" s="1">
        <v>186.98141872</v>
      </c>
      <c r="W2950" s="1">
        <v>15.201768933</v>
      </c>
      <c r="X2950" s="1">
        <v>14.253647587</v>
      </c>
      <c r="Y2950" s="1">
        <v>76.192313065</v>
      </c>
      <c r="Z2950" s="1">
        <v>19.9</v>
      </c>
      <c r="AA2950" s="1">
        <v>3.5635057644</v>
      </c>
      <c r="AB2950" s="1">
        <v>47117.0</v>
      </c>
      <c r="AC2950" s="1">
        <v>59.656513286</v>
      </c>
      <c r="AD2950" s="1">
        <v>58.606736658</v>
      </c>
      <c r="AE2950" s="1">
        <v>16.657191586</v>
      </c>
      <c r="AF2950" s="1">
        <v>12.192858406</v>
      </c>
      <c r="AG2950" s="1">
        <v>0.5877673679</v>
      </c>
      <c r="AH2950" s="1">
        <v>1.6528195156</v>
      </c>
      <c r="AI2950" s="1">
        <v>0.0530316422</v>
      </c>
      <c r="AJ2950" s="1">
        <v>8.27293618529999</v>
      </c>
      <c r="AK2950" s="1">
        <v>74.239879795</v>
      </c>
      <c r="AL2950" s="1">
        <v>1.2231968811</v>
      </c>
      <c r="AM2950" s="1">
        <v>52.262683401</v>
      </c>
      <c r="AN2950" s="1">
        <v>2.5278491859</v>
      </c>
      <c r="AO2950" s="1">
        <v>22967.0</v>
      </c>
      <c r="AP2950" s="1">
        <v>16.0</v>
      </c>
      <c r="AQ2950" s="1">
        <v>5.1</v>
      </c>
      <c r="AR2950" s="1">
        <v>13.7</v>
      </c>
      <c r="AS2950" s="1">
        <v>17.7</v>
      </c>
      <c r="AT2950" s="1">
        <v>23.4</v>
      </c>
      <c r="AU2950" s="1">
        <v>14.8</v>
      </c>
      <c r="AV2950" s="1">
        <v>22.6</v>
      </c>
      <c r="AW2950" s="1">
        <v>1.5</v>
      </c>
      <c r="AX2950" s="1">
        <v>0.6215</v>
      </c>
      <c r="AY2950" s="1">
        <v>12.3</v>
      </c>
      <c r="AZ2950" s="1">
        <v>12.8</v>
      </c>
      <c r="BA2950" s="1">
        <v>17.9</v>
      </c>
      <c r="BB2950" s="1">
        <v>2.88</v>
      </c>
      <c r="BC2950" s="1" t="s">
        <v>4607</v>
      </c>
      <c r="BD2950" s="1">
        <v>13.9</v>
      </c>
      <c r="BE2950" s="1">
        <v>33.4</v>
      </c>
      <c r="BF2950" s="1">
        <v>25.6</v>
      </c>
      <c r="BG2950" s="1">
        <v>27.1</v>
      </c>
      <c r="BH2950" s="1" t="s">
        <v>4817</v>
      </c>
    </row>
    <row r="2951">
      <c r="A2951" s="1">
        <v>51830.0</v>
      </c>
      <c r="B2951" s="2" t="str">
        <f>IFERROR(__xludf.DUMMYFUNCTION("TO_TEXT(A2951)"),"51830")</f>
        <v>51830</v>
      </c>
      <c r="C2951" s="1">
        <v>14988.0</v>
      </c>
      <c r="D2951" s="1">
        <v>8.918412568384</v>
      </c>
      <c r="E2951" s="1" t="s">
        <v>4818</v>
      </c>
      <c r="F2951" s="1" t="s">
        <v>4819</v>
      </c>
      <c r="G2951" s="1">
        <v>1680.56813755543</v>
      </c>
      <c r="H2951" s="1">
        <v>18.18590648</v>
      </c>
      <c r="I2951" s="1">
        <v>4.0776180211</v>
      </c>
      <c r="J2951" s="1">
        <v>6.3227953411</v>
      </c>
      <c r="K2951" s="1">
        <v>16.03523733</v>
      </c>
      <c r="L2951" s="1">
        <v>34.1</v>
      </c>
      <c r="M2951" s="1">
        <v>7.5</v>
      </c>
      <c r="N2951" s="1">
        <v>24.8</v>
      </c>
      <c r="O2951" s="1">
        <v>99.637475121</v>
      </c>
      <c r="P2951" s="1">
        <v>11.585729627</v>
      </c>
      <c r="Q2951" s="1">
        <v>6.65292</v>
      </c>
      <c r="R2951" s="1">
        <v>92.1</v>
      </c>
      <c r="S2951" s="1">
        <v>28.2</v>
      </c>
      <c r="T2951" s="1">
        <v>1605.0</v>
      </c>
      <c r="U2951" s="1">
        <v>35.514018692</v>
      </c>
      <c r="V2951" s="1">
        <v>182.11382114</v>
      </c>
      <c r="W2951" s="1">
        <v>22.054054054</v>
      </c>
      <c r="X2951" s="1">
        <v>20.8286674129999</v>
      </c>
      <c r="Y2951" s="1">
        <v>87.646684861</v>
      </c>
      <c r="Z2951" s="1">
        <v>11.1</v>
      </c>
      <c r="AA2951" s="1">
        <v>3.9533881576</v>
      </c>
      <c r="AB2951" s="1">
        <v>52845.0</v>
      </c>
      <c r="AC2951" s="1">
        <v>47.692307692</v>
      </c>
      <c r="AD2951" s="1">
        <v>49.271948608</v>
      </c>
      <c r="AE2951" s="1">
        <v>19.809439397</v>
      </c>
      <c r="AF2951" s="1">
        <v>15.2725563909999</v>
      </c>
      <c r="AG2951" s="1">
        <v>0.5169172932</v>
      </c>
      <c r="AH2951" s="1">
        <v>6.3708378088</v>
      </c>
      <c r="AI2951" s="1">
        <v>0.134264231999999</v>
      </c>
      <c r="AJ2951" s="1">
        <v>7.0287325456</v>
      </c>
      <c r="AK2951" s="1">
        <v>67.78329753</v>
      </c>
      <c r="AL2951" s="1">
        <v>0.3008465683</v>
      </c>
      <c r="AM2951" s="1">
        <v>53.994360902</v>
      </c>
      <c r="AN2951" s="1">
        <v>0.0</v>
      </c>
      <c r="AO2951" s="1">
        <v>25548.0</v>
      </c>
      <c r="AP2951" s="1">
        <v>22.8</v>
      </c>
      <c r="AQ2951" s="1">
        <v>9.1</v>
      </c>
      <c r="AR2951" s="1">
        <v>5.3</v>
      </c>
      <c r="AS2951" s="1">
        <v>15.2</v>
      </c>
      <c r="AT2951" s="1">
        <v>11.0</v>
      </c>
      <c r="AU2951" s="1">
        <v>9.1</v>
      </c>
      <c r="AV2951" s="1">
        <v>31.3</v>
      </c>
      <c r="AW2951" s="1">
        <v>0.9</v>
      </c>
      <c r="AX2951" s="1">
        <v>0.482</v>
      </c>
      <c r="AY2951" s="1">
        <v>18.2</v>
      </c>
      <c r="AZ2951" s="1">
        <v>11.9</v>
      </c>
      <c r="BA2951" s="1">
        <v>12.8</v>
      </c>
      <c r="BB2951" s="1">
        <v>3.31</v>
      </c>
      <c r="BC2951" s="1" t="s">
        <v>4607</v>
      </c>
      <c r="BD2951" s="1">
        <v>5.3</v>
      </c>
      <c r="BE2951" s="1">
        <v>18.7</v>
      </c>
      <c r="BF2951" s="1">
        <v>19.2</v>
      </c>
      <c r="BG2951" s="1">
        <v>56.8</v>
      </c>
      <c r="BH2951" s="1" t="s">
        <v>4819</v>
      </c>
    </row>
    <row r="2952">
      <c r="A2952" s="1">
        <v>51840.0</v>
      </c>
      <c r="B2952" s="2" t="str">
        <f>IFERROR(__xludf.DUMMYFUNCTION("TO_TEXT(A2952)"),"51840")</f>
        <v>51840</v>
      </c>
      <c r="C2952" s="1">
        <v>27349.0</v>
      </c>
      <c r="D2952" s="1">
        <v>9.234952887656</v>
      </c>
      <c r="E2952" s="1" t="s">
        <v>4820</v>
      </c>
      <c r="F2952" s="1" t="s">
        <v>4821</v>
      </c>
      <c r="G2952" s="1">
        <v>2961.46610954089</v>
      </c>
      <c r="H2952" s="1">
        <v>16.545180452</v>
      </c>
      <c r="I2952" s="1">
        <v>3.8979484714</v>
      </c>
      <c r="J2952" s="1">
        <v>8.2787832114</v>
      </c>
      <c r="K2952" s="1">
        <v>17.075618634</v>
      </c>
      <c r="L2952" s="1">
        <v>33.9</v>
      </c>
      <c r="M2952" s="1">
        <v>8.4</v>
      </c>
      <c r="N2952" s="1">
        <v>24.2</v>
      </c>
      <c r="O2952" s="1">
        <v>99.1146051979999</v>
      </c>
      <c r="P2952" s="1">
        <v>15.09835194</v>
      </c>
      <c r="Q2952" s="1">
        <v>257.76887</v>
      </c>
      <c r="R2952" s="1">
        <v>89.1</v>
      </c>
      <c r="S2952" s="1">
        <v>22.0</v>
      </c>
      <c r="T2952" s="1">
        <v>6234.0</v>
      </c>
      <c r="U2952" s="1">
        <v>44.27333975</v>
      </c>
      <c r="V2952" s="1">
        <v>271.67967326</v>
      </c>
      <c r="W2952" s="1">
        <v>20.2453987729999</v>
      </c>
      <c r="X2952" s="1">
        <v>15.439770554</v>
      </c>
      <c r="Y2952" s="1">
        <v>78.254810851</v>
      </c>
      <c r="Z2952" s="1">
        <v>8.1</v>
      </c>
      <c r="AA2952" s="1">
        <v>3.0535736766</v>
      </c>
      <c r="AB2952" s="1">
        <v>51456.0</v>
      </c>
      <c r="AC2952" s="1">
        <v>56.7903883289999</v>
      </c>
      <c r="AD2952" s="1">
        <v>46.901648664</v>
      </c>
      <c r="AE2952" s="1">
        <v>14.139660494</v>
      </c>
      <c r="AF2952" s="1">
        <v>10.5628290879999</v>
      </c>
      <c r="AG2952" s="1">
        <v>0.9214458517</v>
      </c>
      <c r="AH2952" s="1">
        <v>2.7607798492</v>
      </c>
      <c r="AI2952" s="1">
        <v>0.1174042977</v>
      </c>
      <c r="AJ2952" s="1">
        <v>18.37910915</v>
      </c>
      <c r="AK2952" s="1">
        <v>65.365732176</v>
      </c>
      <c r="AL2952" s="1">
        <v>5.5283360981</v>
      </c>
      <c r="AM2952" s="1">
        <v>51.298562687</v>
      </c>
      <c r="AN2952" s="1">
        <v>0.0</v>
      </c>
      <c r="AO2952" s="1">
        <v>26984.0</v>
      </c>
      <c r="AP2952" s="1">
        <v>14.6</v>
      </c>
      <c r="AQ2952" s="1">
        <v>5.1</v>
      </c>
      <c r="AR2952" s="1">
        <v>16.5</v>
      </c>
      <c r="AS2952" s="1">
        <v>15.1</v>
      </c>
      <c r="AT2952" s="1">
        <v>22.5</v>
      </c>
      <c r="AU2952" s="1">
        <v>14.1</v>
      </c>
      <c r="AV2952" s="1">
        <v>32.4</v>
      </c>
      <c r="AW2952" s="1">
        <v>6.2</v>
      </c>
      <c r="AX2952" s="1">
        <v>0.717</v>
      </c>
      <c r="AY2952" s="1">
        <v>13.3</v>
      </c>
      <c r="AZ2952" s="1">
        <v>11.7</v>
      </c>
      <c r="BA2952" s="1">
        <v>14.9</v>
      </c>
      <c r="BB2952" s="1">
        <v>3.41</v>
      </c>
      <c r="BC2952" s="1" t="s">
        <v>4607</v>
      </c>
      <c r="BD2952" s="1">
        <v>15.9</v>
      </c>
      <c r="BE2952" s="1">
        <v>24.6</v>
      </c>
      <c r="BF2952" s="1">
        <v>24.4</v>
      </c>
      <c r="BG2952" s="1">
        <v>35.1</v>
      </c>
      <c r="BH2952" s="1" t="s">
        <v>4821</v>
      </c>
    </row>
    <row r="2953">
      <c r="A2953" s="1">
        <v>53001.0</v>
      </c>
      <c r="B2953" s="2" t="str">
        <f>IFERROR(__xludf.DUMMYFUNCTION("TO_TEXT(A2953)"),"53001")</f>
        <v>53001</v>
      </c>
      <c r="C2953" s="1">
        <v>19100.0</v>
      </c>
      <c r="D2953" s="1">
        <v>1924.97460118645</v>
      </c>
      <c r="E2953" s="1" t="s">
        <v>532</v>
      </c>
      <c r="F2953" s="1" t="s">
        <v>4822</v>
      </c>
      <c r="G2953" s="1">
        <v>9.92220883757521</v>
      </c>
      <c r="H2953" s="1">
        <v>23.416773969</v>
      </c>
      <c r="I2953" s="1">
        <v>4.1365088055</v>
      </c>
      <c r="J2953" s="1">
        <v>7.22575814299999</v>
      </c>
      <c r="K2953" s="1">
        <v>14.33154142</v>
      </c>
      <c r="L2953" s="1">
        <v>36.9</v>
      </c>
      <c r="M2953" s="1">
        <v>8.6</v>
      </c>
      <c r="N2953" s="1">
        <v>23.8</v>
      </c>
      <c r="O2953" s="1">
        <v>61.560230671</v>
      </c>
      <c r="P2953" s="1">
        <v>12.672961577</v>
      </c>
      <c r="Q2953" s="1">
        <v>46.13965</v>
      </c>
      <c r="R2953" s="1">
        <v>76.506024096</v>
      </c>
      <c r="S2953" s="1">
        <v>20.4</v>
      </c>
      <c r="T2953" s="1">
        <v>6794.0</v>
      </c>
      <c r="U2953" s="1">
        <v>37.636149544</v>
      </c>
      <c r="V2953" s="1">
        <v>248.40220457</v>
      </c>
      <c r="W2953" s="1">
        <v>22.3190932869999</v>
      </c>
      <c r="X2953" s="1">
        <v>11.052166225</v>
      </c>
      <c r="Y2953" s="1">
        <v>80.070174224</v>
      </c>
      <c r="Z2953" s="1">
        <v>10.3</v>
      </c>
      <c r="AA2953" s="1">
        <v>7.4628012324</v>
      </c>
      <c r="AB2953" s="1">
        <v>52012.0</v>
      </c>
      <c r="AC2953" s="1">
        <v>76.920031671</v>
      </c>
      <c r="AD2953" s="1">
        <v>63.424587655</v>
      </c>
      <c r="AE2953" s="1">
        <v>11.482820976</v>
      </c>
      <c r="AF2953" s="1">
        <v>0.5870742446</v>
      </c>
      <c r="AG2953" s="1">
        <v>6.042815932</v>
      </c>
      <c r="AH2953" s="1">
        <v>1.3158560656</v>
      </c>
      <c r="AI2953" s="1">
        <v>0.1214636368</v>
      </c>
      <c r="AJ2953" s="1">
        <v>64.299812744</v>
      </c>
      <c r="AK2953" s="1">
        <v>33.068475125</v>
      </c>
      <c r="AL2953" s="1">
        <v>17.297359095</v>
      </c>
      <c r="AM2953" s="1">
        <v>49.34460246</v>
      </c>
      <c r="AN2953" s="1">
        <v>40.159120034</v>
      </c>
      <c r="AO2953" s="1">
        <v>17781.0</v>
      </c>
      <c r="AP2953" s="1">
        <v>23.0</v>
      </c>
      <c r="AQ2953" s="1">
        <v>6.1</v>
      </c>
      <c r="AR2953" s="1">
        <v>33.9</v>
      </c>
      <c r="AS2953" s="1">
        <v>10.4</v>
      </c>
      <c r="AT2953" s="1">
        <v>35.2</v>
      </c>
      <c r="AU2953" s="1">
        <v>9.8</v>
      </c>
      <c r="AV2953" s="1">
        <v>64.3</v>
      </c>
      <c r="AW2953" s="1">
        <v>18.4</v>
      </c>
      <c r="AX2953" s="1">
        <v>0.8981</v>
      </c>
      <c r="AY2953" s="1">
        <v>16.8</v>
      </c>
      <c r="AZ2953" s="1">
        <v>13.1</v>
      </c>
      <c r="BA2953" s="1">
        <v>18.7</v>
      </c>
      <c r="BB2953" s="1">
        <v>3.13</v>
      </c>
      <c r="BC2953" s="1" t="s">
        <v>4823</v>
      </c>
      <c r="BD2953" s="1">
        <v>33.1</v>
      </c>
      <c r="BE2953" s="1">
        <v>28.7</v>
      </c>
      <c r="BF2953" s="1">
        <v>24.0</v>
      </c>
      <c r="BG2953" s="1">
        <v>14.3</v>
      </c>
      <c r="BH2953" s="1" t="s">
        <v>4822</v>
      </c>
    </row>
    <row r="2954">
      <c r="A2954" s="1">
        <v>53003.0</v>
      </c>
      <c r="B2954" s="2" t="str">
        <f>IFERROR(__xludf.DUMMYFUNCTION("TO_TEXT(A2954)"),"53003")</f>
        <v>53003</v>
      </c>
      <c r="C2954" s="1">
        <v>22113.0</v>
      </c>
      <c r="D2954" s="1">
        <v>636.081401666288</v>
      </c>
      <c r="E2954" s="1" t="s">
        <v>4824</v>
      </c>
      <c r="F2954" s="1" t="s">
        <v>4825</v>
      </c>
      <c r="G2954" s="1">
        <v>34.7644184251771</v>
      </c>
      <c r="H2954" s="1">
        <v>15.3136804429999</v>
      </c>
      <c r="I2954" s="1">
        <v>4.5006056272</v>
      </c>
      <c r="J2954" s="1">
        <v>6.1713600959</v>
      </c>
      <c r="K2954" s="1">
        <v>14.357644394</v>
      </c>
      <c r="L2954" s="1">
        <v>32.0</v>
      </c>
      <c r="M2954" s="1">
        <v>7.9</v>
      </c>
      <c r="N2954" s="1">
        <v>22.1</v>
      </c>
      <c r="O2954" s="1">
        <v>98.043749711</v>
      </c>
      <c r="P2954" s="1">
        <v>6.5110065633</v>
      </c>
      <c r="Q2954" s="1">
        <v>84.31329</v>
      </c>
      <c r="R2954" s="1">
        <v>78.125</v>
      </c>
      <c r="S2954" s="1">
        <v>20.6</v>
      </c>
      <c r="T2954" s="1">
        <v>4599.0</v>
      </c>
      <c r="U2954" s="1">
        <v>36.551424223</v>
      </c>
      <c r="V2954" s="1">
        <v>210.83796878</v>
      </c>
      <c r="W2954" s="1">
        <v>13.125336202</v>
      </c>
      <c r="X2954" s="1">
        <v>10.635524172</v>
      </c>
      <c r="Y2954" s="1">
        <v>79.496561332</v>
      </c>
      <c r="Z2954" s="1">
        <v>12.5</v>
      </c>
      <c r="AA2954" s="1">
        <v>5.7153176976</v>
      </c>
      <c r="AB2954" s="1">
        <v>49776.0</v>
      </c>
      <c r="AC2954" s="1">
        <v>52.814371257</v>
      </c>
      <c r="AD2954" s="1">
        <v>70.3194853339999</v>
      </c>
      <c r="AE2954" s="1">
        <v>9.6893574072</v>
      </c>
      <c r="AF2954" s="1">
        <v>0.6766917293</v>
      </c>
      <c r="AG2954" s="1">
        <v>1.8398938523</v>
      </c>
      <c r="AH2954" s="1">
        <v>1.0039805396</v>
      </c>
      <c r="AI2954" s="1">
        <v>0.2167182663</v>
      </c>
      <c r="AJ2954" s="1">
        <v>4.1795665635</v>
      </c>
      <c r="AK2954" s="1">
        <v>89.92481203</v>
      </c>
      <c r="AL2954" s="1">
        <v>0.3396066223</v>
      </c>
      <c r="AM2954" s="1">
        <v>51.247235736</v>
      </c>
      <c r="AN2954" s="1">
        <v>6.6549507469</v>
      </c>
      <c r="AO2954" s="1">
        <v>25760.0</v>
      </c>
      <c r="AP2954" s="1">
        <v>14.5</v>
      </c>
      <c r="AQ2954" s="1">
        <v>8.3</v>
      </c>
      <c r="AR2954" s="1">
        <v>10.0</v>
      </c>
      <c r="AS2954" s="1">
        <v>20.8</v>
      </c>
      <c r="AT2954" s="1">
        <v>20.8</v>
      </c>
      <c r="AU2954" s="1">
        <v>19.1</v>
      </c>
      <c r="AV2954" s="1">
        <v>8.5</v>
      </c>
      <c r="AW2954" s="1">
        <v>0.2</v>
      </c>
      <c r="AX2954" s="1">
        <v>0.4502</v>
      </c>
      <c r="AY2954" s="1">
        <v>13.8</v>
      </c>
      <c r="AZ2954" s="1">
        <v>13.2</v>
      </c>
      <c r="BA2954" s="1">
        <v>20.6</v>
      </c>
      <c r="BB2954" s="1">
        <v>3.04</v>
      </c>
      <c r="BC2954" s="1" t="s">
        <v>4823</v>
      </c>
      <c r="BD2954" s="1">
        <v>8.6</v>
      </c>
      <c r="BE2954" s="1">
        <v>28.0</v>
      </c>
      <c r="BF2954" s="1">
        <v>42.0</v>
      </c>
      <c r="BG2954" s="1">
        <v>21.4</v>
      </c>
      <c r="BH2954" s="1" t="s">
        <v>4825</v>
      </c>
    </row>
    <row r="2955">
      <c r="A2955" s="1">
        <v>53005.0</v>
      </c>
      <c r="B2955" s="2" t="str">
        <f>IFERROR(__xludf.DUMMYFUNCTION("TO_TEXT(A2955)"),"53005")</f>
        <v>53005</v>
      </c>
      <c r="C2955" s="1">
        <v>187519.0</v>
      </c>
      <c r="D2955" s="1">
        <v>1699.80491210464</v>
      </c>
      <c r="E2955" s="1" t="s">
        <v>291</v>
      </c>
      <c r="F2955" s="1" t="s">
        <v>4826</v>
      </c>
      <c r="G2955" s="1">
        <v>110.317953939678</v>
      </c>
      <c r="H2955" s="1">
        <v>16.096464884</v>
      </c>
      <c r="I2955" s="1">
        <v>4.0996591474</v>
      </c>
      <c r="J2955" s="1">
        <v>6.5538764783</v>
      </c>
      <c r="K2955" s="1">
        <v>13.078767464</v>
      </c>
      <c r="L2955" s="1">
        <v>30.9</v>
      </c>
      <c r="M2955" s="1">
        <v>8.3</v>
      </c>
      <c r="N2955" s="1">
        <v>16.6</v>
      </c>
      <c r="O2955" s="1">
        <v>77.426831148</v>
      </c>
      <c r="P2955" s="1">
        <v>7.62590528919999</v>
      </c>
      <c r="Q2955" s="1">
        <v>68.12298</v>
      </c>
      <c r="R2955" s="1">
        <v>76.596503746</v>
      </c>
      <c r="S2955" s="1">
        <v>13.5</v>
      </c>
      <c r="T2955" s="1">
        <v>51692.0</v>
      </c>
      <c r="U2955" s="1">
        <v>28.9716010209999</v>
      </c>
      <c r="V2955" s="1">
        <v>194.58263075</v>
      </c>
      <c r="W2955" s="1">
        <v>14.608301666</v>
      </c>
      <c r="X2955" s="1">
        <v>11.185616388</v>
      </c>
      <c r="Y2955" s="1">
        <v>80.256680719</v>
      </c>
      <c r="Z2955" s="1">
        <v>8.9</v>
      </c>
      <c r="AA2955" s="1">
        <v>4.41790944529999</v>
      </c>
      <c r="AB2955" s="1">
        <v>69212.0</v>
      </c>
      <c r="AC2955" s="1">
        <v>49.698001756</v>
      </c>
      <c r="AD2955" s="1">
        <v>68.35721229</v>
      </c>
      <c r="AE2955" s="1">
        <v>11.6128567309999</v>
      </c>
      <c r="AF2955" s="1">
        <v>1.4697068017</v>
      </c>
      <c r="AG2955" s="1">
        <v>1.2879129371</v>
      </c>
      <c r="AH2955" s="1">
        <v>3.2648592955</v>
      </c>
      <c r="AI2955" s="1">
        <v>0.2565918852</v>
      </c>
      <c r="AJ2955" s="1">
        <v>22.250677393</v>
      </c>
      <c r="AK2955" s="1">
        <v>69.780608985</v>
      </c>
      <c r="AL2955" s="1">
        <v>4.0180677095</v>
      </c>
      <c r="AM2955" s="1">
        <v>49.895233236</v>
      </c>
      <c r="AN2955" s="1">
        <v>10.571022452</v>
      </c>
      <c r="AO2955" s="1">
        <v>29529.0</v>
      </c>
      <c r="AP2955" s="1">
        <v>13.9</v>
      </c>
      <c r="AQ2955" s="1">
        <v>6.5</v>
      </c>
      <c r="AR2955" s="1">
        <v>10.4</v>
      </c>
      <c r="AS2955" s="1">
        <v>13.4</v>
      </c>
      <c r="AT2955" s="1">
        <v>26.8</v>
      </c>
      <c r="AU2955" s="1">
        <v>13.1</v>
      </c>
      <c r="AV2955" s="1">
        <v>27.8</v>
      </c>
      <c r="AW2955" s="1">
        <v>3.9</v>
      </c>
      <c r="AX2955" s="1">
        <v>0.525</v>
      </c>
      <c r="AY2955" s="1">
        <v>10.6</v>
      </c>
      <c r="AZ2955" s="1">
        <v>11.4</v>
      </c>
      <c r="BA2955" s="1">
        <v>17.6</v>
      </c>
      <c r="BB2955" s="1">
        <v>3.1</v>
      </c>
      <c r="BC2955" s="1" t="s">
        <v>4823</v>
      </c>
      <c r="BD2955" s="1">
        <v>9.8</v>
      </c>
      <c r="BE2955" s="1">
        <v>24.5</v>
      </c>
      <c r="BF2955" s="1">
        <v>34.8</v>
      </c>
      <c r="BG2955" s="1">
        <v>30.9</v>
      </c>
      <c r="BH2955" s="1" t="s">
        <v>4826</v>
      </c>
    </row>
    <row r="2956">
      <c r="A2956" s="1">
        <v>53007.0</v>
      </c>
      <c r="B2956" s="2" t="str">
        <f>IFERROR(__xludf.DUMMYFUNCTION("TO_TEXT(A2956)"),"53007")</f>
        <v>53007</v>
      </c>
      <c r="C2956" s="1">
        <v>74761.0</v>
      </c>
      <c r="D2956" s="1">
        <v>2921.17672050626</v>
      </c>
      <c r="E2956" s="1" t="s">
        <v>4827</v>
      </c>
      <c r="F2956" s="1" t="s">
        <v>4828</v>
      </c>
      <c r="G2956" s="1">
        <v>25.5927686521627</v>
      </c>
      <c r="H2956" s="1">
        <v>17.1639285509999</v>
      </c>
      <c r="I2956" s="1">
        <v>4.3659560895</v>
      </c>
      <c r="J2956" s="1">
        <v>6.087367923</v>
      </c>
      <c r="K2956" s="1">
        <v>13.066644855</v>
      </c>
      <c r="L2956" s="1">
        <v>26.6</v>
      </c>
      <c r="M2956" s="1">
        <v>8.4</v>
      </c>
      <c r="N2956" s="1">
        <v>18.1</v>
      </c>
      <c r="O2956" s="1">
        <v>85.3863884169999</v>
      </c>
      <c r="P2956" s="1">
        <v>9.2914514736</v>
      </c>
      <c r="Q2956" s="1">
        <v>117.59633</v>
      </c>
      <c r="R2956" s="1">
        <v>81.153450051</v>
      </c>
      <c r="S2956" s="1">
        <v>14.8</v>
      </c>
      <c r="T2956" s="1">
        <v>17811.0</v>
      </c>
      <c r="U2956" s="1">
        <v>27.67952389</v>
      </c>
      <c r="V2956" s="1">
        <v>148.20401871</v>
      </c>
      <c r="W2956" s="1">
        <v>16.1029411759999</v>
      </c>
      <c r="X2956" s="1">
        <v>12.220762155</v>
      </c>
      <c r="Y2956" s="1">
        <v>81.090916125</v>
      </c>
      <c r="Z2956" s="1">
        <v>6.5</v>
      </c>
      <c r="AA2956" s="1">
        <v>6.0437983772</v>
      </c>
      <c r="AB2956" s="1">
        <v>57243.0</v>
      </c>
      <c r="AC2956" s="1">
        <v>56.433529098</v>
      </c>
      <c r="AD2956" s="1">
        <v>65.817818675</v>
      </c>
      <c r="AE2956" s="1">
        <v>11.989285849</v>
      </c>
      <c r="AF2956" s="1">
        <v>0.541305363699999</v>
      </c>
      <c r="AG2956" s="1">
        <v>2.0639700919</v>
      </c>
      <c r="AH2956" s="1">
        <v>1.2552572823</v>
      </c>
      <c r="AI2956" s="1">
        <v>0.2622150683</v>
      </c>
      <c r="AJ2956" s="1">
        <v>28.288073109</v>
      </c>
      <c r="AK2956" s="1">
        <v>67.515187704</v>
      </c>
      <c r="AL2956" s="1">
        <v>6.8599687223</v>
      </c>
      <c r="AM2956" s="1">
        <v>49.996105717</v>
      </c>
      <c r="AN2956" s="1">
        <v>27.224545567</v>
      </c>
      <c r="AO2956" s="1">
        <v>26109.0</v>
      </c>
      <c r="AP2956" s="1">
        <v>12.6</v>
      </c>
      <c r="AQ2956" s="1">
        <v>6.8</v>
      </c>
      <c r="AR2956" s="1">
        <v>17.4</v>
      </c>
      <c r="AS2956" s="1">
        <v>17.5</v>
      </c>
      <c r="AT2956" s="1">
        <v>24.2</v>
      </c>
      <c r="AU2956" s="1">
        <v>11.8</v>
      </c>
      <c r="AV2956" s="1">
        <v>31.2</v>
      </c>
      <c r="AW2956" s="1">
        <v>6.0</v>
      </c>
      <c r="AX2956" s="1">
        <v>0.7202</v>
      </c>
      <c r="AY2956" s="1">
        <v>12.2</v>
      </c>
      <c r="AZ2956" s="1">
        <v>10.7</v>
      </c>
      <c r="BA2956" s="1">
        <v>15.0</v>
      </c>
      <c r="BB2956" s="1">
        <v>3.58</v>
      </c>
      <c r="BC2956" s="1" t="s">
        <v>4823</v>
      </c>
      <c r="BD2956" s="1">
        <v>17.4</v>
      </c>
      <c r="BE2956" s="1">
        <v>26.4</v>
      </c>
      <c r="BF2956" s="1">
        <v>30.5</v>
      </c>
      <c r="BG2956" s="1">
        <v>25.8</v>
      </c>
      <c r="BH2956" s="1" t="s">
        <v>4828</v>
      </c>
    </row>
    <row r="2957">
      <c r="A2957" s="1">
        <v>53009.0</v>
      </c>
      <c r="B2957" s="2" t="str">
        <f>IFERROR(__xludf.DUMMYFUNCTION("TO_TEXT(A2957)"),"53009")</f>
        <v>53009</v>
      </c>
      <c r="C2957" s="1">
        <v>72969.0</v>
      </c>
      <c r="D2957" s="1">
        <v>1738.67643327418</v>
      </c>
      <c r="E2957" s="1" t="s">
        <v>4829</v>
      </c>
      <c r="F2957" s="1" t="s">
        <v>4830</v>
      </c>
      <c r="G2957" s="1">
        <v>41.9681308169507</v>
      </c>
      <c r="H2957" s="1">
        <v>16.223041389</v>
      </c>
      <c r="I2957" s="1">
        <v>4.4265224171</v>
      </c>
      <c r="J2957" s="1">
        <v>5.9593975115</v>
      </c>
      <c r="K2957" s="1">
        <v>14.095649542</v>
      </c>
      <c r="L2957" s="1">
        <v>29.2</v>
      </c>
      <c r="M2957" s="1">
        <v>7.2</v>
      </c>
      <c r="N2957" s="1">
        <v>20.4</v>
      </c>
      <c r="O2957" s="1">
        <v>77.106324576</v>
      </c>
      <c r="P2957" s="1">
        <v>8.9611038512</v>
      </c>
      <c r="Q2957" s="1">
        <v>98.04701</v>
      </c>
      <c r="R2957" s="1">
        <v>80.5907173</v>
      </c>
      <c r="S2957" s="1">
        <v>20.6</v>
      </c>
      <c r="T2957" s="1">
        <v>12589.0</v>
      </c>
      <c r="U2957" s="1">
        <v>37.7551830959999</v>
      </c>
      <c r="V2957" s="1">
        <v>279.59373873</v>
      </c>
      <c r="W2957" s="1">
        <v>16.269083969</v>
      </c>
      <c r="X2957" s="1">
        <v>13.81748072</v>
      </c>
      <c r="Y2957" s="1">
        <v>79.432548835</v>
      </c>
      <c r="Z2957" s="1">
        <v>11.8</v>
      </c>
      <c r="AA2957" s="1">
        <v>8.8361249852</v>
      </c>
      <c r="AB2957" s="1">
        <v>57183.0</v>
      </c>
      <c r="AC2957" s="1">
        <v>47.412964032</v>
      </c>
      <c r="AD2957" s="1">
        <v>70.652572406</v>
      </c>
      <c r="AE2957" s="1">
        <v>14.482715392</v>
      </c>
      <c r="AF2957" s="1">
        <v>0.944785436</v>
      </c>
      <c r="AG2957" s="1">
        <v>5.5709761914</v>
      </c>
      <c r="AH2957" s="1">
        <v>1.8700235871</v>
      </c>
      <c r="AI2957" s="1">
        <v>0.2006854581</v>
      </c>
      <c r="AJ2957" s="1">
        <v>6.4284504216</v>
      </c>
      <c r="AK2957" s="1">
        <v>82.523424163</v>
      </c>
      <c r="AL2957" s="1">
        <v>1.0695036262</v>
      </c>
      <c r="AM2957" s="1">
        <v>50.686109699</v>
      </c>
      <c r="AN2957" s="1">
        <v>35.453195899</v>
      </c>
      <c r="AO2957" s="1">
        <v>26967.0</v>
      </c>
      <c r="AP2957" s="1">
        <v>15.7</v>
      </c>
      <c r="AQ2957" s="1">
        <v>9.3</v>
      </c>
      <c r="AR2957" s="1">
        <v>8.1</v>
      </c>
      <c r="AS2957" s="1">
        <v>26.9</v>
      </c>
      <c r="AT2957" s="1">
        <v>17.7</v>
      </c>
      <c r="AU2957" s="1">
        <v>20.3</v>
      </c>
      <c r="AV2957" s="1">
        <v>16.4</v>
      </c>
      <c r="AW2957" s="1">
        <v>1.0</v>
      </c>
      <c r="AX2957" s="1">
        <v>0.582</v>
      </c>
      <c r="AY2957" s="1">
        <v>11.2</v>
      </c>
      <c r="AZ2957" s="1">
        <v>14.7</v>
      </c>
      <c r="BA2957" s="1">
        <v>25.2</v>
      </c>
      <c r="BB2957" s="1">
        <v>3.31</v>
      </c>
      <c r="BC2957" s="1" t="s">
        <v>4823</v>
      </c>
      <c r="BD2957" s="1">
        <v>7.5</v>
      </c>
      <c r="BE2957" s="1">
        <v>26.3</v>
      </c>
      <c r="BF2957" s="1">
        <v>38.8</v>
      </c>
      <c r="BG2957" s="1">
        <v>27.4</v>
      </c>
      <c r="BH2957" s="1" t="s">
        <v>4830</v>
      </c>
    </row>
    <row r="2958">
      <c r="A2958" s="1">
        <v>53011.0</v>
      </c>
      <c r="B2958" s="2" t="str">
        <f>IFERROR(__xludf.DUMMYFUNCTION("TO_TEXT(A2958)"),"53011")</f>
        <v>53011</v>
      </c>
      <c r="C2958" s="1">
        <v>450893.0</v>
      </c>
      <c r="D2958" s="1">
        <v>628.421336828818</v>
      </c>
      <c r="E2958" s="1" t="s">
        <v>302</v>
      </c>
      <c r="F2958" s="1" t="s">
        <v>4831</v>
      </c>
      <c r="G2958" s="1">
        <v>717.501099302781</v>
      </c>
      <c r="H2958" s="1">
        <v>13.733517574</v>
      </c>
      <c r="I2958" s="1">
        <v>3.9124113179</v>
      </c>
      <c r="J2958" s="1">
        <v>6.17351313429999</v>
      </c>
      <c r="K2958" s="1">
        <v>14.041929032</v>
      </c>
      <c r="L2958" s="1">
        <v>30.5</v>
      </c>
      <c r="M2958" s="1">
        <v>8.1</v>
      </c>
      <c r="N2958" s="1">
        <v>17.3</v>
      </c>
      <c r="O2958" s="1">
        <v>92.759360828</v>
      </c>
      <c r="P2958" s="1">
        <v>6.99837623529999</v>
      </c>
      <c r="Q2958" s="1">
        <v>70.57936</v>
      </c>
      <c r="R2958" s="1">
        <v>83.697559419</v>
      </c>
      <c r="S2958" s="1">
        <v>10.6</v>
      </c>
      <c r="T2958" s="1">
        <v>113373.0</v>
      </c>
      <c r="U2958" s="1">
        <v>24.743104619</v>
      </c>
      <c r="V2958" s="1">
        <v>220.19523542</v>
      </c>
      <c r="W2958" s="1">
        <v>15.992820419</v>
      </c>
      <c r="X2958" s="1">
        <v>12.784856653</v>
      </c>
      <c r="Y2958" s="1">
        <v>80.305189295</v>
      </c>
      <c r="Z2958" s="1">
        <v>10.1</v>
      </c>
      <c r="AA2958" s="1">
        <v>4.6190019549</v>
      </c>
      <c r="AB2958" s="1">
        <v>73971.0</v>
      </c>
      <c r="AC2958" s="1">
        <v>39.420500363</v>
      </c>
      <c r="AD2958" s="1">
        <v>66.519746738</v>
      </c>
      <c r="AE2958" s="1">
        <v>12.685202773</v>
      </c>
      <c r="AF2958" s="1">
        <v>2.0728141337</v>
      </c>
      <c r="AG2958" s="1">
        <v>1.176697651</v>
      </c>
      <c r="AH2958" s="1">
        <v>4.9091327925</v>
      </c>
      <c r="AI2958" s="1">
        <v>0.8869851429</v>
      </c>
      <c r="AJ2958" s="1">
        <v>9.9583486387</v>
      </c>
      <c r="AK2958" s="1">
        <v>77.997414171</v>
      </c>
      <c r="AL2958" s="1">
        <v>2.5040687679</v>
      </c>
      <c r="AM2958" s="1">
        <v>50.5832643289999</v>
      </c>
      <c r="AN2958" s="1">
        <v>13.768475396</v>
      </c>
      <c r="AO2958" s="1">
        <v>30207.0</v>
      </c>
      <c r="AP2958" s="1">
        <v>10.2</v>
      </c>
      <c r="AQ2958" s="1">
        <v>7.2</v>
      </c>
      <c r="AR2958" s="1">
        <v>8.3</v>
      </c>
      <c r="AS2958" s="1">
        <v>13.7</v>
      </c>
      <c r="AT2958" s="1">
        <v>25.2</v>
      </c>
      <c r="AU2958" s="1">
        <v>12.6</v>
      </c>
      <c r="AV2958" s="1">
        <v>20.0</v>
      </c>
      <c r="AW2958" s="1">
        <v>2.9</v>
      </c>
      <c r="AX2958" s="1">
        <v>0.3308</v>
      </c>
      <c r="AY2958" s="1">
        <v>9.2</v>
      </c>
      <c r="AZ2958" s="1">
        <v>10.4</v>
      </c>
      <c r="BA2958" s="1">
        <v>15.4</v>
      </c>
      <c r="BB2958" s="1">
        <v>3.31</v>
      </c>
      <c r="BC2958" s="1" t="s">
        <v>4823</v>
      </c>
      <c r="BD2958" s="1">
        <v>7.3</v>
      </c>
      <c r="BE2958" s="1">
        <v>24.2</v>
      </c>
      <c r="BF2958" s="1">
        <v>37.8</v>
      </c>
      <c r="BG2958" s="1">
        <v>30.6</v>
      </c>
      <c r="BH2958" s="1" t="s">
        <v>4831</v>
      </c>
    </row>
    <row r="2959">
      <c r="A2959" s="1">
        <v>53013.0</v>
      </c>
      <c r="B2959" s="2" t="str">
        <f>IFERROR(__xludf.DUMMYFUNCTION("TO_TEXT(A2959)"),"53013")</f>
        <v>53013</v>
      </c>
      <c r="C2959" s="1">
        <v>3971.0</v>
      </c>
      <c r="D2959" s="1">
        <v>868.584610205173</v>
      </c>
      <c r="E2959" s="1" t="s">
        <v>308</v>
      </c>
      <c r="F2959" s="1" t="s">
        <v>4832</v>
      </c>
      <c r="G2959" s="1">
        <v>4.57180561725816</v>
      </c>
      <c r="H2959" s="1">
        <v>17.601915364</v>
      </c>
      <c r="I2959" s="1">
        <v>4.4668555025</v>
      </c>
      <c r="J2959" s="1">
        <v>9.2741935484</v>
      </c>
      <c r="K2959" s="1">
        <v>14.352215463</v>
      </c>
      <c r="L2959" s="1">
        <v>35.3</v>
      </c>
      <c r="M2959" s="1">
        <v>7.3</v>
      </c>
      <c r="N2959" s="1">
        <v>26.6</v>
      </c>
      <c r="O2959" s="1">
        <v>38.989700834</v>
      </c>
      <c r="P2959" s="1">
        <v>6.35416666669999</v>
      </c>
      <c r="Q2959" s="1">
        <v>74.12898</v>
      </c>
      <c r="R2959" s="1">
        <v>83.333333333</v>
      </c>
      <c r="S2959" s="1">
        <v>19.0</v>
      </c>
      <c r="T2959" s="1">
        <v>786.0</v>
      </c>
      <c r="U2959" s="1">
        <v>16.921119593</v>
      </c>
      <c r="V2959" s="1">
        <v>37.693177535</v>
      </c>
      <c r="W2959" s="1">
        <v>14.49704142</v>
      </c>
      <c r="X2959" s="1">
        <v>11.336515513</v>
      </c>
      <c r="Y2959" s="1">
        <v>77.729332876</v>
      </c>
      <c r="Z2959" s="1">
        <v>11.4</v>
      </c>
      <c r="AA2959" s="1">
        <v>10.663043911</v>
      </c>
      <c r="AB2959" s="1">
        <v>53700.0</v>
      </c>
      <c r="AC2959" s="1">
        <v>49.54954955</v>
      </c>
      <c r="AD2959" s="1">
        <v>68.771331058</v>
      </c>
      <c r="AE2959" s="1">
        <v>10.639569635</v>
      </c>
      <c r="AF2959" s="1">
        <v>0.6159152501</v>
      </c>
      <c r="AG2959" s="1">
        <v>1.7491993102</v>
      </c>
      <c r="AH2959" s="1">
        <v>1.3303769401</v>
      </c>
      <c r="AI2959" s="1">
        <v>1.9216555802</v>
      </c>
      <c r="AJ2959" s="1">
        <v>7.8344419808</v>
      </c>
      <c r="AK2959" s="1">
        <v>84.725301798</v>
      </c>
      <c r="AL2959" s="1">
        <v>1.9005467326</v>
      </c>
      <c r="AM2959" s="1">
        <v>51.170238975</v>
      </c>
      <c r="AN2959" s="1">
        <v>34.25698872</v>
      </c>
      <c r="AO2959" s="1">
        <v>26536.0</v>
      </c>
      <c r="AP2959" s="1">
        <v>14.8</v>
      </c>
      <c r="AQ2959" s="1">
        <v>9.0</v>
      </c>
      <c r="AR2959" s="1">
        <v>10.1</v>
      </c>
      <c r="AS2959" s="1">
        <v>26.6</v>
      </c>
      <c r="AT2959" s="1">
        <v>18.7</v>
      </c>
      <c r="AU2959" s="1">
        <v>20.3</v>
      </c>
      <c r="AV2959" s="1">
        <v>12.1</v>
      </c>
      <c r="AW2959" s="1">
        <v>1.5</v>
      </c>
      <c r="AX2959" s="1">
        <v>0.5673</v>
      </c>
      <c r="AY2959" s="1">
        <v>12.3</v>
      </c>
      <c r="AZ2959" s="1">
        <v>14.2</v>
      </c>
      <c r="BA2959" s="1">
        <v>20.2</v>
      </c>
      <c r="BB2959" s="1">
        <v>3.12</v>
      </c>
      <c r="BC2959" s="1" t="s">
        <v>4823</v>
      </c>
      <c r="BD2959" s="1">
        <v>8.8</v>
      </c>
      <c r="BE2959" s="1">
        <v>21.7</v>
      </c>
      <c r="BF2959" s="1">
        <v>43.9</v>
      </c>
      <c r="BG2959" s="1">
        <v>25.6</v>
      </c>
      <c r="BH2959" s="1" t="s">
        <v>4832</v>
      </c>
    </row>
    <row r="2960">
      <c r="A2960" s="1">
        <v>53015.0</v>
      </c>
      <c r="B2960" s="2" t="str">
        <f>IFERROR(__xludf.DUMMYFUNCTION("TO_TEXT(A2960)"),"53015")</f>
        <v>53015</v>
      </c>
      <c r="C2960" s="1">
        <v>102854.0</v>
      </c>
      <c r="D2960" s="1">
        <v>1140.43639094241</v>
      </c>
      <c r="E2960" s="1" t="s">
        <v>4833</v>
      </c>
      <c r="F2960" s="1" t="s">
        <v>4834</v>
      </c>
      <c r="G2960" s="1">
        <v>90.1882830264699</v>
      </c>
      <c r="H2960" s="1">
        <v>18.568090973</v>
      </c>
      <c r="I2960" s="1">
        <v>4.6749614992</v>
      </c>
      <c r="J2960" s="1">
        <v>6.233094202</v>
      </c>
      <c r="K2960" s="1">
        <v>17.82366819</v>
      </c>
      <c r="L2960" s="1">
        <v>34.7</v>
      </c>
      <c r="M2960" s="1">
        <v>7.3</v>
      </c>
      <c r="N2960" s="1">
        <v>22.7</v>
      </c>
      <c r="O2960" s="1">
        <v>73.5113758419999</v>
      </c>
      <c r="P2960" s="1">
        <v>6.6139451213</v>
      </c>
      <c r="Q2960" s="1">
        <v>65.47563</v>
      </c>
      <c r="R2960" s="1">
        <v>80.814408771</v>
      </c>
      <c r="S2960" s="1">
        <v>17.6</v>
      </c>
      <c r="T2960" s="1">
        <v>23816.0</v>
      </c>
      <c r="U2960" s="1">
        <v>36.685421565</v>
      </c>
      <c r="V2960" s="1">
        <v>259.38136333</v>
      </c>
      <c r="W2960" s="1">
        <v>16.813713133</v>
      </c>
      <c r="X2960" s="1">
        <v>14.13071228</v>
      </c>
      <c r="Y2960" s="1">
        <v>76.918655778</v>
      </c>
      <c r="Z2960" s="1">
        <v>11.4</v>
      </c>
      <c r="AA2960" s="1">
        <v>8.6006953863</v>
      </c>
      <c r="AB2960" s="1">
        <v>58624.0</v>
      </c>
      <c r="AC2960" s="1">
        <v>54.362876924</v>
      </c>
      <c r="AD2960" s="1">
        <v>66.038601831</v>
      </c>
      <c r="AE2960" s="1">
        <v>13.643122677</v>
      </c>
      <c r="AF2960" s="1">
        <v>0.9102002991</v>
      </c>
      <c r="AG2960" s="1">
        <v>2.0415278886</v>
      </c>
      <c r="AH2960" s="1">
        <v>1.6359749328</v>
      </c>
      <c r="AI2960" s="1">
        <v>0.4294090121</v>
      </c>
      <c r="AJ2960" s="1">
        <v>9.1524677255</v>
      </c>
      <c r="AK2960" s="1">
        <v>83.3925147039999</v>
      </c>
      <c r="AL2960" s="1">
        <v>1.2002226383</v>
      </c>
      <c r="AM2960" s="1">
        <v>50.509693817</v>
      </c>
      <c r="AN2960" s="1">
        <v>28.6514988769999</v>
      </c>
      <c r="AO2960" s="1">
        <v>24756.0</v>
      </c>
      <c r="AP2960" s="1">
        <v>16.9</v>
      </c>
      <c r="AQ2960" s="1">
        <v>9.7</v>
      </c>
      <c r="AR2960" s="1">
        <v>12.0</v>
      </c>
      <c r="AS2960" s="1">
        <v>18.0</v>
      </c>
      <c r="AT2960" s="1">
        <v>23.1</v>
      </c>
      <c r="AU2960" s="1">
        <v>20.1</v>
      </c>
      <c r="AV2960" s="1">
        <v>15.4</v>
      </c>
      <c r="AW2960" s="1">
        <v>1.6</v>
      </c>
      <c r="AX2960" s="1">
        <v>0.752</v>
      </c>
      <c r="AY2960" s="1">
        <v>12.6</v>
      </c>
      <c r="AZ2960" s="1">
        <v>14.9</v>
      </c>
      <c r="BA2960" s="1">
        <v>22.4</v>
      </c>
      <c r="BB2960" s="1">
        <v>3.09</v>
      </c>
      <c r="BC2960" s="1" t="s">
        <v>4823</v>
      </c>
      <c r="BD2960" s="1">
        <v>10.7</v>
      </c>
      <c r="BE2960" s="1">
        <v>30.6</v>
      </c>
      <c r="BF2960" s="1">
        <v>41.7</v>
      </c>
      <c r="BG2960" s="1">
        <v>17.0</v>
      </c>
      <c r="BH2960" s="1" t="s">
        <v>4834</v>
      </c>
    </row>
    <row r="2961">
      <c r="A2961" s="1">
        <v>53017.0</v>
      </c>
      <c r="B2961" s="2" t="str">
        <f>IFERROR(__xludf.DUMMYFUNCTION("TO_TEXT(A2961)"),"53017")</f>
        <v>53017</v>
      </c>
      <c r="C2961" s="1">
        <v>40101.0</v>
      </c>
      <c r="D2961" s="1">
        <v>1819.26217127946</v>
      </c>
      <c r="E2961" s="1" t="s">
        <v>569</v>
      </c>
      <c r="F2961" s="1" t="s">
        <v>4835</v>
      </c>
      <c r="G2961" s="1">
        <v>22.0424525024876</v>
      </c>
      <c r="H2961" s="1">
        <v>18.061982065</v>
      </c>
      <c r="I2961" s="1">
        <v>4.1935757673</v>
      </c>
      <c r="J2961" s="1">
        <v>5.6422897836</v>
      </c>
      <c r="K2961" s="1">
        <v>13.556586254</v>
      </c>
      <c r="L2961" s="1">
        <v>32.4</v>
      </c>
      <c r="M2961" s="1">
        <v>7.5</v>
      </c>
      <c r="N2961" s="1">
        <v>18.6</v>
      </c>
      <c r="O2961" s="1">
        <v>77.135645703</v>
      </c>
      <c r="P2961" s="1">
        <v>11.314519667</v>
      </c>
      <c r="Q2961" s="1">
        <v>19.0726</v>
      </c>
      <c r="R2961" s="1">
        <v>85.494880546</v>
      </c>
      <c r="S2961" s="1">
        <v>15.2</v>
      </c>
      <c r="T2961" s="1">
        <v>10775.0</v>
      </c>
      <c r="U2961" s="1">
        <v>36.213457077</v>
      </c>
      <c r="V2961" s="1">
        <v>98.783725381</v>
      </c>
      <c r="W2961" s="1">
        <v>17.909407666</v>
      </c>
      <c r="X2961" s="1">
        <v>10.207090207</v>
      </c>
      <c r="Y2961" s="1">
        <v>82.835838809</v>
      </c>
      <c r="Z2961" s="1">
        <v>8.1</v>
      </c>
      <c r="AA2961" s="1">
        <v>17.005696899</v>
      </c>
      <c r="AB2961" s="1">
        <v>65912.0</v>
      </c>
      <c r="AC2961" s="1">
        <v>53.790049492</v>
      </c>
      <c r="AD2961" s="1">
        <v>69.735793946</v>
      </c>
      <c r="AE2961" s="1">
        <v>8.2921395252</v>
      </c>
      <c r="AF2961" s="1">
        <v>0.4661244086</v>
      </c>
      <c r="AG2961" s="1">
        <v>2.1022210828</v>
      </c>
      <c r="AH2961" s="1">
        <v>1.1233598247</v>
      </c>
      <c r="AI2961" s="1">
        <v>0.2983196215</v>
      </c>
      <c r="AJ2961" s="1">
        <v>32.101988021</v>
      </c>
      <c r="AK2961" s="1">
        <v>63.842729625</v>
      </c>
      <c r="AL2961" s="1">
        <v>7.5816485226</v>
      </c>
      <c r="AM2961" s="1">
        <v>49.332276785</v>
      </c>
      <c r="AN2961" s="1">
        <v>26.595716999</v>
      </c>
      <c r="AO2961" s="1">
        <v>23966.0</v>
      </c>
      <c r="AP2961" s="1">
        <v>13.4</v>
      </c>
      <c r="AQ2961" s="1">
        <v>5.1</v>
      </c>
      <c r="AR2961" s="1">
        <v>18.9</v>
      </c>
      <c r="AS2961" s="1">
        <v>15.7</v>
      </c>
      <c r="AT2961" s="1">
        <v>26.5</v>
      </c>
      <c r="AU2961" s="1">
        <v>17.3</v>
      </c>
      <c r="AV2961" s="1">
        <v>34.7</v>
      </c>
      <c r="AW2961" s="1">
        <v>7.8</v>
      </c>
      <c r="AX2961" s="1">
        <v>0.7459</v>
      </c>
      <c r="AY2961" s="1">
        <v>10.9</v>
      </c>
      <c r="AZ2961" s="1">
        <v>12.1</v>
      </c>
      <c r="BA2961" s="1">
        <v>18.7</v>
      </c>
      <c r="BB2961" s="1">
        <v>3.19</v>
      </c>
      <c r="BC2961" s="1" t="s">
        <v>4823</v>
      </c>
      <c r="BD2961" s="1">
        <v>17.9</v>
      </c>
      <c r="BE2961" s="1">
        <v>29.6</v>
      </c>
      <c r="BF2961" s="1">
        <v>32.0</v>
      </c>
      <c r="BG2961" s="1">
        <v>20.5</v>
      </c>
      <c r="BH2961" s="1" t="s">
        <v>4835</v>
      </c>
    </row>
    <row r="2962">
      <c r="A2962" s="1">
        <v>53019.0</v>
      </c>
      <c r="B2962" s="2" t="str">
        <f>IFERROR(__xludf.DUMMYFUNCTION("TO_TEXT(A2962)"),"53019")</f>
        <v>53019</v>
      </c>
      <c r="C2962" s="1">
        <v>7639.0</v>
      </c>
      <c r="D2962" s="1">
        <v>2203.23727551648</v>
      </c>
      <c r="E2962" s="1" t="s">
        <v>4836</v>
      </c>
      <c r="F2962" s="1" t="s">
        <v>4837</v>
      </c>
      <c r="G2962" s="1">
        <v>3.46717082399093</v>
      </c>
      <c r="H2962" s="1">
        <v>19.095582206</v>
      </c>
      <c r="I2962" s="1">
        <v>4.6974436143</v>
      </c>
      <c r="J2962" s="1">
        <v>7.1428571429</v>
      </c>
      <c r="K2962" s="1">
        <v>16.748333178</v>
      </c>
      <c r="L2962" s="1">
        <v>30.1</v>
      </c>
      <c r="M2962" s="1">
        <v>5.0</v>
      </c>
      <c r="N2962" s="1">
        <v>20.2</v>
      </c>
      <c r="O2962" s="1">
        <v>74.639120646</v>
      </c>
      <c r="P2962" s="1">
        <v>10.597232338</v>
      </c>
      <c r="Q2962" s="1">
        <v>65.84145</v>
      </c>
      <c r="R2962" s="1">
        <v>78.571428571</v>
      </c>
      <c r="S2962" s="1">
        <v>24.7</v>
      </c>
      <c r="T2962" s="1">
        <v>1330.0</v>
      </c>
      <c r="U2962" s="1">
        <v>40.0</v>
      </c>
      <c r="V2962" s="1">
        <v>112.26494527</v>
      </c>
      <c r="W2962" s="1">
        <v>16.776315789</v>
      </c>
      <c r="X2962" s="1">
        <v>12.1739130429999</v>
      </c>
      <c r="Y2962" s="1">
        <v>77.375073571</v>
      </c>
      <c r="Z2962" s="1">
        <v>9.7</v>
      </c>
      <c r="AA2962" s="1">
        <v>26.1219798719999</v>
      </c>
      <c r="AB2962" s="1">
        <v>40468.0</v>
      </c>
      <c r="AC2962" s="1">
        <v>61.117318436</v>
      </c>
      <c r="AD2962" s="1">
        <v>73.296738779</v>
      </c>
      <c r="AE2962" s="1">
        <v>11.70212766</v>
      </c>
      <c r="AF2962" s="1">
        <v>0.575238593299999</v>
      </c>
      <c r="AG2962" s="1">
        <v>17.139495359</v>
      </c>
      <c r="AH2962" s="1">
        <v>0.9805203295</v>
      </c>
      <c r="AI2962" s="1">
        <v>0.3268401098</v>
      </c>
      <c r="AJ2962" s="1">
        <v>5.0202640868</v>
      </c>
      <c r="AK2962" s="1">
        <v>72.493136358</v>
      </c>
      <c r="AL2962" s="1">
        <v>1.0068965517</v>
      </c>
      <c r="AM2962" s="1">
        <v>48.8952804289999</v>
      </c>
      <c r="AN2962" s="1">
        <v>100.0</v>
      </c>
      <c r="AO2962" s="1">
        <v>21146.0</v>
      </c>
      <c r="AP2962" s="1">
        <v>23.5</v>
      </c>
      <c r="AQ2962" s="1">
        <v>9.8</v>
      </c>
      <c r="AR2962" s="1">
        <v>12.5</v>
      </c>
      <c r="AS2962" s="1">
        <v>22.0</v>
      </c>
      <c r="AT2962" s="1">
        <v>18.8</v>
      </c>
      <c r="AU2962" s="1">
        <v>25.3</v>
      </c>
      <c r="AV2962" s="1">
        <v>26.2</v>
      </c>
      <c r="AW2962" s="1">
        <v>0.8</v>
      </c>
      <c r="AX2962" s="1">
        <v>0.7838</v>
      </c>
      <c r="AY2962" s="1">
        <v>18.0</v>
      </c>
      <c r="AZ2962" s="1">
        <v>19.5</v>
      </c>
      <c r="BA2962" s="1">
        <v>31.0</v>
      </c>
      <c r="BB2962" s="1">
        <v>3.16</v>
      </c>
      <c r="BC2962" s="1" t="s">
        <v>4823</v>
      </c>
      <c r="BD2962" s="1">
        <v>13.0</v>
      </c>
      <c r="BE2962" s="1">
        <v>34.9</v>
      </c>
      <c r="BF2962" s="1">
        <v>33.3</v>
      </c>
      <c r="BG2962" s="1">
        <v>18.8</v>
      </c>
      <c r="BH2962" s="1" t="s">
        <v>4837</v>
      </c>
    </row>
    <row r="2963">
      <c r="A2963" s="1">
        <v>53021.0</v>
      </c>
      <c r="B2963" s="2" t="str">
        <f>IFERROR(__xludf.DUMMYFUNCTION("TO_TEXT(A2963)"),"53021")</f>
        <v>53021</v>
      </c>
      <c r="C2963" s="1">
        <v>87810.0</v>
      </c>
      <c r="D2963" s="1">
        <v>1241.59516204686</v>
      </c>
      <c r="E2963" s="1" t="s">
        <v>118</v>
      </c>
      <c r="F2963" s="1" t="s">
        <v>4838</v>
      </c>
      <c r="G2963" s="1">
        <v>70.7235358868819</v>
      </c>
      <c r="H2963" s="1">
        <v>20.8635398</v>
      </c>
      <c r="I2963" s="1">
        <v>4.1721724714</v>
      </c>
      <c r="J2963" s="1">
        <v>6.0113154173</v>
      </c>
      <c r="K2963" s="1">
        <v>14.0127405359999</v>
      </c>
      <c r="L2963" s="1">
        <v>33.1</v>
      </c>
      <c r="M2963" s="1">
        <v>8.6</v>
      </c>
      <c r="N2963" s="1">
        <v>20.6</v>
      </c>
      <c r="O2963" s="1">
        <v>60.659135397</v>
      </c>
      <c r="P2963" s="1">
        <v>11.644394253</v>
      </c>
      <c r="Q2963" s="1">
        <v>23.8806</v>
      </c>
      <c r="R2963" s="1">
        <v>75.439938791</v>
      </c>
      <c r="S2963" s="1">
        <v>16.7</v>
      </c>
      <c r="T2963" s="1">
        <v>29810.0</v>
      </c>
      <c r="U2963" s="1">
        <v>33.495471318</v>
      </c>
      <c r="V2963" s="1">
        <v>210.79024152</v>
      </c>
      <c r="W2963" s="1">
        <v>21.466905188</v>
      </c>
      <c r="X2963" s="1">
        <v>12.2645290579999</v>
      </c>
      <c r="Y2963" s="1">
        <v>81.381631069</v>
      </c>
      <c r="Z2963" s="1">
        <v>9.9</v>
      </c>
      <c r="AA2963" s="1">
        <v>8.4160790683</v>
      </c>
      <c r="AB2963" s="1">
        <v>60483.0</v>
      </c>
      <c r="AC2963" s="1">
        <v>71.906338234</v>
      </c>
      <c r="AD2963" s="1">
        <v>68.673050616</v>
      </c>
      <c r="AE2963" s="1">
        <v>10.795388378</v>
      </c>
      <c r="AF2963" s="1">
        <v>2.1431524055</v>
      </c>
      <c r="AG2963" s="1">
        <v>1.6926876318</v>
      </c>
      <c r="AH2963" s="1">
        <v>2.4240304408</v>
      </c>
      <c r="AI2963" s="1">
        <v>0.4048883377</v>
      </c>
      <c r="AJ2963" s="1">
        <v>53.479177928</v>
      </c>
      <c r="AK2963" s="1">
        <v>39.985373144</v>
      </c>
      <c r="AL2963" s="1">
        <v>14.462749672</v>
      </c>
      <c r="AM2963" s="1">
        <v>48.326920835</v>
      </c>
      <c r="AN2963" s="1">
        <v>13.3336745009999</v>
      </c>
      <c r="AO2963" s="1">
        <v>20997.0</v>
      </c>
      <c r="AP2963" s="1">
        <v>16.4</v>
      </c>
      <c r="AQ2963" s="1">
        <v>6.8</v>
      </c>
      <c r="AR2963" s="1">
        <v>26.4</v>
      </c>
      <c r="AS2963" s="1">
        <v>8.1</v>
      </c>
      <c r="AT2963" s="1">
        <v>33.5</v>
      </c>
      <c r="AU2963" s="1">
        <v>10.0</v>
      </c>
      <c r="AV2963" s="1">
        <v>58.4</v>
      </c>
      <c r="AW2963" s="1">
        <v>14.4</v>
      </c>
      <c r="AX2963" s="1">
        <v>0.8848</v>
      </c>
      <c r="AY2963" s="1">
        <v>13.5</v>
      </c>
      <c r="AZ2963" s="1">
        <v>10.5</v>
      </c>
      <c r="BA2963" s="1">
        <v>16.4</v>
      </c>
      <c r="BB2963" s="1">
        <v>3.02</v>
      </c>
      <c r="BC2963" s="1" t="s">
        <v>4823</v>
      </c>
      <c r="BD2963" s="1">
        <v>25.0</v>
      </c>
      <c r="BE2963" s="1">
        <v>25.5</v>
      </c>
      <c r="BF2963" s="1">
        <v>31.8</v>
      </c>
      <c r="BG2963" s="1">
        <v>17.7</v>
      </c>
      <c r="BH2963" s="1" t="s">
        <v>4838</v>
      </c>
    </row>
    <row r="2964">
      <c r="A2964" s="1">
        <v>53023.0</v>
      </c>
      <c r="B2964" s="2" t="str">
        <f>IFERROR(__xludf.DUMMYFUNCTION("TO_TEXT(A2964)"),"53023")</f>
        <v>53023</v>
      </c>
      <c r="C2964" s="1">
        <v>2231.0</v>
      </c>
      <c r="D2964" s="1">
        <v>710.834984405227</v>
      </c>
      <c r="E2964" s="1" t="s">
        <v>579</v>
      </c>
      <c r="F2964" s="1" t="s">
        <v>4839</v>
      </c>
      <c r="G2964" s="1">
        <v>3.13856246378578</v>
      </c>
      <c r="H2964" s="1">
        <v>17.011927924</v>
      </c>
      <c r="I2964" s="1">
        <v>4.3449491077</v>
      </c>
      <c r="J2964" s="1">
        <v>7.5144508671</v>
      </c>
      <c r="K2964" s="1">
        <v>13.407233131</v>
      </c>
      <c r="L2964" s="1">
        <v>33.1</v>
      </c>
      <c r="M2964" s="1">
        <v>4.9</v>
      </c>
      <c r="N2964" s="1">
        <v>27.2</v>
      </c>
      <c r="O2964" s="1">
        <v>45.542806708</v>
      </c>
      <c r="P2964" s="1">
        <v>4.4044665012</v>
      </c>
      <c r="Q2964" s="1">
        <v>90.49774</v>
      </c>
      <c r="R2964" s="1">
        <v>85.714285714</v>
      </c>
      <c r="S2964" s="1">
        <v>18.0</v>
      </c>
      <c r="T2964" s="1">
        <v>529.0</v>
      </c>
      <c r="U2964" s="1">
        <v>18.525519849</v>
      </c>
      <c r="V2964" s="1">
        <v>89.2458723779999</v>
      </c>
      <c r="W2964" s="1">
        <v>10.526315789</v>
      </c>
      <c r="X2964" s="1">
        <v>8.245243129</v>
      </c>
      <c r="Y2964" s="1">
        <v>80.710449228</v>
      </c>
      <c r="Z2964" s="1">
        <v>13.2</v>
      </c>
      <c r="AA2964" s="1">
        <v>37.828216871</v>
      </c>
      <c r="AB2964" s="1">
        <v>50185.0</v>
      </c>
      <c r="AC2964" s="1">
        <v>51.796407186</v>
      </c>
      <c r="AD2964" s="1">
        <v>70.110330993</v>
      </c>
      <c r="AE2964" s="1">
        <v>10.695742471</v>
      </c>
      <c r="AF2964" s="1">
        <v>0.0890075656</v>
      </c>
      <c r="AG2964" s="1">
        <v>0.7120605251</v>
      </c>
      <c r="AH2964" s="1">
        <v>2.8482421006</v>
      </c>
      <c r="AI2964" s="1">
        <v>0.0</v>
      </c>
      <c r="AJ2964" s="1">
        <v>5.4294615042</v>
      </c>
      <c r="AK2964" s="1">
        <v>89.0075656429999</v>
      </c>
      <c r="AL2964" s="1">
        <v>0.1917545542</v>
      </c>
      <c r="AM2964" s="1">
        <v>51.0903426789999</v>
      </c>
      <c r="AN2964" s="1">
        <v>100.0</v>
      </c>
      <c r="AO2964" s="1">
        <v>23313.0</v>
      </c>
      <c r="AP2964" s="1">
        <v>11.3</v>
      </c>
      <c r="AQ2964" s="1">
        <v>4.4</v>
      </c>
      <c r="AR2964" s="1">
        <v>3.6</v>
      </c>
      <c r="AS2964" s="1">
        <v>22.5</v>
      </c>
      <c r="AT2964" s="1">
        <v>24.2</v>
      </c>
      <c r="AU2964" s="1">
        <v>19.8</v>
      </c>
      <c r="AV2964" s="1">
        <v>7.8</v>
      </c>
      <c r="AW2964" s="1">
        <v>0.3</v>
      </c>
      <c r="AX2964" s="1">
        <v>0.1398</v>
      </c>
      <c r="AY2964" s="1">
        <v>12.9</v>
      </c>
      <c r="AZ2964" s="1">
        <v>13.3</v>
      </c>
      <c r="BA2964" s="1">
        <v>21.1</v>
      </c>
      <c r="BB2964" s="1">
        <v>3.13</v>
      </c>
      <c r="BC2964" s="1" t="s">
        <v>4823</v>
      </c>
      <c r="BD2964" s="1">
        <v>5.6</v>
      </c>
      <c r="BE2964" s="1">
        <v>27.9</v>
      </c>
      <c r="BF2964" s="1">
        <v>42.1</v>
      </c>
      <c r="BG2964" s="1">
        <v>24.5</v>
      </c>
      <c r="BH2964" s="1" t="s">
        <v>4839</v>
      </c>
    </row>
    <row r="2965">
      <c r="A2965" s="1">
        <v>53025.0</v>
      </c>
      <c r="B2965" s="2" t="str">
        <f>IFERROR(__xludf.DUMMYFUNCTION("TO_TEXT(A2965)"),"53025")</f>
        <v>53025</v>
      </c>
      <c r="C2965" s="1">
        <v>92530.0</v>
      </c>
      <c r="D2965" s="1">
        <v>2679.49601028512</v>
      </c>
      <c r="E2965" s="1" t="s">
        <v>332</v>
      </c>
      <c r="F2965" s="1" t="s">
        <v>4840</v>
      </c>
      <c r="G2965" s="1">
        <v>34.5326134634379</v>
      </c>
      <c r="H2965" s="1">
        <v>20.708867493</v>
      </c>
      <c r="I2965" s="1">
        <v>4.2303331547</v>
      </c>
      <c r="J2965" s="1">
        <v>6.0988433228</v>
      </c>
      <c r="K2965" s="1">
        <v>15.65962674</v>
      </c>
      <c r="L2965" s="1">
        <v>34.3</v>
      </c>
      <c r="M2965" s="1">
        <v>8.1</v>
      </c>
      <c r="N2965" s="1">
        <v>24.4</v>
      </c>
      <c r="O2965" s="1">
        <v>79.40978456</v>
      </c>
      <c r="P2965" s="1">
        <v>12.531071611</v>
      </c>
      <c r="Q2965" s="1">
        <v>42.03535</v>
      </c>
      <c r="R2965" s="1">
        <v>78.760393046</v>
      </c>
      <c r="S2965" s="1">
        <v>16.5</v>
      </c>
      <c r="T2965" s="1">
        <v>28108.0</v>
      </c>
      <c r="U2965" s="1">
        <v>26.273658745</v>
      </c>
      <c r="V2965" s="1">
        <v>278.46601314</v>
      </c>
      <c r="W2965" s="1">
        <v>16.703038442</v>
      </c>
      <c r="X2965" s="1">
        <v>9.2498302783</v>
      </c>
      <c r="Y2965" s="1">
        <v>79.026790998</v>
      </c>
      <c r="Z2965" s="1">
        <v>11.0</v>
      </c>
      <c r="AA2965" s="1">
        <v>9.5578741185</v>
      </c>
      <c r="AB2965" s="1">
        <v>53688.0</v>
      </c>
      <c r="AC2965" s="1">
        <v>67.3511394269999</v>
      </c>
      <c r="AD2965" s="1">
        <v>61.812012659</v>
      </c>
      <c r="AE2965" s="1">
        <v>9.6034121006</v>
      </c>
      <c r="AF2965" s="1">
        <v>0.9144054823</v>
      </c>
      <c r="AG2965" s="1">
        <v>2.2695749556</v>
      </c>
      <c r="AH2965" s="1">
        <v>1.1476302514</v>
      </c>
      <c r="AI2965" s="1">
        <v>0.1787714089</v>
      </c>
      <c r="AJ2965" s="1">
        <v>42.12943461</v>
      </c>
      <c r="AK2965" s="1">
        <v>53.378676886</v>
      </c>
      <c r="AL2965" s="1">
        <v>12.467004843</v>
      </c>
      <c r="AM2965" s="1">
        <v>49.1025469789999</v>
      </c>
      <c r="AN2965" s="1">
        <v>38.748877917</v>
      </c>
      <c r="AO2965" s="1">
        <v>20409.0</v>
      </c>
      <c r="AP2965" s="1">
        <v>16.9</v>
      </c>
      <c r="AQ2965" s="1">
        <v>9.1</v>
      </c>
      <c r="AR2965" s="1">
        <v>24.9</v>
      </c>
      <c r="AS2965" s="1">
        <v>12.6</v>
      </c>
      <c r="AT2965" s="1">
        <v>30.2</v>
      </c>
      <c r="AU2965" s="1">
        <v>12.4</v>
      </c>
      <c r="AV2965" s="1">
        <v>44.5</v>
      </c>
      <c r="AW2965" s="1">
        <v>13.1</v>
      </c>
      <c r="AX2965" s="1">
        <v>0.9137</v>
      </c>
      <c r="AY2965" s="1">
        <v>13.9</v>
      </c>
      <c r="AZ2965" s="1">
        <v>11.6</v>
      </c>
      <c r="BA2965" s="1">
        <v>16.5</v>
      </c>
      <c r="BB2965" s="1">
        <v>3.0</v>
      </c>
      <c r="BC2965" s="1" t="s">
        <v>4823</v>
      </c>
      <c r="BD2965" s="1">
        <v>23.3</v>
      </c>
      <c r="BE2965" s="1">
        <v>27.2</v>
      </c>
      <c r="BF2965" s="1">
        <v>31.8</v>
      </c>
      <c r="BG2965" s="1">
        <v>17.7</v>
      </c>
      <c r="BH2965" s="1" t="s">
        <v>4840</v>
      </c>
    </row>
    <row r="2966">
      <c r="A2966" s="1">
        <v>53027.0</v>
      </c>
      <c r="B2966" s="2" t="str">
        <f>IFERROR(__xludf.DUMMYFUNCTION("TO_TEXT(A2966)"),"53027")</f>
        <v>53027</v>
      </c>
      <c r="C2966" s="1">
        <v>71233.0</v>
      </c>
      <c r="D2966" s="1">
        <v>1901.29890762786</v>
      </c>
      <c r="E2966" s="1" t="s">
        <v>4841</v>
      </c>
      <c r="F2966" s="1" t="s">
        <v>4842</v>
      </c>
      <c r="G2966" s="1">
        <v>37.4654399233169</v>
      </c>
      <c r="H2966" s="1">
        <v>17.606658407</v>
      </c>
      <c r="I2966" s="1">
        <v>4.5722415052</v>
      </c>
      <c r="J2966" s="1">
        <v>7.2832802846</v>
      </c>
      <c r="K2966" s="1">
        <v>15.288438792</v>
      </c>
      <c r="L2966" s="1">
        <v>35.8</v>
      </c>
      <c r="M2966" s="1">
        <v>7.0</v>
      </c>
      <c r="N2966" s="1">
        <v>24.3</v>
      </c>
      <c r="O2966" s="1">
        <v>81.6640795639999</v>
      </c>
      <c r="P2966" s="1">
        <v>8.9202566453</v>
      </c>
      <c r="Q2966" s="1">
        <v>34.3893099999999</v>
      </c>
      <c r="R2966" s="1">
        <v>81.557377049</v>
      </c>
      <c r="S2966" s="1">
        <v>23.8</v>
      </c>
      <c r="T2966" s="1">
        <v>14794.0</v>
      </c>
      <c r="U2966" s="1">
        <v>36.170068947</v>
      </c>
      <c r="V2966" s="1">
        <v>243.53339578</v>
      </c>
      <c r="W2966" s="1">
        <v>15.70804514</v>
      </c>
      <c r="X2966" s="1">
        <v>12.252920452</v>
      </c>
      <c r="Y2966" s="1">
        <v>76.7871986689999</v>
      </c>
      <c r="Z2966" s="1">
        <v>13.2</v>
      </c>
      <c r="AA2966" s="1">
        <v>11.884261403</v>
      </c>
      <c r="AB2966" s="1">
        <v>48763.0</v>
      </c>
      <c r="AC2966" s="1">
        <v>65.168433005</v>
      </c>
      <c r="AD2966" s="1">
        <v>66.213777731</v>
      </c>
      <c r="AE2966" s="1">
        <v>13.787155963</v>
      </c>
      <c r="AF2966" s="1">
        <v>1.2327302743</v>
      </c>
      <c r="AG2966" s="1">
        <v>5.57637921</v>
      </c>
      <c r="AH2966" s="1">
        <v>1.4749462118</v>
      </c>
      <c r="AI2966" s="1">
        <v>0.3342309306</v>
      </c>
      <c r="AJ2966" s="1">
        <v>10.233961651</v>
      </c>
      <c r="AK2966" s="1">
        <v>79.178901503</v>
      </c>
      <c r="AL2966" s="1">
        <v>1.984757533</v>
      </c>
      <c r="AM2966" s="1">
        <v>48.824779096</v>
      </c>
      <c r="AN2966" s="1">
        <v>40.112916741</v>
      </c>
      <c r="AO2966" s="1">
        <v>23799.0</v>
      </c>
      <c r="AP2966" s="1">
        <v>16.6</v>
      </c>
      <c r="AQ2966" s="1">
        <v>12.1</v>
      </c>
      <c r="AR2966" s="1">
        <v>11.8</v>
      </c>
      <c r="AS2966" s="1">
        <v>18.9</v>
      </c>
      <c r="AT2966" s="1">
        <v>21.0</v>
      </c>
      <c r="AU2966" s="1">
        <v>19.1</v>
      </c>
      <c r="AV2966" s="1">
        <v>20.0</v>
      </c>
      <c r="AW2966" s="1">
        <v>2.3</v>
      </c>
      <c r="AX2966" s="1">
        <v>0.8478</v>
      </c>
      <c r="AY2966" s="1">
        <v>13.1</v>
      </c>
      <c r="AZ2966" s="1">
        <v>15.1</v>
      </c>
      <c r="BA2966" s="1">
        <v>23.6</v>
      </c>
      <c r="BB2966" s="1">
        <v>3.45</v>
      </c>
      <c r="BC2966" s="1" t="s">
        <v>4823</v>
      </c>
      <c r="BD2966" s="1">
        <v>10.3</v>
      </c>
      <c r="BE2966" s="1">
        <v>34.0</v>
      </c>
      <c r="BF2966" s="1">
        <v>39.2</v>
      </c>
      <c r="BG2966" s="1">
        <v>16.5</v>
      </c>
      <c r="BH2966" s="1" t="s">
        <v>4842</v>
      </c>
    </row>
    <row r="2967">
      <c r="A2967" s="1">
        <v>53029.0</v>
      </c>
      <c r="B2967" s="2" t="str">
        <f>IFERROR(__xludf.DUMMYFUNCTION("TO_TEXT(A2967)"),"53029")</f>
        <v>53029</v>
      </c>
      <c r="C2967" s="1">
        <v>80113.0</v>
      </c>
      <c r="D2967" s="1">
        <v>208.349302942778</v>
      </c>
      <c r="E2967" s="1" t="s">
        <v>4843</v>
      </c>
      <c r="F2967" s="1" t="s">
        <v>4844</v>
      </c>
      <c r="G2967" s="1">
        <v>384.512925498016</v>
      </c>
      <c r="H2967" s="1">
        <v>13.111056948</v>
      </c>
      <c r="I2967" s="1">
        <v>3.8192518158</v>
      </c>
      <c r="J2967" s="1">
        <v>4.9605055292</v>
      </c>
      <c r="K2967" s="1">
        <v>11.6006152929999</v>
      </c>
      <c r="L2967" s="1">
        <v>29.2</v>
      </c>
      <c r="M2967" s="1">
        <v>7.8</v>
      </c>
      <c r="N2967" s="1">
        <v>16.4</v>
      </c>
      <c r="O2967" s="1">
        <v>86.192138181</v>
      </c>
      <c r="P2967" s="1">
        <v>5.9623940506</v>
      </c>
      <c r="Q2967" s="1">
        <v>37.27799</v>
      </c>
      <c r="R2967" s="1">
        <v>88.115449915</v>
      </c>
      <c r="S2967" s="1">
        <v>9.7</v>
      </c>
      <c r="T2967" s="1">
        <v>14898.0</v>
      </c>
      <c r="U2967" s="1">
        <v>23.84212646</v>
      </c>
      <c r="V2967" s="1">
        <v>107.36796898</v>
      </c>
      <c r="W2967" s="1">
        <v>15.363881402</v>
      </c>
      <c r="X2967" s="1">
        <v>13.405797101</v>
      </c>
      <c r="Y2967" s="1">
        <v>81.74638388</v>
      </c>
      <c r="Z2967" s="1">
        <v>8.1</v>
      </c>
      <c r="AA2967" s="1">
        <v>7.75325484679999</v>
      </c>
      <c r="AB2967" s="1">
        <v>65987.0</v>
      </c>
      <c r="AC2967" s="1">
        <v>34.657564906</v>
      </c>
      <c r="AD2967" s="1">
        <v>69.290536608</v>
      </c>
      <c r="AE2967" s="1">
        <v>13.683990567</v>
      </c>
      <c r="AF2967" s="1">
        <v>2.8238219275</v>
      </c>
      <c r="AG2967" s="1">
        <v>1.0798010893</v>
      </c>
      <c r="AH2967" s="1">
        <v>5.0698555529</v>
      </c>
      <c r="AI2967" s="1">
        <v>0.5079327492</v>
      </c>
      <c r="AJ2967" s="1">
        <v>8.1210040256</v>
      </c>
      <c r="AK2967" s="1">
        <v>78.801799668</v>
      </c>
      <c r="AL2967" s="1">
        <v>0.6803516016</v>
      </c>
      <c r="AM2967" s="1">
        <v>50.136159129</v>
      </c>
      <c r="AN2967" s="1">
        <v>46.8957786669999</v>
      </c>
      <c r="AO2967" s="1">
        <v>32503.0</v>
      </c>
      <c r="AP2967" s="1">
        <v>9.5</v>
      </c>
      <c r="AQ2967" s="1">
        <v>7.7</v>
      </c>
      <c r="AR2967" s="1">
        <v>5.2</v>
      </c>
      <c r="AS2967" s="1">
        <v>22.3</v>
      </c>
      <c r="AT2967" s="1">
        <v>19.0</v>
      </c>
      <c r="AU2967" s="1">
        <v>15.1</v>
      </c>
      <c r="AV2967" s="1">
        <v>19.3</v>
      </c>
      <c r="AW2967" s="1">
        <v>0.8</v>
      </c>
      <c r="AX2967" s="1">
        <v>0.2334</v>
      </c>
      <c r="AY2967" s="1">
        <v>7.3</v>
      </c>
      <c r="AZ2967" s="1">
        <v>11.2</v>
      </c>
      <c r="BA2967" s="1">
        <v>17.6</v>
      </c>
      <c r="BB2967" s="1">
        <v>3.83</v>
      </c>
      <c r="BC2967" s="1" t="s">
        <v>4823</v>
      </c>
      <c r="BD2967" s="1">
        <v>4.7</v>
      </c>
      <c r="BE2967" s="1">
        <v>21.7</v>
      </c>
      <c r="BF2967" s="1">
        <v>40.1</v>
      </c>
      <c r="BG2967" s="1">
        <v>33.6</v>
      </c>
      <c r="BH2967" s="1" t="s">
        <v>4844</v>
      </c>
    </row>
    <row r="2968">
      <c r="A2968" s="1">
        <v>53031.0</v>
      </c>
      <c r="B2968" s="2" t="str">
        <f>IFERROR(__xludf.DUMMYFUNCTION("TO_TEXT(A2968)"),"53031")</f>
        <v>53031</v>
      </c>
      <c r="C2968" s="1">
        <v>30333.0</v>
      </c>
      <c r="D2968" s="1">
        <v>1803.78773671242</v>
      </c>
      <c r="E2968" s="1" t="s">
        <v>132</v>
      </c>
      <c r="F2968" s="1" t="s">
        <v>4845</v>
      </c>
      <c r="G2968" s="1">
        <v>16.8162801989578</v>
      </c>
      <c r="H2968" s="1">
        <v>12.253028065</v>
      </c>
      <c r="I2968" s="1">
        <v>4.0819709686</v>
      </c>
      <c r="J2968" s="1">
        <v>4.9268668206</v>
      </c>
      <c r="K2968" s="1">
        <v>11.732302326</v>
      </c>
      <c r="L2968" s="1">
        <v>24.2</v>
      </c>
      <c r="M2968" s="1">
        <v>7.5</v>
      </c>
      <c r="N2968" s="1">
        <v>11.0</v>
      </c>
      <c r="O2968" s="1">
        <v>85.069630423</v>
      </c>
      <c r="P2968" s="1">
        <v>8.3405645449</v>
      </c>
      <c r="Q2968" s="1">
        <v>83.24262</v>
      </c>
      <c r="R2968" s="1">
        <v>80.168776371</v>
      </c>
      <c r="S2968" s="1">
        <v>21.6</v>
      </c>
      <c r="T2968" s="1">
        <v>3753.0</v>
      </c>
      <c r="U2968" s="1">
        <v>30.0826005859999</v>
      </c>
      <c r="V2968" s="1">
        <v>211.64542009</v>
      </c>
      <c r="W2968" s="1">
        <v>15.52359882</v>
      </c>
      <c r="X2968" s="1">
        <v>14.524517088</v>
      </c>
      <c r="Y2968" s="1">
        <v>81.014526694</v>
      </c>
      <c r="Z2968" s="1">
        <v>8.0</v>
      </c>
      <c r="AA2968" s="1">
        <v>8.2521564182</v>
      </c>
      <c r="AB2968" s="1">
        <v>55893.0</v>
      </c>
      <c r="AC2968" s="1">
        <v>46.255175009</v>
      </c>
      <c r="AD2968" s="1">
        <v>73.270594845</v>
      </c>
      <c r="AE2968" s="1">
        <v>12.773828522</v>
      </c>
      <c r="AF2968" s="1">
        <v>0.9644174099</v>
      </c>
      <c r="AG2968" s="1">
        <v>2.3322512528</v>
      </c>
      <c r="AH2968" s="1">
        <v>1.9004696019</v>
      </c>
      <c r="AI2968" s="1">
        <v>0.2489835797</v>
      </c>
      <c r="AJ2968" s="1">
        <v>3.690630023</v>
      </c>
      <c r="AK2968" s="1">
        <v>88.534148571</v>
      </c>
      <c r="AL2968" s="1">
        <v>0.4522916108</v>
      </c>
      <c r="AM2968" s="1">
        <v>51.060543982</v>
      </c>
      <c r="AN2968" s="1">
        <v>57.468532405</v>
      </c>
      <c r="AO2968" s="1">
        <v>30871.0</v>
      </c>
      <c r="AP2968" s="1">
        <v>12.0</v>
      </c>
      <c r="AQ2968" s="1">
        <v>7.2</v>
      </c>
      <c r="AR2968" s="1">
        <v>5.5</v>
      </c>
      <c r="AS2968" s="1">
        <v>31.6</v>
      </c>
      <c r="AT2968" s="1">
        <v>13.7</v>
      </c>
      <c r="AU2968" s="1">
        <v>16.8</v>
      </c>
      <c r="AV2968" s="1">
        <v>11.3</v>
      </c>
      <c r="AW2968" s="1">
        <v>0.6</v>
      </c>
      <c r="AX2968" s="1">
        <v>0.2127</v>
      </c>
      <c r="AY2968" s="1">
        <v>12.6</v>
      </c>
      <c r="AZ2968" s="1">
        <v>13.3</v>
      </c>
      <c r="BA2968" s="1">
        <v>23.4</v>
      </c>
      <c r="BB2968" s="1">
        <v>4.46</v>
      </c>
      <c r="BC2968" s="1" t="s">
        <v>4823</v>
      </c>
      <c r="BD2968" s="1">
        <v>4.9</v>
      </c>
      <c r="BE2968" s="1">
        <v>20.7</v>
      </c>
      <c r="BF2968" s="1">
        <v>30.1</v>
      </c>
      <c r="BG2968" s="1">
        <v>44.3</v>
      </c>
      <c r="BH2968" s="1" t="s">
        <v>4845</v>
      </c>
    </row>
    <row r="2969">
      <c r="A2969" s="1">
        <v>53033.0</v>
      </c>
      <c r="B2969" s="2" t="str">
        <f>IFERROR(__xludf.DUMMYFUNCTION("TO_TEXT(A2969)"),"53033")</f>
        <v>53033</v>
      </c>
      <c r="C2969" s="1">
        <v>2079550.0</v>
      </c>
      <c r="D2969" s="1">
        <v>2115.5911412035</v>
      </c>
      <c r="E2969" s="1" t="s">
        <v>4340</v>
      </c>
      <c r="F2969" s="1" t="s">
        <v>4846</v>
      </c>
      <c r="G2969" s="1">
        <v>982.964032840959</v>
      </c>
      <c r="H2969" s="1">
        <v>10.941285789</v>
      </c>
      <c r="I2969" s="1">
        <v>3.5789907044</v>
      </c>
      <c r="J2969" s="1">
        <v>6.6044585626</v>
      </c>
      <c r="K2969" s="1">
        <v>8.8150454593</v>
      </c>
      <c r="L2969" s="1">
        <v>22.0</v>
      </c>
      <c r="M2969" s="1">
        <v>8.3</v>
      </c>
      <c r="N2969" s="1">
        <v>13.4</v>
      </c>
      <c r="O2969" s="1">
        <v>97.417060151</v>
      </c>
      <c r="P2969" s="1">
        <v>6.2430302119</v>
      </c>
      <c r="Q2969" s="1">
        <v>120.66805</v>
      </c>
      <c r="R2969" s="1">
        <v>84.014626426</v>
      </c>
      <c r="S2969" s="1">
        <v>10.8</v>
      </c>
      <c r="T2969" s="1">
        <v>442097.0</v>
      </c>
      <c r="U2969" s="1">
        <v>23.9718885219999</v>
      </c>
      <c r="V2969" s="1">
        <v>340.63880554</v>
      </c>
      <c r="W2969" s="1">
        <v>17.771140452</v>
      </c>
      <c r="X2969" s="1">
        <v>14.490463282</v>
      </c>
      <c r="Y2969" s="1">
        <v>82.375965502</v>
      </c>
      <c r="Z2969" s="1">
        <v>7.2</v>
      </c>
      <c r="AA2969" s="1">
        <v>2.7763421321</v>
      </c>
      <c r="AB2969" s="1">
        <v>94822.0</v>
      </c>
      <c r="AC2969" s="1">
        <v>33.104192785</v>
      </c>
      <c r="AD2969" s="1">
        <v>57.11963698</v>
      </c>
      <c r="AE2969" s="1">
        <v>14.479805013</v>
      </c>
      <c r="AF2969" s="1">
        <v>6.5502607736</v>
      </c>
      <c r="AG2969" s="1">
        <v>1.0017181907</v>
      </c>
      <c r="AH2969" s="1">
        <v>19.210957731</v>
      </c>
      <c r="AI2969" s="1">
        <v>0.8474079142</v>
      </c>
      <c r="AJ2969" s="1">
        <v>9.7737155774</v>
      </c>
      <c r="AK2969" s="1">
        <v>58.8604593569999</v>
      </c>
      <c r="AL2969" s="1">
        <v>4.6432108444</v>
      </c>
      <c r="AM2969" s="1">
        <v>49.7974845539999</v>
      </c>
      <c r="AN2969" s="1">
        <v>3.2071472917</v>
      </c>
      <c r="AO2969" s="1">
        <v>43629.0</v>
      </c>
      <c r="AP2969" s="1">
        <v>10.7</v>
      </c>
      <c r="AQ2969" s="1">
        <v>5.5</v>
      </c>
      <c r="AR2969" s="1">
        <v>7.5</v>
      </c>
      <c r="AS2969" s="1">
        <v>12.2</v>
      </c>
      <c r="AT2969" s="1">
        <v>20.9</v>
      </c>
      <c r="AU2969" s="1">
        <v>9.6</v>
      </c>
      <c r="AV2969" s="1">
        <v>37.8</v>
      </c>
      <c r="AW2969" s="1">
        <v>4.8</v>
      </c>
      <c r="AX2969" s="1">
        <v>0.2818</v>
      </c>
      <c r="AY2969" s="1">
        <v>7.7</v>
      </c>
      <c r="AZ2969" s="1">
        <v>9.5</v>
      </c>
      <c r="BA2969" s="1">
        <v>12.1</v>
      </c>
      <c r="BB2969" s="1">
        <v>3.86</v>
      </c>
      <c r="BC2969" s="1" t="s">
        <v>4823</v>
      </c>
      <c r="BD2969" s="1">
        <v>6.9</v>
      </c>
      <c r="BE2969" s="1">
        <v>15.0</v>
      </c>
      <c r="BF2969" s="1">
        <v>25.6</v>
      </c>
      <c r="BG2969" s="1">
        <v>52.5</v>
      </c>
      <c r="BH2969" s="1" t="s">
        <v>4846</v>
      </c>
    </row>
    <row r="2970">
      <c r="A2970" s="1">
        <v>53035.0</v>
      </c>
      <c r="B2970" s="2" t="str">
        <f>IFERROR(__xludf.DUMMYFUNCTION("TO_TEXT(A2970)"),"53035")</f>
        <v>53035</v>
      </c>
      <c r="C2970" s="1">
        <v>257488.0</v>
      </c>
      <c r="D2970" s="1">
        <v>395.129294104588</v>
      </c>
      <c r="E2970" s="1" t="s">
        <v>4847</v>
      </c>
      <c r="F2970" s="1" t="s">
        <v>4848</v>
      </c>
      <c r="G2970" s="1">
        <v>651.655050237416</v>
      </c>
      <c r="H2970" s="1">
        <v>13.824952372</v>
      </c>
      <c r="I2970" s="1">
        <v>4.1466925467</v>
      </c>
      <c r="J2970" s="1">
        <v>6.35193133049999</v>
      </c>
      <c r="K2970" s="1">
        <v>12.469553824</v>
      </c>
      <c r="L2970" s="1">
        <v>30.6</v>
      </c>
      <c r="M2970" s="1">
        <v>7.9</v>
      </c>
      <c r="N2970" s="1">
        <v>16.2</v>
      </c>
      <c r="O2970" s="1">
        <v>85.213412813</v>
      </c>
      <c r="P2970" s="1">
        <v>5.2741864412</v>
      </c>
      <c r="Q2970" s="1">
        <v>64.5611699999999</v>
      </c>
      <c r="R2970" s="1">
        <v>82.312432041</v>
      </c>
      <c r="S2970" s="1">
        <v>11.5</v>
      </c>
      <c r="T2970" s="1">
        <v>53748.0</v>
      </c>
      <c r="U2970" s="1">
        <v>28.2336086919999</v>
      </c>
      <c r="V2970" s="1">
        <v>263.23249504</v>
      </c>
      <c r="W2970" s="1">
        <v>15.287531807</v>
      </c>
      <c r="X2970" s="1">
        <v>13.40492216</v>
      </c>
      <c r="Y2970" s="1">
        <v>80.222275212</v>
      </c>
      <c r="Z2970" s="1">
        <v>8.1</v>
      </c>
      <c r="AA2970" s="1">
        <v>7.4992612454</v>
      </c>
      <c r="AB2970" s="1">
        <v>76530.0</v>
      </c>
      <c r="AC2970" s="1">
        <v>32.954794821</v>
      </c>
      <c r="AD2970" s="1">
        <v>66.587318762</v>
      </c>
      <c r="AE2970" s="1">
        <v>13.476426824</v>
      </c>
      <c r="AF2970" s="1">
        <v>2.8413113174</v>
      </c>
      <c r="AG2970" s="1">
        <v>1.73050907139999</v>
      </c>
      <c r="AH2970" s="1">
        <v>5.45949852669999</v>
      </c>
      <c r="AI2970" s="1">
        <v>0.9951631734</v>
      </c>
      <c r="AJ2970" s="1">
        <v>7.9772428235</v>
      </c>
      <c r="AK2970" s="1">
        <v>76.275828839</v>
      </c>
      <c r="AL2970" s="1">
        <v>0.6174312112</v>
      </c>
      <c r="AM2970" s="1">
        <v>48.858620115</v>
      </c>
      <c r="AN2970" s="1">
        <v>16.741726496</v>
      </c>
      <c r="AO2970" s="1">
        <v>32801.0</v>
      </c>
      <c r="AP2970" s="1">
        <v>10.4</v>
      </c>
      <c r="AQ2970" s="1">
        <v>7.0</v>
      </c>
      <c r="AR2970" s="1">
        <v>5.7</v>
      </c>
      <c r="AS2970" s="1">
        <v>15.9</v>
      </c>
      <c r="AT2970" s="1">
        <v>21.1</v>
      </c>
      <c r="AU2970" s="1">
        <v>15.7</v>
      </c>
      <c r="AV2970" s="1">
        <v>22.3</v>
      </c>
      <c r="AW2970" s="1">
        <v>0.6</v>
      </c>
      <c r="AX2970" s="1">
        <v>0.3155</v>
      </c>
      <c r="AY2970" s="1">
        <v>7.5</v>
      </c>
      <c r="AZ2970" s="1">
        <v>11.2</v>
      </c>
      <c r="BA2970" s="1">
        <v>16.5</v>
      </c>
      <c r="BB2970" s="1">
        <v>3.44</v>
      </c>
      <c r="BC2970" s="1" t="s">
        <v>4823</v>
      </c>
      <c r="BD2970" s="1">
        <v>5.2</v>
      </c>
      <c r="BE2970" s="1">
        <v>22.2</v>
      </c>
      <c r="BF2970" s="1">
        <v>39.4</v>
      </c>
      <c r="BG2970" s="1">
        <v>33.2</v>
      </c>
      <c r="BH2970" s="1" t="s">
        <v>4848</v>
      </c>
    </row>
    <row r="2971">
      <c r="A2971" s="1">
        <v>53037.0</v>
      </c>
      <c r="B2971" s="2" t="str">
        <f>IFERROR(__xludf.DUMMYFUNCTION("TO_TEXT(A2971)"),"53037")</f>
        <v>53037</v>
      </c>
      <c r="C2971" s="1">
        <v>42785.0</v>
      </c>
      <c r="D2971" s="1">
        <v>2297.29962699662</v>
      </c>
      <c r="E2971" s="1" t="s">
        <v>4849</v>
      </c>
      <c r="F2971" s="1" t="s">
        <v>4850</v>
      </c>
      <c r="G2971" s="1">
        <v>18.6240399368083</v>
      </c>
      <c r="H2971" s="1">
        <v>15.2187555029999</v>
      </c>
      <c r="I2971" s="1">
        <v>4.26243337089999</v>
      </c>
      <c r="J2971" s="1">
        <v>5.8286516854</v>
      </c>
      <c r="K2971" s="1">
        <v>14.2589307159999</v>
      </c>
      <c r="L2971" s="1">
        <v>27.4</v>
      </c>
      <c r="M2971" s="1">
        <v>7.0</v>
      </c>
      <c r="N2971" s="1">
        <v>21.1</v>
      </c>
      <c r="O2971" s="1">
        <v>78.931932054</v>
      </c>
      <c r="P2971" s="1">
        <v>8.1906282694</v>
      </c>
      <c r="Q2971" s="1">
        <v>58.43523</v>
      </c>
      <c r="R2971" s="1">
        <v>83.466666667</v>
      </c>
      <c r="S2971" s="1">
        <v>12.8</v>
      </c>
      <c r="T2971" s="1">
        <v>7699.0</v>
      </c>
      <c r="U2971" s="1">
        <v>23.548512794</v>
      </c>
      <c r="V2971" s="1">
        <v>110.40477878</v>
      </c>
      <c r="W2971" s="1">
        <v>22.924555782</v>
      </c>
      <c r="X2971" s="1">
        <v>20.406941951</v>
      </c>
      <c r="Y2971" s="1">
        <v>81.465059902</v>
      </c>
      <c r="Z2971" s="1">
        <v>6.5</v>
      </c>
      <c r="AA2971" s="1">
        <v>10.49612086</v>
      </c>
      <c r="AB2971" s="1">
        <v>55624.0</v>
      </c>
      <c r="AC2971" s="1">
        <v>38.478873239</v>
      </c>
      <c r="AD2971" s="1">
        <v>57.529300672</v>
      </c>
      <c r="AE2971" s="1">
        <v>19.777803495</v>
      </c>
      <c r="AF2971" s="1">
        <v>1.04932015879999</v>
      </c>
      <c r="AG2971" s="1">
        <v>1.3132336796</v>
      </c>
      <c r="AH2971" s="1">
        <v>2.2506545055</v>
      </c>
      <c r="AI2971" s="1">
        <v>0.2195760493</v>
      </c>
      <c r="AJ2971" s="1">
        <v>8.9435013935</v>
      </c>
      <c r="AK2971" s="1">
        <v>83.755594967</v>
      </c>
      <c r="AL2971" s="1">
        <v>0.7800604371</v>
      </c>
      <c r="AM2971" s="1">
        <v>49.56295921</v>
      </c>
      <c r="AN2971" s="1">
        <v>40.056214102</v>
      </c>
      <c r="AO2971" s="1">
        <v>25147.0</v>
      </c>
      <c r="AP2971" s="1">
        <v>20.9</v>
      </c>
      <c r="AQ2971" s="1">
        <v>6.7</v>
      </c>
      <c r="AR2971" s="1">
        <v>9.4</v>
      </c>
      <c r="AS2971" s="1">
        <v>14.6</v>
      </c>
      <c r="AT2971" s="1">
        <v>17.8</v>
      </c>
      <c r="AU2971" s="1">
        <v>13.2</v>
      </c>
      <c r="AV2971" s="1">
        <v>15.4</v>
      </c>
      <c r="AW2971" s="1">
        <v>1.3</v>
      </c>
      <c r="AX2971" s="1">
        <v>0.4362</v>
      </c>
      <c r="AY2971" s="1">
        <v>14.0</v>
      </c>
      <c r="AZ2971" s="1">
        <v>12.5</v>
      </c>
      <c r="BA2971" s="1">
        <v>16.3</v>
      </c>
      <c r="BB2971" s="1">
        <v>3.99</v>
      </c>
      <c r="BC2971" s="1" t="s">
        <v>4823</v>
      </c>
      <c r="BD2971" s="1">
        <v>8.6</v>
      </c>
      <c r="BE2971" s="1">
        <v>24.9</v>
      </c>
      <c r="BF2971" s="1">
        <v>34.2</v>
      </c>
      <c r="BG2971" s="1">
        <v>32.3</v>
      </c>
      <c r="BH2971" s="1" t="s">
        <v>4850</v>
      </c>
    </row>
    <row r="2972">
      <c r="A2972" s="1">
        <v>53039.0</v>
      </c>
      <c r="B2972" s="2" t="str">
        <f>IFERROR(__xludf.DUMMYFUNCTION("TO_TEXT(A2972)"),"53039")</f>
        <v>53039</v>
      </c>
      <c r="C2972" s="1">
        <v>20930.0</v>
      </c>
      <c r="D2972" s="1">
        <v>1871.63562958183</v>
      </c>
      <c r="E2972" s="1" t="s">
        <v>4851</v>
      </c>
      <c r="F2972" s="1" t="s">
        <v>4852</v>
      </c>
      <c r="G2972" s="1">
        <v>11.1827321884634</v>
      </c>
      <c r="H2972" s="1">
        <v>17.481533341</v>
      </c>
      <c r="I2972" s="1">
        <v>4.5787287983</v>
      </c>
      <c r="J2972" s="1">
        <v>6.6995768688</v>
      </c>
      <c r="K2972" s="1">
        <v>14.311189028</v>
      </c>
      <c r="L2972" s="1">
        <v>29.4</v>
      </c>
      <c r="M2972" s="1">
        <v>7.2</v>
      </c>
      <c r="N2972" s="1">
        <v>20.0</v>
      </c>
      <c r="O2972" s="1">
        <v>74.254355744</v>
      </c>
      <c r="P2972" s="1">
        <v>9.9715616869</v>
      </c>
      <c r="Q2972" s="1">
        <v>68.77264</v>
      </c>
      <c r="R2972" s="1">
        <v>85.0</v>
      </c>
      <c r="S2972" s="1">
        <v>18.1</v>
      </c>
      <c r="T2972" s="1">
        <v>4116.0</v>
      </c>
      <c r="U2972" s="1">
        <v>21.865889213</v>
      </c>
      <c r="V2972" s="1">
        <v>87.414652586</v>
      </c>
      <c r="W2972" s="1">
        <v>16.171003717</v>
      </c>
      <c r="X2972" s="1">
        <v>11.356466877</v>
      </c>
      <c r="Y2972" s="1">
        <v>80.706076531</v>
      </c>
      <c r="Z2972" s="1">
        <v>11.2</v>
      </c>
      <c r="AA2972" s="1">
        <v>12.589773027</v>
      </c>
      <c r="AB2972" s="1">
        <v>56503.0</v>
      </c>
      <c r="AC2972" s="1">
        <v>45.246206256</v>
      </c>
      <c r="AD2972" s="1">
        <v>66.307530156</v>
      </c>
      <c r="AE2972" s="1">
        <v>11.594383</v>
      </c>
      <c r="AF2972" s="1">
        <v>0.5156737685</v>
      </c>
      <c r="AG2972" s="1">
        <v>2.6190799294</v>
      </c>
      <c r="AH2972" s="1">
        <v>0.9408784548</v>
      </c>
      <c r="AI2972" s="1">
        <v>0.1809381644</v>
      </c>
      <c r="AJ2972" s="1">
        <v>11.914778125</v>
      </c>
      <c r="AK2972" s="1">
        <v>82.114262451</v>
      </c>
      <c r="AL2972" s="1">
        <v>3.2269189083</v>
      </c>
      <c r="AM2972" s="1">
        <v>49.5318225</v>
      </c>
      <c r="AN2972" s="1">
        <v>60.212619352</v>
      </c>
      <c r="AO2972" s="1">
        <v>23227.0</v>
      </c>
      <c r="AP2972" s="1">
        <v>15.7</v>
      </c>
      <c r="AQ2972" s="1">
        <v>5.4</v>
      </c>
      <c r="AR2972" s="1">
        <v>13.5</v>
      </c>
      <c r="AS2972" s="1">
        <v>21.0</v>
      </c>
      <c r="AT2972" s="1">
        <v>20.5</v>
      </c>
      <c r="AU2972" s="1">
        <v>19.0</v>
      </c>
      <c r="AV2972" s="1">
        <v>17.7</v>
      </c>
      <c r="AW2972" s="1">
        <v>3.1</v>
      </c>
      <c r="AX2972" s="1">
        <v>0.5708</v>
      </c>
      <c r="AY2972" s="1">
        <v>13.5</v>
      </c>
      <c r="AZ2972" s="1">
        <v>13.9</v>
      </c>
      <c r="BA2972" s="1">
        <v>20.3</v>
      </c>
      <c r="BB2972" s="1">
        <v>5.28</v>
      </c>
      <c r="BC2972" s="1" t="s">
        <v>4823</v>
      </c>
      <c r="BD2972" s="1">
        <v>12.0</v>
      </c>
      <c r="BE2972" s="1">
        <v>24.8</v>
      </c>
      <c r="BF2972" s="1">
        <v>31.8</v>
      </c>
      <c r="BG2972" s="1">
        <v>31.5</v>
      </c>
      <c r="BH2972" s="1" t="s">
        <v>4852</v>
      </c>
    </row>
    <row r="2973">
      <c r="A2973" s="1">
        <v>53041.0</v>
      </c>
      <c r="B2973" s="2" t="str">
        <f>IFERROR(__xludf.DUMMYFUNCTION("TO_TEXT(A2973)"),"53041")</f>
        <v>53041</v>
      </c>
      <c r="C2973" s="1">
        <v>75724.0</v>
      </c>
      <c r="D2973" s="1">
        <v>2402.80628307052</v>
      </c>
      <c r="E2973" s="1" t="s">
        <v>1126</v>
      </c>
      <c r="F2973" s="1" t="s">
        <v>4853</v>
      </c>
      <c r="G2973" s="1">
        <v>31.5148168762207</v>
      </c>
      <c r="H2973" s="1">
        <v>17.398812654</v>
      </c>
      <c r="I2973" s="1">
        <v>4.3660541818</v>
      </c>
      <c r="J2973" s="1">
        <v>6.5004022526</v>
      </c>
      <c r="K2973" s="1">
        <v>16.165763252</v>
      </c>
      <c r="L2973" s="1">
        <v>34.7</v>
      </c>
      <c r="M2973" s="1">
        <v>7.4</v>
      </c>
      <c r="N2973" s="1">
        <v>24.2</v>
      </c>
      <c r="O2973" s="1">
        <v>53.590881983</v>
      </c>
      <c r="P2973" s="1">
        <v>8.8065099458</v>
      </c>
      <c r="Q2973" s="1">
        <v>44.75703</v>
      </c>
      <c r="R2973" s="1">
        <v>83.920704846</v>
      </c>
      <c r="S2973" s="1">
        <v>16.9</v>
      </c>
      <c r="T2973" s="1">
        <v>16436.0</v>
      </c>
      <c r="U2973" s="1">
        <v>31.704794354</v>
      </c>
      <c r="V2973" s="1">
        <v>193.19602377</v>
      </c>
      <c r="W2973" s="1">
        <v>18.215802889</v>
      </c>
      <c r="X2973" s="1">
        <v>14.919216226</v>
      </c>
      <c r="Y2973" s="1">
        <v>77.654794802</v>
      </c>
      <c r="Z2973" s="1">
        <v>10.4</v>
      </c>
      <c r="AA2973" s="1">
        <v>8.3984892592</v>
      </c>
      <c r="AB2973" s="1">
        <v>57019.0</v>
      </c>
      <c r="AC2973" s="1">
        <v>56.389435696</v>
      </c>
      <c r="AD2973" s="1">
        <v>69.71118895</v>
      </c>
      <c r="AE2973" s="1">
        <v>13.505825908</v>
      </c>
      <c r="AF2973" s="1">
        <v>0.75247475</v>
      </c>
      <c r="AG2973" s="1">
        <v>1.997387066</v>
      </c>
      <c r="AH2973" s="1">
        <v>1.3001859203</v>
      </c>
      <c r="AI2973" s="1">
        <v>0.2562685292</v>
      </c>
      <c r="AJ2973" s="1">
        <v>10.294708809</v>
      </c>
      <c r="AK2973" s="1">
        <v>83.149087986</v>
      </c>
      <c r="AL2973" s="1">
        <v>1.9589179048</v>
      </c>
      <c r="AM2973" s="1">
        <v>50.0276368019999</v>
      </c>
      <c r="AN2973" s="1">
        <v>60.654694851</v>
      </c>
      <c r="AO2973" s="1">
        <v>22947.0</v>
      </c>
      <c r="AP2973" s="1">
        <v>16.3</v>
      </c>
      <c r="AQ2973" s="1">
        <v>9.7</v>
      </c>
      <c r="AR2973" s="1">
        <v>12.9</v>
      </c>
      <c r="AS2973" s="1">
        <v>19.6</v>
      </c>
      <c r="AT2973" s="1">
        <v>22.0</v>
      </c>
      <c r="AU2973" s="1">
        <v>20.9</v>
      </c>
      <c r="AV2973" s="1">
        <v>15.5</v>
      </c>
      <c r="AW2973" s="1">
        <v>2.2</v>
      </c>
      <c r="AX2973" s="1">
        <v>0.8115</v>
      </c>
      <c r="AY2973" s="1">
        <v>12.2</v>
      </c>
      <c r="AZ2973" s="1">
        <v>14.4</v>
      </c>
      <c r="BA2973" s="1">
        <v>21.7</v>
      </c>
      <c r="BB2973" s="1">
        <v>3.29</v>
      </c>
      <c r="BC2973" s="1" t="s">
        <v>4823</v>
      </c>
      <c r="BD2973" s="1">
        <v>12.5</v>
      </c>
      <c r="BE2973" s="1">
        <v>29.1</v>
      </c>
      <c r="BF2973" s="1">
        <v>40.7</v>
      </c>
      <c r="BG2973" s="1">
        <v>17.7</v>
      </c>
      <c r="BH2973" s="1" t="s">
        <v>4853</v>
      </c>
    </row>
    <row r="2974">
      <c r="A2974" s="1">
        <v>53043.0</v>
      </c>
      <c r="B2974" s="2" t="str">
        <f>IFERROR(__xludf.DUMMYFUNCTION("TO_TEXT(A2974)"),"53043")</f>
        <v>53043</v>
      </c>
      <c r="C2974" s="1">
        <v>10326.0</v>
      </c>
      <c r="D2974" s="1">
        <v>2310.53435104341</v>
      </c>
      <c r="E2974" s="1" t="s">
        <v>353</v>
      </c>
      <c r="F2974" s="1" t="s">
        <v>4854</v>
      </c>
      <c r="G2974" s="1">
        <v>4.46909607525934</v>
      </c>
      <c r="H2974" s="1">
        <v>14.832455778</v>
      </c>
      <c r="I2974" s="1">
        <v>4.0322354687</v>
      </c>
      <c r="J2974" s="1">
        <v>5.7388809182</v>
      </c>
      <c r="K2974" s="1">
        <v>13.011999515</v>
      </c>
      <c r="L2974" s="1">
        <v>30.7</v>
      </c>
      <c r="M2974" s="1">
        <v>6.8</v>
      </c>
      <c r="N2974" s="1">
        <v>26.9</v>
      </c>
      <c r="O2974" s="1">
        <v>59.1579943239999</v>
      </c>
      <c r="P2974" s="1">
        <v>6.829206025</v>
      </c>
      <c r="Q2974" s="1">
        <v>37.81076</v>
      </c>
      <c r="R2974" s="1">
        <v>95.070422535</v>
      </c>
      <c r="S2974" s="1">
        <v>16.5</v>
      </c>
      <c r="T2974" s="1">
        <v>2224.0</v>
      </c>
      <c r="U2974" s="1">
        <v>21.897482014</v>
      </c>
      <c r="V2974" s="1">
        <v>92.264361676</v>
      </c>
      <c r="W2974" s="1">
        <v>11.534025375</v>
      </c>
      <c r="X2974" s="1">
        <v>8.9306425423</v>
      </c>
      <c r="Y2974" s="1">
        <v>80.720036913</v>
      </c>
      <c r="Z2974" s="1">
        <v>12.4</v>
      </c>
      <c r="AA2974" s="1">
        <v>17.720443551</v>
      </c>
      <c r="AB2974" s="1">
        <v>53326.0</v>
      </c>
      <c r="AC2974" s="1">
        <v>44.910461828</v>
      </c>
      <c r="AD2974" s="1">
        <v>79.152731327</v>
      </c>
      <c r="AE2974" s="1">
        <v>7.72855796419999</v>
      </c>
      <c r="AF2974" s="1">
        <v>0.4841713222</v>
      </c>
      <c r="AG2974" s="1">
        <v>1.9553072626</v>
      </c>
      <c r="AH2974" s="1">
        <v>0.5121042831</v>
      </c>
      <c r="AI2974" s="1">
        <v>0.1582867784</v>
      </c>
      <c r="AJ2974" s="1">
        <v>3.4729981378</v>
      </c>
      <c r="AK2974" s="1">
        <v>91.070763501</v>
      </c>
      <c r="AL2974" s="1">
        <v>0.3529293133</v>
      </c>
      <c r="AM2974" s="1">
        <v>48.86405959</v>
      </c>
      <c r="AN2974" s="1">
        <v>100.0</v>
      </c>
      <c r="AO2974" s="1">
        <v>25382.0</v>
      </c>
      <c r="AP2974" s="1">
        <v>14.8</v>
      </c>
      <c r="AQ2974" s="1">
        <v>4.1</v>
      </c>
      <c r="AR2974" s="1">
        <v>8.7</v>
      </c>
      <c r="AS2974" s="1">
        <v>23.9</v>
      </c>
      <c r="AT2974" s="1">
        <v>21.7</v>
      </c>
      <c r="AU2974" s="1">
        <v>20.0</v>
      </c>
      <c r="AV2974" s="1">
        <v>7.9</v>
      </c>
      <c r="AW2974" s="1">
        <v>0.4</v>
      </c>
      <c r="AX2974" s="1">
        <v>0.2286</v>
      </c>
      <c r="AY2974" s="1">
        <v>9.1</v>
      </c>
      <c r="AZ2974" s="1">
        <v>12.8</v>
      </c>
      <c r="BA2974" s="1">
        <v>22.0</v>
      </c>
      <c r="BB2974" s="1">
        <v>3.18</v>
      </c>
      <c r="BC2974" s="1" t="s">
        <v>4823</v>
      </c>
      <c r="BD2974" s="1">
        <v>7.3</v>
      </c>
      <c r="BE2974" s="1">
        <v>29.3</v>
      </c>
      <c r="BF2974" s="1">
        <v>38.4</v>
      </c>
      <c r="BG2974" s="1">
        <v>25.1</v>
      </c>
      <c r="BH2974" s="1" t="s">
        <v>4854</v>
      </c>
    </row>
    <row r="2975">
      <c r="A2975" s="1">
        <v>53045.0</v>
      </c>
      <c r="B2975" s="2" t="str">
        <f>IFERROR(__xludf.DUMMYFUNCTION("TO_TEXT(A2975)"),"53045")</f>
        <v>53045</v>
      </c>
      <c r="C2975" s="1">
        <v>61060.0</v>
      </c>
      <c r="D2975" s="1">
        <v>959.388950769591</v>
      </c>
      <c r="E2975" s="1" t="s">
        <v>1246</v>
      </c>
      <c r="F2975" s="1" t="s">
        <v>4855</v>
      </c>
      <c r="G2975" s="1">
        <v>63.6446771155947</v>
      </c>
      <c r="H2975" s="1">
        <v>15.806104191</v>
      </c>
      <c r="I2975" s="1">
        <v>4.42028564959999</v>
      </c>
      <c r="J2975" s="1">
        <v>5.6586893312</v>
      </c>
      <c r="K2975" s="1">
        <v>15.957913955</v>
      </c>
      <c r="L2975" s="1">
        <v>35.8</v>
      </c>
      <c r="M2975" s="1">
        <v>8.0</v>
      </c>
      <c r="N2975" s="1">
        <v>23.3</v>
      </c>
      <c r="O2975" s="1">
        <v>63.483747673</v>
      </c>
      <c r="P2975" s="1">
        <v>9.0907137177</v>
      </c>
      <c r="Q2975" s="1">
        <v>26.68341</v>
      </c>
      <c r="R2975" s="1">
        <v>75.294117647</v>
      </c>
      <c r="S2975" s="1">
        <v>22.8</v>
      </c>
      <c r="T2975" s="1">
        <v>12065.0</v>
      </c>
      <c r="U2975" s="1">
        <v>39.02196436</v>
      </c>
      <c r="V2975" s="1">
        <v>219.64152536</v>
      </c>
      <c r="W2975" s="1">
        <v>16.210198174</v>
      </c>
      <c r="X2975" s="1">
        <v>13.420695888</v>
      </c>
      <c r="Y2975" s="1">
        <v>78.936255837</v>
      </c>
      <c r="Z2975" s="1">
        <v>12.1</v>
      </c>
      <c r="AA2975" s="1">
        <v>3.3037730773</v>
      </c>
      <c r="AB2975" s="1">
        <v>58239.0</v>
      </c>
      <c r="AC2975" s="1">
        <v>62.367915466</v>
      </c>
      <c r="AD2975" s="1">
        <v>76.622052263</v>
      </c>
      <c r="AE2975" s="1">
        <v>13.43257054</v>
      </c>
      <c r="AF2975" s="1">
        <v>1.2823057078</v>
      </c>
      <c r="AG2975" s="1">
        <v>4.804066741</v>
      </c>
      <c r="AH2975" s="1">
        <v>1.36321309169999</v>
      </c>
      <c r="AI2975" s="1">
        <v>0.4503335521</v>
      </c>
      <c r="AJ2975" s="1">
        <v>10.38209657</v>
      </c>
      <c r="AK2975" s="1">
        <v>79.991451295</v>
      </c>
      <c r="AL2975" s="1">
        <v>2.5878190548</v>
      </c>
      <c r="AM2975" s="1">
        <v>48.02692842</v>
      </c>
      <c r="AN2975" s="1">
        <v>63.696271767</v>
      </c>
      <c r="AO2975" s="1">
        <v>25628.0</v>
      </c>
      <c r="AP2975" s="1">
        <v>17.0</v>
      </c>
      <c r="AQ2975" s="1">
        <v>10.8</v>
      </c>
      <c r="AR2975" s="1">
        <v>12.6</v>
      </c>
      <c r="AS2975" s="1">
        <v>21.1</v>
      </c>
      <c r="AT2975" s="1">
        <v>19.5</v>
      </c>
      <c r="AU2975" s="1">
        <v>21.2</v>
      </c>
      <c r="AV2975" s="1">
        <v>18.3</v>
      </c>
      <c r="AW2975" s="1">
        <v>2.6</v>
      </c>
      <c r="AX2975" s="1">
        <v>0.6632</v>
      </c>
      <c r="AY2975" s="1">
        <v>12.8</v>
      </c>
      <c r="AZ2975" s="1">
        <v>14.1</v>
      </c>
      <c r="BA2975" s="1">
        <v>23.8</v>
      </c>
      <c r="BB2975" s="1">
        <v>3.36</v>
      </c>
      <c r="BC2975" s="1" t="s">
        <v>4823</v>
      </c>
      <c r="BD2975" s="1">
        <v>11.4</v>
      </c>
      <c r="BE2975" s="1">
        <v>31.2</v>
      </c>
      <c r="BF2975" s="1">
        <v>39.8</v>
      </c>
      <c r="BG2975" s="1">
        <v>17.6</v>
      </c>
      <c r="BH2975" s="1" t="s">
        <v>4855</v>
      </c>
    </row>
    <row r="2976">
      <c r="A2976" s="1">
        <v>53047.0</v>
      </c>
      <c r="B2976" s="2" t="str">
        <f>IFERROR(__xludf.DUMMYFUNCTION("TO_TEXT(A2976)"),"53047")</f>
        <v>53047</v>
      </c>
      <c r="C2976" s="1">
        <v>41299.0</v>
      </c>
      <c r="D2976" s="1">
        <v>5266.14512243321</v>
      </c>
      <c r="E2976" s="1" t="s">
        <v>4856</v>
      </c>
      <c r="F2976" s="1" t="s">
        <v>4857</v>
      </c>
      <c r="G2976" s="1">
        <v>7.84235888678242</v>
      </c>
      <c r="H2976" s="1">
        <v>18.305381402</v>
      </c>
      <c r="I2976" s="1">
        <v>4.3674805135</v>
      </c>
      <c r="J2976" s="1">
        <v>6.905370844</v>
      </c>
      <c r="K2976" s="1">
        <v>16.641366418</v>
      </c>
      <c r="L2976" s="1">
        <v>32.9</v>
      </c>
      <c r="M2976" s="1">
        <v>7.3</v>
      </c>
      <c r="N2976" s="1">
        <v>22.8</v>
      </c>
      <c r="O2976" s="1">
        <v>67.412451362</v>
      </c>
      <c r="P2976" s="1">
        <v>14.912088942</v>
      </c>
      <c r="Q2976" s="1">
        <v>74.26573</v>
      </c>
      <c r="R2976" s="1">
        <v>89.1891891889999</v>
      </c>
      <c r="S2976" s="1">
        <v>25.9</v>
      </c>
      <c r="T2976" s="1">
        <v>9346.0</v>
      </c>
      <c r="U2976" s="1">
        <v>42.585063129</v>
      </c>
      <c r="V2976" s="1">
        <v>175.70039472</v>
      </c>
      <c r="W2976" s="1">
        <v>17.405534067</v>
      </c>
      <c r="X2976" s="1">
        <v>10.8734939759999</v>
      </c>
      <c r="Y2976" s="1">
        <v>78.7030232</v>
      </c>
      <c r="Z2976" s="1">
        <v>10.8</v>
      </c>
      <c r="AA2976" s="1">
        <v>8.5728452572</v>
      </c>
      <c r="AB2976" s="1">
        <v>48345.0</v>
      </c>
      <c r="AC2976" s="1">
        <v>58.354638422</v>
      </c>
      <c r="AD2976" s="1">
        <v>66.189307925</v>
      </c>
      <c r="AE2976" s="1">
        <v>11.500554392</v>
      </c>
      <c r="AF2976" s="1">
        <v>0.7001803855</v>
      </c>
      <c r="AG2976" s="1">
        <v>12.954523877</v>
      </c>
      <c r="AH2976" s="1">
        <v>1.2081078515</v>
      </c>
      <c r="AI2976" s="1">
        <v>0.2871926327</v>
      </c>
      <c r="AJ2976" s="1">
        <v>20.49985759</v>
      </c>
      <c r="AK2976" s="1">
        <v>64.687173645</v>
      </c>
      <c r="AL2976" s="1">
        <v>5.5956956188</v>
      </c>
      <c r="AM2976" s="1">
        <v>49.6558435389999</v>
      </c>
      <c r="AN2976" s="1">
        <v>79.987840467</v>
      </c>
      <c r="AO2976" s="1">
        <v>22544.0</v>
      </c>
      <c r="AP2976" s="1">
        <v>21.2</v>
      </c>
      <c r="AQ2976" s="1">
        <v>8.1</v>
      </c>
      <c r="AR2976" s="1">
        <v>17.7</v>
      </c>
      <c r="AS2976" s="1">
        <v>19.9</v>
      </c>
      <c r="AT2976" s="1">
        <v>23.1</v>
      </c>
      <c r="AU2976" s="1">
        <v>17.3</v>
      </c>
      <c r="AV2976" s="1">
        <v>33.7</v>
      </c>
      <c r="AW2976" s="1">
        <v>5.5</v>
      </c>
      <c r="AX2976" s="1">
        <v>0.9077</v>
      </c>
      <c r="AY2976" s="1">
        <v>16.4</v>
      </c>
      <c r="AZ2976" s="1">
        <v>15.5</v>
      </c>
      <c r="BA2976" s="1">
        <v>23.4</v>
      </c>
      <c r="BB2976" s="1">
        <v>3.03</v>
      </c>
      <c r="BC2976" s="1" t="s">
        <v>4823</v>
      </c>
      <c r="BD2976" s="1">
        <v>16.1</v>
      </c>
      <c r="BE2976" s="1">
        <v>30.3</v>
      </c>
      <c r="BF2976" s="1">
        <v>33.6</v>
      </c>
      <c r="BG2976" s="1">
        <v>20.0</v>
      </c>
      <c r="BH2976" s="1" t="s">
        <v>4857</v>
      </c>
    </row>
    <row r="2977">
      <c r="A2977" s="1">
        <v>53049.0</v>
      </c>
      <c r="B2977" s="2" t="str">
        <f>IFERROR(__xludf.DUMMYFUNCTION("TO_TEXT(A2977)"),"53049")</f>
        <v>53049</v>
      </c>
      <c r="C2977" s="1">
        <v>20743.0</v>
      </c>
      <c r="D2977" s="1">
        <v>932.774267706009</v>
      </c>
      <c r="E2977" s="1" t="s">
        <v>4858</v>
      </c>
      <c r="F2977" s="1" t="s">
        <v>4859</v>
      </c>
      <c r="G2977" s="1">
        <v>22.2379633724391</v>
      </c>
      <c r="H2977" s="1">
        <v>18.210721383</v>
      </c>
      <c r="I2977" s="1">
        <v>4.4905233091</v>
      </c>
      <c r="J2977" s="1">
        <v>7.3373676248</v>
      </c>
      <c r="K2977" s="1">
        <v>15.2699506</v>
      </c>
      <c r="L2977" s="1">
        <v>33.6</v>
      </c>
      <c r="M2977" s="1">
        <v>6.9</v>
      </c>
      <c r="N2977" s="1">
        <v>25.2</v>
      </c>
      <c r="O2977" s="1">
        <v>66.797323136</v>
      </c>
      <c r="P2977" s="1">
        <v>9.5709570957</v>
      </c>
      <c r="Q2977" s="1">
        <v>23.12032</v>
      </c>
      <c r="R2977" s="1">
        <v>88.7640449439999</v>
      </c>
      <c r="S2977" s="1">
        <v>21.0</v>
      </c>
      <c r="T2977" s="1">
        <v>3490.0</v>
      </c>
      <c r="U2977" s="1">
        <v>34.957020057</v>
      </c>
      <c r="V2977" s="1">
        <v>156.95933546</v>
      </c>
      <c r="W2977" s="1">
        <v>12.4652198109999</v>
      </c>
      <c r="X2977" s="1">
        <v>11.26984127</v>
      </c>
      <c r="Y2977" s="1">
        <v>76.956181746</v>
      </c>
      <c r="Z2977" s="1">
        <v>15.0</v>
      </c>
      <c r="AA2977" s="1">
        <v>13.481156415</v>
      </c>
      <c r="AB2977" s="1">
        <v>46365.0</v>
      </c>
      <c r="AC2977" s="1">
        <v>60.379177378</v>
      </c>
      <c r="AD2977" s="1">
        <v>77.803455486</v>
      </c>
      <c r="AE2977" s="1">
        <v>11.551230681</v>
      </c>
      <c r="AF2977" s="1">
        <v>0.8259212198</v>
      </c>
      <c r="AG2977" s="1">
        <v>2.8771101833</v>
      </c>
      <c r="AH2977" s="1">
        <v>2.1056453077</v>
      </c>
      <c r="AI2977" s="1">
        <v>0.2042112906</v>
      </c>
      <c r="AJ2977" s="1">
        <v>9.8021419495</v>
      </c>
      <c r="AK2977" s="1">
        <v>81.993102196</v>
      </c>
      <c r="AL2977" s="1">
        <v>3.0771495878</v>
      </c>
      <c r="AM2977" s="1">
        <v>50.06807043</v>
      </c>
      <c r="AN2977" s="1">
        <v>64.770554493</v>
      </c>
      <c r="AO2977" s="1">
        <v>22187.0</v>
      </c>
      <c r="AP2977" s="1">
        <v>18.7</v>
      </c>
      <c r="AQ2977" s="1">
        <v>7.7</v>
      </c>
      <c r="AR2977" s="1">
        <v>11.6</v>
      </c>
      <c r="AS2977" s="1">
        <v>27.8</v>
      </c>
      <c r="AT2977" s="1">
        <v>17.4</v>
      </c>
      <c r="AU2977" s="1">
        <v>27.3</v>
      </c>
      <c r="AV2977" s="1">
        <v>17.2</v>
      </c>
      <c r="AW2977" s="1">
        <v>2.7</v>
      </c>
      <c r="AX2977" s="1">
        <v>0.6562</v>
      </c>
      <c r="AY2977" s="1">
        <v>13.5</v>
      </c>
      <c r="AZ2977" s="1">
        <v>16.6</v>
      </c>
      <c r="BA2977" s="1">
        <v>27.0</v>
      </c>
      <c r="BB2977" s="1">
        <v>4.87</v>
      </c>
      <c r="BC2977" s="1" t="s">
        <v>4823</v>
      </c>
      <c r="BD2977" s="1">
        <v>11.7</v>
      </c>
      <c r="BE2977" s="1">
        <v>29.9</v>
      </c>
      <c r="BF2977" s="1">
        <v>39.4</v>
      </c>
      <c r="BG2977" s="1">
        <v>18.9</v>
      </c>
      <c r="BH2977" s="1" t="s">
        <v>4859</v>
      </c>
    </row>
    <row r="2978">
      <c r="A2978" s="1">
        <v>53051.0</v>
      </c>
      <c r="B2978" s="2" t="str">
        <f>IFERROR(__xludf.DUMMYFUNCTION("TO_TEXT(A2978)"),"53051")</f>
        <v>53051</v>
      </c>
      <c r="C2978" s="1">
        <v>13001.0</v>
      </c>
      <c r="D2978" s="1">
        <v>1400.2491356424</v>
      </c>
      <c r="E2978" s="1" t="s">
        <v>4860</v>
      </c>
      <c r="F2978" s="1" t="s">
        <v>4861</v>
      </c>
      <c r="G2978" s="1">
        <v>9.28477630806425</v>
      </c>
      <c r="H2978" s="1">
        <v>16.812173199</v>
      </c>
      <c r="I2978" s="1">
        <v>4.3151650419</v>
      </c>
      <c r="J2978" s="1">
        <v>7.5630252101</v>
      </c>
      <c r="K2978" s="1">
        <v>15.35237161</v>
      </c>
      <c r="L2978" s="1">
        <v>39.9</v>
      </c>
      <c r="M2978" s="1">
        <v>6.8</v>
      </c>
      <c r="N2978" s="1">
        <v>24.9</v>
      </c>
      <c r="O2978" s="1">
        <v>58.826244135</v>
      </c>
      <c r="P2978" s="1">
        <v>8.02488018759999</v>
      </c>
      <c r="Q2978" s="1">
        <v>52.41875</v>
      </c>
      <c r="R2978" s="1">
        <v>90.604026846</v>
      </c>
      <c r="S2978" s="1">
        <v>23.2</v>
      </c>
      <c r="T2978" s="1">
        <v>2579.0</v>
      </c>
      <c r="U2978" s="1">
        <v>26.8708801859999</v>
      </c>
      <c r="V2978" s="1">
        <v>130.26819923</v>
      </c>
      <c r="W2978" s="1">
        <v>15.896487985</v>
      </c>
      <c r="X2978" s="1">
        <v>12.033898305</v>
      </c>
      <c r="Y2978" s="1">
        <v>77.238157465</v>
      </c>
      <c r="Z2978" s="1">
        <v>13.9</v>
      </c>
      <c r="AA2978" s="1">
        <v>14.353247005</v>
      </c>
      <c r="AB2978" s="1">
        <v>49750.0</v>
      </c>
      <c r="AC2978" s="1">
        <v>57.411907655</v>
      </c>
      <c r="AD2978" s="1">
        <v>78.571428571</v>
      </c>
      <c r="AE2978" s="1">
        <v>12.396694215</v>
      </c>
      <c r="AF2978" s="1">
        <v>0.6469636818</v>
      </c>
      <c r="AG2978" s="1">
        <v>3.7347448905</v>
      </c>
      <c r="AH2978" s="1">
        <v>1.2792236436</v>
      </c>
      <c r="AI2978" s="1">
        <v>0.1690927805</v>
      </c>
      <c r="AJ2978" s="1">
        <v>3.7715041906</v>
      </c>
      <c r="AK2978" s="1">
        <v>88.4208204679999</v>
      </c>
      <c r="AL2978" s="1">
        <v>0.3330689929</v>
      </c>
      <c r="AM2978" s="1">
        <v>49.110424938</v>
      </c>
      <c r="AN2978" s="1">
        <v>83.108991616</v>
      </c>
      <c r="AO2978" s="1">
        <v>24163.0</v>
      </c>
      <c r="AP2978" s="1">
        <v>19.8</v>
      </c>
      <c r="AQ2978" s="1">
        <v>9.1</v>
      </c>
      <c r="AR2978" s="1">
        <v>10.8</v>
      </c>
      <c r="AS2978" s="1">
        <v>23.8</v>
      </c>
      <c r="AT2978" s="1">
        <v>20.3</v>
      </c>
      <c r="AU2978" s="1">
        <v>21.7</v>
      </c>
      <c r="AV2978" s="1">
        <v>11.0</v>
      </c>
      <c r="AW2978" s="1">
        <v>0.5</v>
      </c>
      <c r="AX2978" s="1">
        <v>0.6348</v>
      </c>
      <c r="AY2978" s="1">
        <v>16.1</v>
      </c>
      <c r="AZ2978" s="1">
        <v>14.7</v>
      </c>
      <c r="BA2978" s="1">
        <v>23.3</v>
      </c>
      <c r="BB2978" s="1">
        <v>3.17</v>
      </c>
      <c r="BC2978" s="1" t="s">
        <v>4823</v>
      </c>
      <c r="BD2978" s="1">
        <v>8.9</v>
      </c>
      <c r="BE2978" s="1">
        <v>31.0</v>
      </c>
      <c r="BF2978" s="1">
        <v>39.4</v>
      </c>
      <c r="BG2978" s="1">
        <v>20.8</v>
      </c>
      <c r="BH2978" s="1" t="s">
        <v>4861</v>
      </c>
    </row>
    <row r="2979">
      <c r="A2979" s="1">
        <v>53053.0</v>
      </c>
      <c r="B2979" s="2" t="str">
        <f>IFERROR(__xludf.DUMMYFUNCTION("TO_TEXT(A2979)"),"53053")</f>
        <v>53053</v>
      </c>
      <c r="C2979" s="1">
        <v>832896.0</v>
      </c>
      <c r="D2979" s="1">
        <v>1668.49725614265</v>
      </c>
      <c r="E2979" s="1" t="s">
        <v>984</v>
      </c>
      <c r="F2979" s="1" t="s">
        <v>4862</v>
      </c>
      <c r="G2979" s="1">
        <v>499.189313577622</v>
      </c>
      <c r="H2979" s="1">
        <v>15.8406185779999</v>
      </c>
      <c r="I2979" s="1">
        <v>4.4249458882</v>
      </c>
      <c r="J2979" s="1">
        <v>6.6998788878</v>
      </c>
      <c r="K2979" s="1">
        <v>15.114787239</v>
      </c>
      <c r="L2979" s="1">
        <v>31.1</v>
      </c>
      <c r="M2979" s="1">
        <v>7.5</v>
      </c>
      <c r="N2979" s="1">
        <v>19.1</v>
      </c>
      <c r="O2979" s="1">
        <v>82.889999686</v>
      </c>
      <c r="P2979" s="1">
        <v>6.8882679089</v>
      </c>
      <c r="Q2979" s="1">
        <v>72.53947</v>
      </c>
      <c r="R2979" s="1">
        <v>86.690289005</v>
      </c>
      <c r="S2979" s="1">
        <v>10.7</v>
      </c>
      <c r="T2979" s="1">
        <v>201913.0</v>
      </c>
      <c r="U2979" s="1">
        <v>29.911892746</v>
      </c>
      <c r="V2979" s="1">
        <v>457.81824088</v>
      </c>
      <c r="W2979" s="1">
        <v>17.057683854</v>
      </c>
      <c r="X2979" s="1">
        <v>14.521910047</v>
      </c>
      <c r="Y2979" s="1">
        <v>78.848838831</v>
      </c>
      <c r="Z2979" s="1">
        <v>9.5</v>
      </c>
      <c r="AA2979" s="1">
        <v>8.3232509254</v>
      </c>
      <c r="AB2979" s="1">
        <v>75022.0</v>
      </c>
      <c r="AC2979" s="1">
        <v>44.7812088389999</v>
      </c>
      <c r="AD2979" s="1">
        <v>61.658991687</v>
      </c>
      <c r="AE2979" s="1">
        <v>14.5871844259999</v>
      </c>
      <c r="AF2979" s="1">
        <v>6.983402876</v>
      </c>
      <c r="AG2979" s="1">
        <v>1.7514885577</v>
      </c>
      <c r="AH2979" s="1">
        <v>6.9176561401</v>
      </c>
      <c r="AI2979" s="1">
        <v>1.7262445038</v>
      </c>
      <c r="AJ2979" s="1">
        <v>11.124549674</v>
      </c>
      <c r="AK2979" s="1">
        <v>66.302329521</v>
      </c>
      <c r="AL2979" s="1">
        <v>2.4967320588</v>
      </c>
      <c r="AM2979" s="1">
        <v>50.259901559</v>
      </c>
      <c r="AN2979" s="1">
        <v>6.5907133201</v>
      </c>
      <c r="AO2979" s="1">
        <v>29750.0</v>
      </c>
      <c r="AP2979" s="1">
        <v>12.7</v>
      </c>
      <c r="AQ2979" s="1">
        <v>7.8</v>
      </c>
      <c r="AR2979" s="1">
        <v>9.0</v>
      </c>
      <c r="AS2979" s="1">
        <v>12.7</v>
      </c>
      <c r="AT2979" s="1">
        <v>24.0</v>
      </c>
      <c r="AU2979" s="1">
        <v>13.5</v>
      </c>
      <c r="AV2979" s="1">
        <v>31.4</v>
      </c>
      <c r="AW2979" s="1">
        <v>2.6</v>
      </c>
      <c r="AX2979" s="1">
        <v>0.5253</v>
      </c>
      <c r="AY2979" s="1">
        <v>9.4</v>
      </c>
      <c r="AZ2979" s="1">
        <v>11.8</v>
      </c>
      <c r="BA2979" s="1">
        <v>17.1</v>
      </c>
      <c r="BB2979" s="1">
        <v>3.39</v>
      </c>
      <c r="BC2979" s="1" t="s">
        <v>4823</v>
      </c>
      <c r="BD2979" s="1">
        <v>8.5</v>
      </c>
      <c r="BE2979" s="1">
        <v>27.2</v>
      </c>
      <c r="BF2979" s="1">
        <v>37.1</v>
      </c>
      <c r="BG2979" s="1">
        <v>27.2</v>
      </c>
      <c r="BH2979" s="1" t="s">
        <v>4862</v>
      </c>
    </row>
    <row r="2980">
      <c r="A2980" s="1">
        <v>53055.0</v>
      </c>
      <c r="B2980" s="2" t="str">
        <f>IFERROR(__xludf.DUMMYFUNCTION("TO_TEXT(A2980)"),"53055")</f>
        <v>53055</v>
      </c>
      <c r="C2980" s="1">
        <v>16056.0</v>
      </c>
      <c r="D2980" s="1">
        <v>173.911411888748</v>
      </c>
      <c r="E2980" s="1" t="s">
        <v>638</v>
      </c>
      <c r="F2980" s="1" t="s">
        <v>4863</v>
      </c>
      <c r="G2980" s="1">
        <v>92.322866139866</v>
      </c>
      <c r="H2980" s="1">
        <v>13.105263436</v>
      </c>
      <c r="I2980" s="1">
        <v>4.0134335086</v>
      </c>
      <c r="J2980" s="1">
        <v>2.8911564626</v>
      </c>
      <c r="K2980" s="1">
        <v>12.000595653</v>
      </c>
      <c r="L2980" s="1">
        <v>18.3</v>
      </c>
      <c r="M2980" s="1">
        <v>8.7</v>
      </c>
      <c r="N2980" s="1">
        <v>14.3</v>
      </c>
      <c r="O2980" s="1">
        <v>86.3846787999999</v>
      </c>
      <c r="P2980" s="1">
        <v>9.0753732686</v>
      </c>
      <c r="Q2980" s="1">
        <v>77.77445</v>
      </c>
      <c r="R2980" s="1">
        <v>89.423076923</v>
      </c>
      <c r="S2980" s="1">
        <v>12.9</v>
      </c>
      <c r="T2980" s="1">
        <v>2195.0</v>
      </c>
      <c r="U2980" s="1">
        <v>32.0273348519999</v>
      </c>
      <c r="V2980" s="1">
        <v>52.486955448</v>
      </c>
      <c r="W2980" s="1">
        <v>20.8524590159999</v>
      </c>
      <c r="X2980" s="1">
        <v>15.5673523559999</v>
      </c>
      <c r="Y2980" s="1">
        <v>85.494186503</v>
      </c>
      <c r="Z2980" s="1">
        <v>5.6</v>
      </c>
      <c r="AA2980" s="1">
        <v>0.0522452883</v>
      </c>
      <c r="AB2980" s="1">
        <v>62249.0</v>
      </c>
      <c r="AC2980" s="1">
        <v>35.385468663</v>
      </c>
      <c r="AD2980" s="1">
        <v>73.781931464</v>
      </c>
      <c r="AE2980" s="1">
        <v>15.9303705659999</v>
      </c>
      <c r="AF2980" s="1">
        <v>0.6422232602</v>
      </c>
      <c r="AG2980" s="1">
        <v>1.0392340028</v>
      </c>
      <c r="AH2980" s="1">
        <v>1.5179822513</v>
      </c>
      <c r="AI2980" s="1">
        <v>0.1517982251</v>
      </c>
      <c r="AJ2980" s="1">
        <v>6.6557683326</v>
      </c>
      <c r="AK2980" s="1">
        <v>88.118869687</v>
      </c>
      <c r="AL2980" s="1">
        <v>0.8063003938</v>
      </c>
      <c r="AM2980" s="1">
        <v>51.62307333</v>
      </c>
      <c r="AN2980" s="1">
        <v>100.0</v>
      </c>
      <c r="AO2980" s="1">
        <v>40327.0</v>
      </c>
      <c r="AP2980" s="1">
        <v>11.1</v>
      </c>
      <c r="AQ2980" s="1">
        <v>5.1</v>
      </c>
      <c r="AR2980" s="1">
        <v>4.7</v>
      </c>
      <c r="AS2980" s="1">
        <v>29.5</v>
      </c>
      <c r="AT2980" s="1">
        <v>14.2</v>
      </c>
      <c r="AU2980" s="1">
        <v>12.9</v>
      </c>
      <c r="AV2980" s="1">
        <v>10.9</v>
      </c>
      <c r="AW2980" s="1">
        <v>1.2</v>
      </c>
      <c r="AX2980" s="1">
        <v>0.1092</v>
      </c>
      <c r="AY2980" s="1">
        <v>8.1</v>
      </c>
      <c r="AZ2980" s="1">
        <v>10.5</v>
      </c>
      <c r="BA2980" s="1">
        <v>16.2</v>
      </c>
      <c r="BB2980" s="1">
        <v>3.49</v>
      </c>
      <c r="BC2980" s="1" t="s">
        <v>4823</v>
      </c>
      <c r="BD2980" s="1">
        <v>4.1</v>
      </c>
      <c r="BE2980" s="1">
        <v>16.0</v>
      </c>
      <c r="BF2980" s="1">
        <v>30.1</v>
      </c>
      <c r="BG2980" s="1">
        <v>49.8</v>
      </c>
      <c r="BH2980" s="1" t="s">
        <v>4863</v>
      </c>
    </row>
    <row r="2981">
      <c r="A2981" s="1">
        <v>53057.0</v>
      </c>
      <c r="B2981" s="2" t="str">
        <f>IFERROR(__xludf.DUMMYFUNCTION("TO_TEXT(A2981)"),"53057")</f>
        <v>53057</v>
      </c>
      <c r="C2981" s="1">
        <v>120475.0</v>
      </c>
      <c r="D2981" s="1">
        <v>1730.13828561576</v>
      </c>
      <c r="E2981" s="1" t="s">
        <v>4864</v>
      </c>
      <c r="F2981" s="1" t="s">
        <v>4865</v>
      </c>
      <c r="G2981" s="1">
        <v>69.6331622747269</v>
      </c>
      <c r="H2981" s="1">
        <v>14.486976039</v>
      </c>
      <c r="I2981" s="1">
        <v>3.9377885851</v>
      </c>
      <c r="J2981" s="1">
        <v>5.82273449919999</v>
      </c>
      <c r="K2981" s="1">
        <v>13.2404402009999</v>
      </c>
      <c r="L2981" s="1">
        <v>29.1</v>
      </c>
      <c r="M2981" s="1">
        <v>7.9</v>
      </c>
      <c r="N2981" s="1">
        <v>16.6</v>
      </c>
      <c r="O2981" s="1">
        <v>80.561329672</v>
      </c>
      <c r="P2981" s="1">
        <v>8.6443432702</v>
      </c>
      <c r="Q2981" s="1">
        <v>84.38214</v>
      </c>
      <c r="R2981" s="1">
        <v>74.674384949</v>
      </c>
      <c r="S2981" s="1">
        <v>12.4</v>
      </c>
      <c r="T2981" s="1">
        <v>27147.0</v>
      </c>
      <c r="U2981" s="1">
        <v>29.3107894059999</v>
      </c>
      <c r="V2981" s="1">
        <v>195.35105613</v>
      </c>
      <c r="W2981" s="1">
        <v>20.255909781</v>
      </c>
      <c r="X2981" s="1">
        <v>15.38630137</v>
      </c>
      <c r="Y2981" s="1">
        <v>79.907989562</v>
      </c>
      <c r="Z2981" s="1">
        <v>10.4</v>
      </c>
      <c r="AA2981" s="1">
        <v>7.39238594909999</v>
      </c>
      <c r="AB2981" s="1">
        <v>70955.0</v>
      </c>
      <c r="AC2981" s="1">
        <v>50.502240766</v>
      </c>
      <c r="AD2981" s="1">
        <v>67.542816613</v>
      </c>
      <c r="AE2981" s="1">
        <v>15.311937612</v>
      </c>
      <c r="AF2981" s="1">
        <v>0.7987145687</v>
      </c>
      <c r="AG2981" s="1">
        <v>2.7089215793</v>
      </c>
      <c r="AH2981" s="1">
        <v>2.407063632</v>
      </c>
      <c r="AI2981" s="1">
        <v>0.3704974806</v>
      </c>
      <c r="AJ2981" s="1">
        <v>18.663713087</v>
      </c>
      <c r="AK2981" s="1">
        <v>73.973136983</v>
      </c>
      <c r="AL2981" s="1">
        <v>4.4870417329</v>
      </c>
      <c r="AM2981" s="1">
        <v>50.436017035</v>
      </c>
      <c r="AN2981" s="1">
        <v>29.021137544</v>
      </c>
      <c r="AO2981" s="1">
        <v>28586.0</v>
      </c>
      <c r="AP2981" s="1">
        <v>15.0</v>
      </c>
      <c r="AQ2981" s="1">
        <v>7.2</v>
      </c>
      <c r="AR2981" s="1">
        <v>11.1</v>
      </c>
      <c r="AS2981" s="1">
        <v>18.8</v>
      </c>
      <c r="AT2981" s="1">
        <v>22.5</v>
      </c>
      <c r="AU2981" s="1">
        <v>14.4</v>
      </c>
      <c r="AV2981" s="1">
        <v>24.5</v>
      </c>
      <c r="AW2981" s="1">
        <v>3.9</v>
      </c>
      <c r="AX2981" s="1">
        <v>0.5826</v>
      </c>
      <c r="AY2981" s="1">
        <v>11.2</v>
      </c>
      <c r="AZ2981" s="1">
        <v>11.8</v>
      </c>
      <c r="BA2981" s="1">
        <v>17.2</v>
      </c>
      <c r="BB2981" s="1">
        <v>3.37</v>
      </c>
      <c r="BC2981" s="1" t="s">
        <v>4823</v>
      </c>
      <c r="BD2981" s="1">
        <v>9.8</v>
      </c>
      <c r="BE2981" s="1">
        <v>26.3</v>
      </c>
      <c r="BF2981" s="1">
        <v>37.6</v>
      </c>
      <c r="BG2981" s="1">
        <v>26.2</v>
      </c>
      <c r="BH2981" s="1" t="s">
        <v>4865</v>
      </c>
    </row>
    <row r="2982">
      <c r="A2982" s="1">
        <v>53059.0</v>
      </c>
      <c r="B2982" s="2" t="str">
        <f>IFERROR(__xludf.DUMMYFUNCTION("TO_TEXT(A2982)"),"53059")</f>
        <v>53059</v>
      </c>
      <c r="C2982" s="1">
        <v>11316.0</v>
      </c>
      <c r="D2982" s="1">
        <v>1658.26008478003</v>
      </c>
      <c r="E2982" s="1" t="s">
        <v>4866</v>
      </c>
      <c r="F2982" s="1" t="s">
        <v>4867</v>
      </c>
      <c r="G2982" s="1">
        <v>6.82402000980507</v>
      </c>
      <c r="H2982" s="1">
        <v>16.287515463</v>
      </c>
      <c r="I2982" s="1">
        <v>4.2606987344</v>
      </c>
      <c r="J2982" s="1">
        <v>7.3806078148</v>
      </c>
      <c r="K2982" s="1">
        <v>14.6192829929999</v>
      </c>
      <c r="L2982" s="1">
        <v>33.1</v>
      </c>
      <c r="M2982" s="1">
        <v>8.1</v>
      </c>
      <c r="N2982" s="1">
        <v>18.0</v>
      </c>
      <c r="O2982" s="1">
        <v>93.014639436</v>
      </c>
      <c r="P2982" s="1">
        <v>7.183908046</v>
      </c>
      <c r="Q2982" s="1">
        <v>48.31939</v>
      </c>
      <c r="R2982" s="1">
        <v>82.278481013</v>
      </c>
      <c r="S2982" s="1">
        <v>16.3</v>
      </c>
      <c r="T2982" s="1">
        <v>2216.0</v>
      </c>
      <c r="U2982" s="1">
        <v>32.26534296</v>
      </c>
      <c r="V2982" s="1">
        <v>87.719298246</v>
      </c>
      <c r="W2982" s="1">
        <v>18.469945355</v>
      </c>
      <c r="X2982" s="1">
        <v>15.410199557</v>
      </c>
      <c r="Y2982" s="1">
        <v>83.31895204</v>
      </c>
      <c r="Z2982" s="1">
        <v>10.8</v>
      </c>
      <c r="AA2982" s="1">
        <v>1.1503629418</v>
      </c>
      <c r="AB2982" s="1">
        <v>64344.0</v>
      </c>
      <c r="AC2982" s="1">
        <v>39.246658566</v>
      </c>
      <c r="AD2982" s="1">
        <v>71.099252935</v>
      </c>
      <c r="AE2982" s="1">
        <v>11.894760115</v>
      </c>
      <c r="AF2982" s="1">
        <v>0.5618919826</v>
      </c>
      <c r="AG2982" s="1">
        <v>1.9288829252</v>
      </c>
      <c r="AH2982" s="1">
        <v>1.0399194901</v>
      </c>
      <c r="AI2982" s="1">
        <v>0.2096611875</v>
      </c>
      <c r="AJ2982" s="1">
        <v>6.3317678631</v>
      </c>
      <c r="AK2982" s="1">
        <v>87.579671251</v>
      </c>
      <c r="AL2982" s="1">
        <v>0.5225225225</v>
      </c>
      <c r="AM2982" s="1">
        <v>49.169741697</v>
      </c>
      <c r="AN2982" s="1">
        <v>100.0</v>
      </c>
      <c r="AO2982" s="1">
        <v>28556.0</v>
      </c>
      <c r="AP2982" s="1">
        <v>14.3</v>
      </c>
      <c r="AQ2982" s="1">
        <v>7.7</v>
      </c>
      <c r="AR2982" s="1">
        <v>9.5</v>
      </c>
      <c r="AS2982" s="1">
        <v>17.1</v>
      </c>
      <c r="AT2982" s="1">
        <v>21.1</v>
      </c>
      <c r="AU2982" s="1">
        <v>14.8</v>
      </c>
      <c r="AV2982" s="1">
        <v>11.7</v>
      </c>
      <c r="AW2982" s="1">
        <v>1.2</v>
      </c>
      <c r="AX2982" s="1">
        <v>0.2798</v>
      </c>
      <c r="AY2982" s="1">
        <v>10.4</v>
      </c>
      <c r="AZ2982" s="1">
        <v>12.4</v>
      </c>
      <c r="BA2982" s="1">
        <v>20.3</v>
      </c>
      <c r="BB2982" s="1">
        <v>3.34</v>
      </c>
      <c r="BC2982" s="1" t="s">
        <v>4823</v>
      </c>
      <c r="BD2982" s="1">
        <v>8.4</v>
      </c>
      <c r="BE2982" s="1">
        <v>30.4</v>
      </c>
      <c r="BF2982" s="1">
        <v>36.8</v>
      </c>
      <c r="BG2982" s="1">
        <v>24.5</v>
      </c>
      <c r="BH2982" s="1" t="s">
        <v>4867</v>
      </c>
    </row>
    <row r="2983">
      <c r="A2983" s="1">
        <v>53061.0</v>
      </c>
      <c r="B2983" s="2" t="str">
        <f>IFERROR(__xludf.DUMMYFUNCTION("TO_TEXT(A2983)"),"53061")</f>
        <v>53061</v>
      </c>
      <c r="C2983" s="1">
        <v>758649.0</v>
      </c>
      <c r="D2983" s="1">
        <v>2086.57282647116</v>
      </c>
      <c r="E2983" s="1" t="s">
        <v>4868</v>
      </c>
      <c r="F2983" s="1" t="s">
        <v>4869</v>
      </c>
      <c r="G2983" s="1">
        <v>363.586159263387</v>
      </c>
      <c r="H2983" s="1">
        <v>14.403971122</v>
      </c>
      <c r="I2983" s="1">
        <v>3.7009684894</v>
      </c>
      <c r="J2983" s="1">
        <v>6.0470009483</v>
      </c>
      <c r="K2983" s="1">
        <v>12.962308599</v>
      </c>
      <c r="L2983" s="1">
        <v>28.9</v>
      </c>
      <c r="M2983" s="1">
        <v>8.4</v>
      </c>
      <c r="N2983" s="1">
        <v>17.8</v>
      </c>
      <c r="O2983" s="1">
        <v>86.135966972</v>
      </c>
      <c r="P2983" s="1">
        <v>6.2076401725</v>
      </c>
      <c r="Q2983" s="1">
        <v>52.5178</v>
      </c>
      <c r="R2983" s="1">
        <v>85.749792875</v>
      </c>
      <c r="S2983" s="1">
        <v>8.8</v>
      </c>
      <c r="T2983" s="1">
        <v>178880.0</v>
      </c>
      <c r="U2983" s="1">
        <v>25.393559928</v>
      </c>
      <c r="V2983" s="1">
        <v>204.59239524</v>
      </c>
      <c r="W2983" s="1">
        <v>16.613728129</v>
      </c>
      <c r="X2983" s="1">
        <v>13.632412069</v>
      </c>
      <c r="Y2983" s="1">
        <v>80.374691011</v>
      </c>
      <c r="Z2983" s="1">
        <v>8.2</v>
      </c>
      <c r="AA2983" s="1">
        <v>3.8916059951</v>
      </c>
      <c r="AB2983" s="1">
        <v>87096.0</v>
      </c>
      <c r="AC2983" s="1">
        <v>33.4813664069999</v>
      </c>
      <c r="AD2983" s="1">
        <v>66.797129811</v>
      </c>
      <c r="AE2983" s="1">
        <v>13.0464872</v>
      </c>
      <c r="AF2983" s="1">
        <v>3.3812696266</v>
      </c>
      <c r="AG2983" s="1">
        <v>1.5801919497</v>
      </c>
      <c r="AH2983" s="1">
        <v>11.63711911</v>
      </c>
      <c r="AI2983" s="1">
        <v>0.6894088975</v>
      </c>
      <c r="AJ2983" s="1">
        <v>10.444090755</v>
      </c>
      <c r="AK2983" s="1">
        <v>68.847995033</v>
      </c>
      <c r="AL2983" s="1">
        <v>3.5068929756</v>
      </c>
      <c r="AM2983" s="1">
        <v>49.8274023469999</v>
      </c>
      <c r="AN2983" s="1">
        <v>10.819460702</v>
      </c>
      <c r="AO2983" s="1">
        <v>33883.0</v>
      </c>
      <c r="AP2983" s="1">
        <v>9.3</v>
      </c>
      <c r="AQ2983" s="1">
        <v>6.2</v>
      </c>
      <c r="AR2983" s="1">
        <v>8.2</v>
      </c>
      <c r="AS2983" s="1">
        <v>12.1</v>
      </c>
      <c r="AT2983" s="1">
        <v>23.2</v>
      </c>
      <c r="AU2983" s="1">
        <v>11.9</v>
      </c>
      <c r="AV2983" s="1">
        <v>28.0</v>
      </c>
      <c r="AW2983" s="1">
        <v>3.4</v>
      </c>
      <c r="AX2983" s="1">
        <v>0.2961</v>
      </c>
      <c r="AY2983" s="1">
        <v>7.0</v>
      </c>
      <c r="AZ2983" s="1">
        <v>9.3</v>
      </c>
      <c r="BA2983" s="1">
        <v>13.2</v>
      </c>
      <c r="BB2983" s="1">
        <v>3.51</v>
      </c>
      <c r="BC2983" s="1" t="s">
        <v>4823</v>
      </c>
      <c r="BD2983" s="1">
        <v>7.7</v>
      </c>
      <c r="BE2983" s="1">
        <v>23.3</v>
      </c>
      <c r="BF2983" s="1">
        <v>36.2</v>
      </c>
      <c r="BG2983" s="1">
        <v>32.8</v>
      </c>
      <c r="BH2983" s="1" t="s">
        <v>4869</v>
      </c>
    </row>
    <row r="2984">
      <c r="A2984" s="1">
        <v>53063.0</v>
      </c>
      <c r="B2984" s="2" t="str">
        <f>IFERROR(__xludf.DUMMYFUNCTION("TO_TEXT(A2984)"),"53063")</f>
        <v>53063</v>
      </c>
      <c r="C2984" s="1">
        <v>485859.0</v>
      </c>
      <c r="D2984" s="1">
        <v>1763.93728905716</v>
      </c>
      <c r="E2984" s="1" t="s">
        <v>4870</v>
      </c>
      <c r="F2984" s="1" t="s">
        <v>4871</v>
      </c>
      <c r="G2984" s="1">
        <v>275.440064119114</v>
      </c>
      <c r="H2984" s="1">
        <v>13.011773362</v>
      </c>
      <c r="I2984" s="1">
        <v>4.2942154607</v>
      </c>
      <c r="J2984" s="1">
        <v>7.1585955837</v>
      </c>
      <c r="K2984" s="1">
        <v>14.493901558</v>
      </c>
      <c r="L2984" s="1">
        <v>28.0</v>
      </c>
      <c r="M2984" s="1">
        <v>7.7</v>
      </c>
      <c r="N2984" s="1">
        <v>18.1</v>
      </c>
      <c r="O2984" s="1">
        <v>89.012374236</v>
      </c>
      <c r="P2984" s="1">
        <v>6.0024980151</v>
      </c>
      <c r="Q2984" s="1">
        <v>89.89394</v>
      </c>
      <c r="R2984" s="1">
        <v>85.226429102</v>
      </c>
      <c r="S2984" s="1">
        <v>14.8</v>
      </c>
      <c r="T2984" s="1">
        <v>109974.0</v>
      </c>
      <c r="U2984" s="1">
        <v>30.219870151</v>
      </c>
      <c r="V2984" s="1">
        <v>352.81718091</v>
      </c>
      <c r="W2984" s="1">
        <v>16.771258237</v>
      </c>
      <c r="X2984" s="1">
        <v>14.7238614409999</v>
      </c>
      <c r="Y2984" s="1">
        <v>78.498307053</v>
      </c>
      <c r="Z2984" s="1">
        <v>9.4</v>
      </c>
      <c r="AA2984" s="1">
        <v>4.4138186495</v>
      </c>
      <c r="AB2984" s="1">
        <v>59408.0</v>
      </c>
      <c r="AC2984" s="1">
        <v>47.0387740269999</v>
      </c>
      <c r="AD2984" s="1">
        <v>62.642766098</v>
      </c>
      <c r="AE2984" s="1">
        <v>14.402392079</v>
      </c>
      <c r="AF2984" s="1">
        <v>1.868717586</v>
      </c>
      <c r="AG2984" s="1">
        <v>1.8024565174</v>
      </c>
      <c r="AH2984" s="1">
        <v>2.4297020584</v>
      </c>
      <c r="AI2984" s="1">
        <v>0.6113117943</v>
      </c>
      <c r="AJ2984" s="1">
        <v>5.9213300404</v>
      </c>
      <c r="AK2984" s="1">
        <v>84.28349633</v>
      </c>
      <c r="AL2984" s="1">
        <v>1.2260446204</v>
      </c>
      <c r="AM2984" s="1">
        <v>50.412431431</v>
      </c>
      <c r="AN2984" s="1">
        <v>13.671716668</v>
      </c>
      <c r="AO2984" s="1">
        <v>26860.0</v>
      </c>
      <c r="AP2984" s="1">
        <v>15.6</v>
      </c>
      <c r="AQ2984" s="1">
        <v>7.2</v>
      </c>
      <c r="AR2984" s="1">
        <v>6.9</v>
      </c>
      <c r="AS2984" s="1">
        <v>14.7</v>
      </c>
      <c r="AT2984" s="1">
        <v>22.5</v>
      </c>
      <c r="AU2984" s="1">
        <v>15.0</v>
      </c>
      <c r="AV2984" s="1">
        <v>14.4</v>
      </c>
      <c r="AW2984" s="1">
        <v>1.4</v>
      </c>
      <c r="AX2984" s="1">
        <v>0.4903</v>
      </c>
      <c r="AY2984" s="1">
        <v>12.9</v>
      </c>
      <c r="AZ2984" s="1">
        <v>13.0</v>
      </c>
      <c r="BA2984" s="1">
        <v>19.5</v>
      </c>
      <c r="BB2984" s="1">
        <v>3.17</v>
      </c>
      <c r="BC2984" s="1" t="s">
        <v>4823</v>
      </c>
      <c r="BD2984" s="1">
        <v>6.2</v>
      </c>
      <c r="BE2984" s="1">
        <v>23.2</v>
      </c>
      <c r="BF2984" s="1">
        <v>39.8</v>
      </c>
      <c r="BG2984" s="1">
        <v>30.8</v>
      </c>
      <c r="BH2984" s="1" t="s">
        <v>4871</v>
      </c>
    </row>
    <row r="2985">
      <c r="A2985" s="1">
        <v>53065.0</v>
      </c>
      <c r="B2985" s="2" t="str">
        <f>IFERROR(__xludf.DUMMYFUNCTION("TO_TEXT(A2985)"),"53065")</f>
        <v>53065</v>
      </c>
      <c r="C2985" s="1">
        <v>43744.0</v>
      </c>
      <c r="D2985" s="1">
        <v>2477.38993459722</v>
      </c>
      <c r="E2985" s="1" t="s">
        <v>1740</v>
      </c>
      <c r="F2985" s="1" t="s">
        <v>4872</v>
      </c>
      <c r="G2985" s="1">
        <v>17.6572930200073</v>
      </c>
      <c r="H2985" s="1">
        <v>17.331614429</v>
      </c>
      <c r="I2985" s="1">
        <v>4.8414830371</v>
      </c>
      <c r="J2985" s="1">
        <v>6.46733831649999</v>
      </c>
      <c r="K2985" s="1">
        <v>14.784734389</v>
      </c>
      <c r="L2985" s="1">
        <v>31.1</v>
      </c>
      <c r="M2985" s="1">
        <v>6.9</v>
      </c>
      <c r="N2985" s="1">
        <v>22.6</v>
      </c>
      <c r="O2985" s="1">
        <v>43.42882084</v>
      </c>
      <c r="P2985" s="1">
        <v>7.8533571491</v>
      </c>
      <c r="Q2985" s="1">
        <v>69.3047199999999</v>
      </c>
      <c r="R2985" s="1">
        <v>82.543640898</v>
      </c>
      <c r="S2985" s="1">
        <v>19.4</v>
      </c>
      <c r="T2985" s="1">
        <v>9579.0</v>
      </c>
      <c r="U2985" s="1">
        <v>27.142708007</v>
      </c>
      <c r="V2985" s="1">
        <v>105.31617748</v>
      </c>
      <c r="W2985" s="1">
        <v>15.711009174</v>
      </c>
      <c r="X2985" s="1">
        <v>11.374819103</v>
      </c>
      <c r="Y2985" s="1">
        <v>79.498063956</v>
      </c>
      <c r="Z2985" s="1">
        <v>11.0</v>
      </c>
      <c r="AA2985" s="1">
        <v>13.521338899</v>
      </c>
      <c r="AB2985" s="1">
        <v>51183.0</v>
      </c>
      <c r="AC2985" s="1">
        <v>50.218833827</v>
      </c>
      <c r="AD2985" s="1">
        <v>77.548327884</v>
      </c>
      <c r="AE2985" s="1">
        <v>11.563731932</v>
      </c>
      <c r="AF2985" s="1">
        <v>0.508174989</v>
      </c>
      <c r="AG2985" s="1">
        <v>5.8462218294</v>
      </c>
      <c r="AH2985" s="1">
        <v>0.8130799823</v>
      </c>
      <c r="AI2985" s="1">
        <v>0.1878038003</v>
      </c>
      <c r="AJ2985" s="1">
        <v>3.7847989395</v>
      </c>
      <c r="AK2985" s="1">
        <v>86.4162616</v>
      </c>
      <c r="AL2985" s="1">
        <v>0.3898309138</v>
      </c>
      <c r="AM2985" s="1">
        <v>50.090587715</v>
      </c>
      <c r="AN2985" s="1">
        <v>79.2056235789999</v>
      </c>
      <c r="AO2985" s="1">
        <v>22745.0</v>
      </c>
      <c r="AP2985" s="1">
        <v>16.5</v>
      </c>
      <c r="AQ2985" s="1">
        <v>8.9</v>
      </c>
      <c r="AR2985" s="1">
        <v>10.1</v>
      </c>
      <c r="AS2985" s="1">
        <v>20.6</v>
      </c>
      <c r="AT2985" s="1">
        <v>22.3</v>
      </c>
      <c r="AU2985" s="1">
        <v>19.3</v>
      </c>
      <c r="AV2985" s="1">
        <v>12.9</v>
      </c>
      <c r="AW2985" s="1">
        <v>0.4</v>
      </c>
      <c r="AX2985" s="1">
        <v>0.5256</v>
      </c>
      <c r="AY2985" s="1">
        <v>14.9</v>
      </c>
      <c r="AZ2985" s="1">
        <v>14.8</v>
      </c>
      <c r="BA2985" s="1">
        <v>23.7</v>
      </c>
      <c r="BB2985" s="1">
        <v>3.17</v>
      </c>
      <c r="BC2985" s="1" t="s">
        <v>4823</v>
      </c>
      <c r="BD2985" s="1">
        <v>9.4</v>
      </c>
      <c r="BE2985" s="1">
        <v>34.5</v>
      </c>
      <c r="BF2985" s="1">
        <v>37.4</v>
      </c>
      <c r="BG2985" s="1">
        <v>18.7</v>
      </c>
      <c r="BH2985" s="1" t="s">
        <v>4872</v>
      </c>
    </row>
    <row r="2986">
      <c r="A2986" s="1">
        <v>53067.0</v>
      </c>
      <c r="B2986" s="2" t="str">
        <f>IFERROR(__xludf.DUMMYFUNCTION("TO_TEXT(A2986)"),"53067")</f>
        <v>53067</v>
      </c>
      <c r="C2986" s="1">
        <v>266311.0</v>
      </c>
      <c r="D2986" s="1">
        <v>722.455366568956</v>
      </c>
      <c r="E2986" s="1" t="s">
        <v>2927</v>
      </c>
      <c r="F2986" s="1" t="s">
        <v>4873</v>
      </c>
      <c r="G2986" s="1">
        <v>368.619311757277</v>
      </c>
      <c r="H2986" s="1">
        <v>13.463376434</v>
      </c>
      <c r="I2986" s="1">
        <v>3.8047448349</v>
      </c>
      <c r="J2986" s="1">
        <v>6.2227324914</v>
      </c>
      <c r="K2986" s="1">
        <v>12.856464025</v>
      </c>
      <c r="L2986" s="1">
        <v>30.1</v>
      </c>
      <c r="M2986" s="1">
        <v>7.8</v>
      </c>
      <c r="N2986" s="1">
        <v>16.5</v>
      </c>
      <c r="O2986" s="1">
        <v>74.571480671</v>
      </c>
      <c r="P2986" s="1">
        <v>6.0670986396</v>
      </c>
      <c r="Q2986" s="1">
        <v>99.79044</v>
      </c>
      <c r="R2986" s="1">
        <v>85.199362041</v>
      </c>
      <c r="S2986" s="1">
        <v>9.9</v>
      </c>
      <c r="T2986" s="1">
        <v>59154.0</v>
      </c>
      <c r="U2986" s="1">
        <v>28.934645163</v>
      </c>
      <c r="V2986" s="1">
        <v>237.23320524</v>
      </c>
      <c r="W2986" s="1">
        <v>16.275248864</v>
      </c>
      <c r="X2986" s="1">
        <v>13.639257554</v>
      </c>
      <c r="Y2986" s="1">
        <v>80.329401654</v>
      </c>
      <c r="Z2986" s="1">
        <v>10.3</v>
      </c>
      <c r="AA2986" s="1">
        <v>6.990409152</v>
      </c>
      <c r="AB2986" s="1">
        <v>72400.0</v>
      </c>
      <c r="AC2986" s="1">
        <v>36.418520304</v>
      </c>
      <c r="AD2986" s="1">
        <v>63.654113075</v>
      </c>
      <c r="AE2986" s="1">
        <v>13.600446661</v>
      </c>
      <c r="AF2986" s="1">
        <v>3.2085860226</v>
      </c>
      <c r="AG2986" s="1">
        <v>1.7813064077</v>
      </c>
      <c r="AH2986" s="1">
        <v>6.2097835688</v>
      </c>
      <c r="AI2986" s="1">
        <v>0.9618775291</v>
      </c>
      <c r="AJ2986" s="1">
        <v>9.1820025906</v>
      </c>
      <c r="AK2986" s="1">
        <v>74.568377098</v>
      </c>
      <c r="AL2986" s="1">
        <v>1.4259525688</v>
      </c>
      <c r="AM2986" s="1">
        <v>51.0730782519999</v>
      </c>
      <c r="AN2986" s="1">
        <v>20.988726096</v>
      </c>
      <c r="AO2986" s="1">
        <v>30583.0</v>
      </c>
      <c r="AP2986" s="1">
        <v>12.0</v>
      </c>
      <c r="AQ2986" s="1">
        <v>8.4</v>
      </c>
      <c r="AR2986" s="1">
        <v>6.4</v>
      </c>
      <c r="AS2986" s="1">
        <v>15.2</v>
      </c>
      <c r="AT2986" s="1">
        <v>22.1</v>
      </c>
      <c r="AU2986" s="1">
        <v>13.0</v>
      </c>
      <c r="AV2986" s="1">
        <v>23.6</v>
      </c>
      <c r="AW2986" s="1">
        <v>1.7</v>
      </c>
      <c r="AX2986" s="1">
        <v>0.3435</v>
      </c>
      <c r="AY2986" s="1">
        <v>9.1</v>
      </c>
      <c r="AZ2986" s="1">
        <v>11.3</v>
      </c>
      <c r="BA2986" s="1">
        <v>16.4</v>
      </c>
      <c r="BB2986" s="1">
        <v>3.35</v>
      </c>
      <c r="BC2986" s="1" t="s">
        <v>4823</v>
      </c>
      <c r="BD2986" s="1">
        <v>6.3</v>
      </c>
      <c r="BE2986" s="1">
        <v>21.3</v>
      </c>
      <c r="BF2986" s="1">
        <v>36.7</v>
      </c>
      <c r="BG2986" s="1">
        <v>35.7</v>
      </c>
      <c r="BH2986" s="1" t="s">
        <v>4873</v>
      </c>
    </row>
    <row r="2987">
      <c r="A2987" s="1">
        <v>53069.0</v>
      </c>
      <c r="B2987" s="2" t="str">
        <f>IFERROR(__xludf.DUMMYFUNCTION("TO_TEXT(A2987)"),"53069")</f>
        <v>53069</v>
      </c>
      <c r="C2987" s="1">
        <v>4051.0</v>
      </c>
      <c r="D2987" s="1">
        <v>262.918777374274</v>
      </c>
      <c r="E2987" s="1" t="s">
        <v>4874</v>
      </c>
      <c r="F2987" s="1" t="s">
        <v>4875</v>
      </c>
      <c r="G2987" s="1">
        <v>15.4078002357103</v>
      </c>
      <c r="H2987" s="1">
        <v>13.68391793</v>
      </c>
      <c r="I2987" s="1">
        <v>4.4831172054</v>
      </c>
      <c r="J2987" s="1">
        <v>7.3891625616</v>
      </c>
      <c r="K2987" s="1">
        <v>13.272969551</v>
      </c>
      <c r="L2987" s="1">
        <v>35.5</v>
      </c>
      <c r="M2987" s="1">
        <v>5.6</v>
      </c>
      <c r="N2987" s="1">
        <v>24.4</v>
      </c>
      <c r="O2987" s="1">
        <v>11.7144293609999</v>
      </c>
      <c r="P2987" s="1">
        <v>8.8585434174</v>
      </c>
      <c r="Q2987" s="1">
        <v>48.31939</v>
      </c>
      <c r="R2987" s="1">
        <v>84.375</v>
      </c>
      <c r="S2987" s="1">
        <v>19.8</v>
      </c>
      <c r="T2987" s="1">
        <v>697.0</v>
      </c>
      <c r="U2987" s="1">
        <v>15.925394548</v>
      </c>
      <c r="V2987" s="1">
        <v>122.6993865</v>
      </c>
      <c r="W2987" s="1">
        <v>12.290502793</v>
      </c>
      <c r="X2987" s="1">
        <v>11.331444759</v>
      </c>
      <c r="Y2987" s="1">
        <v>81.864954671</v>
      </c>
      <c r="Z2987" s="1">
        <v>13.7</v>
      </c>
      <c r="AA2987" s="1">
        <v>30.8099004609999</v>
      </c>
      <c r="AB2987" s="1">
        <v>55692.0</v>
      </c>
      <c r="AC2987" s="1">
        <v>61.330561331</v>
      </c>
      <c r="AD2987" s="1">
        <v>85.845986985</v>
      </c>
      <c r="AE2987" s="1">
        <v>7.45687256539999</v>
      </c>
      <c r="AF2987" s="1">
        <v>0.3840939901</v>
      </c>
      <c r="AG2987" s="1">
        <v>1.5589697244</v>
      </c>
      <c r="AH2987" s="1">
        <v>1.8075011297</v>
      </c>
      <c r="AI2987" s="1">
        <v>0.2259376412</v>
      </c>
      <c r="AJ2987" s="1">
        <v>5.2869408043</v>
      </c>
      <c r="AK2987" s="1">
        <v>87.347492092</v>
      </c>
      <c r="AL2987" s="1">
        <v>0.5186465794</v>
      </c>
      <c r="AM2987" s="1">
        <v>49.796656123</v>
      </c>
      <c r="AN2987" s="1">
        <v>100.0</v>
      </c>
      <c r="AO2987" s="1">
        <v>27619.0</v>
      </c>
      <c r="AP2987" s="1">
        <v>14.1</v>
      </c>
      <c r="AQ2987" s="1">
        <v>7.0</v>
      </c>
      <c r="AR2987" s="1">
        <v>6.9</v>
      </c>
      <c r="AS2987" s="1">
        <v>31.3</v>
      </c>
      <c r="AT2987" s="1">
        <v>16.3</v>
      </c>
      <c r="AU2987" s="1">
        <v>23.8</v>
      </c>
      <c r="AV2987" s="1">
        <v>10.3</v>
      </c>
      <c r="AW2987" s="1">
        <v>0.3</v>
      </c>
      <c r="AX2987" s="1">
        <v>0.2248</v>
      </c>
      <c r="AY2987" s="1">
        <v>10.8</v>
      </c>
      <c r="AZ2987" s="1">
        <v>12.6</v>
      </c>
      <c r="BA2987" s="1">
        <v>20.8</v>
      </c>
      <c r="BB2987" s="1">
        <v>3.23</v>
      </c>
      <c r="BC2987" s="1" t="s">
        <v>4823</v>
      </c>
      <c r="BD2987" s="1">
        <v>7.9</v>
      </c>
      <c r="BE2987" s="1">
        <v>30.0</v>
      </c>
      <c r="BF2987" s="1">
        <v>42.7</v>
      </c>
      <c r="BG2987" s="1">
        <v>19.4</v>
      </c>
      <c r="BH2987" s="1" t="s">
        <v>4875</v>
      </c>
    </row>
    <row r="2988">
      <c r="A2988" s="1">
        <v>53071.0</v>
      </c>
      <c r="B2988" s="2" t="str">
        <f>IFERROR(__xludf.DUMMYFUNCTION("TO_TEXT(A2988)"),"53071")</f>
        <v>53071</v>
      </c>
      <c r="C2988" s="1">
        <v>59809.0</v>
      </c>
      <c r="D2988" s="1">
        <v>1270.03107009764</v>
      </c>
      <c r="E2988" s="1" t="s">
        <v>4876</v>
      </c>
      <c r="F2988" s="1" t="s">
        <v>4877</v>
      </c>
      <c r="G2988" s="1">
        <v>47.0925486849718</v>
      </c>
      <c r="H2988" s="1">
        <v>16.38565636</v>
      </c>
      <c r="I2988" s="1">
        <v>4.184370749</v>
      </c>
      <c r="J2988" s="1">
        <v>5.7533651759</v>
      </c>
      <c r="K2988" s="1">
        <v>12.6022598629999</v>
      </c>
      <c r="L2988" s="1">
        <v>27.2</v>
      </c>
      <c r="M2988" s="1">
        <v>8.2</v>
      </c>
      <c r="N2988" s="1">
        <v>16.8</v>
      </c>
      <c r="O2988" s="1">
        <v>83.348360865</v>
      </c>
      <c r="P2988" s="1">
        <v>7.935981608</v>
      </c>
      <c r="Q2988" s="1">
        <v>115.57449</v>
      </c>
      <c r="R2988" s="1">
        <v>76.8221574339999</v>
      </c>
      <c r="S2988" s="1">
        <v>15.1</v>
      </c>
      <c r="T2988" s="1">
        <v>12792.0</v>
      </c>
      <c r="U2988" s="1">
        <v>30.268918074</v>
      </c>
      <c r="V2988" s="1">
        <v>239.21662762</v>
      </c>
      <c r="W2988" s="1">
        <v>16.887871854</v>
      </c>
      <c r="X2988" s="1">
        <v>13.142063859</v>
      </c>
      <c r="Y2988" s="1">
        <v>79.822997595</v>
      </c>
      <c r="Z2988" s="1">
        <v>10.7</v>
      </c>
      <c r="AA2988" s="1">
        <v>5.1239955651</v>
      </c>
      <c r="AB2988" s="1">
        <v>57329.0</v>
      </c>
      <c r="AC2988" s="1">
        <v>56.051609957</v>
      </c>
      <c r="AD2988" s="1">
        <v>64.56241033</v>
      </c>
      <c r="AE2988" s="1">
        <v>14.7718413209999</v>
      </c>
      <c r="AF2988" s="1">
        <v>2.009126424</v>
      </c>
      <c r="AG2988" s="1">
        <v>1.3788122517</v>
      </c>
      <c r="AH2988" s="1">
        <v>1.7694757231</v>
      </c>
      <c r="AI2988" s="1">
        <v>0.4103607892</v>
      </c>
      <c r="AJ2988" s="1">
        <v>21.499622468</v>
      </c>
      <c r="AK2988" s="1">
        <v>71.392928663</v>
      </c>
      <c r="AL2988" s="1">
        <v>4.1747265501</v>
      </c>
      <c r="AM2988" s="1">
        <v>48.888742983</v>
      </c>
      <c r="AN2988" s="1">
        <v>17.124581072</v>
      </c>
      <c r="AO2988" s="1">
        <v>24736.0</v>
      </c>
      <c r="AP2988" s="1">
        <v>16.5</v>
      </c>
      <c r="AQ2988" s="1">
        <v>6.4</v>
      </c>
      <c r="AR2988" s="1">
        <v>11.4</v>
      </c>
      <c r="AS2988" s="1">
        <v>16.4</v>
      </c>
      <c r="AT2988" s="1">
        <v>21.4</v>
      </c>
      <c r="AU2988" s="1">
        <v>15.6</v>
      </c>
      <c r="AV2988" s="1">
        <v>27.4</v>
      </c>
      <c r="AW2988" s="1">
        <v>4.3</v>
      </c>
      <c r="AX2988" s="1">
        <v>0.7358</v>
      </c>
      <c r="AY2988" s="1">
        <v>12.7</v>
      </c>
      <c r="AZ2988" s="1">
        <v>11.7</v>
      </c>
      <c r="BA2988" s="1">
        <v>16.5</v>
      </c>
      <c r="BB2988" s="1">
        <v>3.46</v>
      </c>
      <c r="BC2988" s="1" t="s">
        <v>4823</v>
      </c>
      <c r="BD2988" s="1">
        <v>11.7</v>
      </c>
      <c r="BE2988" s="1">
        <v>19.8</v>
      </c>
      <c r="BF2988" s="1">
        <v>38.6</v>
      </c>
      <c r="BG2988" s="1">
        <v>29.8</v>
      </c>
      <c r="BH2988" s="1" t="s">
        <v>4877</v>
      </c>
    </row>
    <row r="2989">
      <c r="A2989" s="1">
        <v>53073.0</v>
      </c>
      <c r="B2989" s="2" t="str">
        <f>IFERROR(__xludf.DUMMYFUNCTION("TO_TEXT(A2989)"),"53073")</f>
        <v>53073</v>
      </c>
      <c r="C2989" s="1">
        <v>209729.0</v>
      </c>
      <c r="D2989" s="1">
        <v>2107.88353331016</v>
      </c>
      <c r="E2989" s="1" t="s">
        <v>4878</v>
      </c>
      <c r="F2989" s="1" t="s">
        <v>4879</v>
      </c>
      <c r="G2989" s="1">
        <v>99.4974327023882</v>
      </c>
      <c r="H2989" s="1">
        <v>12.5445854429999</v>
      </c>
      <c r="I2989" s="1">
        <v>4.0195962207</v>
      </c>
      <c r="J2989" s="1">
        <v>5.6810968643</v>
      </c>
      <c r="K2989" s="1">
        <v>13.724807685</v>
      </c>
      <c r="L2989" s="1">
        <v>27.9</v>
      </c>
      <c r="M2989" s="1">
        <v>7.6</v>
      </c>
      <c r="N2989" s="1">
        <v>14.4</v>
      </c>
      <c r="O2989" s="1">
        <v>85.103907726</v>
      </c>
      <c r="P2989" s="1">
        <v>7.5901094846</v>
      </c>
      <c r="Q2989" s="1">
        <v>91.23593</v>
      </c>
      <c r="R2989" s="1">
        <v>81.146744412</v>
      </c>
      <c r="S2989" s="1">
        <v>14.4</v>
      </c>
      <c r="T2989" s="1">
        <v>42652.0</v>
      </c>
      <c r="U2989" s="1">
        <v>26.636500047</v>
      </c>
      <c r="V2989" s="1">
        <v>193.71339855</v>
      </c>
      <c r="W2989" s="1">
        <v>20.217230314</v>
      </c>
      <c r="X2989" s="1">
        <v>17.472766885</v>
      </c>
      <c r="Y2989" s="1">
        <v>81.318249683</v>
      </c>
      <c r="Z2989" s="1">
        <v>8.2</v>
      </c>
      <c r="AA2989" s="1">
        <v>7.4709443159</v>
      </c>
      <c r="AB2989" s="1">
        <v>62262.0</v>
      </c>
      <c r="AC2989" s="1">
        <v>40.465555435</v>
      </c>
      <c r="AD2989" s="1">
        <v>62.011810653</v>
      </c>
      <c r="AE2989" s="1">
        <v>17.321465235</v>
      </c>
      <c r="AF2989" s="1">
        <v>1.0669738795</v>
      </c>
      <c r="AG2989" s="1">
        <v>3.3777167291</v>
      </c>
      <c r="AH2989" s="1">
        <v>4.6409818996</v>
      </c>
      <c r="AI2989" s="1">
        <v>0.315483971</v>
      </c>
      <c r="AJ2989" s="1">
        <v>9.5128165363</v>
      </c>
      <c r="AK2989" s="1">
        <v>78.710149102</v>
      </c>
      <c r="AL2989" s="1">
        <v>1.77659652289999</v>
      </c>
      <c r="AM2989" s="1">
        <v>50.5115537139999</v>
      </c>
      <c r="AN2989" s="1">
        <v>25.8735209309999</v>
      </c>
      <c r="AO2989" s="1">
        <v>27810.0</v>
      </c>
      <c r="AP2989" s="1">
        <v>16.0</v>
      </c>
      <c r="AQ2989" s="1">
        <v>7.7</v>
      </c>
      <c r="AR2989" s="1">
        <v>8.8</v>
      </c>
      <c r="AS2989" s="1">
        <v>15.5</v>
      </c>
      <c r="AT2989" s="1">
        <v>20.1</v>
      </c>
      <c r="AU2989" s="1">
        <v>13.6</v>
      </c>
      <c r="AV2989" s="1">
        <v>19.9</v>
      </c>
      <c r="AW2989" s="1">
        <v>2.4</v>
      </c>
      <c r="AX2989" s="1">
        <v>0.4865</v>
      </c>
      <c r="AY2989" s="1">
        <v>12.7</v>
      </c>
      <c r="AZ2989" s="1">
        <v>11.8</v>
      </c>
      <c r="BA2989" s="1">
        <v>16.4</v>
      </c>
      <c r="BB2989" s="1">
        <v>3.56</v>
      </c>
      <c r="BC2989" s="1" t="s">
        <v>4823</v>
      </c>
      <c r="BD2989" s="1">
        <v>7.2</v>
      </c>
      <c r="BE2989" s="1">
        <v>23.4</v>
      </c>
      <c r="BF2989" s="1">
        <v>35.2</v>
      </c>
      <c r="BG2989" s="1">
        <v>34.3</v>
      </c>
      <c r="BH2989" s="1" t="s">
        <v>4879</v>
      </c>
    </row>
    <row r="2990">
      <c r="A2990" s="1">
        <v>53075.0</v>
      </c>
      <c r="B2990" s="2" t="str">
        <f>IFERROR(__xludf.DUMMYFUNCTION("TO_TEXT(A2990)"),"53075")</f>
        <v>53075</v>
      </c>
      <c r="C2990" s="1">
        <v>47494.0</v>
      </c>
      <c r="D2990" s="1">
        <v>2159.24788546399</v>
      </c>
      <c r="E2990" s="1" t="s">
        <v>4880</v>
      </c>
      <c r="F2990" s="1" t="s">
        <v>4881</v>
      </c>
      <c r="G2990" s="1">
        <v>21.9956218643206</v>
      </c>
      <c r="H2990" s="1">
        <v>15.830827375</v>
      </c>
      <c r="I2990" s="1">
        <v>4.4227992545</v>
      </c>
      <c r="J2990" s="1">
        <v>4.9537648613</v>
      </c>
      <c r="K2990" s="1">
        <v>14.884558367</v>
      </c>
      <c r="L2990" s="1">
        <v>27.8</v>
      </c>
      <c r="M2990" s="1">
        <v>6.5</v>
      </c>
      <c r="N2990" s="1">
        <v>17.5</v>
      </c>
      <c r="O2990" s="1">
        <v>75.734768626</v>
      </c>
      <c r="P2990" s="1">
        <v>6.24801018779999</v>
      </c>
      <c r="Q2990" s="1">
        <v>59.12817</v>
      </c>
      <c r="R2990" s="1">
        <v>92.22614841</v>
      </c>
      <c r="S2990" s="1">
        <v>11.9</v>
      </c>
      <c r="T2990" s="1">
        <v>7256.0</v>
      </c>
      <c r="U2990" s="1">
        <v>21.5959206169999</v>
      </c>
      <c r="V2990" s="1">
        <v>181.23814268</v>
      </c>
      <c r="W2990" s="1">
        <v>24.35263311</v>
      </c>
      <c r="X2990" s="1">
        <v>23.237753883</v>
      </c>
      <c r="Y2990" s="1">
        <v>81.0226398889999</v>
      </c>
      <c r="Z2990" s="1">
        <v>7.3</v>
      </c>
      <c r="AA2990" s="1">
        <v>8.2574748087</v>
      </c>
      <c r="AB2990" s="1">
        <v>45389.0</v>
      </c>
      <c r="AC2990" s="1">
        <v>34.651019148</v>
      </c>
      <c r="AD2990" s="1">
        <v>43.132328308</v>
      </c>
      <c r="AE2990" s="1">
        <v>24.2620035569999</v>
      </c>
      <c r="AF2990" s="1">
        <v>2.2433773172</v>
      </c>
      <c r="AG2990" s="1">
        <v>0.8736518648</v>
      </c>
      <c r="AH2990" s="1">
        <v>8.3890662971</v>
      </c>
      <c r="AI2990" s="1">
        <v>0.2791669177</v>
      </c>
      <c r="AJ2990" s="1">
        <v>6.5754855295</v>
      </c>
      <c r="AK2990" s="1">
        <v>78.4258199269999</v>
      </c>
      <c r="AL2990" s="1">
        <v>1.7495593861</v>
      </c>
      <c r="AM2990" s="1">
        <v>48.970697516</v>
      </c>
      <c r="AN2990" s="1">
        <v>27.530373414</v>
      </c>
      <c r="AO2990" s="1">
        <v>20957.0</v>
      </c>
      <c r="AP2990" s="1">
        <v>30.0</v>
      </c>
      <c r="AQ2990" s="1">
        <v>8.9</v>
      </c>
      <c r="AR2990" s="1">
        <v>4.2</v>
      </c>
      <c r="AS2990" s="1">
        <v>9.8</v>
      </c>
      <c r="AT2990" s="1">
        <v>15.1</v>
      </c>
      <c r="AU2990" s="1">
        <v>11.0</v>
      </c>
      <c r="AV2990" s="1">
        <v>20.2</v>
      </c>
      <c r="AW2990" s="1">
        <v>1.5</v>
      </c>
      <c r="AX2990" s="1">
        <v>0.4514</v>
      </c>
      <c r="AY2990" s="1">
        <v>26.3</v>
      </c>
      <c r="AZ2990" s="1">
        <v>13.4</v>
      </c>
      <c r="BA2990" s="1">
        <v>16.6</v>
      </c>
      <c r="BB2990" s="1">
        <v>3.62</v>
      </c>
      <c r="BC2990" s="1" t="s">
        <v>4823</v>
      </c>
      <c r="BD2990" s="1">
        <v>4.5</v>
      </c>
      <c r="BE2990" s="1">
        <v>15.9</v>
      </c>
      <c r="BF2990" s="1">
        <v>29.8</v>
      </c>
      <c r="BG2990" s="1">
        <v>49.8</v>
      </c>
      <c r="BH2990" s="1" t="s">
        <v>4881</v>
      </c>
    </row>
    <row r="2991">
      <c r="A2991" s="1">
        <v>53077.0</v>
      </c>
      <c r="B2991" s="2" t="str">
        <f>IFERROR(__xludf.DUMMYFUNCTION("TO_TEXT(A2991)"),"53077")</f>
        <v>53077</v>
      </c>
      <c r="C2991" s="1">
        <v>247681.0</v>
      </c>
      <c r="D2991" s="1">
        <v>4294.51887186327</v>
      </c>
      <c r="E2991" s="1" t="s">
        <v>4882</v>
      </c>
      <c r="F2991" s="1" t="s">
        <v>4883</v>
      </c>
      <c r="G2991" s="1">
        <v>57.6737481869623</v>
      </c>
      <c r="H2991" s="1">
        <v>23.527205674</v>
      </c>
      <c r="I2991" s="1">
        <v>4.3951069005</v>
      </c>
      <c r="J2991" s="1">
        <v>6.7561683599</v>
      </c>
      <c r="K2991" s="1">
        <v>14.442937059</v>
      </c>
      <c r="L2991" s="1">
        <v>34.9</v>
      </c>
      <c r="M2991" s="1">
        <v>8.5</v>
      </c>
      <c r="N2991" s="1">
        <v>22.7</v>
      </c>
      <c r="O2991" s="1">
        <v>75.472698793</v>
      </c>
      <c r="P2991" s="1">
        <v>12.9450348009999</v>
      </c>
      <c r="Q2991" s="1">
        <v>66.74847</v>
      </c>
      <c r="R2991" s="1">
        <v>78.5259074539999</v>
      </c>
      <c r="S2991" s="1">
        <v>21.2</v>
      </c>
      <c r="T2991" s="1">
        <v>73791.0</v>
      </c>
      <c r="U2991" s="1">
        <v>40.017075253</v>
      </c>
      <c r="V2991" s="1">
        <v>272.82972263</v>
      </c>
      <c r="W2991" s="1">
        <v>21.360433942</v>
      </c>
      <c r="X2991" s="1">
        <v>13.264085615</v>
      </c>
      <c r="Y2991" s="1">
        <v>77.814563004</v>
      </c>
      <c r="Z2991" s="1">
        <v>11.3</v>
      </c>
      <c r="AA2991" s="1">
        <v>5.4021837545</v>
      </c>
      <c r="AB2991" s="1">
        <v>51377.0</v>
      </c>
      <c r="AC2991" s="1">
        <v>68.508480182</v>
      </c>
      <c r="AD2991" s="1">
        <v>63.184690158</v>
      </c>
      <c r="AE2991" s="1">
        <v>13.093043808</v>
      </c>
      <c r="AF2991" s="1">
        <v>0.8256245874</v>
      </c>
      <c r="AG2991" s="1">
        <v>6.5437509445</v>
      </c>
      <c r="AH2991" s="1">
        <v>1.5558012456</v>
      </c>
      <c r="AI2991" s="1">
        <v>0.2724242979</v>
      </c>
      <c r="AJ2991" s="1">
        <v>49.9001773739999</v>
      </c>
      <c r="AK2991" s="1">
        <v>42.669599039</v>
      </c>
      <c r="AL2991" s="1">
        <v>10.905824657</v>
      </c>
      <c r="AM2991" s="1">
        <v>49.9749449189999</v>
      </c>
      <c r="AN2991" s="1">
        <v>23.519206022</v>
      </c>
      <c r="AO2991" s="1">
        <v>20653.0</v>
      </c>
      <c r="AP2991" s="1">
        <v>20.5</v>
      </c>
      <c r="AQ2991" s="1">
        <v>8.3</v>
      </c>
      <c r="AR2991" s="1">
        <v>27.5</v>
      </c>
      <c r="AS2991" s="1">
        <v>12.7</v>
      </c>
      <c r="AT2991" s="1">
        <v>30.0</v>
      </c>
      <c r="AU2991" s="1">
        <v>12.8</v>
      </c>
      <c r="AV2991" s="1">
        <v>55.0</v>
      </c>
      <c r="AW2991" s="1">
        <v>10.9</v>
      </c>
      <c r="AX2991" s="1">
        <v>0.9261</v>
      </c>
      <c r="AY2991" s="1">
        <v>16.7</v>
      </c>
      <c r="AZ2991" s="1">
        <v>12.5</v>
      </c>
      <c r="BA2991" s="1">
        <v>18.6</v>
      </c>
      <c r="BB2991" s="1">
        <v>3.0</v>
      </c>
      <c r="BC2991" s="1" t="s">
        <v>4823</v>
      </c>
      <c r="BD2991" s="1">
        <v>26.3</v>
      </c>
      <c r="BE2991" s="1">
        <v>28.1</v>
      </c>
      <c r="BF2991" s="1">
        <v>28.9</v>
      </c>
      <c r="BG2991" s="1">
        <v>16.7</v>
      </c>
      <c r="BH2991" s="1" t="s">
        <v>4883</v>
      </c>
    </row>
    <row r="2992">
      <c r="A2992" s="1">
        <v>54001.0</v>
      </c>
      <c r="B2992" s="2" t="str">
        <f>IFERROR(__xludf.DUMMYFUNCTION("TO_TEXT(A2992)"),"54001")</f>
        <v>54001</v>
      </c>
      <c r="C2992" s="1">
        <v>16892.0</v>
      </c>
      <c r="D2992" s="1">
        <v>341.058850716562</v>
      </c>
      <c r="E2992" s="1" t="s">
        <v>64</v>
      </c>
      <c r="F2992" s="1" t="s">
        <v>4884</v>
      </c>
      <c r="G2992" s="1">
        <v>49.5281091943811</v>
      </c>
      <c r="H2992" s="1">
        <v>23.721308626</v>
      </c>
      <c r="I2992" s="1">
        <v>5.6095819845</v>
      </c>
      <c r="J2992" s="1">
        <v>7.4852817494</v>
      </c>
      <c r="K2992" s="1">
        <v>23.259240262</v>
      </c>
      <c r="L2992" s="1">
        <v>37.2</v>
      </c>
      <c r="M2992" s="1">
        <v>7.5</v>
      </c>
      <c r="N2992" s="1">
        <v>30.0</v>
      </c>
      <c r="O2992" s="1">
        <v>35.993730785</v>
      </c>
      <c r="P2992" s="1">
        <v>8.2136190244</v>
      </c>
      <c r="Q2992" s="1">
        <v>42.43196</v>
      </c>
      <c r="R2992" s="1">
        <v>91.28</v>
      </c>
      <c r="S2992" s="1">
        <v>26.8</v>
      </c>
      <c r="T2992" s="1">
        <v>3267.0</v>
      </c>
      <c r="U2992" s="1">
        <v>33.67003367</v>
      </c>
      <c r="V2992" s="1">
        <v>451.18209709</v>
      </c>
      <c r="W2992" s="1">
        <v>11.021069692</v>
      </c>
      <c r="X2992" s="1">
        <v>9.65346534649999</v>
      </c>
      <c r="Y2992" s="1">
        <v>76.217178727</v>
      </c>
      <c r="Z2992" s="1">
        <v>16.7</v>
      </c>
      <c r="AA2992" s="1">
        <v>4.0750609212</v>
      </c>
      <c r="AB2992" s="1">
        <v>39776.0</v>
      </c>
      <c r="AC2992" s="1">
        <v>62.408286577</v>
      </c>
      <c r="AD2992" s="1">
        <v>70.651496259</v>
      </c>
      <c r="AE2992" s="1">
        <v>8.4370206238</v>
      </c>
      <c r="AF2992" s="1">
        <v>0.9434532809</v>
      </c>
      <c r="AG2992" s="1">
        <v>0.6289688539</v>
      </c>
      <c r="AH2992" s="1">
        <v>0.26005443</v>
      </c>
      <c r="AI2992" s="1">
        <v>0.0241911098</v>
      </c>
      <c r="AJ2992" s="1">
        <v>1.0099788328</v>
      </c>
      <c r="AK2992" s="1">
        <v>95.718173571</v>
      </c>
      <c r="AL2992" s="1">
        <v>0.3721223589</v>
      </c>
      <c r="AM2992" s="1">
        <v>51.321439371</v>
      </c>
      <c r="AN2992" s="1">
        <v>83.72415456</v>
      </c>
      <c r="AO2992" s="1">
        <v>18602.0</v>
      </c>
      <c r="AP2992" s="1">
        <v>22.4</v>
      </c>
      <c r="AQ2992" s="1">
        <v>7.9</v>
      </c>
      <c r="AR2992" s="1">
        <v>18.9</v>
      </c>
      <c r="AS2992" s="1">
        <v>18.5</v>
      </c>
      <c r="AT2992" s="1">
        <v>20.4</v>
      </c>
      <c r="AU2992" s="1">
        <v>20.8</v>
      </c>
      <c r="AV2992" s="1">
        <v>4.2</v>
      </c>
      <c r="AW2992" s="1">
        <v>0.1</v>
      </c>
      <c r="AX2992" s="1">
        <v>0.6613</v>
      </c>
      <c r="AY2992" s="1">
        <v>18.4</v>
      </c>
      <c r="AZ2992" s="1">
        <v>15.0</v>
      </c>
      <c r="BA2992" s="1">
        <v>23.5</v>
      </c>
      <c r="BB2992" s="1">
        <v>2.85</v>
      </c>
      <c r="BC2992" s="1" t="s">
        <v>4885</v>
      </c>
      <c r="BD2992" s="1">
        <v>14.7</v>
      </c>
      <c r="BE2992" s="1">
        <v>47.3</v>
      </c>
      <c r="BF2992" s="1">
        <v>22.4</v>
      </c>
      <c r="BG2992" s="1">
        <v>15.6</v>
      </c>
      <c r="BH2992" s="1" t="s">
        <v>4884</v>
      </c>
    </row>
    <row r="2993">
      <c r="A2993" s="1">
        <v>54003.0</v>
      </c>
      <c r="B2993" s="2" t="str">
        <f>IFERROR(__xludf.DUMMYFUNCTION("TO_TEXT(A2993)"),"54003")</f>
        <v>54003</v>
      </c>
      <c r="C2993" s="1">
        <v>110173.0</v>
      </c>
      <c r="D2993" s="1">
        <v>321.146762078974</v>
      </c>
      <c r="E2993" s="1" t="s">
        <v>3834</v>
      </c>
      <c r="F2993" s="1" t="s">
        <v>4886</v>
      </c>
      <c r="G2993" s="1">
        <v>343.061220006656</v>
      </c>
      <c r="H2993" s="1">
        <v>20.184509742</v>
      </c>
      <c r="I2993" s="1">
        <v>4.6549396901</v>
      </c>
      <c r="J2993" s="1">
        <v>8.07656873779999</v>
      </c>
      <c r="K2993" s="1">
        <v>22.279119623</v>
      </c>
      <c r="L2993" s="1">
        <v>36.8</v>
      </c>
      <c r="M2993" s="1">
        <v>7.9</v>
      </c>
      <c r="N2993" s="1">
        <v>29.6</v>
      </c>
      <c r="O2993" s="1">
        <v>43.963175225</v>
      </c>
      <c r="P2993" s="1">
        <v>7.1033816822</v>
      </c>
      <c r="Q2993" s="1">
        <v>44.3787</v>
      </c>
      <c r="R2993" s="1">
        <v>94.17</v>
      </c>
      <c r="S2993" s="1">
        <v>16.0</v>
      </c>
      <c r="T2993" s="1">
        <v>26532.0</v>
      </c>
      <c r="U2993" s="1">
        <v>35.481682497</v>
      </c>
      <c r="V2993" s="1">
        <v>167.85696606</v>
      </c>
      <c r="W2993" s="1">
        <v>13.003355705</v>
      </c>
      <c r="X2993" s="1">
        <v>10.771276596</v>
      </c>
      <c r="Y2993" s="1">
        <v>75.402861973</v>
      </c>
      <c r="Z2993" s="1">
        <v>12.8</v>
      </c>
      <c r="AA2993" s="1">
        <v>7.5634124174</v>
      </c>
      <c r="AB2993" s="1">
        <v>59619.0</v>
      </c>
      <c r="AC2993" s="1">
        <v>53.623188406</v>
      </c>
      <c r="AD2993" s="1">
        <v>74.068506141</v>
      </c>
      <c r="AE2993" s="1">
        <v>10.924548856</v>
      </c>
      <c r="AF2993" s="1">
        <v>7.4050357317</v>
      </c>
      <c r="AG2993" s="1">
        <v>0.2390649147</v>
      </c>
      <c r="AH2993" s="1">
        <v>1.0954295911</v>
      </c>
      <c r="AI2993" s="1">
        <v>0.0443977699</v>
      </c>
      <c r="AJ2993" s="1">
        <v>4.6071224269</v>
      </c>
      <c r="AK2993" s="1">
        <v>83.950206193</v>
      </c>
      <c r="AL2993" s="1">
        <v>0.7046554235</v>
      </c>
      <c r="AM2993" s="1">
        <v>50.398299224</v>
      </c>
      <c r="AN2993" s="1">
        <v>31.625531588</v>
      </c>
      <c r="AO2993" s="1">
        <v>27015.0</v>
      </c>
      <c r="AP2993" s="1">
        <v>13.2</v>
      </c>
      <c r="AQ2993" s="1">
        <v>9.0</v>
      </c>
      <c r="AR2993" s="1">
        <v>12.8</v>
      </c>
      <c r="AS2993" s="1">
        <v>13.2</v>
      </c>
      <c r="AT2993" s="1">
        <v>24.2</v>
      </c>
      <c r="AU2993" s="1">
        <v>13.9</v>
      </c>
      <c r="AV2993" s="1">
        <v>14.9</v>
      </c>
      <c r="AW2993" s="1">
        <v>0.6</v>
      </c>
      <c r="AX2993" s="1">
        <v>0.453</v>
      </c>
      <c r="AY2993" s="1">
        <v>11.0</v>
      </c>
      <c r="AZ2993" s="1">
        <v>10.2</v>
      </c>
      <c r="BA2993" s="1">
        <v>15.1</v>
      </c>
      <c r="BB2993" s="1">
        <v>2.98</v>
      </c>
      <c r="BC2993" s="1" t="s">
        <v>4885</v>
      </c>
      <c r="BD2993" s="1">
        <v>11.0</v>
      </c>
      <c r="BE2993" s="1">
        <v>37.6</v>
      </c>
      <c r="BF2993" s="1">
        <v>30.2</v>
      </c>
      <c r="BG2993" s="1">
        <v>21.2</v>
      </c>
      <c r="BH2993" s="1" t="s">
        <v>4886</v>
      </c>
    </row>
    <row r="2994">
      <c r="A2994" s="1">
        <v>54005.0</v>
      </c>
      <c r="B2994" s="2" t="str">
        <f>IFERROR(__xludf.DUMMYFUNCTION("TO_TEXT(A2994)"),"54005")</f>
        <v>54005</v>
      </c>
      <c r="C2994" s="1">
        <v>23645.0</v>
      </c>
      <c r="D2994" s="1">
        <v>501.53390142225</v>
      </c>
      <c r="E2994" s="1" t="s">
        <v>293</v>
      </c>
      <c r="F2994" s="1" t="s">
        <v>4887</v>
      </c>
      <c r="G2994" s="1">
        <v>47.1453673080672</v>
      </c>
      <c r="H2994" s="1">
        <v>27.35259772</v>
      </c>
      <c r="I2994" s="1">
        <v>5.9023604372</v>
      </c>
      <c r="J2994" s="1">
        <v>11.438679245</v>
      </c>
      <c r="K2994" s="1">
        <v>25.168406815</v>
      </c>
      <c r="L2994" s="1">
        <v>40.6</v>
      </c>
      <c r="M2994" s="1">
        <v>7.6</v>
      </c>
      <c r="N2994" s="1">
        <v>31.1</v>
      </c>
      <c r="O2994" s="1">
        <v>4.7220756019</v>
      </c>
      <c r="P2994" s="1">
        <v>7.18837339299999</v>
      </c>
      <c r="Q2994" s="1">
        <v>35.79579</v>
      </c>
      <c r="R2994" s="1">
        <v>88.22</v>
      </c>
      <c r="S2994" s="1">
        <v>27.6</v>
      </c>
      <c r="T2994" s="1">
        <v>4910.0</v>
      </c>
      <c r="U2994" s="1">
        <v>37.311608961</v>
      </c>
      <c r="V2994" s="1">
        <v>249.56719203</v>
      </c>
      <c r="W2994" s="1">
        <v>14.42155309</v>
      </c>
      <c r="X2994" s="1">
        <v>11.584051724</v>
      </c>
      <c r="Y2994" s="1">
        <v>71.835734402</v>
      </c>
      <c r="Z2994" s="1">
        <v>19.6</v>
      </c>
      <c r="AA2994" s="1">
        <v>2.6252553234</v>
      </c>
      <c r="AB2994" s="1">
        <v>38110.0</v>
      </c>
      <c r="AC2994" s="1">
        <v>55.885286783</v>
      </c>
      <c r="AD2994" s="1">
        <v>75.644949716</v>
      </c>
      <c r="AE2994" s="1">
        <v>11.94259962</v>
      </c>
      <c r="AF2994" s="1">
        <v>0.6742289645</v>
      </c>
      <c r="AG2994" s="1">
        <v>0.2004464489</v>
      </c>
      <c r="AH2994" s="1">
        <v>0.1457792356</v>
      </c>
      <c r="AI2994" s="1">
        <v>0.0045556011</v>
      </c>
      <c r="AJ2994" s="1">
        <v>0.6104505489</v>
      </c>
      <c r="AK2994" s="1">
        <v>97.649309826</v>
      </c>
      <c r="AL2994" s="1">
        <v>0.1481001527</v>
      </c>
      <c r="AM2994" s="1">
        <v>50.175390643</v>
      </c>
      <c r="AN2994" s="1">
        <v>81.408096147</v>
      </c>
      <c r="AO2994" s="1">
        <v>20711.0</v>
      </c>
      <c r="AP2994" s="1">
        <v>26.0</v>
      </c>
      <c r="AQ2994" s="1">
        <v>9.6</v>
      </c>
      <c r="AR2994" s="1">
        <v>20.8</v>
      </c>
      <c r="AS2994" s="1">
        <v>16.9</v>
      </c>
      <c r="AT2994" s="1">
        <v>22.3</v>
      </c>
      <c r="AU2994" s="1">
        <v>29.5</v>
      </c>
      <c r="AV2994" s="1">
        <v>2.1</v>
      </c>
      <c r="AW2994" s="1">
        <v>0.1</v>
      </c>
      <c r="AX2994" s="1">
        <v>0.6979</v>
      </c>
      <c r="AY2994" s="1">
        <v>18.9</v>
      </c>
      <c r="AZ2994" s="1">
        <v>17.7</v>
      </c>
      <c r="BA2994" s="1">
        <v>27.4</v>
      </c>
      <c r="BB2994" s="1">
        <v>2.75</v>
      </c>
      <c r="BC2994" s="1" t="s">
        <v>4885</v>
      </c>
      <c r="BD2994" s="1">
        <v>20.3</v>
      </c>
      <c r="BE2994" s="1">
        <v>49.7</v>
      </c>
      <c r="BF2994" s="1">
        <v>20.4</v>
      </c>
      <c r="BG2994" s="1">
        <v>9.7</v>
      </c>
      <c r="BH2994" s="1" t="s">
        <v>4887</v>
      </c>
    </row>
    <row r="2995">
      <c r="A2995" s="1">
        <v>54007.0</v>
      </c>
      <c r="B2995" s="2" t="str">
        <f>IFERROR(__xludf.DUMMYFUNCTION("TO_TEXT(A2995)"),"54007")</f>
        <v>54007</v>
      </c>
      <c r="C2995" s="1">
        <v>14463.0</v>
      </c>
      <c r="D2995" s="1">
        <v>510.811669160686</v>
      </c>
      <c r="E2995" s="1" t="s">
        <v>4888</v>
      </c>
      <c r="F2995" s="1" t="s">
        <v>4889</v>
      </c>
      <c r="G2995" s="1">
        <v>28.3137619462847</v>
      </c>
      <c r="H2995" s="1">
        <v>22.693274491</v>
      </c>
      <c r="I2995" s="1">
        <v>5.5174722287</v>
      </c>
      <c r="J2995" s="1">
        <v>8.8062622309</v>
      </c>
      <c r="K2995" s="1">
        <v>23.036638353</v>
      </c>
      <c r="L2995" s="1">
        <v>34.4</v>
      </c>
      <c r="M2995" s="1">
        <v>7.1</v>
      </c>
      <c r="N2995" s="1">
        <v>26.8</v>
      </c>
      <c r="O2995" s="1">
        <v>13.268608414</v>
      </c>
      <c r="P2995" s="1">
        <v>8.051124172</v>
      </c>
      <c r="Q2995" s="1">
        <v>42.14371</v>
      </c>
      <c r="R2995" s="1">
        <v>90.07</v>
      </c>
      <c r="S2995" s="1">
        <v>29.8</v>
      </c>
      <c r="T2995" s="1">
        <v>2852.0</v>
      </c>
      <c r="U2995" s="1">
        <v>30.820476858</v>
      </c>
      <c r="V2995" s="1">
        <v>261.63258735</v>
      </c>
      <c r="W2995" s="1">
        <v>10.064635272</v>
      </c>
      <c r="X2995" s="1">
        <v>7.4370922647</v>
      </c>
      <c r="Y2995" s="1">
        <v>75.416882518</v>
      </c>
      <c r="Z2995" s="1">
        <v>11.3</v>
      </c>
      <c r="AA2995" s="1">
        <v>8.7795892372</v>
      </c>
      <c r="AB2995" s="1">
        <v>39292.0</v>
      </c>
      <c r="AC2995" s="1">
        <v>64.34223541</v>
      </c>
      <c r="AD2995" s="1">
        <v>79.202331087</v>
      </c>
      <c r="AE2995" s="1">
        <v>8.461235734</v>
      </c>
      <c r="AF2995" s="1">
        <v>0.638796224</v>
      </c>
      <c r="AG2995" s="1">
        <v>0.440059621</v>
      </c>
      <c r="AH2995" s="1">
        <v>0.2342252821</v>
      </c>
      <c r="AI2995" s="1">
        <v>0.0283909433</v>
      </c>
      <c r="AJ2995" s="1">
        <v>0.816239619599999</v>
      </c>
      <c r="AK2995" s="1">
        <v>96.827312087</v>
      </c>
      <c r="AL2995" s="1">
        <v>0.081216775</v>
      </c>
      <c r="AM2995" s="1">
        <v>49.449925474</v>
      </c>
      <c r="AN2995" s="1">
        <v>100.0</v>
      </c>
      <c r="AO2995" s="1">
        <v>20178.0</v>
      </c>
      <c r="AP2995" s="1">
        <v>20.2</v>
      </c>
      <c r="AQ2995" s="1">
        <v>14.6</v>
      </c>
      <c r="AR2995" s="1">
        <v>19.0</v>
      </c>
      <c r="AS2995" s="1">
        <v>20.4</v>
      </c>
      <c r="AT2995" s="1">
        <v>20.2</v>
      </c>
      <c r="AU2995" s="1">
        <v>18.9</v>
      </c>
      <c r="AV2995" s="1">
        <v>2.8</v>
      </c>
      <c r="AW2995" s="1">
        <v>0.0</v>
      </c>
      <c r="AX2995" s="1">
        <v>0.6103</v>
      </c>
      <c r="AY2995" s="1">
        <v>18.3</v>
      </c>
      <c r="AZ2995" s="1">
        <v>15.3</v>
      </c>
      <c r="BA2995" s="1">
        <v>25.2</v>
      </c>
      <c r="BB2995" s="1">
        <v>2.83</v>
      </c>
      <c r="BC2995" s="1" t="s">
        <v>4885</v>
      </c>
      <c r="BD2995" s="1">
        <v>19.6</v>
      </c>
      <c r="BE2995" s="1">
        <v>46.3</v>
      </c>
      <c r="BF2995" s="1">
        <v>19.2</v>
      </c>
      <c r="BG2995" s="1">
        <v>14.9</v>
      </c>
      <c r="BH2995" s="1" t="s">
        <v>4889</v>
      </c>
    </row>
    <row r="2996">
      <c r="A2996" s="1">
        <v>54009.0</v>
      </c>
      <c r="B2996" s="2" t="str">
        <f>IFERROR(__xludf.DUMMYFUNCTION("TO_TEXT(A2996)"),"54009")</f>
        <v>54009</v>
      </c>
      <c r="C2996" s="1">
        <v>23473.0</v>
      </c>
      <c r="D2996" s="1">
        <v>89.202753560932</v>
      </c>
      <c r="E2996" s="1" t="s">
        <v>4890</v>
      </c>
      <c r="F2996" s="1" t="s">
        <v>4891</v>
      </c>
      <c r="G2996" s="1">
        <v>263.142101145636</v>
      </c>
      <c r="H2996" s="1">
        <v>19.892111929</v>
      </c>
      <c r="I2996" s="1">
        <v>5.1455308544</v>
      </c>
      <c r="J2996" s="1">
        <v>8.4517576664</v>
      </c>
      <c r="K2996" s="1">
        <v>19.887525816</v>
      </c>
      <c r="L2996" s="1">
        <v>35.9</v>
      </c>
      <c r="M2996" s="1">
        <v>7.7</v>
      </c>
      <c r="N2996" s="1">
        <v>34.8</v>
      </c>
      <c r="O2996" s="1">
        <v>83.584694005</v>
      </c>
      <c r="P2996" s="1">
        <v>5.9257022048</v>
      </c>
      <c r="Q2996" s="1">
        <v>22.27866</v>
      </c>
      <c r="R2996" s="1">
        <v>91.93</v>
      </c>
      <c r="S2996" s="1">
        <v>19.5</v>
      </c>
      <c r="T2996" s="1">
        <v>3980.0</v>
      </c>
      <c r="U2996" s="1">
        <v>37.286432161</v>
      </c>
      <c r="V2996" s="1">
        <v>130.51359517</v>
      </c>
      <c r="W2996" s="1">
        <v>10.115752391</v>
      </c>
      <c r="X2996" s="1">
        <v>8.1924050633</v>
      </c>
      <c r="Y2996" s="1">
        <v>76.531653683</v>
      </c>
      <c r="Z2996" s="1">
        <v>18.5</v>
      </c>
      <c r="AA2996" s="1">
        <v>7.3794879533</v>
      </c>
      <c r="AB2996" s="1">
        <v>48342.0</v>
      </c>
      <c r="AC2996" s="1">
        <v>48.945578231</v>
      </c>
      <c r="AD2996" s="1">
        <v>74.69117204</v>
      </c>
      <c r="AE2996" s="1">
        <v>8.0274261603</v>
      </c>
      <c r="AF2996" s="1">
        <v>1.3962077197</v>
      </c>
      <c r="AG2996" s="1">
        <v>0.1756519389</v>
      </c>
      <c r="AH2996" s="1">
        <v>0.5134441292</v>
      </c>
      <c r="AI2996" s="1">
        <v>0.0225194793</v>
      </c>
      <c r="AJ2996" s="1">
        <v>0.8692519029</v>
      </c>
      <c r="AK2996" s="1">
        <v>95.676259965</v>
      </c>
      <c r="AL2996" s="1">
        <v>0.1057276823</v>
      </c>
      <c r="AM2996" s="1">
        <v>50.898527226</v>
      </c>
      <c r="AN2996" s="1">
        <v>42.128879472</v>
      </c>
      <c r="AO2996" s="1">
        <v>24428.0</v>
      </c>
      <c r="AP2996" s="1">
        <v>12.7</v>
      </c>
      <c r="AQ2996" s="1">
        <v>4.1</v>
      </c>
      <c r="AR2996" s="1">
        <v>9.9</v>
      </c>
      <c r="AS2996" s="1">
        <v>21.5</v>
      </c>
      <c r="AT2996" s="1">
        <v>18.2</v>
      </c>
      <c r="AU2996" s="1">
        <v>16.0</v>
      </c>
      <c r="AV2996" s="1">
        <v>4.1</v>
      </c>
      <c r="AW2996" s="1">
        <v>0.0</v>
      </c>
      <c r="AX2996" s="1">
        <v>0.2674</v>
      </c>
      <c r="AY2996" s="1">
        <v>12.0</v>
      </c>
      <c r="AZ2996" s="1">
        <v>11.8</v>
      </c>
      <c r="BA2996" s="1">
        <v>18.9</v>
      </c>
      <c r="BB2996" s="1">
        <v>2.99</v>
      </c>
      <c r="BC2996" s="1" t="s">
        <v>4885</v>
      </c>
      <c r="BD2996" s="1">
        <v>9.4</v>
      </c>
      <c r="BE2996" s="1">
        <v>40.9</v>
      </c>
      <c r="BF2996" s="1">
        <v>30.7</v>
      </c>
      <c r="BG2996" s="1">
        <v>19.0</v>
      </c>
      <c r="BH2996" s="1" t="s">
        <v>4891</v>
      </c>
    </row>
    <row r="2997">
      <c r="A2997" s="1">
        <v>54011.0</v>
      </c>
      <c r="B2997" s="2" t="str">
        <f>IFERROR(__xludf.DUMMYFUNCTION("TO_TEXT(A2997)"),"54011")</f>
        <v>54011</v>
      </c>
      <c r="C2997" s="1">
        <v>96623.0</v>
      </c>
      <c r="D2997" s="1">
        <v>281.019734889242</v>
      </c>
      <c r="E2997" s="1" t="s">
        <v>4892</v>
      </c>
      <c r="F2997" s="1" t="s">
        <v>4893</v>
      </c>
      <c r="G2997" s="1">
        <v>343.829945032444</v>
      </c>
      <c r="H2997" s="1">
        <v>23.296008533</v>
      </c>
      <c r="I2997" s="1">
        <v>5.7226574061</v>
      </c>
      <c r="J2997" s="1">
        <v>10.559939872</v>
      </c>
      <c r="K2997" s="1">
        <v>23.736024529</v>
      </c>
      <c r="L2997" s="1">
        <v>33.3</v>
      </c>
      <c r="M2997" s="1">
        <v>7.3</v>
      </c>
      <c r="N2997" s="1">
        <v>28.3</v>
      </c>
      <c r="O2997" s="1">
        <v>88.854743093</v>
      </c>
      <c r="P2997" s="1">
        <v>8.7354342151</v>
      </c>
      <c r="Q2997" s="1">
        <v>159.017669999999</v>
      </c>
      <c r="R2997" s="1">
        <v>82.06</v>
      </c>
      <c r="S2997" s="1">
        <v>23.1</v>
      </c>
      <c r="T2997" s="1">
        <v>18458.0</v>
      </c>
      <c r="U2997" s="1">
        <v>38.660743309</v>
      </c>
      <c r="V2997" s="1">
        <v>460.84862576</v>
      </c>
      <c r="W2997" s="1">
        <v>15.567513453</v>
      </c>
      <c r="X2997" s="1">
        <v>14.356814701</v>
      </c>
      <c r="Y2997" s="1">
        <v>71.3515536319999</v>
      </c>
      <c r="Z2997" s="1">
        <v>14.5</v>
      </c>
      <c r="AA2997" s="1">
        <v>4.3712340821</v>
      </c>
      <c r="AB2997" s="1">
        <v>39790.0</v>
      </c>
      <c r="AC2997" s="1">
        <v>56.098703733</v>
      </c>
      <c r="AD2997" s="1">
        <v>62.1984455439999</v>
      </c>
      <c r="AE2997" s="1">
        <v>14.46479972</v>
      </c>
      <c r="AF2997" s="1">
        <v>4.7981206556</v>
      </c>
      <c r="AG2997" s="1">
        <v>0.2188277697</v>
      </c>
      <c r="AH2997" s="1">
        <v>1.3236934695</v>
      </c>
      <c r="AI2997" s="1">
        <v>0.0268171286</v>
      </c>
      <c r="AJ2997" s="1">
        <v>1.3676735605</v>
      </c>
      <c r="AK2997" s="1">
        <v>90.088389256</v>
      </c>
      <c r="AL2997" s="1">
        <v>0.3014192285</v>
      </c>
      <c r="AM2997" s="1">
        <v>51.1016476439999</v>
      </c>
      <c r="AN2997" s="1">
        <v>21.558570998</v>
      </c>
      <c r="AO2997" s="1">
        <v>23853.0</v>
      </c>
      <c r="AP2997" s="1">
        <v>21.8</v>
      </c>
      <c r="AQ2997" s="1">
        <v>6.6</v>
      </c>
      <c r="AR2997" s="1">
        <v>13.0</v>
      </c>
      <c r="AS2997" s="1">
        <v>17.0</v>
      </c>
      <c r="AT2997" s="1">
        <v>19.9</v>
      </c>
      <c r="AU2997" s="1">
        <v>19.8</v>
      </c>
      <c r="AV2997" s="1">
        <v>9.8</v>
      </c>
      <c r="AW2997" s="1">
        <v>0.5</v>
      </c>
      <c r="AX2997" s="1">
        <v>0.6313</v>
      </c>
      <c r="AY2997" s="1">
        <v>18.5</v>
      </c>
      <c r="AZ2997" s="1">
        <v>14.8</v>
      </c>
      <c r="BA2997" s="1">
        <v>19.7</v>
      </c>
      <c r="BB2997" s="1">
        <v>2.89</v>
      </c>
      <c r="BC2997" s="1" t="s">
        <v>4885</v>
      </c>
      <c r="BD2997" s="1">
        <v>12.0</v>
      </c>
      <c r="BE2997" s="1">
        <v>33.3</v>
      </c>
      <c r="BF2997" s="1">
        <v>28.7</v>
      </c>
      <c r="BG2997" s="1">
        <v>26.0</v>
      </c>
      <c r="BH2997" s="1" t="s">
        <v>4893</v>
      </c>
    </row>
    <row r="2998">
      <c r="A2998" s="1">
        <v>54013.0</v>
      </c>
      <c r="B2998" s="2" t="str">
        <f>IFERROR(__xludf.DUMMYFUNCTION("TO_TEXT(A2998)"),"54013")</f>
        <v>54013</v>
      </c>
      <c r="C2998" s="1">
        <v>7482.0</v>
      </c>
      <c r="D2998" s="1">
        <v>279.249211272268</v>
      </c>
      <c r="E2998" s="1" t="s">
        <v>74</v>
      </c>
      <c r="F2998" s="1" t="s">
        <v>4894</v>
      </c>
      <c r="G2998" s="1">
        <v>26.7932717371403</v>
      </c>
      <c r="H2998" s="1">
        <v>25.9386518619999</v>
      </c>
      <c r="I2998" s="1">
        <v>5.6906909398</v>
      </c>
      <c r="J2998" s="1">
        <v>10.0</v>
      </c>
      <c r="K2998" s="1">
        <v>23.7807272769999</v>
      </c>
      <c r="L2998" s="1">
        <v>31.1</v>
      </c>
      <c r="M2998" s="1">
        <v>7.2</v>
      </c>
      <c r="N2998" s="1">
        <v>27.4</v>
      </c>
      <c r="O2998" s="1">
        <v>0.6424544382</v>
      </c>
      <c r="P2998" s="1">
        <v>8.4042745879</v>
      </c>
      <c r="Q2998" s="1">
        <v>41.05652</v>
      </c>
      <c r="R2998" s="1">
        <v>93.65</v>
      </c>
      <c r="S2998" s="1">
        <v>28.8</v>
      </c>
      <c r="T2998" s="1">
        <v>1471.0</v>
      </c>
      <c r="U2998" s="1">
        <v>26.308633583</v>
      </c>
      <c r="V2998" s="1">
        <v>219.17007598</v>
      </c>
      <c r="W2998" s="1">
        <v>7.8902229846</v>
      </c>
      <c r="X2998" s="1">
        <v>6.6199649737</v>
      </c>
      <c r="Y2998" s="1">
        <v>76.72269026</v>
      </c>
      <c r="Z2998" s="1">
        <v>10.6</v>
      </c>
      <c r="AA2998" s="1">
        <v>7.7945590566</v>
      </c>
      <c r="AB2998" s="1">
        <v>36384.0</v>
      </c>
      <c r="AC2998" s="1">
        <v>66.666666667</v>
      </c>
      <c r="AD2998" s="1">
        <v>80.796089385</v>
      </c>
      <c r="AE2998" s="1">
        <v>5.2868391451</v>
      </c>
      <c r="AF2998" s="1">
        <v>0.3170664461</v>
      </c>
      <c r="AG2998" s="1">
        <v>0.358422939099999</v>
      </c>
      <c r="AH2998" s="1">
        <v>0.1654259719</v>
      </c>
      <c r="AI2998" s="1">
        <v>0.041356493</v>
      </c>
      <c r="AJ2998" s="1">
        <v>1.2682657844</v>
      </c>
      <c r="AK2998" s="1">
        <v>96.898263027</v>
      </c>
      <c r="AL2998" s="1">
        <v>0.042625746</v>
      </c>
      <c r="AM2998" s="1">
        <v>50.1378549769999</v>
      </c>
      <c r="AN2998" s="1">
        <v>100.0</v>
      </c>
      <c r="AO2998" s="1">
        <v>20640.0</v>
      </c>
      <c r="AP2998" s="1">
        <v>15.9</v>
      </c>
      <c r="AQ2998" s="1">
        <v>16.2</v>
      </c>
      <c r="AR2998" s="1">
        <v>23.1</v>
      </c>
      <c r="AS2998" s="1">
        <v>21.1</v>
      </c>
      <c r="AT2998" s="1">
        <v>19.6</v>
      </c>
      <c r="AU2998" s="1">
        <v>24.2</v>
      </c>
      <c r="AV2998" s="1">
        <v>2.6</v>
      </c>
      <c r="AW2998" s="1">
        <v>0.2</v>
      </c>
      <c r="AX2998" s="1">
        <v>0.4753</v>
      </c>
      <c r="AY2998" s="1">
        <v>21.6</v>
      </c>
      <c r="AZ2998" s="1">
        <v>17.4</v>
      </c>
      <c r="BA2998" s="1">
        <v>26.6</v>
      </c>
      <c r="BB2998" s="1">
        <v>2.71</v>
      </c>
      <c r="BC2998" s="1" t="s">
        <v>4885</v>
      </c>
      <c r="BD2998" s="1">
        <v>19.5</v>
      </c>
      <c r="BE2998" s="1">
        <v>46.7</v>
      </c>
      <c r="BF2998" s="1">
        <v>21.6</v>
      </c>
      <c r="BG2998" s="1">
        <v>12.2</v>
      </c>
      <c r="BH2998" s="1" t="s">
        <v>4894</v>
      </c>
    </row>
    <row r="2999">
      <c r="A2999" s="1">
        <v>54015.0</v>
      </c>
      <c r="B2999" s="2" t="str">
        <f>IFERROR(__xludf.DUMMYFUNCTION("TO_TEXT(A2999)"),"54015")</f>
        <v>54015</v>
      </c>
      <c r="C2999" s="1">
        <v>9033.0</v>
      </c>
      <c r="D2999" s="1">
        <v>341.938591845602</v>
      </c>
      <c r="E2999" s="1" t="s">
        <v>86</v>
      </c>
      <c r="F2999" s="1" t="s">
        <v>4895</v>
      </c>
      <c r="G2999" s="1">
        <v>26.4170240371076</v>
      </c>
      <c r="H2999" s="1">
        <v>25.30153605</v>
      </c>
      <c r="I2999" s="1">
        <v>5.5249164356</v>
      </c>
      <c r="J2999" s="1">
        <v>8.6206896552</v>
      </c>
      <c r="K2999" s="1">
        <v>24.428515022</v>
      </c>
      <c r="L2999" s="1">
        <v>39.6</v>
      </c>
      <c r="M2999" s="1">
        <v>6.8</v>
      </c>
      <c r="N2999" s="1">
        <v>30.1</v>
      </c>
      <c r="O2999" s="1">
        <v>11.613040699</v>
      </c>
      <c r="P2999" s="1">
        <v>8.3152880035</v>
      </c>
      <c r="Q2999" s="1">
        <v>11.41031</v>
      </c>
      <c r="R2999" s="1">
        <v>89.31</v>
      </c>
      <c r="S2999" s="1">
        <v>32.7</v>
      </c>
      <c r="T2999" s="1">
        <v>1987.0</v>
      </c>
      <c r="U2999" s="1">
        <v>33.014594867</v>
      </c>
      <c r="V2999" s="1">
        <v>204.509002055</v>
      </c>
      <c r="W2999" s="1">
        <v>10.9629629629999</v>
      </c>
      <c r="X2999" s="1">
        <v>8.9418777943</v>
      </c>
      <c r="Y2999" s="1">
        <v>73.576692426</v>
      </c>
      <c r="Z2999" s="1">
        <v>16.3</v>
      </c>
      <c r="AA2999" s="1">
        <v>9.5244608114</v>
      </c>
      <c r="AB2999" s="1">
        <v>35983.0</v>
      </c>
      <c r="AC2999" s="1">
        <v>68.643630737</v>
      </c>
      <c r="AD2999" s="1">
        <v>82.060717571</v>
      </c>
      <c r="AE2999" s="1">
        <v>7.7826232808</v>
      </c>
      <c r="AF2999" s="1">
        <v>0.2664504171</v>
      </c>
      <c r="AG2999" s="1">
        <v>0.31278962</v>
      </c>
      <c r="AH2999" s="1">
        <v>0.0810936052</v>
      </c>
      <c r="AI2999" s="1">
        <v>0.0347544022</v>
      </c>
      <c r="AJ2999" s="1">
        <v>0.892029657099999</v>
      </c>
      <c r="AK2999" s="1">
        <v>97.405004634</v>
      </c>
      <c r="AL2999" s="1">
        <v>0.1327860937</v>
      </c>
      <c r="AM2999" s="1">
        <v>49.4902687669999</v>
      </c>
      <c r="AN2999" s="1">
        <v>100.0</v>
      </c>
      <c r="AO2999" s="1">
        <v>16980.0</v>
      </c>
      <c r="AP2999" s="1">
        <v>23.1</v>
      </c>
      <c r="AQ2999" s="1">
        <v>10.9</v>
      </c>
      <c r="AR2999" s="1">
        <v>28.0</v>
      </c>
      <c r="AS2999" s="1">
        <v>18.6</v>
      </c>
      <c r="AT2999" s="1">
        <v>22.8</v>
      </c>
      <c r="AU2999" s="1">
        <v>25.4</v>
      </c>
      <c r="AV2999" s="1">
        <v>2.1</v>
      </c>
      <c r="AW2999" s="1">
        <v>0.2</v>
      </c>
      <c r="AX2999" s="1">
        <v>0.6851</v>
      </c>
      <c r="AY2999" s="1">
        <v>22.5</v>
      </c>
      <c r="AZ2999" s="1">
        <v>19.6</v>
      </c>
      <c r="BA2999" s="1">
        <v>28.0</v>
      </c>
      <c r="BB2999" s="1">
        <v>2.82</v>
      </c>
      <c r="BC2999" s="1" t="s">
        <v>4885</v>
      </c>
      <c r="BD2999" s="1">
        <v>22.7</v>
      </c>
      <c r="BE2999" s="1">
        <v>51.8</v>
      </c>
      <c r="BF2999" s="1">
        <v>16.2</v>
      </c>
      <c r="BG2999" s="1">
        <v>9.2</v>
      </c>
      <c r="BH2999" s="1" t="s">
        <v>4895</v>
      </c>
    </row>
    <row r="3000">
      <c r="A3000" s="1">
        <v>54017.0</v>
      </c>
      <c r="B3000" s="2" t="str">
        <f>IFERROR(__xludf.DUMMYFUNCTION("TO_TEXT(A3000)"),"54017")</f>
        <v>54017</v>
      </c>
      <c r="C3000" s="1">
        <v>8363.0</v>
      </c>
      <c r="D3000" s="1">
        <v>319.719683526938</v>
      </c>
      <c r="E3000" s="1" t="s">
        <v>4896</v>
      </c>
      <c r="F3000" s="1" t="s">
        <v>4897</v>
      </c>
      <c r="G3000" s="1">
        <v>26.1572884964256</v>
      </c>
      <c r="H3000" s="1">
        <v>19.199608278</v>
      </c>
      <c r="I3000" s="1">
        <v>4.8946132723</v>
      </c>
      <c r="J3000" s="1">
        <v>8.8114754098</v>
      </c>
      <c r="K3000" s="1">
        <v>20.824101008</v>
      </c>
      <c r="L3000" s="1">
        <v>39.1</v>
      </c>
      <c r="M3000" s="1">
        <v>8.5</v>
      </c>
      <c r="N3000" s="1">
        <v>22.2</v>
      </c>
      <c r="O3000" s="1">
        <v>51.524018532</v>
      </c>
      <c r="P3000" s="1">
        <v>8.0273270709</v>
      </c>
      <c r="Q3000" s="1">
        <v>23.36449</v>
      </c>
      <c r="R3000" s="1">
        <v>96.0</v>
      </c>
      <c r="S3000" s="1">
        <v>25.2</v>
      </c>
      <c r="T3000" s="1">
        <v>1305.0</v>
      </c>
      <c r="U3000" s="1">
        <v>19.003831418</v>
      </c>
      <c r="V3000" s="1">
        <v>270.83589807</v>
      </c>
      <c r="W3000" s="1">
        <v>10.285714286</v>
      </c>
      <c r="X3000" s="1">
        <v>8.2155139473</v>
      </c>
      <c r="Y3000" s="1">
        <v>79.126211493</v>
      </c>
      <c r="Z3000" s="1">
        <v>13.8</v>
      </c>
      <c r="AA3000" s="1">
        <v>0.8430720046</v>
      </c>
      <c r="AB3000" s="1">
        <v>44725.0</v>
      </c>
      <c r="AC3000" s="1">
        <v>52.683363148</v>
      </c>
      <c r="AD3000" s="1">
        <v>86.626369475</v>
      </c>
      <c r="AE3000" s="1">
        <v>5.6943875461</v>
      </c>
      <c r="AF3000" s="1">
        <v>1.8915060671</v>
      </c>
      <c r="AG3000" s="1">
        <v>0.4163692601</v>
      </c>
      <c r="AH3000" s="1">
        <v>0.3925767309</v>
      </c>
      <c r="AI3000" s="1">
        <v>0.0713775874</v>
      </c>
      <c r="AJ3000" s="1">
        <v>0.8446347847</v>
      </c>
      <c r="AK3000" s="1">
        <v>95.051153938</v>
      </c>
      <c r="AL3000" s="1">
        <v>0.2314250914</v>
      </c>
      <c r="AM3000" s="1">
        <v>44.97977635</v>
      </c>
      <c r="AN3000" s="1">
        <v>100.0</v>
      </c>
      <c r="AO3000" s="1">
        <v>19703.0</v>
      </c>
      <c r="AP3000" s="1">
        <v>15.4</v>
      </c>
      <c r="AQ3000" s="1">
        <v>6.5</v>
      </c>
      <c r="AR3000" s="1">
        <v>21.7</v>
      </c>
      <c r="AS3000" s="1">
        <v>17.1</v>
      </c>
      <c r="AT3000" s="1">
        <v>18.9</v>
      </c>
      <c r="AU3000" s="1">
        <v>20.0</v>
      </c>
      <c r="AV3000" s="1">
        <v>4.3</v>
      </c>
      <c r="AW3000" s="1">
        <v>0.4</v>
      </c>
      <c r="AX3000" s="1">
        <v>0.4161</v>
      </c>
      <c r="AY3000" s="1">
        <v>18.8</v>
      </c>
      <c r="AZ3000" s="1">
        <v>11.6</v>
      </c>
      <c r="BA3000" s="1">
        <v>15.7</v>
      </c>
      <c r="BB3000" s="1">
        <v>2.82</v>
      </c>
      <c r="BC3000" s="1" t="s">
        <v>4885</v>
      </c>
      <c r="BD3000" s="1">
        <v>18.0</v>
      </c>
      <c r="BE3000" s="1">
        <v>43.7</v>
      </c>
      <c r="BF3000" s="1">
        <v>21.2</v>
      </c>
      <c r="BG3000" s="1">
        <v>17.1</v>
      </c>
      <c r="BH3000" s="1" t="s">
        <v>4897</v>
      </c>
    </row>
    <row r="3001">
      <c r="A3001" s="1">
        <v>54019.0</v>
      </c>
      <c r="B3001" s="2" t="str">
        <f>IFERROR(__xludf.DUMMYFUNCTION("TO_TEXT(A3001)"),"54019")</f>
        <v>54019</v>
      </c>
      <c r="C3001" s="1">
        <v>45192.0</v>
      </c>
      <c r="D3001" s="1">
        <v>661.583480851406</v>
      </c>
      <c r="E3001" s="1" t="s">
        <v>116</v>
      </c>
      <c r="F3001" s="1" t="s">
        <v>4898</v>
      </c>
      <c r="G3001" s="1">
        <v>68.3088397882024</v>
      </c>
      <c r="H3001" s="1">
        <v>24.298844724</v>
      </c>
      <c r="I3001" s="1">
        <v>5.4994724309</v>
      </c>
      <c r="J3001" s="1">
        <v>9.1015854375</v>
      </c>
      <c r="K3001" s="1">
        <v>24.772107746</v>
      </c>
      <c r="L3001" s="1">
        <v>39.6</v>
      </c>
      <c r="M3001" s="1">
        <v>7.2</v>
      </c>
      <c r="N3001" s="1">
        <v>32.8</v>
      </c>
      <c r="O3001" s="1">
        <v>60.822346272</v>
      </c>
      <c r="P3001" s="1">
        <v>8.0515005894</v>
      </c>
      <c r="Q3001" s="1">
        <v>43.65709</v>
      </c>
      <c r="R3001" s="1">
        <v>84.49</v>
      </c>
      <c r="S3001" s="1">
        <v>28.5</v>
      </c>
      <c r="T3001" s="1">
        <v>8924.0</v>
      </c>
      <c r="U3001" s="1">
        <v>37.270282385</v>
      </c>
      <c r="V3001" s="1">
        <v>277.75756253</v>
      </c>
      <c r="W3001" s="1">
        <v>10.198935276</v>
      </c>
      <c r="X3001" s="1">
        <v>8.12162546179999</v>
      </c>
      <c r="Y3001" s="1">
        <v>72.8856500019999</v>
      </c>
      <c r="Z3001" s="1">
        <v>18.3</v>
      </c>
      <c r="AA3001" s="1">
        <v>8.3632660274</v>
      </c>
      <c r="AB3001" s="1">
        <v>37867.0</v>
      </c>
      <c r="AC3001" s="1">
        <v>62.246947921</v>
      </c>
      <c r="AD3001" s="1">
        <v>79.1683057039999</v>
      </c>
      <c r="AE3001" s="1">
        <v>9.2345007099</v>
      </c>
      <c r="AF3001" s="1">
        <v>4.3911850853</v>
      </c>
      <c r="AG3001" s="1">
        <v>0.2580315217</v>
      </c>
      <c r="AH3001" s="1">
        <v>0.2557069134</v>
      </c>
      <c r="AI3001" s="1">
        <v>0.023246083</v>
      </c>
      <c r="AJ3001" s="1">
        <v>1.1553303268</v>
      </c>
      <c r="AK3001" s="1">
        <v>92.419452322</v>
      </c>
      <c r="AL3001" s="1">
        <v>0.1971343398</v>
      </c>
      <c r="AM3001" s="1">
        <v>49.653633363</v>
      </c>
      <c r="AN3001" s="1">
        <v>57.872673168</v>
      </c>
      <c r="AO3001" s="1">
        <v>20286.0</v>
      </c>
      <c r="AP3001" s="1">
        <v>19.1</v>
      </c>
      <c r="AQ3001" s="1">
        <v>8.5</v>
      </c>
      <c r="AR3001" s="1">
        <v>18.3</v>
      </c>
      <c r="AS3001" s="1">
        <v>18.8</v>
      </c>
      <c r="AT3001" s="1">
        <v>20.8</v>
      </c>
      <c r="AU3001" s="1">
        <v>26.4</v>
      </c>
      <c r="AV3001" s="1">
        <v>7.5</v>
      </c>
      <c r="AW3001" s="1">
        <v>0.3</v>
      </c>
      <c r="AX3001" s="1">
        <v>0.7717</v>
      </c>
      <c r="AY3001" s="1">
        <v>20.6</v>
      </c>
      <c r="AZ3001" s="1">
        <v>15.8</v>
      </c>
      <c r="BA3001" s="1">
        <v>25.0</v>
      </c>
      <c r="BB3001" s="1">
        <v>2.78</v>
      </c>
      <c r="BC3001" s="1" t="s">
        <v>4885</v>
      </c>
      <c r="BD3001" s="1">
        <v>17.2</v>
      </c>
      <c r="BE3001" s="1">
        <v>43.9</v>
      </c>
      <c r="BF3001" s="1">
        <v>24.1</v>
      </c>
      <c r="BG3001" s="1">
        <v>14.8</v>
      </c>
      <c r="BH3001" s="1" t="s">
        <v>4898</v>
      </c>
    </row>
    <row r="3002">
      <c r="A3002" s="1">
        <v>54021.0</v>
      </c>
      <c r="B3002" s="2" t="str">
        <f>IFERROR(__xludf.DUMMYFUNCTION("TO_TEXT(A3002)"),"54021")</f>
        <v>54021</v>
      </c>
      <c r="C3002" s="1">
        <v>8497.0</v>
      </c>
      <c r="D3002" s="1">
        <v>338.502431922668</v>
      </c>
      <c r="E3002" s="1" t="s">
        <v>900</v>
      </c>
      <c r="F3002" s="1" t="s">
        <v>4899</v>
      </c>
      <c r="G3002" s="1">
        <v>25.1017398951543</v>
      </c>
      <c r="H3002" s="1">
        <v>27.207057621</v>
      </c>
      <c r="I3002" s="1">
        <v>5.359582973</v>
      </c>
      <c r="J3002" s="1">
        <v>7.3660714286</v>
      </c>
      <c r="K3002" s="1">
        <v>26.308661641</v>
      </c>
      <c r="L3002" s="1">
        <v>39.7</v>
      </c>
      <c r="M3002" s="1">
        <v>7.3</v>
      </c>
      <c r="N3002" s="1">
        <v>28.8</v>
      </c>
      <c r="O3002" s="1">
        <v>31.070976648</v>
      </c>
      <c r="P3002" s="1">
        <v>8.3489096573</v>
      </c>
      <c r="Q3002" s="1">
        <v>37.47658</v>
      </c>
      <c r="R3002" s="1">
        <v>95.59</v>
      </c>
      <c r="S3002" s="1">
        <v>24.3</v>
      </c>
      <c r="T3002" s="1">
        <v>1221.0</v>
      </c>
      <c r="U3002" s="1">
        <v>39.148239148</v>
      </c>
      <c r="V3002" s="1">
        <v>249.22857821</v>
      </c>
      <c r="W3002" s="1">
        <v>9.963099631</v>
      </c>
      <c r="X3002" s="1">
        <v>8.3175803403</v>
      </c>
      <c r="Y3002" s="1">
        <v>77.355054364</v>
      </c>
      <c r="Z3002" s="1">
        <v>18.7</v>
      </c>
      <c r="AA3002" s="1">
        <v>2.908184584</v>
      </c>
      <c r="AB3002" s="1">
        <v>38173.0</v>
      </c>
      <c r="AC3002" s="1">
        <v>57.894736842</v>
      </c>
      <c r="AD3002" s="1">
        <v>72.734082397</v>
      </c>
      <c r="AE3002" s="1">
        <v>7.341352136</v>
      </c>
      <c r="AF3002" s="1">
        <v>10.403688014</v>
      </c>
      <c r="AG3002" s="1">
        <v>0.9967605283</v>
      </c>
      <c r="AH3002" s="1">
        <v>0.8347869424</v>
      </c>
      <c r="AI3002" s="1">
        <v>0.1121355594</v>
      </c>
      <c r="AJ3002" s="1">
        <v>5.7562920508</v>
      </c>
      <c r="AK3002" s="1">
        <v>81.049090456</v>
      </c>
      <c r="AL3002" s="1">
        <v>1.6227958088</v>
      </c>
      <c r="AM3002" s="1">
        <v>40.219287316</v>
      </c>
      <c r="AN3002" s="1">
        <v>60.715518233</v>
      </c>
      <c r="AO3002" s="1">
        <v>17361.0</v>
      </c>
      <c r="AP3002" s="1">
        <v>26.1</v>
      </c>
      <c r="AQ3002" s="1">
        <v>10.6</v>
      </c>
      <c r="AR3002" s="1">
        <v>19.5</v>
      </c>
      <c r="AS3002" s="1">
        <v>15.2</v>
      </c>
      <c r="AT3002" s="1">
        <v>14.2</v>
      </c>
      <c r="AU3002" s="1">
        <v>19.1</v>
      </c>
      <c r="AV3002" s="1">
        <v>16.7</v>
      </c>
      <c r="AW3002" s="1">
        <v>1.6</v>
      </c>
      <c r="AX3002" s="1">
        <v>0.7539</v>
      </c>
      <c r="AY3002" s="1">
        <v>25.5</v>
      </c>
      <c r="AZ3002" s="1">
        <v>13.4</v>
      </c>
      <c r="BA3002" s="1">
        <v>18.4</v>
      </c>
      <c r="BB3002" s="1">
        <v>2.8</v>
      </c>
      <c r="BC3002" s="1" t="s">
        <v>4885</v>
      </c>
      <c r="BD3002" s="1">
        <v>15.0</v>
      </c>
      <c r="BE3002" s="1">
        <v>44.7</v>
      </c>
      <c r="BF3002" s="1">
        <v>23.3</v>
      </c>
      <c r="BG3002" s="1">
        <v>17.0</v>
      </c>
      <c r="BH3002" s="1" t="s">
        <v>4899</v>
      </c>
    </row>
    <row r="3003">
      <c r="A3003" s="1">
        <v>54023.0</v>
      </c>
      <c r="B3003" s="2" t="str">
        <f>IFERROR(__xludf.DUMMYFUNCTION("TO_TEXT(A3003)"),"54023")</f>
        <v>54023</v>
      </c>
      <c r="C3003" s="1">
        <v>11770.0</v>
      </c>
      <c r="D3003" s="1">
        <v>477.372915873768</v>
      </c>
      <c r="E3003" s="1" t="s">
        <v>332</v>
      </c>
      <c r="F3003" s="1" t="s">
        <v>4900</v>
      </c>
      <c r="G3003" s="1">
        <v>24.6557766656212</v>
      </c>
      <c r="H3003" s="1">
        <v>23.437581482</v>
      </c>
      <c r="I3003" s="1">
        <v>5.2793264055</v>
      </c>
      <c r="J3003" s="1">
        <v>10.153482881</v>
      </c>
      <c r="K3003" s="1">
        <v>22.449765849</v>
      </c>
      <c r="L3003" s="1">
        <v>35.0</v>
      </c>
      <c r="M3003" s="1">
        <v>7.6</v>
      </c>
      <c r="N3003" s="1">
        <v>32.9</v>
      </c>
      <c r="O3003" s="1">
        <v>36.726145598</v>
      </c>
      <c r="P3003" s="1">
        <v>8.0958842153</v>
      </c>
      <c r="Q3003" s="1">
        <v>51.41388</v>
      </c>
      <c r="R3003" s="1">
        <v>95.12</v>
      </c>
      <c r="S3003" s="1">
        <v>21.1</v>
      </c>
      <c r="T3003" s="1">
        <v>2203.0</v>
      </c>
      <c r="U3003" s="1">
        <v>28.869723105</v>
      </c>
      <c r="V3003" s="1">
        <v>224.41651706</v>
      </c>
      <c r="W3003" s="1">
        <v>9.6153846154</v>
      </c>
      <c r="X3003" s="1">
        <v>8.3413926499</v>
      </c>
      <c r="Y3003" s="1">
        <v>78.968158565</v>
      </c>
      <c r="Z3003" s="1">
        <v>21.2</v>
      </c>
      <c r="AA3003" s="1">
        <v>9.9562920955</v>
      </c>
      <c r="AB3003" s="1">
        <v>42146.0</v>
      </c>
      <c r="AC3003" s="1">
        <v>55.330553901</v>
      </c>
      <c r="AD3003" s="1">
        <v>80.487269535</v>
      </c>
      <c r="AE3003" s="1">
        <v>8.6116791638</v>
      </c>
      <c r="AF3003" s="1">
        <v>0.9117495269</v>
      </c>
      <c r="AG3003" s="1">
        <v>0.163426801999999</v>
      </c>
      <c r="AH3003" s="1">
        <v>0.1892310339</v>
      </c>
      <c r="AI3003" s="1">
        <v>0.0086014106</v>
      </c>
      <c r="AJ3003" s="1">
        <v>1.2988130053</v>
      </c>
      <c r="AK3003" s="1">
        <v>96.516428694</v>
      </c>
      <c r="AL3003" s="1">
        <v>0.9580621837</v>
      </c>
      <c r="AM3003" s="1">
        <v>50.146223981</v>
      </c>
      <c r="AN3003" s="1">
        <v>78.6797352769999</v>
      </c>
      <c r="AO3003" s="1">
        <v>20648.0</v>
      </c>
      <c r="AP3003" s="1">
        <v>13.1</v>
      </c>
      <c r="AQ3003" s="1">
        <v>6.0</v>
      </c>
      <c r="AR3003" s="1">
        <v>18.3</v>
      </c>
      <c r="AS3003" s="1">
        <v>22.2</v>
      </c>
      <c r="AT3003" s="1">
        <v>19.6</v>
      </c>
      <c r="AU3003" s="1">
        <v>18.4</v>
      </c>
      <c r="AV3003" s="1">
        <v>3.2</v>
      </c>
      <c r="AW3003" s="1">
        <v>0.4</v>
      </c>
      <c r="AX3003" s="1">
        <v>0.3305</v>
      </c>
      <c r="AY3003" s="1">
        <v>13.2</v>
      </c>
      <c r="AZ3003" s="1">
        <v>11.7</v>
      </c>
      <c r="BA3003" s="1">
        <v>16.9</v>
      </c>
      <c r="BB3003" s="1">
        <v>2.98</v>
      </c>
      <c r="BC3003" s="1" t="s">
        <v>4885</v>
      </c>
      <c r="BD3003" s="1">
        <v>17.9</v>
      </c>
      <c r="BE3003" s="1">
        <v>46.1</v>
      </c>
      <c r="BF3003" s="1">
        <v>22.2</v>
      </c>
      <c r="BG3003" s="1">
        <v>13.8</v>
      </c>
      <c r="BH3003" s="1" t="s">
        <v>4900</v>
      </c>
    </row>
    <row r="3004">
      <c r="A3004" s="1">
        <v>54025.0</v>
      </c>
      <c r="B3004" s="2" t="str">
        <f>IFERROR(__xludf.DUMMYFUNCTION("TO_TEXT(A3004)"),"54025")</f>
        <v>54025</v>
      </c>
      <c r="C3004" s="1">
        <v>35580.0</v>
      </c>
      <c r="D3004" s="1">
        <v>1019.65276483344</v>
      </c>
      <c r="E3004" s="1" t="s">
        <v>4901</v>
      </c>
      <c r="F3004" s="1" t="s">
        <v>4902</v>
      </c>
      <c r="G3004" s="1">
        <v>34.8942318670729</v>
      </c>
      <c r="H3004" s="1">
        <v>21.700663159</v>
      </c>
      <c r="I3004" s="1">
        <v>5.0886614787</v>
      </c>
      <c r="J3004" s="1">
        <v>7.83847981</v>
      </c>
      <c r="K3004" s="1">
        <v>22.862162515</v>
      </c>
      <c r="L3004" s="1">
        <v>33.1</v>
      </c>
      <c r="M3004" s="1">
        <v>7.5</v>
      </c>
      <c r="N3004" s="1">
        <v>26.0</v>
      </c>
      <c r="O3004" s="1">
        <v>51.2232243519999</v>
      </c>
      <c r="P3004" s="1">
        <v>8.4741337511</v>
      </c>
      <c r="Q3004" s="1">
        <v>127.52572</v>
      </c>
      <c r="R3004" s="1">
        <v>89.97</v>
      </c>
      <c r="S3004" s="1">
        <v>23.1</v>
      </c>
      <c r="T3004" s="1">
        <v>6897.0</v>
      </c>
      <c r="U3004" s="1">
        <v>32.651877628</v>
      </c>
      <c r="V3004" s="1">
        <v>123.67126999</v>
      </c>
      <c r="W3004" s="1">
        <v>11.977249916</v>
      </c>
      <c r="X3004" s="1">
        <v>9.7435897436</v>
      </c>
      <c r="Y3004" s="1">
        <v>75.872643141</v>
      </c>
      <c r="Z3004" s="1">
        <v>15.7</v>
      </c>
      <c r="AA3004" s="1">
        <v>8.3247519174</v>
      </c>
      <c r="AB3004" s="1">
        <v>37665.0</v>
      </c>
      <c r="AC3004" s="1">
        <v>59.765467044</v>
      </c>
      <c r="AD3004" s="1">
        <v>71.60614982</v>
      </c>
      <c r="AE3004" s="1">
        <v>9.9037329455</v>
      </c>
      <c r="AF3004" s="1">
        <v>2.7539814868</v>
      </c>
      <c r="AG3004" s="1">
        <v>0.4139596389</v>
      </c>
      <c r="AH3004" s="1">
        <v>0.6238141781</v>
      </c>
      <c r="AI3004" s="1">
        <v>0.020123038</v>
      </c>
      <c r="AJ3004" s="1">
        <v>2.066923475</v>
      </c>
      <c r="AK3004" s="1">
        <v>92.44236187</v>
      </c>
      <c r="AL3004" s="1">
        <v>0.1611122714</v>
      </c>
      <c r="AM3004" s="1">
        <v>51.029149658</v>
      </c>
      <c r="AN3004" s="1">
        <v>69.735062007</v>
      </c>
      <c r="AO3004" s="1">
        <v>23204.0</v>
      </c>
      <c r="AP3004" s="1">
        <v>18.4</v>
      </c>
      <c r="AQ3004" s="1">
        <v>7.9</v>
      </c>
      <c r="AR3004" s="1">
        <v>16.2</v>
      </c>
      <c r="AS3004" s="1">
        <v>21.5</v>
      </c>
      <c r="AT3004" s="1">
        <v>19.7</v>
      </c>
      <c r="AU3004" s="1">
        <v>19.9</v>
      </c>
      <c r="AV3004" s="1">
        <v>6.6</v>
      </c>
      <c r="AW3004" s="1">
        <v>0.3</v>
      </c>
      <c r="AX3004" s="1">
        <v>0.5482</v>
      </c>
      <c r="AY3004" s="1">
        <v>17.2</v>
      </c>
      <c r="AZ3004" s="1">
        <v>14.0</v>
      </c>
      <c r="BA3004" s="1">
        <v>20.3</v>
      </c>
      <c r="BB3004" s="1">
        <v>2.9</v>
      </c>
      <c r="BC3004" s="1" t="s">
        <v>4885</v>
      </c>
      <c r="BD3004" s="1">
        <v>14.0</v>
      </c>
      <c r="BE3004" s="1">
        <v>37.8</v>
      </c>
      <c r="BF3004" s="1">
        <v>28.3</v>
      </c>
      <c r="BG3004" s="1">
        <v>19.9</v>
      </c>
      <c r="BH3004" s="1" t="s">
        <v>4902</v>
      </c>
    </row>
    <row r="3005">
      <c r="A3005" s="1">
        <v>54027.0</v>
      </c>
      <c r="B3005" s="2" t="str">
        <f>IFERROR(__xludf.DUMMYFUNCTION("TO_TEXT(A3005)"),"54027")</f>
        <v>54027</v>
      </c>
      <c r="C3005" s="1">
        <v>23455.0</v>
      </c>
      <c r="D3005" s="1">
        <v>640.394465254664</v>
      </c>
      <c r="E3005" s="1" t="s">
        <v>2130</v>
      </c>
      <c r="F3005" s="1" t="s">
        <v>4903</v>
      </c>
      <c r="G3005" s="1">
        <v>36.6258630774903</v>
      </c>
      <c r="H3005" s="1">
        <v>21.991300208</v>
      </c>
      <c r="I3005" s="1">
        <v>5.240918447</v>
      </c>
      <c r="J3005" s="1">
        <v>8.8535031847</v>
      </c>
      <c r="K3005" s="1">
        <v>22.031452094</v>
      </c>
      <c r="L3005" s="1">
        <v>40.9</v>
      </c>
      <c r="M3005" s="1">
        <v>6.8</v>
      </c>
      <c r="N3005" s="1">
        <v>28.2</v>
      </c>
      <c r="O3005" s="1">
        <v>44.7212485389999</v>
      </c>
      <c r="P3005" s="1">
        <v>9.5084340032</v>
      </c>
      <c r="Q3005" s="1">
        <v>25.56346</v>
      </c>
      <c r="R3005" s="1">
        <v>84.23</v>
      </c>
      <c r="S3005" s="1">
        <v>30.3</v>
      </c>
      <c r="T3005" s="1">
        <v>4251.0</v>
      </c>
      <c r="U3005" s="1">
        <v>38.90849212</v>
      </c>
      <c r="V3005" s="1">
        <v>226.85629526</v>
      </c>
      <c r="W3005" s="1">
        <v>10.676691729</v>
      </c>
      <c r="X3005" s="1">
        <v>9.30713547049999</v>
      </c>
      <c r="Y3005" s="1">
        <v>76.178617018</v>
      </c>
      <c r="Z3005" s="1">
        <v>13.7</v>
      </c>
      <c r="AA3005" s="1">
        <v>15.953774967</v>
      </c>
      <c r="AB3005" s="1">
        <v>44442.0</v>
      </c>
      <c r="AC3005" s="1">
        <v>64.17816813</v>
      </c>
      <c r="AD3005" s="1">
        <v>69.94722136</v>
      </c>
      <c r="AE3005" s="1">
        <v>8.9535017884</v>
      </c>
      <c r="AF3005" s="1">
        <v>1.1521822932</v>
      </c>
      <c r="AG3005" s="1">
        <v>0.2270098942</v>
      </c>
      <c r="AH3005" s="1">
        <v>0.2826915664</v>
      </c>
      <c r="AI3005" s="1">
        <v>0.0513984666</v>
      </c>
      <c r="AJ3005" s="1">
        <v>1.55052040949999</v>
      </c>
      <c r="AK3005" s="1">
        <v>95.618280721</v>
      </c>
      <c r="AL3005" s="1">
        <v>0.1567468315</v>
      </c>
      <c r="AM3005" s="1">
        <v>48.9656058589999</v>
      </c>
      <c r="AN3005" s="1">
        <v>100.0</v>
      </c>
      <c r="AO3005" s="1">
        <v>19997.0</v>
      </c>
      <c r="AP3005" s="1">
        <v>16.9</v>
      </c>
      <c r="AQ3005" s="1">
        <v>7.6</v>
      </c>
      <c r="AR3005" s="1">
        <v>20.0</v>
      </c>
      <c r="AS3005" s="1">
        <v>19.3</v>
      </c>
      <c r="AT3005" s="1">
        <v>20.5</v>
      </c>
      <c r="AU3005" s="1">
        <v>23.6</v>
      </c>
      <c r="AV3005" s="1">
        <v>3.9</v>
      </c>
      <c r="AW3005" s="1">
        <v>0.2</v>
      </c>
      <c r="AX3005" s="1">
        <v>0.588</v>
      </c>
      <c r="AY3005" s="1">
        <v>14.6</v>
      </c>
      <c r="AZ3005" s="1">
        <v>15.0</v>
      </c>
      <c r="BA3005" s="1">
        <v>23.6</v>
      </c>
      <c r="BB3005" s="1">
        <v>2.94</v>
      </c>
      <c r="BC3005" s="1" t="s">
        <v>4885</v>
      </c>
      <c r="BD3005" s="1">
        <v>15.7</v>
      </c>
      <c r="BE3005" s="1">
        <v>46.2</v>
      </c>
      <c r="BF3005" s="1">
        <v>25.8</v>
      </c>
      <c r="BG3005" s="1">
        <v>12.4</v>
      </c>
      <c r="BH3005" s="1" t="s">
        <v>4903</v>
      </c>
    </row>
    <row r="3006">
      <c r="A3006" s="1">
        <v>54029.0</v>
      </c>
      <c r="B3006" s="2" t="str">
        <f>IFERROR(__xludf.DUMMYFUNCTION("TO_TEXT(A3006)"),"54029")</f>
        <v>54029</v>
      </c>
      <c r="C3006" s="1">
        <v>30024.0</v>
      </c>
      <c r="D3006" s="1">
        <v>82.609280054382</v>
      </c>
      <c r="E3006" s="1" t="s">
        <v>917</v>
      </c>
      <c r="F3006" s="1" t="s">
        <v>4904</v>
      </c>
      <c r="G3006" s="1">
        <v>363.445849912202</v>
      </c>
      <c r="H3006" s="1">
        <v>21.143429766</v>
      </c>
      <c r="I3006" s="1">
        <v>5.2654959221</v>
      </c>
      <c r="J3006" s="1">
        <v>9.1304347826</v>
      </c>
      <c r="K3006" s="1">
        <v>22.478587277</v>
      </c>
      <c r="L3006" s="1">
        <v>42.4</v>
      </c>
      <c r="M3006" s="1">
        <v>7.4</v>
      </c>
      <c r="N3006" s="1">
        <v>29.7</v>
      </c>
      <c r="O3006" s="1">
        <v>89.969357152</v>
      </c>
      <c r="P3006" s="1">
        <v>7.1902023616</v>
      </c>
      <c r="Q3006" s="1">
        <v>54.33306</v>
      </c>
      <c r="R3006" s="1">
        <v>89.97</v>
      </c>
      <c r="S3006" s="1">
        <v>19.5</v>
      </c>
      <c r="T3006" s="1">
        <v>5660.0</v>
      </c>
      <c r="U3006" s="1">
        <v>38.621908127</v>
      </c>
      <c r="V3006" s="1">
        <v>142.69803703</v>
      </c>
      <c r="W3006" s="1">
        <v>11.755546905</v>
      </c>
      <c r="X3006" s="1">
        <v>10.0275265429999</v>
      </c>
      <c r="Y3006" s="1">
        <v>74.9179000319999</v>
      </c>
      <c r="Z3006" s="1">
        <v>15.7</v>
      </c>
      <c r="AA3006" s="1">
        <v>9.3951706386</v>
      </c>
      <c r="AB3006" s="1">
        <v>47299.0</v>
      </c>
      <c r="AC3006" s="1">
        <v>54.850474106</v>
      </c>
      <c r="AD3006" s="1">
        <v>71.993384264</v>
      </c>
      <c r="AE3006" s="1">
        <v>9.2107404394</v>
      </c>
      <c r="AF3006" s="1">
        <v>2.7531449783</v>
      </c>
      <c r="AG3006" s="1">
        <v>0.2474737059</v>
      </c>
      <c r="AH3006" s="1">
        <v>0.4365161202</v>
      </c>
      <c r="AI3006" s="1">
        <v>0.0274970784</v>
      </c>
      <c r="AJ3006" s="1">
        <v>1.6360761669</v>
      </c>
      <c r="AK3006" s="1">
        <v>93.514126624</v>
      </c>
      <c r="AL3006" s="1">
        <v>0.2692552965</v>
      </c>
      <c r="AM3006" s="1">
        <v>51.271739878</v>
      </c>
      <c r="AN3006" s="1">
        <v>30.310340331</v>
      </c>
      <c r="AO3006" s="1">
        <v>24041.0</v>
      </c>
      <c r="AP3006" s="1">
        <v>14.5</v>
      </c>
      <c r="AQ3006" s="1">
        <v>6.6</v>
      </c>
      <c r="AR3006" s="1">
        <v>12.8</v>
      </c>
      <c r="AS3006" s="1">
        <v>20.1</v>
      </c>
      <c r="AT3006" s="1">
        <v>19.8</v>
      </c>
      <c r="AU3006" s="1">
        <v>18.7</v>
      </c>
      <c r="AV3006" s="1">
        <v>5.8</v>
      </c>
      <c r="AW3006" s="1">
        <v>0.5</v>
      </c>
      <c r="AX3006" s="1">
        <v>0.3333</v>
      </c>
      <c r="AY3006" s="1">
        <v>12.5</v>
      </c>
      <c r="AZ3006" s="1">
        <v>12.0</v>
      </c>
      <c r="BA3006" s="1">
        <v>18.9</v>
      </c>
      <c r="BB3006" s="1">
        <v>2.86</v>
      </c>
      <c r="BC3006" s="1" t="s">
        <v>4885</v>
      </c>
      <c r="BD3006" s="1">
        <v>9.6</v>
      </c>
      <c r="BE3006" s="1">
        <v>41.9</v>
      </c>
      <c r="BF3006" s="1">
        <v>31.1</v>
      </c>
      <c r="BG3006" s="1">
        <v>17.4</v>
      </c>
      <c r="BH3006" s="1" t="s">
        <v>4904</v>
      </c>
    </row>
    <row r="3007">
      <c r="A3007" s="1">
        <v>54031.0</v>
      </c>
      <c r="B3007" s="2" t="str">
        <f>IFERROR(__xludf.DUMMYFUNCTION("TO_TEXT(A3007)"),"54031")</f>
        <v>54031</v>
      </c>
      <c r="C3007" s="1">
        <v>13942.0</v>
      </c>
      <c r="D3007" s="1">
        <v>582.316970368198</v>
      </c>
      <c r="E3007" s="1" t="s">
        <v>4905</v>
      </c>
      <c r="F3007" s="1" t="s">
        <v>4906</v>
      </c>
      <c r="G3007" s="1">
        <v>23.9422869492958</v>
      </c>
      <c r="H3007" s="1">
        <v>22.028256176</v>
      </c>
      <c r="I3007" s="1">
        <v>5.4035867723</v>
      </c>
      <c r="J3007" s="1">
        <v>9.0400745573</v>
      </c>
      <c r="K3007" s="1">
        <v>22.450104169</v>
      </c>
      <c r="L3007" s="1">
        <v>38.2</v>
      </c>
      <c r="M3007" s="1">
        <v>7.1</v>
      </c>
      <c r="N3007" s="1">
        <v>28.8</v>
      </c>
      <c r="O3007" s="1">
        <v>66.609625668</v>
      </c>
      <c r="P3007" s="1">
        <v>9.8374439462</v>
      </c>
      <c r="Q3007" s="1">
        <v>14.58045</v>
      </c>
      <c r="R3007" s="1">
        <v>92.95</v>
      </c>
      <c r="S3007" s="1">
        <v>20.4</v>
      </c>
      <c r="T3007" s="1">
        <v>2806.0</v>
      </c>
      <c r="U3007" s="1">
        <v>31.25445474</v>
      </c>
      <c r="V3007" s="1">
        <v>428.89891296</v>
      </c>
      <c r="W3007" s="1">
        <v>8.4112149533</v>
      </c>
      <c r="X3007" s="1">
        <v>5.1184834123</v>
      </c>
      <c r="Y3007" s="1">
        <v>76.853243152</v>
      </c>
      <c r="Z3007" s="1">
        <v>14.4</v>
      </c>
      <c r="AA3007" s="1">
        <v>14.358311882</v>
      </c>
      <c r="AB3007" s="1">
        <v>43573.0</v>
      </c>
      <c r="AC3007" s="1">
        <v>58.193277311</v>
      </c>
      <c r="AD3007" s="1">
        <v>72.088389784</v>
      </c>
      <c r="AE3007" s="1">
        <v>3.63431997</v>
      </c>
      <c r="AF3007" s="1">
        <v>2.9691470054</v>
      </c>
      <c r="AG3007" s="1">
        <v>0.2976406534</v>
      </c>
      <c r="AH3007" s="1">
        <v>0.8203266788</v>
      </c>
      <c r="AI3007" s="1">
        <v>0.0798548094</v>
      </c>
      <c r="AJ3007" s="1">
        <v>4.77676951</v>
      </c>
      <c r="AK3007" s="1">
        <v>89.807622505</v>
      </c>
      <c r="AL3007" s="1">
        <v>4.0</v>
      </c>
      <c r="AM3007" s="1">
        <v>49.676950998</v>
      </c>
      <c r="AN3007" s="1">
        <v>80.520499109</v>
      </c>
      <c r="AO3007" s="1">
        <v>21956.0</v>
      </c>
      <c r="AP3007" s="1">
        <v>13.7</v>
      </c>
      <c r="AQ3007" s="1">
        <v>6.9</v>
      </c>
      <c r="AR3007" s="1">
        <v>19.7</v>
      </c>
      <c r="AS3007" s="1">
        <v>19.6</v>
      </c>
      <c r="AT3007" s="1">
        <v>20.3</v>
      </c>
      <c r="AU3007" s="1">
        <v>17.4</v>
      </c>
      <c r="AV3007" s="1">
        <v>9.1</v>
      </c>
      <c r="AW3007" s="1">
        <v>2.0</v>
      </c>
      <c r="AX3007" s="1">
        <v>0.5807</v>
      </c>
      <c r="AY3007" s="1">
        <v>14.2</v>
      </c>
      <c r="AZ3007" s="1">
        <v>10.9</v>
      </c>
      <c r="BA3007" s="1">
        <v>18.1</v>
      </c>
      <c r="BB3007" s="1">
        <v>3.03</v>
      </c>
      <c r="BC3007" s="1" t="s">
        <v>4885</v>
      </c>
      <c r="BD3007" s="1">
        <v>19.7</v>
      </c>
      <c r="BE3007" s="1">
        <v>44.7</v>
      </c>
      <c r="BF3007" s="1">
        <v>21.1</v>
      </c>
      <c r="BG3007" s="1">
        <v>14.5</v>
      </c>
      <c r="BH3007" s="1" t="s">
        <v>4906</v>
      </c>
    </row>
    <row r="3008">
      <c r="A3008" s="1">
        <v>54033.0</v>
      </c>
      <c r="B3008" s="2" t="str">
        <f>IFERROR(__xludf.DUMMYFUNCTION("TO_TEXT(A3008)"),"54033")</f>
        <v>54033</v>
      </c>
      <c r="C3008" s="1">
        <v>68775.0</v>
      </c>
      <c r="D3008" s="1">
        <v>416.007498363534</v>
      </c>
      <c r="E3008" s="1" t="s">
        <v>1349</v>
      </c>
      <c r="F3008" s="1" t="s">
        <v>4907</v>
      </c>
      <c r="G3008" s="1">
        <v>165.321539324515</v>
      </c>
      <c r="H3008" s="1">
        <v>20.61796501</v>
      </c>
      <c r="I3008" s="1">
        <v>5.2629868232</v>
      </c>
      <c r="J3008" s="1">
        <v>9.7745750185</v>
      </c>
      <c r="K3008" s="1">
        <v>23.441387565</v>
      </c>
      <c r="L3008" s="1">
        <v>33.6</v>
      </c>
      <c r="M3008" s="1">
        <v>8.0</v>
      </c>
      <c r="N3008" s="1">
        <v>27.6</v>
      </c>
      <c r="O3008" s="1">
        <v>70.047323406</v>
      </c>
      <c r="P3008" s="1">
        <v>7.5993186439</v>
      </c>
      <c r="Q3008" s="1">
        <v>115.02559</v>
      </c>
      <c r="R3008" s="1">
        <v>87.95</v>
      </c>
      <c r="S3008" s="1">
        <v>21.9</v>
      </c>
      <c r="T3008" s="1">
        <v>14218.0</v>
      </c>
      <c r="U3008" s="1">
        <v>29.596286398</v>
      </c>
      <c r="V3008" s="1">
        <v>212.14791605</v>
      </c>
      <c r="W3008" s="1">
        <v>10.289330922</v>
      </c>
      <c r="X3008" s="1">
        <v>8.1677704194</v>
      </c>
      <c r="Y3008" s="1">
        <v>75.252213501</v>
      </c>
      <c r="Z3008" s="1">
        <v>16.6</v>
      </c>
      <c r="AA3008" s="1">
        <v>4.4871200878</v>
      </c>
      <c r="AB3008" s="1">
        <v>47942.0</v>
      </c>
      <c r="AC3008" s="1">
        <v>49.860956618</v>
      </c>
      <c r="AD3008" s="1">
        <v>73.483743986</v>
      </c>
      <c r="AE3008" s="1">
        <v>8.66385911179999</v>
      </c>
      <c r="AF3008" s="1">
        <v>1.7630340172</v>
      </c>
      <c r="AG3008" s="1">
        <v>0.225005181</v>
      </c>
      <c r="AH3008" s="1">
        <v>0.6365278148</v>
      </c>
      <c r="AI3008" s="1">
        <v>0.0236847559</v>
      </c>
      <c r="AJ3008" s="1">
        <v>1.6993812358</v>
      </c>
      <c r="AK3008" s="1">
        <v>94.080291322</v>
      </c>
      <c r="AL3008" s="1">
        <v>0.146287564</v>
      </c>
      <c r="AM3008" s="1">
        <v>50.88077686</v>
      </c>
      <c r="AN3008" s="1">
        <v>37.049740228</v>
      </c>
      <c r="AO3008" s="1">
        <v>25702.0</v>
      </c>
      <c r="AP3008" s="1">
        <v>15.9</v>
      </c>
      <c r="AQ3008" s="1">
        <v>7.3</v>
      </c>
      <c r="AR3008" s="1">
        <v>12.3</v>
      </c>
      <c r="AS3008" s="1">
        <v>17.7</v>
      </c>
      <c r="AT3008" s="1">
        <v>21.5</v>
      </c>
      <c r="AU3008" s="1">
        <v>19.1</v>
      </c>
      <c r="AV3008" s="1">
        <v>5.5</v>
      </c>
      <c r="AW3008" s="1">
        <v>0.1</v>
      </c>
      <c r="AX3008" s="1">
        <v>0.4008</v>
      </c>
      <c r="AY3008" s="1">
        <v>11.1</v>
      </c>
      <c r="AZ3008" s="1">
        <v>12.4</v>
      </c>
      <c r="BA3008" s="1">
        <v>17.2</v>
      </c>
      <c r="BB3008" s="1">
        <v>2.78</v>
      </c>
      <c r="BC3008" s="1" t="s">
        <v>4885</v>
      </c>
      <c r="BD3008" s="1">
        <v>11.2</v>
      </c>
      <c r="BE3008" s="1">
        <v>38.6</v>
      </c>
      <c r="BF3008" s="1">
        <v>26.9</v>
      </c>
      <c r="BG3008" s="1">
        <v>23.3</v>
      </c>
      <c r="BH3008" s="1" t="s">
        <v>4907</v>
      </c>
    </row>
    <row r="3009">
      <c r="A3009" s="1">
        <v>54035.0</v>
      </c>
      <c r="B3009" s="2" t="str">
        <f>IFERROR(__xludf.DUMMYFUNCTION("TO_TEXT(A3009)"),"54035")</f>
        <v>54035</v>
      </c>
      <c r="C3009" s="1">
        <v>29199.0</v>
      </c>
      <c r="D3009" s="1">
        <v>464.356354901064</v>
      </c>
      <c r="E3009" s="1" t="s">
        <v>130</v>
      </c>
      <c r="F3009" s="1" t="s">
        <v>4908</v>
      </c>
      <c r="G3009" s="1">
        <v>62.8805866266677</v>
      </c>
      <c r="H3009" s="1">
        <v>22.854920365</v>
      </c>
      <c r="I3009" s="1">
        <v>5.3225492849</v>
      </c>
      <c r="J3009" s="1">
        <v>9.07865168539999</v>
      </c>
      <c r="K3009" s="1">
        <v>21.006730088</v>
      </c>
      <c r="L3009" s="1">
        <v>41.9</v>
      </c>
      <c r="M3009" s="1">
        <v>7.9</v>
      </c>
      <c r="N3009" s="1">
        <v>25.6</v>
      </c>
      <c r="O3009" s="1">
        <v>31.399130465</v>
      </c>
      <c r="P3009" s="1">
        <v>7.1744216272</v>
      </c>
      <c r="Q3009" s="1">
        <v>31.06019</v>
      </c>
      <c r="R3009" s="1">
        <v>95.73</v>
      </c>
      <c r="S3009" s="1">
        <v>23.3</v>
      </c>
      <c r="T3009" s="1">
        <v>6213.0</v>
      </c>
      <c r="U3009" s="1">
        <v>27.0722678259999</v>
      </c>
      <c r="V3009" s="1">
        <v>305.77659888</v>
      </c>
      <c r="W3009" s="1">
        <v>9.0705987489</v>
      </c>
      <c r="X3009" s="1">
        <v>6.63334847799999</v>
      </c>
      <c r="Y3009" s="1">
        <v>75.935325448</v>
      </c>
      <c r="Z3009" s="1">
        <v>14.5</v>
      </c>
      <c r="AA3009" s="1">
        <v>5.3327708881</v>
      </c>
      <c r="AB3009" s="1">
        <v>48731.0</v>
      </c>
      <c r="AC3009" s="1">
        <v>53.586769759</v>
      </c>
      <c r="AD3009" s="1">
        <v>78.457684738</v>
      </c>
      <c r="AE3009" s="1">
        <v>9.3355036385</v>
      </c>
      <c r="AF3009" s="1">
        <v>0.6026614645</v>
      </c>
      <c r="AG3009" s="1">
        <v>0.285654567</v>
      </c>
      <c r="AH3009" s="1">
        <v>0.3344248589</v>
      </c>
      <c r="AI3009" s="1">
        <v>0.0348359227999999</v>
      </c>
      <c r="AJ3009" s="1">
        <v>0.9858566153</v>
      </c>
      <c r="AK3009" s="1">
        <v>96.728906849</v>
      </c>
      <c r="AL3009" s="1">
        <v>0.0510818404</v>
      </c>
      <c r="AM3009" s="1">
        <v>50.303072528</v>
      </c>
      <c r="AN3009" s="1">
        <v>71.438841532</v>
      </c>
      <c r="AO3009" s="1">
        <v>22591.0</v>
      </c>
      <c r="AP3009" s="1">
        <v>14.9</v>
      </c>
      <c r="AQ3009" s="1">
        <v>5.4</v>
      </c>
      <c r="AR3009" s="1">
        <v>13.4</v>
      </c>
      <c r="AS3009" s="1">
        <v>19.1</v>
      </c>
      <c r="AT3009" s="1">
        <v>21.8</v>
      </c>
      <c r="AU3009" s="1">
        <v>17.9</v>
      </c>
      <c r="AV3009" s="1">
        <v>2.7</v>
      </c>
      <c r="AW3009" s="1">
        <v>0.0</v>
      </c>
      <c r="AX3009" s="1">
        <v>0.2808</v>
      </c>
      <c r="AY3009" s="1">
        <v>16.7</v>
      </c>
      <c r="AZ3009" s="1">
        <v>11.6</v>
      </c>
      <c r="BA3009" s="1">
        <v>16.5</v>
      </c>
      <c r="BB3009" s="1">
        <v>2.81</v>
      </c>
      <c r="BC3009" s="1" t="s">
        <v>4885</v>
      </c>
      <c r="BD3009" s="1">
        <v>11.7</v>
      </c>
      <c r="BE3009" s="1">
        <v>44.1</v>
      </c>
      <c r="BF3009" s="1">
        <v>26.8</v>
      </c>
      <c r="BG3009" s="1">
        <v>17.4</v>
      </c>
      <c r="BH3009" s="1" t="s">
        <v>4908</v>
      </c>
    </row>
    <row r="3010">
      <c r="A3010" s="1">
        <v>54037.0</v>
      </c>
      <c r="B3010" s="2" t="str">
        <f>IFERROR(__xludf.DUMMYFUNCTION("TO_TEXT(A3010)"),"54037")</f>
        <v>54037</v>
      </c>
      <c r="C3010" s="1">
        <v>55531.0</v>
      </c>
      <c r="D3010" s="1">
        <v>209.655931570486</v>
      </c>
      <c r="E3010" s="1" t="s">
        <v>132</v>
      </c>
      <c r="F3010" s="1" t="s">
        <v>4909</v>
      </c>
      <c r="G3010" s="1">
        <v>264.867297500384</v>
      </c>
      <c r="H3010" s="1">
        <v>18.482472575</v>
      </c>
      <c r="I3010" s="1">
        <v>4.7485104355</v>
      </c>
      <c r="J3010" s="1">
        <v>7.4857000746</v>
      </c>
      <c r="K3010" s="1">
        <v>20.4373747709999</v>
      </c>
      <c r="L3010" s="1">
        <v>33.0</v>
      </c>
      <c r="M3010" s="1">
        <v>8.8</v>
      </c>
      <c r="N3010" s="1">
        <v>22.3</v>
      </c>
      <c r="O3010" s="1">
        <v>44.569890463</v>
      </c>
      <c r="P3010" s="1">
        <v>6.4739291967</v>
      </c>
      <c r="Q3010" s="1">
        <v>58.57503</v>
      </c>
      <c r="R3010" s="1">
        <v>89.29</v>
      </c>
      <c r="S3010" s="1">
        <v>11.2</v>
      </c>
      <c r="T3010" s="1">
        <v>12556.0</v>
      </c>
      <c r="U3010" s="1">
        <v>22.459381969</v>
      </c>
      <c r="V3010" s="1">
        <v>186.84207992</v>
      </c>
      <c r="W3010" s="1">
        <v>11.8245699059999</v>
      </c>
      <c r="X3010" s="1">
        <v>10.20107896</v>
      </c>
      <c r="Y3010" s="1">
        <v>77.570949746</v>
      </c>
      <c r="Z3010" s="1">
        <v>9.2</v>
      </c>
      <c r="AA3010" s="1">
        <v>1.1822752973</v>
      </c>
      <c r="AB3010" s="1">
        <v>75027.0</v>
      </c>
      <c r="AC3010" s="1">
        <v>44.117647059</v>
      </c>
      <c r="AD3010" s="1">
        <v>74.85044269</v>
      </c>
      <c r="AE3010" s="1">
        <v>10.817838395</v>
      </c>
      <c r="AF3010" s="1">
        <v>6.1026913802</v>
      </c>
      <c r="AG3010" s="1">
        <v>0.343243386</v>
      </c>
      <c r="AH3010" s="1">
        <v>1.6246853602</v>
      </c>
      <c r="AI3010" s="1">
        <v>0.0668884547</v>
      </c>
      <c r="AJ3010" s="1">
        <v>5.8280966714</v>
      </c>
      <c r="AK3010" s="1">
        <v>83.714421503</v>
      </c>
      <c r="AL3010" s="1">
        <v>0.5689739628</v>
      </c>
      <c r="AM3010" s="1">
        <v>50.384608615</v>
      </c>
      <c r="AN3010" s="1">
        <v>48.3737709819999</v>
      </c>
      <c r="AO3010" s="1">
        <v>32227.0</v>
      </c>
      <c r="AP3010" s="1">
        <v>10.9</v>
      </c>
      <c r="AQ3010" s="1">
        <v>7.6</v>
      </c>
      <c r="AR3010" s="1">
        <v>11.2</v>
      </c>
      <c r="AS3010" s="1">
        <v>13.9</v>
      </c>
      <c r="AT3010" s="1">
        <v>23.0</v>
      </c>
      <c r="AU3010" s="1">
        <v>12.9</v>
      </c>
      <c r="AV3010" s="1">
        <v>15.9</v>
      </c>
      <c r="AW3010" s="1">
        <v>0.6</v>
      </c>
      <c r="AX3010" s="1">
        <v>0.2385</v>
      </c>
      <c r="AY3010" s="1">
        <v>9.9</v>
      </c>
      <c r="AZ3010" s="1">
        <v>8.2</v>
      </c>
      <c r="BA3010" s="1">
        <v>10.7</v>
      </c>
      <c r="BB3010" s="1">
        <v>3.08</v>
      </c>
      <c r="BC3010" s="1" t="s">
        <v>4885</v>
      </c>
      <c r="BD3010" s="1">
        <v>10.2</v>
      </c>
      <c r="BE3010" s="1">
        <v>31.0</v>
      </c>
      <c r="BF3010" s="1">
        <v>27.1</v>
      </c>
      <c r="BG3010" s="1">
        <v>31.8</v>
      </c>
      <c r="BH3010" s="1" t="s">
        <v>4909</v>
      </c>
    </row>
    <row r="3011">
      <c r="A3011" s="1">
        <v>54039.0</v>
      </c>
      <c r="B3011" s="2" t="str">
        <f>IFERROR(__xludf.DUMMYFUNCTION("TO_TEXT(A3011)"),"54039")</f>
        <v>54039</v>
      </c>
      <c r="C3011" s="1">
        <v>189636.0</v>
      </c>
      <c r="D3011" s="1">
        <v>901.631439073932</v>
      </c>
      <c r="E3011" s="1" t="s">
        <v>4910</v>
      </c>
      <c r="F3011" s="1" t="s">
        <v>4911</v>
      </c>
      <c r="G3011" s="1">
        <v>210.325407679634</v>
      </c>
      <c r="H3011" s="1">
        <v>21.815695051</v>
      </c>
      <c r="I3011" s="1">
        <v>5.3790663027</v>
      </c>
      <c r="J3011" s="1">
        <v>10.302444414</v>
      </c>
      <c r="K3011" s="1">
        <v>20.755555128</v>
      </c>
      <c r="L3011" s="1">
        <v>37.6</v>
      </c>
      <c r="M3011" s="1">
        <v>7.4</v>
      </c>
      <c r="N3011" s="1">
        <v>28.1</v>
      </c>
      <c r="O3011" s="1">
        <v>71.556952912</v>
      </c>
      <c r="P3011" s="1">
        <v>7.031087436</v>
      </c>
      <c r="Q3011" s="1">
        <v>131.483469999999</v>
      </c>
      <c r="R3011" s="1">
        <v>83.33</v>
      </c>
      <c r="S3011" s="1">
        <v>26.0</v>
      </c>
      <c r="T3011" s="1">
        <v>37083.0</v>
      </c>
      <c r="U3011" s="1">
        <v>40.045303778</v>
      </c>
      <c r="V3011" s="1">
        <v>616.48611184</v>
      </c>
      <c r="W3011" s="1">
        <v>10.708603598</v>
      </c>
      <c r="X3011" s="1">
        <v>9.0061152635</v>
      </c>
      <c r="Y3011" s="1">
        <v>73.433080769</v>
      </c>
      <c r="Z3011" s="1">
        <v>16.3</v>
      </c>
      <c r="AA3011" s="1">
        <v>7.6983643537</v>
      </c>
      <c r="AB3011" s="1">
        <v>41926.0</v>
      </c>
      <c r="AC3011" s="1">
        <v>50.776492083</v>
      </c>
      <c r="AD3011" s="1">
        <v>68.831904528</v>
      </c>
      <c r="AE3011" s="1">
        <v>10.635479855</v>
      </c>
      <c r="AF3011" s="1">
        <v>7.5564963924</v>
      </c>
      <c r="AG3011" s="1">
        <v>0.1668015117</v>
      </c>
      <c r="AH3011" s="1">
        <v>1.1326986379</v>
      </c>
      <c r="AI3011" s="1">
        <v>0.0326953129</v>
      </c>
      <c r="AJ3011" s="1">
        <v>1.1110864819</v>
      </c>
      <c r="AK3011" s="1">
        <v>87.65170071</v>
      </c>
      <c r="AL3011" s="1">
        <v>0.3370914474</v>
      </c>
      <c r="AM3011" s="1">
        <v>51.8348166289999</v>
      </c>
      <c r="AN3011" s="1">
        <v>25.188151018</v>
      </c>
      <c r="AO3011" s="1">
        <v>28030.0</v>
      </c>
      <c r="AP3011" s="1">
        <v>16.0</v>
      </c>
      <c r="AQ3011" s="1">
        <v>6.4</v>
      </c>
      <c r="AR3011" s="1">
        <v>12.0</v>
      </c>
      <c r="AS3011" s="1">
        <v>18.2</v>
      </c>
      <c r="AT3011" s="1">
        <v>20.4</v>
      </c>
      <c r="AU3011" s="1">
        <v>19.5</v>
      </c>
      <c r="AV3011" s="1">
        <v>12.1</v>
      </c>
      <c r="AW3011" s="1">
        <v>0.2</v>
      </c>
      <c r="AX3011" s="1">
        <v>0.4756</v>
      </c>
      <c r="AY3011" s="1">
        <v>16.3</v>
      </c>
      <c r="AZ3011" s="1">
        <v>13.2</v>
      </c>
      <c r="BA3011" s="1">
        <v>19.9</v>
      </c>
      <c r="BB3011" s="1">
        <v>2.84</v>
      </c>
      <c r="BC3011" s="1" t="s">
        <v>4885</v>
      </c>
      <c r="BD3011" s="1">
        <v>11.3</v>
      </c>
      <c r="BE3011" s="1">
        <v>37.1</v>
      </c>
      <c r="BF3011" s="1">
        <v>26.1</v>
      </c>
      <c r="BG3011" s="1">
        <v>25.5</v>
      </c>
      <c r="BH3011" s="1" t="s">
        <v>4911</v>
      </c>
    </row>
    <row r="3012">
      <c r="A3012" s="1">
        <v>54041.0</v>
      </c>
      <c r="B3012" s="2" t="str">
        <f>IFERROR(__xludf.DUMMYFUNCTION("TO_TEXT(A3012)"),"54041")</f>
        <v>54041</v>
      </c>
      <c r="C3012" s="1">
        <v>16422.0</v>
      </c>
      <c r="D3012" s="1">
        <v>386.901893691032</v>
      </c>
      <c r="E3012" s="1" t="s">
        <v>1126</v>
      </c>
      <c r="F3012" s="1" t="s">
        <v>4912</v>
      </c>
      <c r="G3012" s="1">
        <v>42.444868499698</v>
      </c>
      <c r="H3012" s="1">
        <v>23.378061644</v>
      </c>
      <c r="I3012" s="1">
        <v>5.3293578086</v>
      </c>
      <c r="J3012" s="1">
        <v>10.3630862329999</v>
      </c>
      <c r="K3012" s="1">
        <v>22.5681198669999</v>
      </c>
      <c r="L3012" s="1">
        <v>41.1</v>
      </c>
      <c r="M3012" s="1">
        <v>7.7</v>
      </c>
      <c r="N3012" s="1">
        <v>33.7</v>
      </c>
      <c r="O3012" s="1">
        <v>41.015147813</v>
      </c>
      <c r="P3012" s="1">
        <v>7.3406766326</v>
      </c>
      <c r="Q3012" s="1">
        <v>73.95538</v>
      </c>
      <c r="R3012" s="1">
        <v>87.91</v>
      </c>
      <c r="S3012" s="1">
        <v>25.0</v>
      </c>
      <c r="T3012" s="1">
        <v>3470.0</v>
      </c>
      <c r="U3012" s="1">
        <v>33.25648415</v>
      </c>
      <c r="V3012" s="1">
        <v>79.297303892</v>
      </c>
      <c r="W3012" s="1">
        <v>10.474006116</v>
      </c>
      <c r="X3012" s="1">
        <v>8.8803088803</v>
      </c>
      <c r="Y3012" s="1">
        <v>72.273208843</v>
      </c>
      <c r="Z3012" s="1">
        <v>15.9</v>
      </c>
      <c r="AA3012" s="1">
        <v>2.2886789535</v>
      </c>
      <c r="AB3012" s="1">
        <v>40691.0</v>
      </c>
      <c r="AC3012" s="1">
        <v>62.659451102</v>
      </c>
      <c r="AD3012" s="1">
        <v>69.879884446</v>
      </c>
      <c r="AE3012" s="1">
        <v>11.535337124</v>
      </c>
      <c r="AF3012" s="1">
        <v>0.5741387918</v>
      </c>
      <c r="AG3012" s="1">
        <v>0.2683474788</v>
      </c>
      <c r="AH3012" s="1">
        <v>0.4930104843</v>
      </c>
      <c r="AI3012" s="1">
        <v>0.006240639</v>
      </c>
      <c r="AJ3012" s="1">
        <v>1.2231652521</v>
      </c>
      <c r="AK3012" s="1">
        <v>96.3991512729999</v>
      </c>
      <c r="AL3012" s="1">
        <v>0.1709514103</v>
      </c>
      <c r="AM3012" s="1">
        <v>50.287069396</v>
      </c>
      <c r="AN3012" s="1">
        <v>68.989738578</v>
      </c>
      <c r="AO3012" s="1">
        <v>20954.0</v>
      </c>
      <c r="AP3012" s="1">
        <v>19.3</v>
      </c>
      <c r="AQ3012" s="1">
        <v>7.4</v>
      </c>
      <c r="AR3012" s="1">
        <v>12.8</v>
      </c>
      <c r="AS3012" s="1">
        <v>19.5</v>
      </c>
      <c r="AT3012" s="1">
        <v>20.6</v>
      </c>
      <c r="AU3012" s="1">
        <v>19.9</v>
      </c>
      <c r="AV3012" s="1">
        <v>3.3</v>
      </c>
      <c r="AW3012" s="1">
        <v>0.3</v>
      </c>
      <c r="AX3012" s="1">
        <v>0.6049</v>
      </c>
      <c r="AY3012" s="1">
        <v>19.5</v>
      </c>
      <c r="AZ3012" s="1">
        <v>14.8</v>
      </c>
      <c r="BA3012" s="1">
        <v>23.3</v>
      </c>
      <c r="BB3012" s="1">
        <v>2.84</v>
      </c>
      <c r="BC3012" s="1" t="s">
        <v>4885</v>
      </c>
      <c r="BD3012" s="1">
        <v>11.6</v>
      </c>
      <c r="BE3012" s="1">
        <v>51.0</v>
      </c>
      <c r="BF3012" s="1">
        <v>22.9</v>
      </c>
      <c r="BG3012" s="1">
        <v>14.5</v>
      </c>
      <c r="BH3012" s="1" t="s">
        <v>4912</v>
      </c>
    </row>
    <row r="3013">
      <c r="A3013" s="1">
        <v>54043.0</v>
      </c>
      <c r="B3013" s="2" t="str">
        <f>IFERROR(__xludf.DUMMYFUNCTION("TO_TEXT(A3013)"),"54043")</f>
        <v>54043</v>
      </c>
      <c r="C3013" s="1">
        <v>21482.0</v>
      </c>
      <c r="D3013" s="1">
        <v>437.038535307649</v>
      </c>
      <c r="E3013" s="1" t="s">
        <v>353</v>
      </c>
      <c r="F3013" s="1" t="s">
        <v>4913</v>
      </c>
      <c r="G3013" s="1">
        <v>49.1535603030472</v>
      </c>
      <c r="H3013" s="1">
        <v>25.4912372119999</v>
      </c>
      <c r="I3013" s="1">
        <v>5.644068837</v>
      </c>
      <c r="J3013" s="1">
        <v>11.028144744</v>
      </c>
      <c r="K3013" s="1">
        <v>23.5619895259999</v>
      </c>
      <c r="L3013" s="1">
        <v>40.0</v>
      </c>
      <c r="M3013" s="1">
        <v>7.8</v>
      </c>
      <c r="N3013" s="1">
        <v>32.3</v>
      </c>
      <c r="O3013" s="1">
        <v>18.112338858</v>
      </c>
      <c r="P3013" s="1">
        <v>8.0066722269</v>
      </c>
      <c r="Q3013" s="1">
        <v>43.21729</v>
      </c>
      <c r="R3013" s="1">
        <v>92.89</v>
      </c>
      <c r="S3013" s="1">
        <v>28.9</v>
      </c>
      <c r="T3013" s="1">
        <v>4736.0</v>
      </c>
      <c r="U3013" s="1">
        <v>22.740709459</v>
      </c>
      <c r="V3013" s="1">
        <v>204.509002055</v>
      </c>
      <c r="W3013" s="1">
        <v>11.738857502</v>
      </c>
      <c r="X3013" s="1">
        <v>8.707829408</v>
      </c>
      <c r="Y3013" s="1">
        <v>71.875762386</v>
      </c>
      <c r="Z3013" s="1">
        <v>19.8</v>
      </c>
      <c r="AA3013" s="1">
        <v>0.0177614604</v>
      </c>
      <c r="AB3013" s="1">
        <v>39766.0</v>
      </c>
      <c r="AC3013" s="1">
        <v>66.264020708</v>
      </c>
      <c r="AD3013" s="1">
        <v>77.281380886</v>
      </c>
      <c r="AE3013" s="1">
        <v>9.2244667326</v>
      </c>
      <c r="AF3013" s="1">
        <v>0.3398223215</v>
      </c>
      <c r="AG3013" s="1">
        <v>0.1407835332</v>
      </c>
      <c r="AH3013" s="1">
        <v>0.1844749745</v>
      </c>
      <c r="AI3013" s="1">
        <v>0.0048546046</v>
      </c>
      <c r="AJ3013" s="1">
        <v>0.7087722705</v>
      </c>
      <c r="AK3013" s="1">
        <v>97.660080586</v>
      </c>
      <c r="AL3013" s="1">
        <v>0.1713968846</v>
      </c>
      <c r="AM3013" s="1">
        <v>50.4587601339999</v>
      </c>
      <c r="AN3013" s="1">
        <v>100.0</v>
      </c>
      <c r="AO3013" s="1">
        <v>19416.0</v>
      </c>
      <c r="AP3013" s="1">
        <v>25.2</v>
      </c>
      <c r="AQ3013" s="1">
        <v>7.0</v>
      </c>
      <c r="AR3013" s="1">
        <v>20.9</v>
      </c>
      <c r="AS3013" s="1">
        <v>17.1</v>
      </c>
      <c r="AT3013" s="1">
        <v>22.5</v>
      </c>
      <c r="AU3013" s="1">
        <v>28.9</v>
      </c>
      <c r="AV3013" s="1">
        <v>1.9</v>
      </c>
      <c r="AW3013" s="1">
        <v>0.1</v>
      </c>
      <c r="AX3013" s="1">
        <v>0.532999999999999</v>
      </c>
      <c r="AY3013" s="1">
        <v>19.7</v>
      </c>
      <c r="AZ3013" s="1">
        <v>17.9</v>
      </c>
      <c r="BA3013" s="1">
        <v>27.9</v>
      </c>
      <c r="BB3013" s="1">
        <v>3.08</v>
      </c>
      <c r="BC3013" s="1" t="s">
        <v>4885</v>
      </c>
      <c r="BD3013" s="1">
        <v>19.1</v>
      </c>
      <c r="BE3013" s="1">
        <v>47.0</v>
      </c>
      <c r="BF3013" s="1">
        <v>24.9</v>
      </c>
      <c r="BG3013" s="1">
        <v>9.0</v>
      </c>
      <c r="BH3013" s="1" t="s">
        <v>4913</v>
      </c>
    </row>
    <row r="3014">
      <c r="A3014" s="1">
        <v>54045.0</v>
      </c>
      <c r="B3014" s="2" t="str">
        <f>IFERROR(__xludf.DUMMYFUNCTION("TO_TEXT(A3014)"),"54045")</f>
        <v>54045</v>
      </c>
      <c r="C3014" s="1">
        <v>35166.0</v>
      </c>
      <c r="D3014" s="1">
        <v>453.750845705355</v>
      </c>
      <c r="E3014" s="1" t="s">
        <v>357</v>
      </c>
      <c r="F3014" s="1" t="s">
        <v>4914</v>
      </c>
      <c r="G3014" s="1">
        <v>77.500681999467</v>
      </c>
      <c r="H3014" s="1">
        <v>25.5041389459999</v>
      </c>
      <c r="I3014" s="1">
        <v>5.821755892</v>
      </c>
      <c r="J3014" s="1">
        <v>10.839292435</v>
      </c>
      <c r="K3014" s="1">
        <v>24.734485315</v>
      </c>
      <c r="L3014" s="1">
        <v>41.8</v>
      </c>
      <c r="M3014" s="1">
        <v>7.5</v>
      </c>
      <c r="N3014" s="1">
        <v>37.5</v>
      </c>
      <c r="O3014" s="1">
        <v>28.5496557169999</v>
      </c>
      <c r="P3014" s="1">
        <v>7.8077728648</v>
      </c>
      <c r="Q3014" s="1">
        <v>48.59529</v>
      </c>
      <c r="R3014" s="1">
        <v>90.59</v>
      </c>
      <c r="S3014" s="1">
        <v>31.2</v>
      </c>
      <c r="T3014" s="1">
        <v>6970.0</v>
      </c>
      <c r="U3014" s="1">
        <v>32.12338594</v>
      </c>
      <c r="V3014" s="1">
        <v>557.72010306</v>
      </c>
      <c r="W3014" s="1">
        <v>11.055456172</v>
      </c>
      <c r="X3014" s="1">
        <v>9.6642335766</v>
      </c>
      <c r="Y3014" s="1">
        <v>70.084342636</v>
      </c>
      <c r="Z3014" s="1">
        <v>20.8</v>
      </c>
      <c r="AA3014" s="1">
        <v>2.2502876768</v>
      </c>
      <c r="AB3014" s="1">
        <v>34894.0</v>
      </c>
      <c r="AC3014" s="1">
        <v>56.74386921</v>
      </c>
      <c r="AD3014" s="1">
        <v>73.383783784</v>
      </c>
      <c r="AE3014" s="1">
        <v>10.926327629</v>
      </c>
      <c r="AF3014" s="1">
        <v>1.9136995124</v>
      </c>
      <c r="AG3014" s="1">
        <v>0.1349403502</v>
      </c>
      <c r="AH3014" s="1">
        <v>0.2729475266</v>
      </c>
      <c r="AI3014" s="1">
        <v>0.0030668261</v>
      </c>
      <c r="AJ3014" s="1">
        <v>1.039654062</v>
      </c>
      <c r="AK3014" s="1">
        <v>95.734044837</v>
      </c>
      <c r="AL3014" s="1">
        <v>0.0251051277</v>
      </c>
      <c r="AM3014" s="1">
        <v>50.6087649889999</v>
      </c>
      <c r="AN3014" s="1">
        <v>70.750891326</v>
      </c>
      <c r="AO3014" s="1">
        <v>20843.0</v>
      </c>
      <c r="AP3014" s="1">
        <v>20.2</v>
      </c>
      <c r="AQ3014" s="1">
        <v>12.3</v>
      </c>
      <c r="AR3014" s="1">
        <v>22.3</v>
      </c>
      <c r="AS3014" s="1">
        <v>17.1</v>
      </c>
      <c r="AT3014" s="1">
        <v>20.7</v>
      </c>
      <c r="AU3014" s="1">
        <v>29.4</v>
      </c>
      <c r="AV3014" s="1">
        <v>4.0</v>
      </c>
      <c r="AW3014" s="1">
        <v>0.2</v>
      </c>
      <c r="AX3014" s="1">
        <v>0.6447</v>
      </c>
      <c r="AY3014" s="1">
        <v>21.9</v>
      </c>
      <c r="AZ3014" s="1">
        <v>18.0</v>
      </c>
      <c r="BA3014" s="1">
        <v>26.3</v>
      </c>
      <c r="BB3014" s="1">
        <v>2.71</v>
      </c>
      <c r="BC3014" s="1" t="s">
        <v>4885</v>
      </c>
      <c r="BD3014" s="1">
        <v>20.2</v>
      </c>
      <c r="BE3014" s="1">
        <v>43.9</v>
      </c>
      <c r="BF3014" s="1">
        <v>25.9</v>
      </c>
      <c r="BG3014" s="1">
        <v>10.0</v>
      </c>
      <c r="BH3014" s="1" t="s">
        <v>4914</v>
      </c>
    </row>
    <row r="3015">
      <c r="A3015" s="1">
        <v>54047.0</v>
      </c>
      <c r="B3015" s="2" t="str">
        <f>IFERROR(__xludf.DUMMYFUNCTION("TO_TEXT(A3015)"),"54047")</f>
        <v>54047</v>
      </c>
      <c r="C3015" s="1">
        <v>20273.0</v>
      </c>
      <c r="D3015" s="1">
        <v>533.456639491942</v>
      </c>
      <c r="E3015" s="1" t="s">
        <v>3260</v>
      </c>
      <c r="F3015" s="1" t="s">
        <v>4915</v>
      </c>
      <c r="G3015" s="1">
        <v>38.0030887220895</v>
      </c>
      <c r="H3015" s="1">
        <v>32.176727494</v>
      </c>
      <c r="I3015" s="1">
        <v>6.3137530701</v>
      </c>
      <c r="J3015" s="1">
        <v>12.10592686</v>
      </c>
      <c r="K3015" s="1">
        <v>29.523068819</v>
      </c>
      <c r="L3015" s="1">
        <v>43.9</v>
      </c>
      <c r="M3015" s="1">
        <v>6.9</v>
      </c>
      <c r="N3015" s="1">
        <v>38.4</v>
      </c>
      <c r="O3015" s="1">
        <v>32.220865554</v>
      </c>
      <c r="P3015" s="1">
        <v>9.8348139922</v>
      </c>
      <c r="Q3015" s="1">
        <v>27.09146</v>
      </c>
      <c r="R3015" s="1">
        <v>83.19</v>
      </c>
      <c r="S3015" s="1">
        <v>42.5</v>
      </c>
      <c r="T3015" s="1">
        <v>3933.0</v>
      </c>
      <c r="U3015" s="1">
        <v>38.342232393</v>
      </c>
      <c r="V3015" s="1">
        <v>427.77975824</v>
      </c>
      <c r="W3015" s="1">
        <v>10.860012555</v>
      </c>
      <c r="X3015" s="1">
        <v>7.7064220183</v>
      </c>
      <c r="Y3015" s="1">
        <v>68.5871280819999</v>
      </c>
      <c r="Z3015" s="1">
        <v>19.5</v>
      </c>
      <c r="AA3015" s="1">
        <v>0.6351483886</v>
      </c>
      <c r="AB3015" s="1">
        <v>27292.0</v>
      </c>
      <c r="AC3015" s="1">
        <v>80.135658915</v>
      </c>
      <c r="AD3015" s="1">
        <v>79.367137855</v>
      </c>
      <c r="AE3015" s="1">
        <v>9.1056431413</v>
      </c>
      <c r="AF3015" s="1">
        <v>8.2368435494</v>
      </c>
      <c r="AG3015" s="1">
        <v>0.2249903968</v>
      </c>
      <c r="AH3015" s="1">
        <v>0.142676837</v>
      </c>
      <c r="AI3015" s="1">
        <v>0.0</v>
      </c>
      <c r="AJ3015" s="1">
        <v>1.421280799</v>
      </c>
      <c r="AK3015" s="1">
        <v>88.695604456</v>
      </c>
      <c r="AL3015" s="1">
        <v>0.3648222873</v>
      </c>
      <c r="AM3015" s="1">
        <v>51.067332492</v>
      </c>
      <c r="AN3015" s="1">
        <v>85.990141546</v>
      </c>
      <c r="AO3015" s="1">
        <v>14259.0</v>
      </c>
      <c r="AP3015" s="1">
        <v>37.6</v>
      </c>
      <c r="AQ3015" s="1">
        <v>12.7</v>
      </c>
      <c r="AR3015" s="1">
        <v>35.1</v>
      </c>
      <c r="AS3015" s="1">
        <v>18.3</v>
      </c>
      <c r="AT3015" s="1">
        <v>19.0</v>
      </c>
      <c r="AU3015" s="1">
        <v>31.8</v>
      </c>
      <c r="AV3015" s="1">
        <v>11.3</v>
      </c>
      <c r="AW3015" s="1">
        <v>0.6</v>
      </c>
      <c r="AX3015" s="1">
        <v>0.9389</v>
      </c>
      <c r="AY3015" s="1">
        <v>33.8</v>
      </c>
      <c r="AZ3015" s="1">
        <v>22.5</v>
      </c>
      <c r="BA3015" s="1">
        <v>34.6</v>
      </c>
      <c r="BB3015" s="1">
        <v>2.78</v>
      </c>
      <c r="BC3015" s="1" t="s">
        <v>4885</v>
      </c>
      <c r="BD3015" s="1">
        <v>31.4</v>
      </c>
      <c r="BE3015" s="1">
        <v>47.0</v>
      </c>
      <c r="BF3015" s="1">
        <v>16.2</v>
      </c>
      <c r="BG3015" s="1">
        <v>5.4</v>
      </c>
      <c r="BH3015" s="1" t="s">
        <v>4915</v>
      </c>
    </row>
    <row r="3016">
      <c r="A3016" s="1">
        <v>54049.0</v>
      </c>
      <c r="B3016" s="2" t="str">
        <f>IFERROR(__xludf.DUMMYFUNCTION("TO_TEXT(A3016)"),"54049")</f>
        <v>54049</v>
      </c>
      <c r="C3016" s="1">
        <v>56716.0</v>
      </c>
      <c r="D3016" s="1">
        <v>308.743553477022</v>
      </c>
      <c r="E3016" s="1" t="s">
        <v>152</v>
      </c>
      <c r="F3016" s="1" t="s">
        <v>4916</v>
      </c>
      <c r="G3016" s="1">
        <v>183.699382096478</v>
      </c>
      <c r="H3016" s="1">
        <v>20.074223444</v>
      </c>
      <c r="I3016" s="1">
        <v>4.9780213629</v>
      </c>
      <c r="J3016" s="1">
        <v>9.6445551279</v>
      </c>
      <c r="K3016" s="1">
        <v>23.325618607</v>
      </c>
      <c r="L3016" s="1">
        <v>34.8</v>
      </c>
      <c r="M3016" s="1">
        <v>7.8</v>
      </c>
      <c r="N3016" s="1">
        <v>26.1</v>
      </c>
      <c r="O3016" s="1">
        <v>62.9763550639999</v>
      </c>
      <c r="P3016" s="1">
        <v>6.5624578898</v>
      </c>
      <c r="Q3016" s="1">
        <v>53.25097</v>
      </c>
      <c r="R3016" s="1">
        <v>92.57</v>
      </c>
      <c r="S3016" s="1">
        <v>23.7</v>
      </c>
      <c r="T3016" s="1">
        <v>11002.0</v>
      </c>
      <c r="U3016" s="1">
        <v>32.984911834</v>
      </c>
      <c r="V3016" s="1">
        <v>296.11362996</v>
      </c>
      <c r="W3016" s="1">
        <v>10.033444816</v>
      </c>
      <c r="X3016" s="1">
        <v>8.2778909255</v>
      </c>
      <c r="Y3016" s="1">
        <v>76.108883024</v>
      </c>
      <c r="Z3016" s="1">
        <v>12.2</v>
      </c>
      <c r="AA3016" s="1">
        <v>5.2985588091</v>
      </c>
      <c r="AB3016" s="1">
        <v>46244.0</v>
      </c>
      <c r="AC3016" s="1">
        <v>52.926617993</v>
      </c>
      <c r="AD3016" s="1">
        <v>74.923720687</v>
      </c>
      <c r="AE3016" s="1">
        <v>9.3178798846</v>
      </c>
      <c r="AF3016" s="1">
        <v>3.2194234986</v>
      </c>
      <c r="AG3016" s="1">
        <v>0.2798723639</v>
      </c>
      <c r="AH3016" s="1">
        <v>0.6025277644</v>
      </c>
      <c r="AI3016" s="1">
        <v>0.0196088917</v>
      </c>
      <c r="AJ3016" s="1">
        <v>1.338752518</v>
      </c>
      <c r="AK3016" s="1">
        <v>93.0121040339999</v>
      </c>
      <c r="AL3016" s="1">
        <v>0.4887126182</v>
      </c>
      <c r="AM3016" s="1">
        <v>50.635506355</v>
      </c>
      <c r="AN3016" s="1">
        <v>41.483214577</v>
      </c>
      <c r="AO3016" s="1">
        <v>24250.0</v>
      </c>
      <c r="AP3016" s="1">
        <v>16.7</v>
      </c>
      <c r="AQ3016" s="1">
        <v>6.0</v>
      </c>
      <c r="AR3016" s="1">
        <v>11.1</v>
      </c>
      <c r="AS3016" s="1">
        <v>18.1</v>
      </c>
      <c r="AT3016" s="1">
        <v>20.1</v>
      </c>
      <c r="AU3016" s="1">
        <v>15.4</v>
      </c>
      <c r="AV3016" s="1">
        <v>7.1</v>
      </c>
      <c r="AW3016" s="1">
        <v>0.3</v>
      </c>
      <c r="AX3016" s="1">
        <v>0.3464</v>
      </c>
      <c r="AY3016" s="1">
        <v>14.6</v>
      </c>
      <c r="AZ3016" s="1">
        <v>12.5</v>
      </c>
      <c r="BA3016" s="1">
        <v>19.3</v>
      </c>
      <c r="BB3016" s="1">
        <v>2.97</v>
      </c>
      <c r="BC3016" s="1" t="s">
        <v>4885</v>
      </c>
      <c r="BD3016" s="1">
        <v>10.6</v>
      </c>
      <c r="BE3016" s="1">
        <v>40.7</v>
      </c>
      <c r="BF3016" s="1">
        <v>26.2</v>
      </c>
      <c r="BG3016" s="1">
        <v>22.6</v>
      </c>
      <c r="BH3016" s="1" t="s">
        <v>4916</v>
      </c>
    </row>
    <row r="3017">
      <c r="A3017" s="1">
        <v>54051.0</v>
      </c>
      <c r="B3017" s="2" t="str">
        <f>IFERROR(__xludf.DUMMYFUNCTION("TO_TEXT(A3017)"),"54051")</f>
        <v>54051</v>
      </c>
      <c r="C3017" s="1">
        <v>32296.0</v>
      </c>
      <c r="D3017" s="1">
        <v>305.431200635306</v>
      </c>
      <c r="E3017" s="1" t="s">
        <v>154</v>
      </c>
      <c r="F3017" s="1" t="s">
        <v>4917</v>
      </c>
      <c r="G3017" s="1">
        <v>105.739033644315</v>
      </c>
      <c r="H3017" s="1">
        <v>22.708825315</v>
      </c>
      <c r="I3017" s="1">
        <v>5.3666754155</v>
      </c>
      <c r="J3017" s="1">
        <v>8.8168113294</v>
      </c>
      <c r="K3017" s="1">
        <v>21.56467789</v>
      </c>
      <c r="L3017" s="1">
        <v>41.1</v>
      </c>
      <c r="M3017" s="1">
        <v>7.5</v>
      </c>
      <c r="N3017" s="1">
        <v>30.0</v>
      </c>
      <c r="O3017" s="1">
        <v>61.7452502489999</v>
      </c>
      <c r="P3017" s="1">
        <v>7.48574045549999</v>
      </c>
      <c r="Q3017" s="1">
        <v>41.68003</v>
      </c>
      <c r="R3017" s="1">
        <v>91.19</v>
      </c>
      <c r="S3017" s="1">
        <v>19.3</v>
      </c>
      <c r="T3017" s="1">
        <v>6105.0</v>
      </c>
      <c r="U3017" s="1">
        <v>26.699426699</v>
      </c>
      <c r="V3017" s="1">
        <v>241.1361671</v>
      </c>
      <c r="W3017" s="1">
        <v>8.793686584</v>
      </c>
      <c r="X3017" s="1">
        <v>7.7946768061</v>
      </c>
      <c r="Y3017" s="1">
        <v>77.335285932</v>
      </c>
      <c r="Z3017" s="1">
        <v>15.6</v>
      </c>
      <c r="AA3017" s="1">
        <v>9.0588161175</v>
      </c>
      <c r="AB3017" s="1">
        <v>50064.0</v>
      </c>
      <c r="AC3017" s="1">
        <v>55.598126862</v>
      </c>
      <c r="AD3017" s="1">
        <v>80.264879006</v>
      </c>
      <c r="AE3017" s="1">
        <v>7.4596603869</v>
      </c>
      <c r="AF3017" s="1">
        <v>0.7016404093</v>
      </c>
      <c r="AG3017" s="1">
        <v>0.2598668183</v>
      </c>
      <c r="AH3017" s="1">
        <v>0.3475718694</v>
      </c>
      <c r="AI3017" s="1">
        <v>0.0064966705</v>
      </c>
      <c r="AJ3017" s="1">
        <v>1.0037355855</v>
      </c>
      <c r="AK3017" s="1">
        <v>96.6347247039999</v>
      </c>
      <c r="AL3017" s="1">
        <v>0.0898592206</v>
      </c>
      <c r="AM3017" s="1">
        <v>50.423907747</v>
      </c>
      <c r="AN3017" s="1">
        <v>48.992660163</v>
      </c>
      <c r="AO3017" s="1">
        <v>23166.0</v>
      </c>
      <c r="AP3017" s="1">
        <v>14.6</v>
      </c>
      <c r="AQ3017" s="1">
        <v>6.0</v>
      </c>
      <c r="AR3017" s="1">
        <v>10.8</v>
      </c>
      <c r="AS3017" s="1">
        <v>19.3</v>
      </c>
      <c r="AT3017" s="1">
        <v>20.3</v>
      </c>
      <c r="AU3017" s="1">
        <v>14.7</v>
      </c>
      <c r="AV3017" s="1">
        <v>3.1</v>
      </c>
      <c r="AW3017" s="1">
        <v>0.2</v>
      </c>
      <c r="AX3017" s="1">
        <v>0.1882</v>
      </c>
      <c r="AY3017" s="1">
        <v>13.7</v>
      </c>
      <c r="AZ3017" s="1">
        <v>12.4</v>
      </c>
      <c r="BA3017" s="1">
        <v>18.9</v>
      </c>
      <c r="BB3017" s="1">
        <v>2.91</v>
      </c>
      <c r="BC3017" s="1" t="s">
        <v>4885</v>
      </c>
      <c r="BD3017" s="1">
        <v>7.7</v>
      </c>
      <c r="BE3017" s="1">
        <v>44.5</v>
      </c>
      <c r="BF3017" s="1">
        <v>29.7</v>
      </c>
      <c r="BG3017" s="1">
        <v>18.0</v>
      </c>
      <c r="BH3017" s="1" t="s">
        <v>4917</v>
      </c>
    </row>
    <row r="3018">
      <c r="A3018" s="1">
        <v>54053.0</v>
      </c>
      <c r="B3018" s="2" t="str">
        <f>IFERROR(__xludf.DUMMYFUNCTION("TO_TEXT(A3018)"),"54053")</f>
        <v>54053</v>
      </c>
      <c r="C3018" s="1">
        <v>27060.0</v>
      </c>
      <c r="D3018" s="1">
        <v>430.748240288458</v>
      </c>
      <c r="E3018" s="1" t="s">
        <v>1246</v>
      </c>
      <c r="F3018" s="1" t="s">
        <v>4918</v>
      </c>
      <c r="G3018" s="1">
        <v>62.8209182743934</v>
      </c>
      <c r="H3018" s="1">
        <v>25.4127696909999</v>
      </c>
      <c r="I3018" s="1">
        <v>5.48027807429999</v>
      </c>
      <c r="J3018" s="1">
        <v>9.4913476665</v>
      </c>
      <c r="K3018" s="1">
        <v>23.539484402</v>
      </c>
      <c r="L3018" s="1">
        <v>40.5</v>
      </c>
      <c r="M3018" s="1">
        <v>7.3</v>
      </c>
      <c r="N3018" s="1">
        <v>34.3</v>
      </c>
      <c r="O3018" s="1">
        <v>39.840433319</v>
      </c>
      <c r="P3018" s="1">
        <v>7.0543835882</v>
      </c>
      <c r="Q3018" s="1">
        <v>52.23686</v>
      </c>
      <c r="R3018" s="1">
        <v>91.25</v>
      </c>
      <c r="S3018" s="1">
        <v>23.9</v>
      </c>
      <c r="T3018" s="1">
        <v>5585.0</v>
      </c>
      <c r="U3018" s="1">
        <v>28.773500448</v>
      </c>
      <c r="V3018" s="1">
        <v>120.3713149</v>
      </c>
      <c r="W3018" s="1">
        <v>11.6972477059999</v>
      </c>
      <c r="X3018" s="1">
        <v>9.5660289314</v>
      </c>
      <c r="Y3018" s="1">
        <v>73.927651648</v>
      </c>
      <c r="Z3018" s="1">
        <v>17.5</v>
      </c>
      <c r="AA3018" s="1">
        <v>8.4842542516</v>
      </c>
      <c r="AB3018" s="1">
        <v>43050.0</v>
      </c>
      <c r="AC3018" s="1">
        <v>55.1906017739999</v>
      </c>
      <c r="AD3018" s="1">
        <v>80.071896027</v>
      </c>
      <c r="AE3018" s="1">
        <v>8.4858234466</v>
      </c>
      <c r="AF3018" s="1">
        <v>0.868328467699999</v>
      </c>
      <c r="AG3018" s="1">
        <v>0.187139756</v>
      </c>
      <c r="AH3018" s="1">
        <v>0.280709634</v>
      </c>
      <c r="AI3018" s="1">
        <v>0.0486563366</v>
      </c>
      <c r="AJ3018" s="1">
        <v>0.752301819</v>
      </c>
      <c r="AK3018" s="1">
        <v>96.638969983</v>
      </c>
      <c r="AL3018" s="1">
        <v>0.1216210915</v>
      </c>
      <c r="AM3018" s="1">
        <v>51.624373082</v>
      </c>
      <c r="AN3018" s="1">
        <v>65.008783487</v>
      </c>
      <c r="AO3018" s="1">
        <v>20253.0</v>
      </c>
      <c r="AP3018" s="1">
        <v>18.9</v>
      </c>
      <c r="AQ3018" s="1">
        <v>10.2</v>
      </c>
      <c r="AR3018" s="1">
        <v>15.3</v>
      </c>
      <c r="AS3018" s="1">
        <v>18.9</v>
      </c>
      <c r="AT3018" s="1">
        <v>21.0</v>
      </c>
      <c r="AU3018" s="1">
        <v>21.1</v>
      </c>
      <c r="AV3018" s="1">
        <v>3.2</v>
      </c>
      <c r="AW3018" s="1">
        <v>0.2</v>
      </c>
      <c r="AX3018" s="1">
        <v>0.6106</v>
      </c>
      <c r="AY3018" s="1">
        <v>15.5</v>
      </c>
      <c r="AZ3018" s="1">
        <v>14.1</v>
      </c>
      <c r="BA3018" s="1">
        <v>22.7</v>
      </c>
      <c r="BB3018" s="1">
        <v>2.78</v>
      </c>
      <c r="BC3018" s="1" t="s">
        <v>4885</v>
      </c>
      <c r="BD3018" s="1">
        <v>14.0</v>
      </c>
      <c r="BE3018" s="1">
        <v>45.5</v>
      </c>
      <c r="BF3018" s="1">
        <v>26.1</v>
      </c>
      <c r="BG3018" s="1">
        <v>14.4</v>
      </c>
      <c r="BH3018" s="1" t="s">
        <v>4918</v>
      </c>
    </row>
    <row r="3019">
      <c r="A3019" s="1">
        <v>54055.0</v>
      </c>
      <c r="B3019" s="2" t="str">
        <f>IFERROR(__xludf.DUMMYFUNCTION("TO_TEXT(A3019)"),"54055")</f>
        <v>54055</v>
      </c>
      <c r="C3019" s="1">
        <v>61476.0</v>
      </c>
      <c r="D3019" s="1">
        <v>418.965540457828</v>
      </c>
      <c r="E3019" s="1" t="s">
        <v>1252</v>
      </c>
      <c r="F3019" s="1" t="s">
        <v>4919</v>
      </c>
      <c r="G3019" s="1">
        <v>146.732831375157</v>
      </c>
      <c r="H3019" s="1">
        <v>25.282589787</v>
      </c>
      <c r="I3019" s="1">
        <v>5.6232342136</v>
      </c>
      <c r="J3019" s="1">
        <v>11.4416932909999</v>
      </c>
      <c r="K3019" s="1">
        <v>25.151661198</v>
      </c>
      <c r="L3019" s="1">
        <v>38.5</v>
      </c>
      <c r="M3019" s="1">
        <v>7.1</v>
      </c>
      <c r="N3019" s="1">
        <v>31.7</v>
      </c>
      <c r="O3019" s="1">
        <v>59.951175639</v>
      </c>
      <c r="P3019" s="1">
        <v>7.70875141789999</v>
      </c>
      <c r="Q3019" s="1">
        <v>66.94225</v>
      </c>
      <c r="R3019" s="1">
        <v>89.45</v>
      </c>
      <c r="S3019" s="1">
        <v>34.9</v>
      </c>
      <c r="T3019" s="1">
        <v>12250.0</v>
      </c>
      <c r="U3019" s="1">
        <v>42.620408163</v>
      </c>
      <c r="V3019" s="1">
        <v>460.62658764</v>
      </c>
      <c r="W3019" s="1">
        <v>12.031125299</v>
      </c>
      <c r="X3019" s="1">
        <v>11.284644952</v>
      </c>
      <c r="Y3019" s="1">
        <v>72.749339354</v>
      </c>
      <c r="Z3019" s="1">
        <v>13.0</v>
      </c>
      <c r="AA3019" s="1">
        <v>8.5093214253</v>
      </c>
      <c r="AB3019" s="1">
        <v>37860.0</v>
      </c>
      <c r="AC3019" s="1">
        <v>65.981659485</v>
      </c>
      <c r="AD3019" s="1">
        <v>71.0393055219999</v>
      </c>
      <c r="AE3019" s="1">
        <v>10.863403697</v>
      </c>
      <c r="AF3019" s="1">
        <v>5.9190610678</v>
      </c>
      <c r="AG3019" s="1">
        <v>0.2435270839</v>
      </c>
      <c r="AH3019" s="1">
        <v>0.6037442289</v>
      </c>
      <c r="AI3019" s="1">
        <v>0.0084558015</v>
      </c>
      <c r="AJ3019" s="1">
        <v>1.2108707784</v>
      </c>
      <c r="AK3019" s="1">
        <v>90.3756067039999</v>
      </c>
      <c r="AL3019" s="1">
        <v>0.6282134522</v>
      </c>
      <c r="AM3019" s="1">
        <v>51.9795031369999</v>
      </c>
      <c r="AN3019" s="1">
        <v>40.731401773</v>
      </c>
      <c r="AO3019" s="1">
        <v>21190.0</v>
      </c>
      <c r="AP3019" s="1">
        <v>21.1</v>
      </c>
      <c r="AQ3019" s="1">
        <v>6.2</v>
      </c>
      <c r="AR3019" s="1">
        <v>17.0</v>
      </c>
      <c r="AS3019" s="1">
        <v>19.5</v>
      </c>
      <c r="AT3019" s="1">
        <v>20.6</v>
      </c>
      <c r="AU3019" s="1">
        <v>25.7</v>
      </c>
      <c r="AV3019" s="1">
        <v>9.6</v>
      </c>
      <c r="AW3019" s="1">
        <v>0.7</v>
      </c>
      <c r="AX3019" s="1">
        <v>0.7631</v>
      </c>
      <c r="AY3019" s="1">
        <v>18.7</v>
      </c>
      <c r="AZ3019" s="1">
        <v>16.3</v>
      </c>
      <c r="BA3019" s="1">
        <v>24.5</v>
      </c>
      <c r="BB3019" s="1">
        <v>2.83</v>
      </c>
      <c r="BC3019" s="1" t="s">
        <v>4885</v>
      </c>
      <c r="BD3019" s="1">
        <v>16.5</v>
      </c>
      <c r="BE3019" s="1">
        <v>39.5</v>
      </c>
      <c r="BF3019" s="1">
        <v>24.6</v>
      </c>
      <c r="BG3019" s="1">
        <v>19.4</v>
      </c>
      <c r="BH3019" s="1" t="s">
        <v>4919</v>
      </c>
    </row>
    <row r="3020">
      <c r="A3020" s="1">
        <v>54057.0</v>
      </c>
      <c r="B3020" s="2" t="str">
        <f>IFERROR(__xludf.DUMMYFUNCTION("TO_TEXT(A3020)"),"54057")</f>
        <v>54057</v>
      </c>
      <c r="C3020" s="1">
        <v>27606.0</v>
      </c>
      <c r="D3020" s="1">
        <v>327.867415267712</v>
      </c>
      <c r="E3020" s="1" t="s">
        <v>608</v>
      </c>
      <c r="F3020" s="1" t="s">
        <v>4920</v>
      </c>
      <c r="G3020" s="1">
        <v>84.1986690792649</v>
      </c>
      <c r="H3020" s="1">
        <v>20.320968863</v>
      </c>
      <c r="I3020" s="1">
        <v>5.1513893109</v>
      </c>
      <c r="J3020" s="1">
        <v>8.1549439348</v>
      </c>
      <c r="K3020" s="1">
        <v>21.169329249</v>
      </c>
      <c r="L3020" s="1">
        <v>35.1</v>
      </c>
      <c r="M3020" s="1">
        <v>7.7</v>
      </c>
      <c r="N3020" s="1">
        <v>24.7</v>
      </c>
      <c r="O3020" s="1">
        <v>60.952786048</v>
      </c>
      <c r="P3020" s="1">
        <v>7.01298701299999</v>
      </c>
      <c r="Q3020" s="1">
        <v>33.06149</v>
      </c>
      <c r="R3020" s="1">
        <v>96.87</v>
      </c>
      <c r="S3020" s="1">
        <v>20.2</v>
      </c>
      <c r="T3020" s="1">
        <v>5472.0</v>
      </c>
      <c r="U3020" s="1">
        <v>39.875730994</v>
      </c>
      <c r="V3020" s="1">
        <v>241.97922316</v>
      </c>
      <c r="W3020" s="1">
        <v>9.0788308237</v>
      </c>
      <c r="X3020" s="1">
        <v>7.8983204721</v>
      </c>
      <c r="Y3020" s="1">
        <v>76.36089192</v>
      </c>
      <c r="Z3020" s="1">
        <v>13.9</v>
      </c>
      <c r="AA3020" s="1">
        <v>5.0081553921</v>
      </c>
      <c r="AB3020" s="1">
        <v>48578.0</v>
      </c>
      <c r="AC3020" s="1">
        <v>53.469879518</v>
      </c>
      <c r="AD3020" s="1">
        <v>71.96888412</v>
      </c>
      <c r="AE3020" s="1">
        <v>5.6259062349</v>
      </c>
      <c r="AF3020" s="1">
        <v>2.8841870824</v>
      </c>
      <c r="AG3020" s="1">
        <v>0.2264291017</v>
      </c>
      <c r="AH3020" s="1">
        <v>0.6681514477</v>
      </c>
      <c r="AI3020" s="1">
        <v>0.007423905</v>
      </c>
      <c r="AJ3020" s="1">
        <v>0.9836674091</v>
      </c>
      <c r="AK3020" s="1">
        <v>93.7453600589999</v>
      </c>
      <c r="AL3020" s="1">
        <v>1.2325644295</v>
      </c>
      <c r="AM3020" s="1">
        <v>50.248700817</v>
      </c>
      <c r="AN3020" s="1">
        <v>64.593080958</v>
      </c>
      <c r="AO3020" s="1">
        <v>20093.0</v>
      </c>
      <c r="AP3020" s="1">
        <v>16.4</v>
      </c>
      <c r="AQ3020" s="1">
        <v>7.8</v>
      </c>
      <c r="AR3020" s="1">
        <v>11.3</v>
      </c>
      <c r="AS3020" s="1">
        <v>19.6</v>
      </c>
      <c r="AT3020" s="1">
        <v>20.5</v>
      </c>
      <c r="AU3020" s="1">
        <v>22.4</v>
      </c>
      <c r="AV3020" s="1">
        <v>5.8</v>
      </c>
      <c r="AW3020" s="1">
        <v>0.5</v>
      </c>
      <c r="AX3020" s="1">
        <v>0.6246</v>
      </c>
      <c r="AY3020" s="1">
        <v>12.5</v>
      </c>
      <c r="AZ3020" s="1">
        <v>13.0</v>
      </c>
      <c r="BA3020" s="1">
        <v>18.9</v>
      </c>
      <c r="BB3020" s="1">
        <v>3.0</v>
      </c>
      <c r="BC3020" s="1" t="s">
        <v>4885</v>
      </c>
      <c r="BD3020" s="1">
        <v>7.8</v>
      </c>
      <c r="BE3020" s="1">
        <v>49.2</v>
      </c>
      <c r="BF3020" s="1">
        <v>27.5</v>
      </c>
      <c r="BG3020" s="1">
        <v>15.5</v>
      </c>
      <c r="BH3020" s="1" t="s">
        <v>4920</v>
      </c>
    </row>
    <row r="3021">
      <c r="A3021" s="1">
        <v>54059.0</v>
      </c>
      <c r="B3021" s="2" t="str">
        <f>IFERROR(__xludf.DUMMYFUNCTION("TO_TEXT(A3021)"),"54059")</f>
        <v>54059</v>
      </c>
      <c r="C3021" s="1">
        <v>25549.0</v>
      </c>
      <c r="D3021" s="1">
        <v>423.134734332862</v>
      </c>
      <c r="E3021" s="1" t="s">
        <v>4921</v>
      </c>
      <c r="F3021" s="1" t="s">
        <v>4922</v>
      </c>
      <c r="G3021" s="1">
        <v>60.3802948020374</v>
      </c>
      <c r="H3021" s="1">
        <v>28.4304780419999</v>
      </c>
      <c r="I3021" s="1">
        <v>6.0741180705</v>
      </c>
      <c r="J3021" s="1">
        <v>11.764705882</v>
      </c>
      <c r="K3021" s="1">
        <v>29.577603295</v>
      </c>
      <c r="L3021" s="1">
        <v>36.8</v>
      </c>
      <c r="M3021" s="1">
        <v>7.1</v>
      </c>
      <c r="N3021" s="1">
        <v>41.4</v>
      </c>
      <c r="O3021" s="1">
        <v>52.557844927</v>
      </c>
      <c r="P3021" s="1">
        <v>8.6983248809</v>
      </c>
      <c r="Q3021" s="1">
        <v>20.72367</v>
      </c>
      <c r="R3021" s="1">
        <v>93.51</v>
      </c>
      <c r="S3021" s="1">
        <v>36.5</v>
      </c>
      <c r="T3021" s="1">
        <v>5497.0</v>
      </c>
      <c r="U3021" s="1">
        <v>32.3267236669999</v>
      </c>
      <c r="V3021" s="1">
        <v>281.73222632</v>
      </c>
      <c r="W3021" s="1">
        <v>9.9032703823</v>
      </c>
      <c r="X3021" s="1">
        <v>8.3870967742</v>
      </c>
      <c r="Y3021" s="1">
        <v>71.036469394</v>
      </c>
      <c r="Z3021" s="1">
        <v>19.5</v>
      </c>
      <c r="AA3021" s="1">
        <v>2.3895022247</v>
      </c>
      <c r="AB3021" s="1">
        <v>32917.0</v>
      </c>
      <c r="AC3021" s="1">
        <v>68.868799258</v>
      </c>
      <c r="AD3021" s="1">
        <v>73.988117341</v>
      </c>
      <c r="AE3021" s="1">
        <v>10.7405140759999</v>
      </c>
      <c r="AF3021" s="1">
        <v>1.8793357158</v>
      </c>
      <c r="AG3021" s="1">
        <v>0.1261299138</v>
      </c>
      <c r="AH3021" s="1">
        <v>0.2774858104</v>
      </c>
      <c r="AI3021" s="1">
        <v>0.0126129914</v>
      </c>
      <c r="AJ3021" s="1">
        <v>0.8324574312</v>
      </c>
      <c r="AK3021" s="1">
        <v>95.715787261</v>
      </c>
      <c r="AL3021" s="1">
        <v>0.0688853488999999</v>
      </c>
      <c r="AM3021" s="1">
        <v>50.708429683</v>
      </c>
      <c r="AN3021" s="1">
        <v>89.738812921</v>
      </c>
      <c r="AO3021" s="1">
        <v>19502.0</v>
      </c>
      <c r="AP3021" s="1">
        <v>26.0</v>
      </c>
      <c r="AQ3021" s="1">
        <v>15.8</v>
      </c>
      <c r="AR3021" s="1">
        <v>26.1</v>
      </c>
      <c r="AS3021" s="1">
        <v>15.8</v>
      </c>
      <c r="AT3021" s="1">
        <v>22.3</v>
      </c>
      <c r="AU3021" s="1">
        <v>31.2</v>
      </c>
      <c r="AV3021" s="1">
        <v>4.0</v>
      </c>
      <c r="AW3021" s="1">
        <v>0.1</v>
      </c>
      <c r="AX3021" s="1">
        <v>0.7128</v>
      </c>
      <c r="AY3021" s="1">
        <v>27.3</v>
      </c>
      <c r="AZ3021" s="1">
        <v>20.2</v>
      </c>
      <c r="BA3021" s="1">
        <v>30.9</v>
      </c>
      <c r="BB3021" s="1">
        <v>3.13</v>
      </c>
      <c r="BC3021" s="1" t="s">
        <v>4885</v>
      </c>
      <c r="BD3021" s="1">
        <v>24.5</v>
      </c>
      <c r="BE3021" s="1">
        <v>42.6</v>
      </c>
      <c r="BF3021" s="1">
        <v>23.0</v>
      </c>
      <c r="BG3021" s="1">
        <v>9.9</v>
      </c>
      <c r="BH3021" s="1" t="s">
        <v>4922</v>
      </c>
    </row>
    <row r="3022">
      <c r="A3022" s="1">
        <v>54061.0</v>
      </c>
      <c r="B3022" s="2" t="str">
        <f>IFERROR(__xludf.DUMMYFUNCTION("TO_TEXT(A3022)"),"54061")</f>
        <v>54061</v>
      </c>
      <c r="C3022" s="1">
        <v>102827.0</v>
      </c>
      <c r="D3022" s="1">
        <v>360.068104306184</v>
      </c>
      <c r="E3022" s="1" t="s">
        <v>4923</v>
      </c>
      <c r="F3022" s="1" t="s">
        <v>4924</v>
      </c>
      <c r="G3022" s="1">
        <v>285.576530579229</v>
      </c>
      <c r="H3022" s="1">
        <v>19.245414865</v>
      </c>
      <c r="I3022" s="1">
        <v>4.6656921188</v>
      </c>
      <c r="J3022" s="1">
        <v>7.9648340113</v>
      </c>
      <c r="K3022" s="1">
        <v>20.209792371</v>
      </c>
      <c r="L3022" s="1">
        <v>29.8</v>
      </c>
      <c r="M3022" s="1">
        <v>7.3</v>
      </c>
      <c r="N3022" s="1">
        <v>21.2</v>
      </c>
      <c r="O3022" s="1">
        <v>81.711006456</v>
      </c>
      <c r="P3022" s="1">
        <v>7.1675162187</v>
      </c>
      <c r="Q3022" s="1">
        <v>132.343139999999</v>
      </c>
      <c r="R3022" s="1">
        <v>89.78</v>
      </c>
      <c r="S3022" s="1">
        <v>13.9</v>
      </c>
      <c r="T3022" s="1">
        <v>16827.0</v>
      </c>
      <c r="U3022" s="1">
        <v>27.134961669</v>
      </c>
      <c r="V3022" s="1">
        <v>249.92481515</v>
      </c>
      <c r="W3022" s="1">
        <v>18.231094659</v>
      </c>
      <c r="X3022" s="1">
        <v>16.3621376559999</v>
      </c>
      <c r="Y3022" s="1">
        <v>79.015369023</v>
      </c>
      <c r="Z3022" s="1">
        <v>9.2</v>
      </c>
      <c r="AA3022" s="1">
        <v>7.0978715661</v>
      </c>
      <c r="AB3022" s="1">
        <v>51070.0</v>
      </c>
      <c r="AC3022" s="1">
        <v>40.559618983</v>
      </c>
      <c r="AD3022" s="1">
        <v>56.238418777</v>
      </c>
      <c r="AE3022" s="1">
        <v>16.531873758</v>
      </c>
      <c r="AF3022" s="1">
        <v>3.8592369855</v>
      </c>
      <c r="AG3022" s="1">
        <v>0.1879345988</v>
      </c>
      <c r="AH3022" s="1">
        <v>3.629017102</v>
      </c>
      <c r="AI3022" s="1">
        <v>0.0535613606</v>
      </c>
      <c r="AJ3022" s="1">
        <v>2.0860740462</v>
      </c>
      <c r="AK3022" s="1">
        <v>88.075549709</v>
      </c>
      <c r="AL3022" s="1">
        <v>0.3732127313</v>
      </c>
      <c r="AM3022" s="1">
        <v>48.376245067</v>
      </c>
      <c r="AN3022" s="1">
        <v>26.862738983</v>
      </c>
      <c r="AO3022" s="1">
        <v>28041.0</v>
      </c>
      <c r="AP3022" s="1">
        <v>22.2</v>
      </c>
      <c r="AQ3022" s="1">
        <v>6.1</v>
      </c>
      <c r="AR3022" s="1">
        <v>8.4</v>
      </c>
      <c r="AS3022" s="1">
        <v>10.9</v>
      </c>
      <c r="AT3022" s="1">
        <v>16.2</v>
      </c>
      <c r="AU3022" s="1">
        <v>10.9</v>
      </c>
      <c r="AV3022" s="1">
        <v>11.4</v>
      </c>
      <c r="AW3022" s="1">
        <v>0.5</v>
      </c>
      <c r="AX3022" s="1">
        <v>0.3556</v>
      </c>
      <c r="AY3022" s="1">
        <v>19.1</v>
      </c>
      <c r="AZ3022" s="1">
        <v>11.2</v>
      </c>
      <c r="BA3022" s="1">
        <v>13.4</v>
      </c>
      <c r="BB3022" s="1">
        <v>2.94</v>
      </c>
      <c r="BC3022" s="1" t="s">
        <v>4885</v>
      </c>
      <c r="BD3022" s="1">
        <v>7.6</v>
      </c>
      <c r="BE3022" s="1">
        <v>27.2</v>
      </c>
      <c r="BF3022" s="1">
        <v>22.3</v>
      </c>
      <c r="BG3022" s="1">
        <v>42.8</v>
      </c>
      <c r="BH3022" s="1" t="s">
        <v>4924</v>
      </c>
    </row>
    <row r="3023">
      <c r="A3023" s="1">
        <v>54063.0</v>
      </c>
      <c r="B3023" s="2" t="str">
        <f>IFERROR(__xludf.DUMMYFUNCTION("TO_TEXT(A3023)"),"54063")</f>
        <v>54063</v>
      </c>
      <c r="C3023" s="1">
        <v>13496.0</v>
      </c>
      <c r="D3023" s="1">
        <v>472.75190466613</v>
      </c>
      <c r="E3023" s="1" t="s">
        <v>158</v>
      </c>
      <c r="F3023" s="1" t="s">
        <v>4925</v>
      </c>
      <c r="G3023" s="1">
        <v>28.5477432598209</v>
      </c>
      <c r="H3023" s="1">
        <v>22.754025311</v>
      </c>
      <c r="I3023" s="1">
        <v>5.456159595</v>
      </c>
      <c r="J3023" s="1">
        <v>7.0469798658</v>
      </c>
      <c r="K3023" s="1">
        <v>22.5643692419999</v>
      </c>
      <c r="L3023" s="1">
        <v>31.0</v>
      </c>
      <c r="M3023" s="1">
        <v>7.9</v>
      </c>
      <c r="N3023" s="1">
        <v>27.4</v>
      </c>
      <c r="O3023" s="1">
        <v>38.720189602</v>
      </c>
      <c r="P3023" s="1">
        <v>9.0591290451</v>
      </c>
      <c r="Q3023" s="1">
        <v>37.30786</v>
      </c>
      <c r="R3023" s="1">
        <v>97.1</v>
      </c>
      <c r="S3023" s="1">
        <v>22.4</v>
      </c>
      <c r="T3023" s="1">
        <v>2618.0</v>
      </c>
      <c r="U3023" s="1">
        <v>28.571428571</v>
      </c>
      <c r="V3023" s="1">
        <v>107.91902352</v>
      </c>
      <c r="W3023" s="1">
        <v>11.045531197</v>
      </c>
      <c r="X3023" s="1">
        <v>7.3145780051</v>
      </c>
      <c r="Y3023" s="1">
        <v>77.111596731</v>
      </c>
      <c r="Z3023" s="1">
        <v>18.7</v>
      </c>
      <c r="AA3023" s="1">
        <v>5.4477516712</v>
      </c>
      <c r="AB3023" s="1">
        <v>38171.0</v>
      </c>
      <c r="AC3023" s="1">
        <v>57.705099778</v>
      </c>
      <c r="AD3023" s="1">
        <v>79.9442896939999</v>
      </c>
      <c r="AE3023" s="1">
        <v>7.8148148148</v>
      </c>
      <c r="AF3023" s="1">
        <v>0.7605421687</v>
      </c>
      <c r="AG3023" s="1">
        <v>0.3463855422</v>
      </c>
      <c r="AH3023" s="1">
        <v>0.1656626506</v>
      </c>
      <c r="AI3023" s="1">
        <v>0.0301204819</v>
      </c>
      <c r="AJ3023" s="1">
        <v>0.9337349398</v>
      </c>
      <c r="AK3023" s="1">
        <v>96.280120482</v>
      </c>
      <c r="AL3023" s="1">
        <v>0.4357637538</v>
      </c>
      <c r="AM3023" s="1">
        <v>50.015060241</v>
      </c>
      <c r="AN3023" s="1">
        <v>88.520219227</v>
      </c>
      <c r="AO3023" s="1">
        <v>21257.0</v>
      </c>
      <c r="AP3023" s="1">
        <v>17.1</v>
      </c>
      <c r="AQ3023" s="1">
        <v>9.1</v>
      </c>
      <c r="AR3023" s="1">
        <v>18.6</v>
      </c>
      <c r="AS3023" s="1">
        <v>23.5</v>
      </c>
      <c r="AT3023" s="1">
        <v>20.0</v>
      </c>
      <c r="AU3023" s="1">
        <v>26.6</v>
      </c>
      <c r="AV3023" s="1">
        <v>3.5</v>
      </c>
      <c r="AW3023" s="1">
        <v>0.0</v>
      </c>
      <c r="AX3023" s="1">
        <v>0.4381</v>
      </c>
      <c r="AY3023" s="1">
        <v>15.7</v>
      </c>
      <c r="AZ3023" s="1">
        <v>13.9</v>
      </c>
      <c r="BA3023" s="1">
        <v>22.1</v>
      </c>
      <c r="BB3023" s="1">
        <v>2.97</v>
      </c>
      <c r="BC3023" s="1" t="s">
        <v>4885</v>
      </c>
      <c r="BD3023" s="1">
        <v>15.5</v>
      </c>
      <c r="BE3023" s="1">
        <v>49.4</v>
      </c>
      <c r="BF3023" s="1">
        <v>19.8</v>
      </c>
      <c r="BG3023" s="1">
        <v>15.3</v>
      </c>
      <c r="BH3023" s="1" t="s">
        <v>4925</v>
      </c>
    </row>
    <row r="3024">
      <c r="A3024" s="1">
        <v>54065.0</v>
      </c>
      <c r="B3024" s="2" t="str">
        <f>IFERROR(__xludf.DUMMYFUNCTION("TO_TEXT(A3024)"),"54065")</f>
        <v>54065</v>
      </c>
      <c r="C3024" s="1">
        <v>17514.0</v>
      </c>
      <c r="D3024" s="1">
        <v>229.072569874552</v>
      </c>
      <c r="E3024" s="1" t="s">
        <v>162</v>
      </c>
      <c r="F3024" s="1" t="s">
        <v>4926</v>
      </c>
      <c r="G3024" s="1">
        <v>76.4561204756696</v>
      </c>
      <c r="H3024" s="1">
        <v>20.8908277259999</v>
      </c>
      <c r="I3024" s="1">
        <v>4.9963233154</v>
      </c>
      <c r="J3024" s="1">
        <v>9.403437816</v>
      </c>
      <c r="K3024" s="1">
        <v>20.756475961</v>
      </c>
      <c r="L3024" s="1">
        <v>40.5</v>
      </c>
      <c r="M3024" s="1">
        <v>8.1</v>
      </c>
      <c r="N3024" s="1">
        <v>25.8</v>
      </c>
      <c r="O3024" s="1">
        <v>68.3598426539999</v>
      </c>
      <c r="P3024" s="1">
        <v>8.8458422332</v>
      </c>
      <c r="Q3024" s="1">
        <v>56.5419</v>
      </c>
      <c r="R3024" s="1">
        <v>93.65</v>
      </c>
      <c r="S3024" s="1">
        <v>18.6</v>
      </c>
      <c r="T3024" s="1">
        <v>3255.0</v>
      </c>
      <c r="U3024" s="1">
        <v>15.422427035</v>
      </c>
      <c r="V3024" s="1">
        <v>407.08885556</v>
      </c>
      <c r="W3024" s="1">
        <v>14.642609299</v>
      </c>
      <c r="X3024" s="1">
        <v>12.205567452</v>
      </c>
      <c r="Y3024" s="1">
        <v>74.559817462</v>
      </c>
      <c r="Z3024" s="1">
        <v>16.4</v>
      </c>
      <c r="AA3024" s="1">
        <v>7.4372706485</v>
      </c>
      <c r="AB3024" s="1">
        <v>49487.0</v>
      </c>
      <c r="AC3024" s="1">
        <v>58.848433531</v>
      </c>
      <c r="AD3024" s="1">
        <v>82.221602009</v>
      </c>
      <c r="AE3024" s="1">
        <v>10.13024602</v>
      </c>
      <c r="AF3024" s="1">
        <v>0.8545566987</v>
      </c>
      <c r="AG3024" s="1">
        <v>0.3373250126</v>
      </c>
      <c r="AH3024" s="1">
        <v>0.3879237645</v>
      </c>
      <c r="AI3024" s="1">
        <v>0.0449766684</v>
      </c>
      <c r="AJ3024" s="1">
        <v>1.6416483949</v>
      </c>
      <c r="AK3024" s="1">
        <v>95.254961489</v>
      </c>
      <c r="AL3024" s="1">
        <v>0.2072477499</v>
      </c>
      <c r="AM3024" s="1">
        <v>49.8847472869999</v>
      </c>
      <c r="AN3024" s="1">
        <v>100.0</v>
      </c>
      <c r="AO3024" s="1">
        <v>23966.0</v>
      </c>
      <c r="AP3024" s="1">
        <v>11.4</v>
      </c>
      <c r="AQ3024" s="1">
        <v>12.2</v>
      </c>
      <c r="AR3024" s="1">
        <v>17.1</v>
      </c>
      <c r="AS3024" s="1">
        <v>20.7</v>
      </c>
      <c r="AT3024" s="1">
        <v>19.4</v>
      </c>
      <c r="AU3024" s="1">
        <v>16.0</v>
      </c>
      <c r="AV3024" s="1">
        <v>4.2</v>
      </c>
      <c r="AW3024" s="1">
        <v>0.3</v>
      </c>
      <c r="AX3024" s="1">
        <v>0.2789</v>
      </c>
      <c r="AY3024" s="1">
        <v>10.5</v>
      </c>
      <c r="AZ3024" s="1">
        <v>9.0</v>
      </c>
      <c r="BA3024" s="1">
        <v>12.1</v>
      </c>
      <c r="BB3024" s="1">
        <v>3.06</v>
      </c>
      <c r="BC3024" s="1" t="s">
        <v>4885</v>
      </c>
      <c r="BD3024" s="1">
        <v>14.1</v>
      </c>
      <c r="BE3024" s="1">
        <v>40.4</v>
      </c>
      <c r="BF3024" s="1">
        <v>28.6</v>
      </c>
      <c r="BG3024" s="1">
        <v>17.0</v>
      </c>
      <c r="BH3024" s="1" t="s">
        <v>4926</v>
      </c>
    </row>
    <row r="3025">
      <c r="A3025" s="1">
        <v>54067.0</v>
      </c>
      <c r="B3025" s="2" t="str">
        <f>IFERROR(__xludf.DUMMYFUNCTION("TO_TEXT(A3025)"),"54067")</f>
        <v>54067</v>
      </c>
      <c r="C3025" s="1">
        <v>25743.0</v>
      </c>
      <c r="D3025" s="1">
        <v>646.835141211326</v>
      </c>
      <c r="E3025" s="1" t="s">
        <v>1893</v>
      </c>
      <c r="F3025" s="1" t="s">
        <v>4927</v>
      </c>
      <c r="G3025" s="1">
        <v>39.7983943046</v>
      </c>
      <c r="H3025" s="1">
        <v>26.114491997</v>
      </c>
      <c r="I3025" s="1">
        <v>5.5996449678</v>
      </c>
      <c r="J3025" s="1">
        <v>9.2209856916</v>
      </c>
      <c r="K3025" s="1">
        <v>21.184049385</v>
      </c>
      <c r="L3025" s="1">
        <v>40.2</v>
      </c>
      <c r="M3025" s="1">
        <v>7.8</v>
      </c>
      <c r="N3025" s="1">
        <v>32.3</v>
      </c>
      <c r="O3025" s="1">
        <v>50.512712995</v>
      </c>
      <c r="P3025" s="1">
        <v>7.87863203909999</v>
      </c>
      <c r="Q3025" s="1">
        <v>95.83516</v>
      </c>
      <c r="R3025" s="1">
        <v>93.36</v>
      </c>
      <c r="S3025" s="1">
        <v>25.8</v>
      </c>
      <c r="T3025" s="1">
        <v>5104.0</v>
      </c>
      <c r="U3025" s="1">
        <v>39.243730408</v>
      </c>
      <c r="V3025" s="1">
        <v>725.0524709</v>
      </c>
      <c r="W3025" s="1">
        <v>9.5813953488</v>
      </c>
      <c r="X3025" s="1">
        <v>7.2033898305</v>
      </c>
      <c r="Y3025" s="1">
        <v>75.001619757</v>
      </c>
      <c r="Z3025" s="1">
        <v>11.9</v>
      </c>
      <c r="AA3025" s="1">
        <v>2.6852105307</v>
      </c>
      <c r="AB3025" s="1">
        <v>38572.0</v>
      </c>
      <c r="AC3025" s="1">
        <v>64.545213471</v>
      </c>
      <c r="AD3025" s="1">
        <v>78.848357525</v>
      </c>
      <c r="AE3025" s="1">
        <v>8.172625873</v>
      </c>
      <c r="AF3025" s="1">
        <v>0.5313581837</v>
      </c>
      <c r="AG3025" s="1">
        <v>0.3663151115</v>
      </c>
      <c r="AH3025" s="1">
        <v>0.394493197</v>
      </c>
      <c r="AI3025" s="1">
        <v>0.0120763224</v>
      </c>
      <c r="AJ3025" s="1">
        <v>0.780935512399999</v>
      </c>
      <c r="AK3025" s="1">
        <v>96.779647371</v>
      </c>
      <c r="AL3025" s="1">
        <v>0.0</v>
      </c>
      <c r="AM3025" s="1">
        <v>50.829240802</v>
      </c>
      <c r="AN3025" s="1">
        <v>87.157397172</v>
      </c>
      <c r="AO3025" s="1">
        <v>24244.0</v>
      </c>
      <c r="AP3025" s="1">
        <v>17.6</v>
      </c>
      <c r="AQ3025" s="1">
        <v>7.7</v>
      </c>
      <c r="AR3025" s="1">
        <v>16.3</v>
      </c>
      <c r="AS3025" s="1">
        <v>19.4</v>
      </c>
      <c r="AT3025" s="1">
        <v>20.1</v>
      </c>
      <c r="AU3025" s="1">
        <v>21.0</v>
      </c>
      <c r="AV3025" s="1">
        <v>2.7</v>
      </c>
      <c r="AW3025" s="1">
        <v>0.0</v>
      </c>
      <c r="AX3025" s="1">
        <v>0.446</v>
      </c>
      <c r="AY3025" s="1">
        <v>18.8</v>
      </c>
      <c r="AZ3025" s="1">
        <v>13.9</v>
      </c>
      <c r="BA3025" s="1">
        <v>22.7</v>
      </c>
      <c r="BB3025" s="1">
        <v>2.84</v>
      </c>
      <c r="BC3025" s="1" t="s">
        <v>4885</v>
      </c>
      <c r="BD3025" s="1">
        <v>13.1</v>
      </c>
      <c r="BE3025" s="1">
        <v>48.0</v>
      </c>
      <c r="BF3025" s="1">
        <v>23.3</v>
      </c>
      <c r="BG3025" s="1">
        <v>15.6</v>
      </c>
      <c r="BH3025" s="1" t="s">
        <v>4927</v>
      </c>
    </row>
    <row r="3026">
      <c r="A3026" s="1">
        <v>54069.0</v>
      </c>
      <c r="B3026" s="2" t="str">
        <f>IFERROR(__xludf.DUMMYFUNCTION("TO_TEXT(A3026)"),"54069")</f>
        <v>54069</v>
      </c>
      <c r="C3026" s="1">
        <v>43257.0</v>
      </c>
      <c r="D3026" s="1">
        <v>105.830154723409</v>
      </c>
      <c r="E3026" s="1" t="s">
        <v>1386</v>
      </c>
      <c r="F3026" s="1" t="s">
        <v>4928</v>
      </c>
      <c r="G3026" s="1">
        <v>408.739835192089</v>
      </c>
      <c r="H3026" s="1">
        <v>20.190441642</v>
      </c>
      <c r="I3026" s="1">
        <v>5.1687220126</v>
      </c>
      <c r="J3026" s="1">
        <v>8.2438408086</v>
      </c>
      <c r="K3026" s="1">
        <v>21.636591101</v>
      </c>
      <c r="L3026" s="1">
        <v>35.4</v>
      </c>
      <c r="M3026" s="1">
        <v>7.6</v>
      </c>
      <c r="N3026" s="1">
        <v>26.6</v>
      </c>
      <c r="O3026" s="1">
        <v>86.090047927</v>
      </c>
      <c r="P3026" s="1">
        <v>6.3780156575</v>
      </c>
      <c r="Q3026" s="1">
        <v>159.39098</v>
      </c>
      <c r="R3026" s="1">
        <v>97.18</v>
      </c>
      <c r="S3026" s="1">
        <v>17.5</v>
      </c>
      <c r="T3026" s="1">
        <v>7882.0</v>
      </c>
      <c r="U3026" s="1">
        <v>37.769601624</v>
      </c>
      <c r="V3026" s="1">
        <v>678.38237398</v>
      </c>
      <c r="W3026" s="1">
        <v>11.555075594</v>
      </c>
      <c r="X3026" s="1">
        <v>10.356164384</v>
      </c>
      <c r="Y3026" s="1">
        <v>75.822988837</v>
      </c>
      <c r="Z3026" s="1">
        <v>13.0</v>
      </c>
      <c r="AA3026" s="1">
        <v>8.0936078385</v>
      </c>
      <c r="AB3026" s="1">
        <v>48689.0</v>
      </c>
      <c r="AC3026" s="1">
        <v>48.256915498</v>
      </c>
      <c r="AD3026" s="1">
        <v>69.108408737</v>
      </c>
      <c r="AE3026" s="1">
        <v>8.9805241645</v>
      </c>
      <c r="AF3026" s="1">
        <v>3.5253263082</v>
      </c>
      <c r="AG3026" s="1">
        <v>0.2011735122</v>
      </c>
      <c r="AH3026" s="1">
        <v>0.8190635852</v>
      </c>
      <c r="AI3026" s="1">
        <v>0.0263441504</v>
      </c>
      <c r="AJ3026" s="1">
        <v>1.1878816908</v>
      </c>
      <c r="AK3026" s="1">
        <v>92.1781822539999</v>
      </c>
      <c r="AL3026" s="1">
        <v>0.2354749157</v>
      </c>
      <c r="AM3026" s="1">
        <v>51.747096156</v>
      </c>
      <c r="AN3026" s="1">
        <v>23.092500506</v>
      </c>
      <c r="AO3026" s="1">
        <v>28160.0</v>
      </c>
      <c r="AP3026" s="1">
        <v>16.2</v>
      </c>
      <c r="AQ3026" s="1">
        <v>5.5</v>
      </c>
      <c r="AR3026" s="1">
        <v>8.1</v>
      </c>
      <c r="AS3026" s="1">
        <v>19.4</v>
      </c>
      <c r="AT3026" s="1">
        <v>19.2</v>
      </c>
      <c r="AU3026" s="1">
        <v>15.5</v>
      </c>
      <c r="AV3026" s="1">
        <v>7.6</v>
      </c>
      <c r="AW3026" s="1">
        <v>0.1</v>
      </c>
      <c r="AX3026" s="1">
        <v>0.3738</v>
      </c>
      <c r="AY3026" s="1">
        <v>14.1</v>
      </c>
      <c r="AZ3026" s="1">
        <v>11.3</v>
      </c>
      <c r="BA3026" s="1">
        <v>15.7</v>
      </c>
      <c r="BB3026" s="1">
        <v>3.15</v>
      </c>
      <c r="BC3026" s="1" t="s">
        <v>4885</v>
      </c>
      <c r="BD3026" s="1">
        <v>6.5</v>
      </c>
      <c r="BE3026" s="1">
        <v>34.2</v>
      </c>
      <c r="BF3026" s="1">
        <v>27.3</v>
      </c>
      <c r="BG3026" s="1">
        <v>32.0</v>
      </c>
      <c r="BH3026" s="1" t="s">
        <v>4928</v>
      </c>
    </row>
    <row r="3027">
      <c r="A3027" s="1">
        <v>54071.0</v>
      </c>
      <c r="B3027" s="2" t="str">
        <f>IFERROR(__xludf.DUMMYFUNCTION("TO_TEXT(A3027)"),"54071")</f>
        <v>54071</v>
      </c>
      <c r="C3027" s="1">
        <v>7291.0</v>
      </c>
      <c r="D3027" s="1">
        <v>696.045942664512</v>
      </c>
      <c r="E3027" s="1" t="s">
        <v>1901</v>
      </c>
      <c r="F3027" s="1" t="s">
        <v>4929</v>
      </c>
      <c r="G3027" s="1">
        <v>10.4748832700461</v>
      </c>
      <c r="H3027" s="1">
        <v>23.250335547</v>
      </c>
      <c r="I3027" s="1">
        <v>5.3111827075</v>
      </c>
      <c r="J3027" s="1">
        <v>7.0512820513</v>
      </c>
      <c r="K3027" s="1">
        <v>21.509283663</v>
      </c>
      <c r="L3027" s="1">
        <v>31.9</v>
      </c>
      <c r="M3027" s="1">
        <v>6.8</v>
      </c>
      <c r="N3027" s="1">
        <v>30.6</v>
      </c>
      <c r="O3027" s="1">
        <v>88.122157245</v>
      </c>
      <c r="P3027" s="1">
        <v>9.1625615764</v>
      </c>
      <c r="Q3027" s="1">
        <v>42.88165</v>
      </c>
      <c r="R3027" s="1">
        <v>97.53</v>
      </c>
      <c r="S3027" s="1">
        <v>21.7</v>
      </c>
      <c r="T3027" s="1">
        <v>1269.0</v>
      </c>
      <c r="U3027" s="1">
        <v>30.73286052</v>
      </c>
      <c r="V3027" s="1">
        <v>204.509002055</v>
      </c>
      <c r="W3027" s="1">
        <v>11.642743222</v>
      </c>
      <c r="X3027" s="1">
        <v>9.38007140539999</v>
      </c>
      <c r="Y3027" s="1">
        <v>77.361809466</v>
      </c>
      <c r="Z3027" s="1">
        <v>17.6</v>
      </c>
      <c r="AA3027" s="1">
        <v>18.137756712</v>
      </c>
      <c r="AB3027" s="1">
        <v>40415.0</v>
      </c>
      <c r="AC3027" s="1">
        <v>61.497326203</v>
      </c>
      <c r="AD3027" s="1">
        <v>81.198478123</v>
      </c>
      <c r="AE3027" s="1">
        <v>6.6271018793</v>
      </c>
      <c r="AF3027" s="1">
        <v>1.9436901529</v>
      </c>
      <c r="AG3027" s="1">
        <v>0.3001286266</v>
      </c>
      <c r="AH3027" s="1">
        <v>0.1857939117</v>
      </c>
      <c r="AI3027" s="1">
        <v>0.0571673574</v>
      </c>
      <c r="AJ3027" s="1">
        <v>1.2148063456</v>
      </c>
      <c r="AK3027" s="1">
        <v>95.140774618</v>
      </c>
      <c r="AL3027" s="1">
        <v>0.1039192399</v>
      </c>
      <c r="AM3027" s="1">
        <v>49.421180506</v>
      </c>
      <c r="AN3027" s="1">
        <v>100.0</v>
      </c>
      <c r="AO3027" s="1">
        <v>23325.0</v>
      </c>
      <c r="AP3027" s="1">
        <v>18.2</v>
      </c>
      <c r="AQ3027" s="1">
        <v>4.3</v>
      </c>
      <c r="AR3027" s="1">
        <v>19.0</v>
      </c>
      <c r="AS3027" s="1">
        <v>24.8</v>
      </c>
      <c r="AT3027" s="1">
        <v>17.9</v>
      </c>
      <c r="AU3027" s="1">
        <v>21.3</v>
      </c>
      <c r="AV3027" s="1">
        <v>5.1</v>
      </c>
      <c r="AW3027" s="1">
        <v>0.1</v>
      </c>
      <c r="AX3027" s="1">
        <v>0.3445</v>
      </c>
      <c r="AY3027" s="1">
        <v>13.5</v>
      </c>
      <c r="AZ3027" s="1">
        <v>12.0</v>
      </c>
      <c r="BA3027" s="1">
        <v>18.4</v>
      </c>
      <c r="BB3027" s="1">
        <v>2.97</v>
      </c>
      <c r="BC3027" s="1" t="s">
        <v>4885</v>
      </c>
      <c r="BD3027" s="1">
        <v>18.6</v>
      </c>
      <c r="BE3027" s="1">
        <v>51.3</v>
      </c>
      <c r="BF3027" s="1">
        <v>16.1</v>
      </c>
      <c r="BG3027" s="1">
        <v>14.1</v>
      </c>
      <c r="BH3027" s="1" t="s">
        <v>4929</v>
      </c>
    </row>
    <row r="3028">
      <c r="A3028" s="1">
        <v>54073.0</v>
      </c>
      <c r="B3028" s="2" t="str">
        <f>IFERROR(__xludf.DUMMYFUNCTION("TO_TEXT(A3028)"),"54073")</f>
        <v>54073</v>
      </c>
      <c r="C3028" s="1">
        <v>7612.0</v>
      </c>
      <c r="D3028" s="1">
        <v>130.103094793913</v>
      </c>
      <c r="E3028" s="1" t="s">
        <v>4930</v>
      </c>
      <c r="F3028" s="1" t="s">
        <v>4931</v>
      </c>
      <c r="G3028" s="1">
        <v>58.507447590371</v>
      </c>
      <c r="H3028" s="1">
        <v>22.10674402</v>
      </c>
      <c r="I3028" s="1">
        <v>5.1332173865</v>
      </c>
      <c r="J3028" s="1">
        <v>7.6320939335</v>
      </c>
      <c r="K3028" s="1">
        <v>22.406853938</v>
      </c>
      <c r="L3028" s="1">
        <v>31.6</v>
      </c>
      <c r="M3028" s="1">
        <v>8.0</v>
      </c>
      <c r="N3028" s="1">
        <v>26.5</v>
      </c>
      <c r="O3028" s="1">
        <v>66.390532544</v>
      </c>
      <c r="P3028" s="1">
        <v>6.0948905109</v>
      </c>
      <c r="Q3028" s="1">
        <v>13.3120299999999</v>
      </c>
      <c r="R3028" s="1">
        <v>92.63</v>
      </c>
      <c r="S3028" s="1">
        <v>16.9</v>
      </c>
      <c r="T3028" s="1">
        <v>1416.0</v>
      </c>
      <c r="U3028" s="1">
        <v>30.93220339</v>
      </c>
      <c r="V3028" s="1">
        <v>134.7103727</v>
      </c>
      <c r="W3028" s="1">
        <v>9.9476439791</v>
      </c>
      <c r="X3028" s="1">
        <v>8.1128747795</v>
      </c>
      <c r="Y3028" s="1">
        <v>76.222119501</v>
      </c>
      <c r="Z3028" s="1">
        <v>15.8</v>
      </c>
      <c r="AA3028" s="1">
        <v>3.2601116064</v>
      </c>
      <c r="AB3028" s="1">
        <v>50768.0</v>
      </c>
      <c r="AC3028" s="1">
        <v>51.697127937</v>
      </c>
      <c r="AD3028" s="1">
        <v>79.470198675</v>
      </c>
      <c r="AE3028" s="1">
        <v>7.46540422429999</v>
      </c>
      <c r="AF3028" s="1">
        <v>1.6517916611</v>
      </c>
      <c r="AG3028" s="1">
        <v>0.2264553084</v>
      </c>
      <c r="AH3028" s="1">
        <v>0.2131344079</v>
      </c>
      <c r="AI3028" s="1">
        <v>0.0</v>
      </c>
      <c r="AJ3028" s="1">
        <v>0.972425736</v>
      </c>
      <c r="AK3028" s="1">
        <v>95.763953643</v>
      </c>
      <c r="AL3028" s="1">
        <v>0.2234949015</v>
      </c>
      <c r="AM3028" s="1">
        <v>45.610763288</v>
      </c>
      <c r="AN3028" s="1">
        <v>54.46416831</v>
      </c>
      <c r="AO3028" s="1">
        <v>23580.0</v>
      </c>
      <c r="AP3028" s="1">
        <v>16.9</v>
      </c>
      <c r="AQ3028" s="1">
        <v>8.4</v>
      </c>
      <c r="AR3028" s="1">
        <v>12.4</v>
      </c>
      <c r="AS3028" s="1">
        <v>18.5</v>
      </c>
      <c r="AT3028" s="1">
        <v>19.3</v>
      </c>
      <c r="AU3028" s="1">
        <v>19.2</v>
      </c>
      <c r="AV3028" s="1">
        <v>3.8</v>
      </c>
      <c r="AW3028" s="1">
        <v>0.2</v>
      </c>
      <c r="AX3028" s="1">
        <v>0.4238</v>
      </c>
      <c r="AY3028" s="1">
        <v>13.0</v>
      </c>
      <c r="AZ3028" s="1">
        <v>12.8</v>
      </c>
      <c r="BA3028" s="1">
        <v>20.7</v>
      </c>
      <c r="BB3028" s="1">
        <v>2.77</v>
      </c>
      <c r="BC3028" s="1" t="s">
        <v>4885</v>
      </c>
      <c r="BD3028" s="1">
        <v>10.9</v>
      </c>
      <c r="BE3028" s="1">
        <v>50.7</v>
      </c>
      <c r="BF3028" s="1">
        <v>26.8</v>
      </c>
      <c r="BG3028" s="1">
        <v>11.6</v>
      </c>
      <c r="BH3028" s="1" t="s">
        <v>4931</v>
      </c>
    </row>
    <row r="3029">
      <c r="A3029" s="1">
        <v>54075.0</v>
      </c>
      <c r="B3029" s="2" t="str">
        <f>IFERROR(__xludf.DUMMYFUNCTION("TO_TEXT(A3029)"),"54075")</f>
        <v>54075</v>
      </c>
      <c r="C3029" s="1">
        <v>8620.0</v>
      </c>
      <c r="D3029" s="1">
        <v>940.282767431176</v>
      </c>
      <c r="E3029" s="1" t="s">
        <v>1551</v>
      </c>
      <c r="F3029" s="1" t="s">
        <v>4932</v>
      </c>
      <c r="G3029" s="1">
        <v>9.16745504498565</v>
      </c>
      <c r="H3029" s="1">
        <v>23.373709888</v>
      </c>
      <c r="I3029" s="1">
        <v>5.3503653616</v>
      </c>
      <c r="J3029" s="1">
        <v>6.7911714771</v>
      </c>
      <c r="K3029" s="1">
        <v>22.557996356</v>
      </c>
      <c r="L3029" s="1">
        <v>30.9</v>
      </c>
      <c r="M3029" s="1">
        <v>6.7</v>
      </c>
      <c r="N3029" s="1">
        <v>25.6</v>
      </c>
      <c r="O3029" s="1">
        <v>93.347860993</v>
      </c>
      <c r="P3029" s="1">
        <v>8.548968228</v>
      </c>
      <c r="Q3029" s="1">
        <v>47.30369</v>
      </c>
      <c r="R3029" s="1">
        <v>88.24</v>
      </c>
      <c r="S3029" s="1">
        <v>25.6</v>
      </c>
      <c r="T3029" s="1">
        <v>1461.0</v>
      </c>
      <c r="U3029" s="1">
        <v>27.789185489</v>
      </c>
      <c r="V3029" s="1">
        <v>306.25832224</v>
      </c>
      <c r="W3029" s="1">
        <v>7.5445816187</v>
      </c>
      <c r="X3029" s="1">
        <v>5.8414464534</v>
      </c>
      <c r="Y3029" s="1">
        <v>77.071221457</v>
      </c>
      <c r="Z3029" s="1">
        <v>14.1</v>
      </c>
      <c r="AA3029" s="1">
        <v>17.566593077</v>
      </c>
      <c r="AB3029" s="1">
        <v>39467.0</v>
      </c>
      <c r="AC3029" s="1">
        <v>67.444120505</v>
      </c>
      <c r="AD3029" s="1">
        <v>81.475272422</v>
      </c>
      <c r="AE3029" s="1">
        <v>5.2173913043</v>
      </c>
      <c r="AF3029" s="1">
        <v>1.1528405039</v>
      </c>
      <c r="AG3029" s="1">
        <v>0.2614689803</v>
      </c>
      <c r="AH3029" s="1">
        <v>0.2139291657</v>
      </c>
      <c r="AI3029" s="1">
        <v>0.0</v>
      </c>
      <c r="AJ3029" s="1">
        <v>1.5806988353</v>
      </c>
      <c r="AK3029" s="1">
        <v>95.483717614</v>
      </c>
      <c r="AL3029" s="1">
        <v>0.0</v>
      </c>
      <c r="AM3029" s="1">
        <v>48.740194913</v>
      </c>
      <c r="AN3029" s="1">
        <v>100.0</v>
      </c>
      <c r="AO3029" s="1">
        <v>22328.0</v>
      </c>
      <c r="AP3029" s="1">
        <v>18.6</v>
      </c>
      <c r="AQ3029" s="1">
        <v>5.7</v>
      </c>
      <c r="AR3029" s="1">
        <v>15.2</v>
      </c>
      <c r="AS3029" s="1">
        <v>22.3</v>
      </c>
      <c r="AT3029" s="1">
        <v>17.6</v>
      </c>
      <c r="AU3029" s="1">
        <v>22.8</v>
      </c>
      <c r="AV3029" s="1">
        <v>4.3</v>
      </c>
      <c r="AW3029" s="1">
        <v>0.0</v>
      </c>
      <c r="AX3029" s="1">
        <v>0.4877</v>
      </c>
      <c r="AY3029" s="1">
        <v>16.1</v>
      </c>
      <c r="AZ3029" s="1">
        <v>14.3</v>
      </c>
      <c r="BA3029" s="1">
        <v>24.2</v>
      </c>
      <c r="BB3029" s="1">
        <v>2.84</v>
      </c>
      <c r="BC3029" s="1" t="s">
        <v>4885</v>
      </c>
      <c r="BD3029" s="1">
        <v>17.4</v>
      </c>
      <c r="BE3029" s="1">
        <v>47.8</v>
      </c>
      <c r="BF3029" s="1">
        <v>20.0</v>
      </c>
      <c r="BG3029" s="1">
        <v>14.8</v>
      </c>
      <c r="BH3029" s="1" t="s">
        <v>4932</v>
      </c>
    </row>
    <row r="3030">
      <c r="A3030" s="1">
        <v>54077.0</v>
      </c>
      <c r="B3030" s="2" t="str">
        <f>IFERROR(__xludf.DUMMYFUNCTION("TO_TEXT(A3030)"),"54077")</f>
        <v>54077</v>
      </c>
      <c r="C3030" s="1">
        <v>33793.0</v>
      </c>
      <c r="D3030" s="1">
        <v>648.808361814566</v>
      </c>
      <c r="E3030" s="1" t="s">
        <v>4933</v>
      </c>
      <c r="F3030" s="1" t="s">
        <v>4934</v>
      </c>
      <c r="G3030" s="1">
        <v>52.0847171351011</v>
      </c>
      <c r="H3030" s="1">
        <v>20.016177864</v>
      </c>
      <c r="I3030" s="1">
        <v>5.1004790527</v>
      </c>
      <c r="J3030" s="1">
        <v>9.93208828519999</v>
      </c>
      <c r="K3030" s="1">
        <v>21.269048344</v>
      </c>
      <c r="L3030" s="1">
        <v>35.1</v>
      </c>
      <c r="M3030" s="1">
        <v>7.8</v>
      </c>
      <c r="N3030" s="1">
        <v>30.0</v>
      </c>
      <c r="O3030" s="1">
        <v>33.854415274</v>
      </c>
      <c r="P3030" s="1">
        <v>8.3339972911</v>
      </c>
      <c r="Q3030" s="1">
        <v>38.59972</v>
      </c>
      <c r="R3030" s="1">
        <v>82.62</v>
      </c>
      <c r="S3030" s="1">
        <v>23.1</v>
      </c>
      <c r="T3030" s="1">
        <v>6420.0</v>
      </c>
      <c r="U3030" s="1">
        <v>27.943925234</v>
      </c>
      <c r="V3030" s="1">
        <v>230.0508172</v>
      </c>
      <c r="W3030" s="1">
        <v>8.7620578778</v>
      </c>
      <c r="X3030" s="1">
        <v>7.5325732899</v>
      </c>
      <c r="Y3030" s="1">
        <v>76.7574656669999</v>
      </c>
      <c r="Z3030" s="1">
        <v>14.7</v>
      </c>
      <c r="AA3030" s="1">
        <v>7.9895086894</v>
      </c>
      <c r="AB3030" s="1">
        <v>47101.0</v>
      </c>
      <c r="AC3030" s="1">
        <v>52.510506525</v>
      </c>
      <c r="AD3030" s="1">
        <v>83.202778002</v>
      </c>
      <c r="AE3030" s="1">
        <v>9.0221088435</v>
      </c>
      <c r="AF3030" s="1">
        <v>1.1968438784</v>
      </c>
      <c r="AG3030" s="1">
        <v>0.2423239457</v>
      </c>
      <c r="AH3030" s="1">
        <v>0.209817075</v>
      </c>
      <c r="AI3030" s="1">
        <v>0.0295517007</v>
      </c>
      <c r="AJ3030" s="1">
        <v>1.7169538107</v>
      </c>
      <c r="AK3030" s="1">
        <v>95.670675847</v>
      </c>
      <c r="AL3030" s="1">
        <v>0.90393367</v>
      </c>
      <c r="AM3030" s="1">
        <v>48.6775613939999</v>
      </c>
      <c r="AN3030" s="1">
        <v>90.450477327</v>
      </c>
      <c r="AO3030" s="1">
        <v>21716.0</v>
      </c>
      <c r="AP3030" s="1">
        <v>15.3</v>
      </c>
      <c r="AQ3030" s="1">
        <v>7.7</v>
      </c>
      <c r="AR3030" s="1">
        <v>16.5</v>
      </c>
      <c r="AS3030" s="1">
        <v>17.4</v>
      </c>
      <c r="AT3030" s="1">
        <v>19.5</v>
      </c>
      <c r="AU3030" s="1">
        <v>19.7</v>
      </c>
      <c r="AV3030" s="1">
        <v>7.6</v>
      </c>
      <c r="AW3030" s="1">
        <v>0.9</v>
      </c>
      <c r="AX3030" s="1">
        <v>0.4947</v>
      </c>
      <c r="AY3030" s="1">
        <v>14.3</v>
      </c>
      <c r="AZ3030" s="1">
        <v>11.8</v>
      </c>
      <c r="BA3030" s="1">
        <v>18.9</v>
      </c>
      <c r="BB3030" s="1">
        <v>2.92</v>
      </c>
      <c r="BC3030" s="1" t="s">
        <v>4885</v>
      </c>
      <c r="BD3030" s="1">
        <v>13.2</v>
      </c>
      <c r="BE3030" s="1">
        <v>47.2</v>
      </c>
      <c r="BF3030" s="1">
        <v>22.7</v>
      </c>
      <c r="BG3030" s="1">
        <v>16.9</v>
      </c>
      <c r="BH3030" s="1" t="s">
        <v>4934</v>
      </c>
    </row>
    <row r="3031">
      <c r="A3031" s="1">
        <v>54079.0</v>
      </c>
      <c r="B3031" s="2" t="str">
        <f>IFERROR(__xludf.DUMMYFUNCTION("TO_TEXT(A3031)"),"54079")</f>
        <v>54079</v>
      </c>
      <c r="C3031" s="1">
        <v>56743.0</v>
      </c>
      <c r="D3031" s="1">
        <v>345.678003615273</v>
      </c>
      <c r="E3031" s="1" t="s">
        <v>771</v>
      </c>
      <c r="F3031" s="1" t="s">
        <v>4935</v>
      </c>
      <c r="G3031" s="1">
        <v>164.149871865011</v>
      </c>
      <c r="H3031" s="1">
        <v>18.993733661</v>
      </c>
      <c r="I3031" s="1">
        <v>4.9034426922</v>
      </c>
      <c r="J3031" s="1">
        <v>7.29743331659999</v>
      </c>
      <c r="K3031" s="1">
        <v>20.030867401</v>
      </c>
      <c r="L3031" s="1">
        <v>34.5</v>
      </c>
      <c r="M3031" s="1">
        <v>8.4</v>
      </c>
      <c r="N3031" s="1">
        <v>25.6</v>
      </c>
      <c r="O3031" s="1">
        <v>66.593374905</v>
      </c>
      <c r="P3031" s="1">
        <v>5.6757624398</v>
      </c>
      <c r="Q3031" s="1">
        <v>105.64868</v>
      </c>
      <c r="R3031" s="1">
        <v>92.77</v>
      </c>
      <c r="S3031" s="1">
        <v>12.9</v>
      </c>
      <c r="T3031" s="1">
        <v>12814.0</v>
      </c>
      <c r="U3031" s="1">
        <v>23.396285313</v>
      </c>
      <c r="V3031" s="1">
        <v>371.17566252</v>
      </c>
      <c r="W3031" s="1">
        <v>8.8613406795</v>
      </c>
      <c r="X3031" s="1">
        <v>7.6461076461</v>
      </c>
      <c r="Y3031" s="1">
        <v>76.665252979</v>
      </c>
      <c r="Z3031" s="1">
        <v>12.9</v>
      </c>
      <c r="AA3031" s="1">
        <v>5.6885556497</v>
      </c>
      <c r="AB3031" s="1">
        <v>61995.0</v>
      </c>
      <c r="AC3031" s="1">
        <v>44.84151647</v>
      </c>
      <c r="AD3031" s="1">
        <v>82.2709439189999</v>
      </c>
      <c r="AE3031" s="1">
        <v>7.9745503253</v>
      </c>
      <c r="AF3031" s="1">
        <v>1.0973501288</v>
      </c>
      <c r="AG3031" s="1">
        <v>0.276983875</v>
      </c>
      <c r="AH3031" s="1">
        <v>0.8627077379</v>
      </c>
      <c r="AI3031" s="1">
        <v>0.0423414841</v>
      </c>
      <c r="AJ3031" s="1">
        <v>1.2049680675</v>
      </c>
      <c r="AK3031" s="1">
        <v>95.301859497</v>
      </c>
      <c r="AL3031" s="1">
        <v>0.2131279328</v>
      </c>
      <c r="AM3031" s="1">
        <v>50.829187396</v>
      </c>
      <c r="AN3031" s="1">
        <v>35.783801319</v>
      </c>
      <c r="AO3031" s="1">
        <v>29173.0</v>
      </c>
      <c r="AP3031" s="1">
        <v>9.8</v>
      </c>
      <c r="AQ3031" s="1">
        <v>3.1</v>
      </c>
      <c r="AR3031" s="1">
        <v>8.0</v>
      </c>
      <c r="AS3031" s="1">
        <v>16.6</v>
      </c>
      <c r="AT3031" s="1">
        <v>23.0</v>
      </c>
      <c r="AU3031" s="1">
        <v>13.0</v>
      </c>
      <c r="AV3031" s="1">
        <v>4.5</v>
      </c>
      <c r="AW3031" s="1">
        <v>0.1</v>
      </c>
      <c r="AX3031" s="1">
        <v>0.0372</v>
      </c>
      <c r="AY3031" s="1">
        <v>8.9</v>
      </c>
      <c r="AZ3031" s="1">
        <v>8.6</v>
      </c>
      <c r="BA3031" s="1">
        <v>12.2</v>
      </c>
      <c r="BB3031" s="1">
        <v>2.84</v>
      </c>
      <c r="BC3031" s="1" t="s">
        <v>4885</v>
      </c>
      <c r="BD3031" s="1">
        <v>8.3</v>
      </c>
      <c r="BE3031" s="1">
        <v>36.5</v>
      </c>
      <c r="BF3031" s="1">
        <v>29.2</v>
      </c>
      <c r="BG3031" s="1">
        <v>26.1</v>
      </c>
      <c r="BH3031" s="1" t="s">
        <v>4935</v>
      </c>
    </row>
    <row r="3032">
      <c r="A3032" s="1">
        <v>54081.0</v>
      </c>
      <c r="B3032" s="2" t="str">
        <f>IFERROR(__xludf.DUMMYFUNCTION("TO_TEXT(A3032)"),"54081")</f>
        <v>54081</v>
      </c>
      <c r="C3032" s="1">
        <v>78051.0</v>
      </c>
      <c r="D3032" s="1">
        <v>605.355644661732</v>
      </c>
      <c r="E3032" s="1" t="s">
        <v>4936</v>
      </c>
      <c r="F3032" s="1" t="s">
        <v>4937</v>
      </c>
      <c r="G3032" s="1">
        <v>128.934124408164</v>
      </c>
      <c r="H3032" s="1">
        <v>24.77710913</v>
      </c>
      <c r="I3032" s="1">
        <v>5.8266025704</v>
      </c>
      <c r="J3032" s="1">
        <v>10.544727636</v>
      </c>
      <c r="K3032" s="1">
        <v>24.7123491859999</v>
      </c>
      <c r="L3032" s="1">
        <v>39.3</v>
      </c>
      <c r="M3032" s="1">
        <v>6.9</v>
      </c>
      <c r="N3032" s="1">
        <v>30.2</v>
      </c>
      <c r="O3032" s="1">
        <v>55.185838015</v>
      </c>
      <c r="P3032" s="1">
        <v>7.3762507748</v>
      </c>
      <c r="Q3032" s="1">
        <v>87.97419</v>
      </c>
      <c r="R3032" s="1">
        <v>86.99</v>
      </c>
      <c r="S3032" s="1">
        <v>24.7</v>
      </c>
      <c r="T3032" s="1">
        <v>15541.0</v>
      </c>
      <c r="U3032" s="1">
        <v>34.894794415</v>
      </c>
      <c r="V3032" s="1">
        <v>478.32134796</v>
      </c>
      <c r="W3032" s="1">
        <v>10.735103627</v>
      </c>
      <c r="X3032" s="1">
        <v>9.1611842105</v>
      </c>
      <c r="Y3032" s="1">
        <v>73.079703407</v>
      </c>
      <c r="Z3032" s="1">
        <v>15.2</v>
      </c>
      <c r="AA3032" s="1">
        <v>13.1891145409999</v>
      </c>
      <c r="AB3032" s="1">
        <v>41298.0</v>
      </c>
      <c r="AC3032" s="1">
        <v>57.780908187</v>
      </c>
      <c r="AD3032" s="1">
        <v>74.006234133</v>
      </c>
      <c r="AE3032" s="1">
        <v>9.7101002841</v>
      </c>
      <c r="AF3032" s="1">
        <v>7.9026045735</v>
      </c>
      <c r="AG3032" s="1">
        <v>0.2747326743</v>
      </c>
      <c r="AH3032" s="1">
        <v>0.956177445</v>
      </c>
      <c r="AI3032" s="1">
        <v>0.0309747623</v>
      </c>
      <c r="AJ3032" s="1">
        <v>1.6564764188</v>
      </c>
      <c r="AK3032" s="1">
        <v>87.358256794</v>
      </c>
      <c r="AL3032" s="1">
        <v>0.5777296336</v>
      </c>
      <c r="AM3032" s="1">
        <v>49.870714036</v>
      </c>
      <c r="AN3032" s="1">
        <v>39.258676879</v>
      </c>
      <c r="AO3032" s="1">
        <v>22590.0</v>
      </c>
      <c r="AP3032" s="1">
        <v>17.7</v>
      </c>
      <c r="AQ3032" s="1">
        <v>7.7</v>
      </c>
      <c r="AR3032" s="1">
        <v>15.7</v>
      </c>
      <c r="AS3032" s="1">
        <v>18.1</v>
      </c>
      <c r="AT3032" s="1">
        <v>21.0</v>
      </c>
      <c r="AU3032" s="1">
        <v>21.9</v>
      </c>
      <c r="AV3032" s="1">
        <v>12.9</v>
      </c>
      <c r="AW3032" s="1">
        <v>1.0</v>
      </c>
      <c r="AX3032" s="1">
        <v>0.7749</v>
      </c>
      <c r="AY3032" s="1">
        <v>17.4</v>
      </c>
      <c r="AZ3032" s="1">
        <v>14.1</v>
      </c>
      <c r="BA3032" s="1">
        <v>21.2</v>
      </c>
      <c r="BB3032" s="1">
        <v>2.75</v>
      </c>
      <c r="BC3032" s="1" t="s">
        <v>4885</v>
      </c>
      <c r="BD3032" s="1">
        <v>13.5</v>
      </c>
      <c r="BE3032" s="1">
        <v>40.0</v>
      </c>
      <c r="BF3032" s="1">
        <v>28.1</v>
      </c>
      <c r="BG3032" s="1">
        <v>18.4</v>
      </c>
      <c r="BH3032" s="1" t="s">
        <v>4937</v>
      </c>
    </row>
    <row r="3033">
      <c r="A3033" s="1">
        <v>54083.0</v>
      </c>
      <c r="B3033" s="2" t="str">
        <f>IFERROR(__xludf.DUMMYFUNCTION("TO_TEXT(A3033)"),"54083")</f>
        <v>54083</v>
      </c>
      <c r="C3033" s="1">
        <v>29287.0</v>
      </c>
      <c r="D3033" s="1">
        <v>1039.6996548067</v>
      </c>
      <c r="E3033" s="1" t="s">
        <v>170</v>
      </c>
      <c r="F3033" s="1" t="s">
        <v>4938</v>
      </c>
      <c r="G3033" s="1">
        <v>28.1687118627013</v>
      </c>
      <c r="H3033" s="1">
        <v>22.331889159</v>
      </c>
      <c r="I3033" s="1">
        <v>5.2414469606</v>
      </c>
      <c r="J3033" s="1">
        <v>8.5245901639</v>
      </c>
      <c r="K3033" s="1">
        <v>22.347447104</v>
      </c>
      <c r="L3033" s="1">
        <v>34.3</v>
      </c>
      <c r="M3033" s="1">
        <v>7.8</v>
      </c>
      <c r="N3033" s="1">
        <v>30.5</v>
      </c>
      <c r="O3033" s="1">
        <v>81.186872981</v>
      </c>
      <c r="P3033" s="1">
        <v>7.9982517483</v>
      </c>
      <c r="Q3033" s="1">
        <v>86.85079</v>
      </c>
      <c r="R3033" s="1">
        <v>90.12</v>
      </c>
      <c r="S3033" s="1">
        <v>25.9</v>
      </c>
      <c r="T3033" s="1">
        <v>5361.0</v>
      </c>
      <c r="U3033" s="1">
        <v>33.557172169</v>
      </c>
      <c r="V3033" s="1">
        <v>474.30520168</v>
      </c>
      <c r="W3033" s="1">
        <v>11.569892473</v>
      </c>
      <c r="X3033" s="1">
        <v>9.59023539669999</v>
      </c>
      <c r="Y3033" s="1">
        <v>76.828805591</v>
      </c>
      <c r="Z3033" s="1">
        <v>12.8</v>
      </c>
      <c r="AA3033" s="1">
        <v>3.574097392</v>
      </c>
      <c r="AB3033" s="1">
        <v>40064.0</v>
      </c>
      <c r="AC3033" s="1">
        <v>54.549962807</v>
      </c>
      <c r="AD3033" s="1">
        <v>70.454949351</v>
      </c>
      <c r="AE3033" s="1">
        <v>10.698587861</v>
      </c>
      <c r="AF3033" s="1">
        <v>1.7624813517</v>
      </c>
      <c r="AG3033" s="1">
        <v>0.2810255699</v>
      </c>
      <c r="AH3033" s="1">
        <v>0.4926621101</v>
      </c>
      <c r="AI3033" s="1">
        <v>0.0034694515</v>
      </c>
      <c r="AJ3033" s="1">
        <v>1.0408354439</v>
      </c>
      <c r="AK3033" s="1">
        <v>95.406446241</v>
      </c>
      <c r="AL3033" s="1">
        <v>0.0326311591</v>
      </c>
      <c r="AM3033" s="1">
        <v>48.249661728</v>
      </c>
      <c r="AN3033" s="1">
        <v>62.383948308</v>
      </c>
      <c r="AO3033" s="1">
        <v>22079.0</v>
      </c>
      <c r="AP3033" s="1">
        <v>16.9</v>
      </c>
      <c r="AQ3033" s="1">
        <v>7.4</v>
      </c>
      <c r="AR3033" s="1">
        <v>17.2</v>
      </c>
      <c r="AS3033" s="1">
        <v>19.8</v>
      </c>
      <c r="AT3033" s="1">
        <v>19.3</v>
      </c>
      <c r="AU3033" s="1">
        <v>19.2</v>
      </c>
      <c r="AV3033" s="1">
        <v>3.8</v>
      </c>
      <c r="AW3033" s="1">
        <v>0.1</v>
      </c>
      <c r="AX3033" s="1">
        <v>0.5476</v>
      </c>
      <c r="AY3033" s="1">
        <v>16.8</v>
      </c>
      <c r="AZ3033" s="1">
        <v>13.6</v>
      </c>
      <c r="BA3033" s="1">
        <v>19.9</v>
      </c>
      <c r="BB3033" s="1">
        <v>2.92</v>
      </c>
      <c r="BC3033" s="1" t="s">
        <v>4885</v>
      </c>
      <c r="BD3033" s="1">
        <v>14.5</v>
      </c>
      <c r="BE3033" s="1">
        <v>48.5</v>
      </c>
      <c r="BF3033" s="1">
        <v>19.7</v>
      </c>
      <c r="BG3033" s="1">
        <v>17.3</v>
      </c>
      <c r="BH3033" s="1" t="s">
        <v>4938</v>
      </c>
    </row>
    <row r="3034">
      <c r="A3034" s="1">
        <v>54085.0</v>
      </c>
      <c r="B3034" s="2" t="str">
        <f>IFERROR(__xludf.DUMMYFUNCTION("TO_TEXT(A3034)"),"54085")</f>
        <v>54085</v>
      </c>
      <c r="C3034" s="1">
        <v>10044.0</v>
      </c>
      <c r="D3034" s="1">
        <v>451.989654173722</v>
      </c>
      <c r="E3034" s="1" t="s">
        <v>4939</v>
      </c>
      <c r="F3034" s="1" t="s">
        <v>4940</v>
      </c>
      <c r="G3034" s="1">
        <v>22.2217475715486</v>
      </c>
      <c r="H3034" s="1">
        <v>21.911155533</v>
      </c>
      <c r="I3034" s="1">
        <v>5.3110230965</v>
      </c>
      <c r="J3034" s="1">
        <v>7.6119402985</v>
      </c>
      <c r="K3034" s="1">
        <v>21.907867167</v>
      </c>
      <c r="L3034" s="1">
        <v>44.2</v>
      </c>
      <c r="M3034" s="1">
        <v>7.8</v>
      </c>
      <c r="N3034" s="1">
        <v>30.4</v>
      </c>
      <c r="O3034" s="1">
        <v>36.060867069</v>
      </c>
      <c r="P3034" s="1">
        <v>8.9502908514</v>
      </c>
      <c r="Q3034" s="1">
        <v>20.46245</v>
      </c>
      <c r="R3034" s="1">
        <v>85.11</v>
      </c>
      <c r="S3034" s="1">
        <v>26.0</v>
      </c>
      <c r="T3034" s="1">
        <v>1937.0</v>
      </c>
      <c r="U3034" s="1">
        <v>30.149716056</v>
      </c>
      <c r="V3034" s="1">
        <v>82.508250825</v>
      </c>
      <c r="W3034" s="1">
        <v>6.05296343</v>
      </c>
      <c r="X3034" s="1">
        <v>4.5408163265</v>
      </c>
      <c r="Y3034" s="1">
        <v>76.740706663</v>
      </c>
      <c r="Z3034" s="1">
        <v>13.2</v>
      </c>
      <c r="AA3034" s="1">
        <v>4.8794338769</v>
      </c>
      <c r="AB3034" s="1">
        <v>43717.0</v>
      </c>
      <c r="AC3034" s="1">
        <v>55.5174777239999</v>
      </c>
      <c r="AD3034" s="1">
        <v>79.770992366</v>
      </c>
      <c r="AE3034" s="1">
        <v>5.7880434783</v>
      </c>
      <c r="AF3034" s="1">
        <v>0.4423413229</v>
      </c>
      <c r="AG3034" s="1">
        <v>0.1851661352</v>
      </c>
      <c r="AH3034" s="1">
        <v>0.1954531427</v>
      </c>
      <c r="AI3034" s="1">
        <v>0.0</v>
      </c>
      <c r="AJ3034" s="1">
        <v>1.028700751</v>
      </c>
      <c r="AK3034" s="1">
        <v>97.19164695</v>
      </c>
      <c r="AL3034" s="1">
        <v>0.1904963488</v>
      </c>
      <c r="AM3034" s="1">
        <v>49.9845694889999</v>
      </c>
      <c r="AN3034" s="1">
        <v>100.0</v>
      </c>
      <c r="AO3034" s="1">
        <v>20711.0</v>
      </c>
      <c r="AP3034" s="1">
        <v>19.4</v>
      </c>
      <c r="AQ3034" s="1">
        <v>8.4</v>
      </c>
      <c r="AR3034" s="1">
        <v>18.1</v>
      </c>
      <c r="AS3034" s="1">
        <v>20.1</v>
      </c>
      <c r="AT3034" s="1">
        <v>20.6</v>
      </c>
      <c r="AU3034" s="1">
        <v>18.9</v>
      </c>
      <c r="AV3034" s="1">
        <v>2.2</v>
      </c>
      <c r="AW3034" s="1">
        <v>0.1</v>
      </c>
      <c r="AX3034" s="1">
        <v>0.389</v>
      </c>
      <c r="AY3034" s="1">
        <v>17.9</v>
      </c>
      <c r="AZ3034" s="1">
        <v>12.9</v>
      </c>
      <c r="BA3034" s="1">
        <v>20.8</v>
      </c>
      <c r="BB3034" s="1">
        <v>2.74</v>
      </c>
      <c r="BC3034" s="1" t="s">
        <v>4885</v>
      </c>
      <c r="BD3034" s="1">
        <v>15.4</v>
      </c>
      <c r="BE3034" s="1">
        <v>51.0</v>
      </c>
      <c r="BF3034" s="1">
        <v>22.3</v>
      </c>
      <c r="BG3034" s="1">
        <v>11.3</v>
      </c>
      <c r="BH3034" s="1" t="s">
        <v>4940</v>
      </c>
    </row>
    <row r="3035">
      <c r="A3035" s="1">
        <v>54087.0</v>
      </c>
      <c r="B3035" s="2" t="str">
        <f>IFERROR(__xludf.DUMMYFUNCTION("TO_TEXT(A3035)"),"54087")</f>
        <v>54087</v>
      </c>
      <c r="C3035" s="1">
        <v>14513.0</v>
      </c>
      <c r="D3035" s="1">
        <v>483.562784604453</v>
      </c>
      <c r="E3035" s="1" t="s">
        <v>4094</v>
      </c>
      <c r="F3035" s="1" t="s">
        <v>4941</v>
      </c>
      <c r="G3035" s="1">
        <v>30.0126487439917</v>
      </c>
      <c r="H3035" s="1">
        <v>25.2112720409999</v>
      </c>
      <c r="I3035" s="1">
        <v>5.3724474755</v>
      </c>
      <c r="J3035" s="1">
        <v>9.8703888335</v>
      </c>
      <c r="K3035" s="1">
        <v>23.20495617</v>
      </c>
      <c r="L3035" s="1">
        <v>40.7</v>
      </c>
      <c r="M3035" s="1">
        <v>7.2</v>
      </c>
      <c r="N3035" s="1">
        <v>26.9</v>
      </c>
      <c r="O3035" s="1">
        <v>48.459064719</v>
      </c>
      <c r="P3035" s="1">
        <v>8.6301369863</v>
      </c>
      <c r="Q3035" s="1">
        <v>56.96788</v>
      </c>
      <c r="R3035" s="1">
        <v>90.18</v>
      </c>
      <c r="S3035" s="1">
        <v>31.9</v>
      </c>
      <c r="T3035" s="1">
        <v>3002.0</v>
      </c>
      <c r="U3035" s="1">
        <v>26.482345103</v>
      </c>
      <c r="V3035" s="1">
        <v>263.66001735</v>
      </c>
      <c r="W3035" s="1">
        <v>9.4356261023</v>
      </c>
      <c r="X3035" s="1">
        <v>7.3345259392</v>
      </c>
      <c r="Y3035" s="1">
        <v>72.248828249</v>
      </c>
      <c r="Z3035" s="1">
        <v>14.3</v>
      </c>
      <c r="AA3035" s="1">
        <v>8.1144632948</v>
      </c>
      <c r="AB3035" s="1">
        <v>36658.0</v>
      </c>
      <c r="AC3035" s="1">
        <v>65.670976371</v>
      </c>
      <c r="AD3035" s="1">
        <v>77.038210953</v>
      </c>
      <c r="AE3035" s="1">
        <v>7.8378895049</v>
      </c>
      <c r="AF3035" s="1">
        <v>0.2368647717</v>
      </c>
      <c r="AG3035" s="1">
        <v>0.322997416</v>
      </c>
      <c r="AH3035" s="1">
        <v>0.3301751364</v>
      </c>
      <c r="AI3035" s="1">
        <v>0.0358886018</v>
      </c>
      <c r="AJ3035" s="1">
        <v>1.1843238587</v>
      </c>
      <c r="AK3035" s="1">
        <v>96.805914442</v>
      </c>
      <c r="AL3035" s="1">
        <v>0.0741179958</v>
      </c>
      <c r="AM3035" s="1">
        <v>50.660350273</v>
      </c>
      <c r="AN3035" s="1">
        <v>79.994640225</v>
      </c>
      <c r="AO3035" s="1">
        <v>18954.0</v>
      </c>
      <c r="AP3035" s="1">
        <v>20.3</v>
      </c>
      <c r="AQ3035" s="1">
        <v>10.5</v>
      </c>
      <c r="AR3035" s="1">
        <v>21.8</v>
      </c>
      <c r="AS3035" s="1">
        <v>19.5</v>
      </c>
      <c r="AT3035" s="1">
        <v>22.0</v>
      </c>
      <c r="AU3035" s="1">
        <v>22.6</v>
      </c>
      <c r="AV3035" s="1">
        <v>2.9</v>
      </c>
      <c r="AW3035" s="1">
        <v>0.0</v>
      </c>
      <c r="AX3035" s="1">
        <v>0.5508</v>
      </c>
      <c r="AY3035" s="1">
        <v>19.4</v>
      </c>
      <c r="AZ3035" s="1">
        <v>17.1</v>
      </c>
      <c r="BA3035" s="1">
        <v>25.0</v>
      </c>
      <c r="BB3035" s="1">
        <v>2.83</v>
      </c>
      <c r="BC3035" s="1" t="s">
        <v>4885</v>
      </c>
      <c r="BD3035" s="1">
        <v>20.9</v>
      </c>
      <c r="BE3035" s="1">
        <v>43.5</v>
      </c>
      <c r="BF3035" s="1">
        <v>22.5</v>
      </c>
      <c r="BG3035" s="1">
        <v>13.1</v>
      </c>
      <c r="BH3035" s="1" t="s">
        <v>4941</v>
      </c>
    </row>
    <row r="3036">
      <c r="A3036" s="1">
        <v>54089.0</v>
      </c>
      <c r="B3036" s="2" t="str">
        <f>IFERROR(__xludf.DUMMYFUNCTION("TO_TEXT(A3036)"),"54089")</f>
        <v>54089</v>
      </c>
      <c r="C3036" s="1">
        <v>13325.0</v>
      </c>
      <c r="D3036" s="1">
        <v>360.581177879394</v>
      </c>
      <c r="E3036" s="1" t="s">
        <v>4942</v>
      </c>
      <c r="F3036" s="1" t="s">
        <v>4943</v>
      </c>
      <c r="G3036" s="1">
        <v>36.9542306072806</v>
      </c>
      <c r="H3036" s="1">
        <v>24.72723527</v>
      </c>
      <c r="I3036" s="1">
        <v>5.71370079289999</v>
      </c>
      <c r="J3036" s="1">
        <v>9.6774193548</v>
      </c>
      <c r="K3036" s="1">
        <v>23.907823686</v>
      </c>
      <c r="L3036" s="1">
        <v>37.0</v>
      </c>
      <c r="M3036" s="1">
        <v>7.5</v>
      </c>
      <c r="N3036" s="1">
        <v>31.1</v>
      </c>
      <c r="O3036" s="1">
        <v>51.999712788</v>
      </c>
      <c r="P3036" s="1">
        <v>7.79618701769999</v>
      </c>
      <c r="Q3036" s="1">
        <v>38.48226</v>
      </c>
      <c r="R3036" s="1">
        <v>85.71</v>
      </c>
      <c r="S3036" s="1">
        <v>36.5</v>
      </c>
      <c r="T3036" s="1">
        <v>2217.0</v>
      </c>
      <c r="U3036" s="1">
        <v>33.152909337</v>
      </c>
      <c r="V3036" s="1">
        <v>180.55687542</v>
      </c>
      <c r="W3036" s="1">
        <v>12.829845314</v>
      </c>
      <c r="X3036" s="1">
        <v>9.1412742382</v>
      </c>
      <c r="Y3036" s="1">
        <v>74.615105001</v>
      </c>
      <c r="Z3036" s="1">
        <v>10.9</v>
      </c>
      <c r="AA3036" s="1">
        <v>5.4461099409</v>
      </c>
      <c r="AB3036" s="1">
        <v>34768.0</v>
      </c>
      <c r="AC3036" s="1">
        <v>67.251461988</v>
      </c>
      <c r="AD3036" s="1">
        <v>74.184733103</v>
      </c>
      <c r="AE3036" s="1">
        <v>9.7728162946</v>
      </c>
      <c r="AF3036" s="1">
        <v>4.2789968652</v>
      </c>
      <c r="AG3036" s="1">
        <v>0.3840125392</v>
      </c>
      <c r="AH3036" s="1">
        <v>0.3213166144</v>
      </c>
      <c r="AI3036" s="1">
        <v>0.0235109718</v>
      </c>
      <c r="AJ3036" s="1">
        <v>1.7868338558</v>
      </c>
      <c r="AK3036" s="1">
        <v>91.724137931</v>
      </c>
      <c r="AL3036" s="1">
        <v>0.0958083832</v>
      </c>
      <c r="AM3036" s="1">
        <v>54.86677116</v>
      </c>
      <c r="AN3036" s="1">
        <v>72.12608602</v>
      </c>
      <c r="AO3036" s="1">
        <v>19652.0</v>
      </c>
      <c r="AP3036" s="1">
        <v>18.4</v>
      </c>
      <c r="AQ3036" s="1">
        <v>10.7</v>
      </c>
      <c r="AR3036" s="1">
        <v>17.2</v>
      </c>
      <c r="AS3036" s="1">
        <v>21.3</v>
      </c>
      <c r="AT3036" s="1">
        <v>17.4</v>
      </c>
      <c r="AU3036" s="1">
        <v>27.0</v>
      </c>
      <c r="AV3036" s="1">
        <v>8.4</v>
      </c>
      <c r="AW3036" s="1">
        <v>0.3</v>
      </c>
      <c r="AX3036" s="1">
        <v>0.7794</v>
      </c>
      <c r="AY3036" s="1">
        <v>23.5</v>
      </c>
      <c r="AZ3036" s="1">
        <v>17.2</v>
      </c>
      <c r="BA3036" s="1">
        <v>27.2</v>
      </c>
      <c r="BB3036" s="1">
        <v>2.8</v>
      </c>
      <c r="BC3036" s="1" t="s">
        <v>4885</v>
      </c>
      <c r="BD3036" s="1">
        <v>15.0</v>
      </c>
      <c r="BE3036" s="1">
        <v>42.2</v>
      </c>
      <c r="BF3036" s="1">
        <v>28.4</v>
      </c>
      <c r="BG3036" s="1">
        <v>14.5</v>
      </c>
      <c r="BH3036" s="1" t="s">
        <v>4943</v>
      </c>
    </row>
    <row r="3037">
      <c r="A3037" s="1">
        <v>54091.0</v>
      </c>
      <c r="B3037" s="2" t="str">
        <f>IFERROR(__xludf.DUMMYFUNCTION("TO_TEXT(A3037)"),"54091")</f>
        <v>54091</v>
      </c>
      <c r="C3037" s="1">
        <v>16949.0</v>
      </c>
      <c r="D3037" s="1">
        <v>172.771017932732</v>
      </c>
      <c r="E3037" s="1" t="s">
        <v>786</v>
      </c>
      <c r="F3037" s="1" t="s">
        <v>4944</v>
      </c>
      <c r="G3037" s="1">
        <v>98.1009442602175</v>
      </c>
      <c r="H3037" s="1">
        <v>20.486986555</v>
      </c>
      <c r="I3037" s="1">
        <v>5.0380081936</v>
      </c>
      <c r="J3037" s="1">
        <v>11.02292769</v>
      </c>
      <c r="K3037" s="1">
        <v>21.029651004</v>
      </c>
      <c r="L3037" s="1">
        <v>39.7</v>
      </c>
      <c r="M3037" s="1">
        <v>8.3</v>
      </c>
      <c r="N3037" s="1">
        <v>30.3</v>
      </c>
      <c r="O3037" s="1">
        <v>71.624741048</v>
      </c>
      <c r="P3037" s="1">
        <v>7.3048623227</v>
      </c>
      <c r="Q3037" s="1">
        <v>35.44005</v>
      </c>
      <c r="R3037" s="1">
        <v>89.41</v>
      </c>
      <c r="S3037" s="1">
        <v>21.0</v>
      </c>
      <c r="T3037" s="1">
        <v>3422.0</v>
      </c>
      <c r="U3037" s="1">
        <v>30.742255991</v>
      </c>
      <c r="V3037" s="1">
        <v>204.509002055</v>
      </c>
      <c r="W3037" s="1">
        <v>8.7667161961</v>
      </c>
      <c r="X3037" s="1">
        <v>7.954887218</v>
      </c>
      <c r="Y3037" s="1">
        <v>76.822522961</v>
      </c>
      <c r="Z3037" s="1">
        <v>12.7</v>
      </c>
      <c r="AA3037" s="1">
        <v>0.8220123117</v>
      </c>
      <c r="AB3037" s="1">
        <v>46370.0</v>
      </c>
      <c r="AC3037" s="1">
        <v>51.701517015</v>
      </c>
      <c r="AD3037" s="1">
        <v>77.510884252</v>
      </c>
      <c r="AE3037" s="1">
        <v>7.6402016383</v>
      </c>
      <c r="AF3037" s="1">
        <v>1.1149329854</v>
      </c>
      <c r="AG3037" s="1">
        <v>0.2965247302</v>
      </c>
      <c r="AH3037" s="1">
        <v>0.5218835251</v>
      </c>
      <c r="AI3037" s="1">
        <v>0.0</v>
      </c>
      <c r="AJ3037" s="1">
        <v>1.1267939746</v>
      </c>
      <c r="AK3037" s="1">
        <v>95.896097735</v>
      </c>
      <c r="AL3037" s="1">
        <v>0.1435705368</v>
      </c>
      <c r="AM3037" s="1">
        <v>49.258688175</v>
      </c>
      <c r="AN3037" s="1">
        <v>59.7040544539999</v>
      </c>
      <c r="AO3037" s="1">
        <v>22915.0</v>
      </c>
      <c r="AP3037" s="1">
        <v>16.6</v>
      </c>
      <c r="AQ3037" s="1">
        <v>9.1</v>
      </c>
      <c r="AR3037" s="1">
        <v>14.1</v>
      </c>
      <c r="AS3037" s="1">
        <v>18.1</v>
      </c>
      <c r="AT3037" s="1">
        <v>20.3</v>
      </c>
      <c r="AU3037" s="1">
        <v>21.1</v>
      </c>
      <c r="AV3037" s="1">
        <v>3.7</v>
      </c>
      <c r="AW3037" s="1">
        <v>0.2</v>
      </c>
      <c r="AX3037" s="1">
        <v>0.4464</v>
      </c>
      <c r="AY3037" s="1">
        <v>16.7</v>
      </c>
      <c r="AZ3037" s="1">
        <v>12.7</v>
      </c>
      <c r="BA3037" s="1">
        <v>19.8</v>
      </c>
      <c r="BB3037" s="1">
        <v>2.89</v>
      </c>
      <c r="BC3037" s="1" t="s">
        <v>4885</v>
      </c>
      <c r="BD3037" s="1">
        <v>10.7</v>
      </c>
      <c r="BE3037" s="1">
        <v>47.2</v>
      </c>
      <c r="BF3037" s="1">
        <v>24.8</v>
      </c>
      <c r="BG3037" s="1">
        <v>17.3</v>
      </c>
      <c r="BH3037" s="1" t="s">
        <v>4944</v>
      </c>
    </row>
    <row r="3038">
      <c r="A3038" s="1">
        <v>54093.0</v>
      </c>
      <c r="B3038" s="2" t="str">
        <f>IFERROR(__xludf.DUMMYFUNCTION("TO_TEXT(A3038)"),"54093")</f>
        <v>54093</v>
      </c>
      <c r="C3038" s="1">
        <v>6922.0</v>
      </c>
      <c r="D3038" s="1">
        <v>418.957304902167</v>
      </c>
      <c r="E3038" s="1" t="s">
        <v>4945</v>
      </c>
      <c r="F3038" s="1" t="s">
        <v>4946</v>
      </c>
      <c r="G3038" s="1">
        <v>16.5219699454014</v>
      </c>
      <c r="H3038" s="1">
        <v>20.545770567</v>
      </c>
      <c r="I3038" s="1">
        <v>5.0796634765</v>
      </c>
      <c r="J3038" s="1">
        <v>10.087719298</v>
      </c>
      <c r="K3038" s="1">
        <v>20.712988024</v>
      </c>
      <c r="L3038" s="1">
        <v>30.9</v>
      </c>
      <c r="M3038" s="1">
        <v>8.4</v>
      </c>
      <c r="N3038" s="1">
        <v>25.1</v>
      </c>
      <c r="O3038" s="1">
        <v>98.543621342</v>
      </c>
      <c r="P3038" s="1">
        <v>7.7258320127</v>
      </c>
      <c r="Q3038" s="1">
        <v>43.38395</v>
      </c>
      <c r="R3038" s="1">
        <v>96.39</v>
      </c>
      <c r="S3038" s="1">
        <v>21.3</v>
      </c>
      <c r="T3038" s="1">
        <v>1083.0</v>
      </c>
      <c r="U3038" s="1">
        <v>24.376731302</v>
      </c>
      <c r="V3038" s="1">
        <v>204.509002055</v>
      </c>
      <c r="W3038" s="1">
        <v>8.8888888889</v>
      </c>
      <c r="X3038" s="1">
        <v>8.0689655172</v>
      </c>
      <c r="Y3038" s="1">
        <v>77.274175282</v>
      </c>
      <c r="Z3038" s="1">
        <v>18.6</v>
      </c>
      <c r="AA3038" s="1">
        <v>1.1804610511</v>
      </c>
      <c r="AB3038" s="1">
        <v>48070.0</v>
      </c>
      <c r="AC3038" s="1">
        <v>59.9406528189999</v>
      </c>
      <c r="AD3038" s="1">
        <v>79.310344828</v>
      </c>
      <c r="AE3038" s="1">
        <v>8.2244969996</v>
      </c>
      <c r="AF3038" s="1">
        <v>0.4169662114</v>
      </c>
      <c r="AG3038" s="1">
        <v>0.3019410496</v>
      </c>
      <c r="AH3038" s="1">
        <v>0.3163191948</v>
      </c>
      <c r="AI3038" s="1">
        <v>0.0143781452</v>
      </c>
      <c r="AJ3038" s="1">
        <v>0.7620416966</v>
      </c>
      <c r="AK3038" s="1">
        <v>97.2393961179999</v>
      </c>
      <c r="AL3038" s="1">
        <v>0.0298418383</v>
      </c>
      <c r="AM3038" s="1">
        <v>48.900071891</v>
      </c>
      <c r="AN3038" s="1">
        <v>100.0</v>
      </c>
      <c r="AO3038" s="1">
        <v>22958.0</v>
      </c>
      <c r="AP3038" s="1">
        <v>13.3</v>
      </c>
      <c r="AQ3038" s="1">
        <v>8.2</v>
      </c>
      <c r="AR3038" s="1">
        <v>12.7</v>
      </c>
      <c r="AS3038" s="1">
        <v>22.6</v>
      </c>
      <c r="AT3038" s="1">
        <v>17.8</v>
      </c>
      <c r="AU3038" s="1">
        <v>20.3</v>
      </c>
      <c r="AV3038" s="1">
        <v>2.3</v>
      </c>
      <c r="AW3038" s="1">
        <v>0.0</v>
      </c>
      <c r="AX3038" s="1">
        <v>0.3238</v>
      </c>
      <c r="AY3038" s="1">
        <v>15.3</v>
      </c>
      <c r="AZ3038" s="1">
        <v>12.5</v>
      </c>
      <c r="BA3038" s="1">
        <v>20.3</v>
      </c>
      <c r="BB3038" s="1">
        <v>2.92</v>
      </c>
      <c r="BC3038" s="1" t="s">
        <v>4885</v>
      </c>
      <c r="BD3038" s="1">
        <v>12.2</v>
      </c>
      <c r="BE3038" s="1">
        <v>46.8</v>
      </c>
      <c r="BF3038" s="1">
        <v>21.6</v>
      </c>
      <c r="BG3038" s="1">
        <v>19.4</v>
      </c>
      <c r="BH3038" s="1" t="s">
        <v>4946</v>
      </c>
    </row>
    <row r="3039">
      <c r="A3039" s="1">
        <v>54095.0</v>
      </c>
      <c r="B3039" s="2" t="str">
        <f>IFERROR(__xludf.DUMMYFUNCTION("TO_TEXT(A3039)"),"54095")</f>
        <v>54095</v>
      </c>
      <c r="C3039" s="1">
        <v>9000.0</v>
      </c>
      <c r="D3039" s="1">
        <v>256.293621109808</v>
      </c>
      <c r="E3039" s="1" t="s">
        <v>4492</v>
      </c>
      <c r="F3039" s="1" t="s">
        <v>4947</v>
      </c>
      <c r="G3039" s="1">
        <v>35.1159734722543</v>
      </c>
      <c r="H3039" s="1">
        <v>20.068973855</v>
      </c>
      <c r="I3039" s="1">
        <v>5.1687929388</v>
      </c>
      <c r="J3039" s="1">
        <v>10.04784689</v>
      </c>
      <c r="K3039" s="1">
        <v>21.202811386</v>
      </c>
      <c r="L3039" s="1">
        <v>37.3</v>
      </c>
      <c r="M3039" s="1">
        <v>7.7</v>
      </c>
      <c r="N3039" s="1">
        <v>23.8</v>
      </c>
      <c r="O3039" s="1">
        <v>79.289748045</v>
      </c>
      <c r="P3039" s="1">
        <v>7.4269778365</v>
      </c>
      <c r="Q3039" s="1">
        <v>56.85048</v>
      </c>
      <c r="R3039" s="1">
        <v>92.24</v>
      </c>
      <c r="S3039" s="1">
        <v>22.6</v>
      </c>
      <c r="T3039" s="1">
        <v>1739.0</v>
      </c>
      <c r="U3039" s="1">
        <v>30.994824612</v>
      </c>
      <c r="V3039" s="1">
        <v>229.20318188</v>
      </c>
      <c r="W3039" s="1">
        <v>9.5170454545</v>
      </c>
      <c r="X3039" s="1">
        <v>7.8425655977</v>
      </c>
      <c r="Y3039" s="1">
        <v>76.147632423</v>
      </c>
      <c r="Z3039" s="1">
        <v>10.1</v>
      </c>
      <c r="AA3039" s="1">
        <v>4.4918458094</v>
      </c>
      <c r="AB3039" s="1">
        <v>46054.0</v>
      </c>
      <c r="AC3039" s="1">
        <v>57.6625387</v>
      </c>
      <c r="AD3039" s="1">
        <v>80.654942389</v>
      </c>
      <c r="AE3039" s="1">
        <v>8.2682291667</v>
      </c>
      <c r="AF3039" s="1">
        <v>0.2401097645</v>
      </c>
      <c r="AG3039" s="1">
        <v>0.2744111594</v>
      </c>
      <c r="AH3039" s="1">
        <v>0.1829407729</v>
      </c>
      <c r="AI3039" s="1">
        <v>0.0228675966</v>
      </c>
      <c r="AJ3039" s="1">
        <v>0.7889320832</v>
      </c>
      <c r="AK3039" s="1">
        <v>97.56460096</v>
      </c>
      <c r="AL3039" s="1">
        <v>0.1302237481</v>
      </c>
      <c r="AM3039" s="1">
        <v>49.714155042</v>
      </c>
      <c r="AN3039" s="1">
        <v>91.051259774</v>
      </c>
      <c r="AO3039" s="1">
        <v>22083.0</v>
      </c>
      <c r="AP3039" s="1">
        <v>18.7</v>
      </c>
      <c r="AQ3039" s="1">
        <v>8.5</v>
      </c>
      <c r="AR3039" s="1">
        <v>12.4</v>
      </c>
      <c r="AS3039" s="1">
        <v>20.1</v>
      </c>
      <c r="AT3039" s="1">
        <v>19.8</v>
      </c>
      <c r="AU3039" s="1">
        <v>18.0</v>
      </c>
      <c r="AV3039" s="1">
        <v>2.0</v>
      </c>
      <c r="AW3039" s="1">
        <v>0.1</v>
      </c>
      <c r="AX3039" s="1">
        <v>0.369</v>
      </c>
      <c r="AY3039" s="1">
        <v>15.4</v>
      </c>
      <c r="AZ3039" s="1">
        <v>13.3</v>
      </c>
      <c r="BA3039" s="1">
        <v>20.7</v>
      </c>
      <c r="BB3039" s="1">
        <v>2.86</v>
      </c>
      <c r="BC3039" s="1" t="s">
        <v>4885</v>
      </c>
      <c r="BD3039" s="1">
        <v>10.8</v>
      </c>
      <c r="BE3039" s="1">
        <v>50.5</v>
      </c>
      <c r="BF3039" s="1">
        <v>24.6</v>
      </c>
      <c r="BG3039" s="1">
        <v>14.1</v>
      </c>
      <c r="BH3039" s="1" t="s">
        <v>4947</v>
      </c>
    </row>
    <row r="3040">
      <c r="A3040" s="1">
        <v>54097.0</v>
      </c>
      <c r="B3040" s="2" t="str">
        <f>IFERROR(__xludf.DUMMYFUNCTION("TO_TEXT(A3040)"),"54097")</f>
        <v>54097</v>
      </c>
      <c r="C3040" s="1">
        <v>24632.0</v>
      </c>
      <c r="D3040" s="1">
        <v>354.63734917329</v>
      </c>
      <c r="E3040" s="1" t="s">
        <v>4494</v>
      </c>
      <c r="F3040" s="1" t="s">
        <v>4948</v>
      </c>
      <c r="G3040" s="1">
        <v>69.4568692705963</v>
      </c>
      <c r="H3040" s="1">
        <v>23.9511544869999</v>
      </c>
      <c r="I3040" s="1">
        <v>5.414289508</v>
      </c>
      <c r="J3040" s="1">
        <v>7.5562700965</v>
      </c>
      <c r="K3040" s="1">
        <v>23.769313059</v>
      </c>
      <c r="L3040" s="1">
        <v>32.4</v>
      </c>
      <c r="M3040" s="1">
        <v>7.7</v>
      </c>
      <c r="N3040" s="1">
        <v>23.7</v>
      </c>
      <c r="O3040" s="1">
        <v>63.737940134</v>
      </c>
      <c r="P3040" s="1">
        <v>8.0124189771</v>
      </c>
      <c r="Q3040" s="1">
        <v>40.87472</v>
      </c>
      <c r="R3040" s="1">
        <v>91.02</v>
      </c>
      <c r="S3040" s="1">
        <v>27.5</v>
      </c>
      <c r="T3040" s="1">
        <v>4945.0</v>
      </c>
      <c r="U3040" s="1">
        <v>42.992922144</v>
      </c>
      <c r="V3040" s="1">
        <v>56.656077376</v>
      </c>
      <c r="W3040" s="1">
        <v>8.23723229</v>
      </c>
      <c r="X3040" s="1">
        <v>6.6221480245</v>
      </c>
      <c r="Y3040" s="1">
        <v>76.661482168</v>
      </c>
      <c r="Z3040" s="1">
        <v>14.7</v>
      </c>
      <c r="AA3040" s="1">
        <v>2.718801792</v>
      </c>
      <c r="AB3040" s="1">
        <v>41213.0</v>
      </c>
      <c r="AC3040" s="1">
        <v>58.765889831</v>
      </c>
      <c r="AD3040" s="1">
        <v>75.22925997</v>
      </c>
      <c r="AE3040" s="1">
        <v>8.9399454049</v>
      </c>
      <c r="AF3040" s="1">
        <v>1.0280565226</v>
      </c>
      <c r="AG3040" s="1">
        <v>0.2908048331</v>
      </c>
      <c r="AH3040" s="1">
        <v>0.46692607</v>
      </c>
      <c r="AI3040" s="1">
        <v>0.0122875282</v>
      </c>
      <c r="AJ3040" s="1">
        <v>1.3762031538</v>
      </c>
      <c r="AK3040" s="1">
        <v>95.793569527</v>
      </c>
      <c r="AL3040" s="1">
        <v>0.0344041629</v>
      </c>
      <c r="AM3040" s="1">
        <v>50.415728036</v>
      </c>
      <c r="AN3040" s="1">
        <v>64.001814134</v>
      </c>
      <c r="AO3040" s="1">
        <v>21361.0</v>
      </c>
      <c r="AP3040" s="1">
        <v>17.9</v>
      </c>
      <c r="AQ3040" s="1">
        <v>7.7</v>
      </c>
      <c r="AR3040" s="1">
        <v>16.1</v>
      </c>
      <c r="AS3040" s="1">
        <v>18.3</v>
      </c>
      <c r="AT3040" s="1">
        <v>20.7</v>
      </c>
      <c r="AU3040" s="1">
        <v>15.3</v>
      </c>
      <c r="AV3040" s="1">
        <v>3.6</v>
      </c>
      <c r="AW3040" s="1">
        <v>0.0</v>
      </c>
      <c r="AX3040" s="1">
        <v>0.4578</v>
      </c>
      <c r="AY3040" s="1">
        <v>17.5</v>
      </c>
      <c r="AZ3040" s="1">
        <v>13.2</v>
      </c>
      <c r="BA3040" s="1">
        <v>21.3</v>
      </c>
      <c r="BB3040" s="1">
        <v>2.89</v>
      </c>
      <c r="BC3040" s="1" t="s">
        <v>4885</v>
      </c>
      <c r="BD3040" s="1">
        <v>14.6</v>
      </c>
      <c r="BE3040" s="1">
        <v>49.0</v>
      </c>
      <c r="BF3040" s="1">
        <v>19.5</v>
      </c>
      <c r="BG3040" s="1">
        <v>16.9</v>
      </c>
      <c r="BH3040" s="1" t="s">
        <v>4948</v>
      </c>
    </row>
    <row r="3041">
      <c r="A3041" s="1">
        <v>54099.0</v>
      </c>
      <c r="B3041" s="2" t="str">
        <f>IFERROR(__xludf.DUMMYFUNCTION("TO_TEXT(A3041)"),"54099")</f>
        <v>54099</v>
      </c>
      <c r="C3041" s="1">
        <v>41237.0</v>
      </c>
      <c r="D3041" s="1">
        <v>505.988262512444</v>
      </c>
      <c r="E3041" s="1" t="s">
        <v>1048</v>
      </c>
      <c r="F3041" s="1" t="s">
        <v>4949</v>
      </c>
      <c r="G3041" s="1">
        <v>81.4979379071779</v>
      </c>
      <c r="H3041" s="1">
        <v>25.6574773</v>
      </c>
      <c r="I3041" s="1">
        <v>5.67956976309999</v>
      </c>
      <c r="J3041" s="1">
        <v>10.22685013</v>
      </c>
      <c r="K3041" s="1">
        <v>23.050274397</v>
      </c>
      <c r="L3041" s="1">
        <v>40.0</v>
      </c>
      <c r="M3041" s="1">
        <v>7.6</v>
      </c>
      <c r="N3041" s="1">
        <v>35.1</v>
      </c>
      <c r="O3041" s="1">
        <v>39.203408583</v>
      </c>
      <c r="P3041" s="1">
        <v>7.80296563279999</v>
      </c>
      <c r="Q3041" s="1">
        <v>54.79043</v>
      </c>
      <c r="R3041" s="1">
        <v>86.9</v>
      </c>
      <c r="S3041" s="1">
        <v>25.3</v>
      </c>
      <c r="T3041" s="1">
        <v>8534.0</v>
      </c>
      <c r="U3041" s="1">
        <v>29.0016404969999</v>
      </c>
      <c r="V3041" s="1">
        <v>185.99213519</v>
      </c>
      <c r="W3041" s="1">
        <v>11.705685619</v>
      </c>
      <c r="X3041" s="1">
        <v>10.541132312</v>
      </c>
      <c r="Y3041" s="1">
        <v>74.073910167</v>
      </c>
      <c r="Z3041" s="1">
        <v>18.4</v>
      </c>
      <c r="AA3041" s="1">
        <v>4.4002321863</v>
      </c>
      <c r="AB3041" s="1">
        <v>38704.0</v>
      </c>
      <c r="AC3041" s="1">
        <v>57.863247863</v>
      </c>
      <c r="AD3041" s="1">
        <v>74.403443256</v>
      </c>
      <c r="AE3041" s="1">
        <v>12.205643165</v>
      </c>
      <c r="AF3041" s="1">
        <v>0.5758061286</v>
      </c>
      <c r="AG3041" s="1">
        <v>0.3379731624</v>
      </c>
      <c r="AH3041" s="1">
        <v>0.3154416183</v>
      </c>
      <c r="AI3041" s="1">
        <v>0.0250350491</v>
      </c>
      <c r="AJ3041" s="1">
        <v>0.7310234328</v>
      </c>
      <c r="AK3041" s="1">
        <v>97.068395754</v>
      </c>
      <c r="AL3041" s="1">
        <v>0.1478906128</v>
      </c>
      <c r="AM3041" s="1">
        <v>51.114059684</v>
      </c>
      <c r="AN3041" s="1">
        <v>65.186789388</v>
      </c>
      <c r="AO3041" s="1">
        <v>20450.0</v>
      </c>
      <c r="AP3041" s="1">
        <v>20.9</v>
      </c>
      <c r="AQ3041" s="1">
        <v>9.5</v>
      </c>
      <c r="AR3041" s="1">
        <v>20.6</v>
      </c>
      <c r="AS3041" s="1">
        <v>18.3</v>
      </c>
      <c r="AT3041" s="1">
        <v>21.6</v>
      </c>
      <c r="AU3041" s="1">
        <v>23.7</v>
      </c>
      <c r="AV3041" s="1">
        <v>2.5</v>
      </c>
      <c r="AW3041" s="1">
        <v>0.2</v>
      </c>
      <c r="AX3041" s="1">
        <v>0.6402</v>
      </c>
      <c r="AY3041" s="1">
        <v>19.6</v>
      </c>
      <c r="AZ3041" s="1">
        <v>16.6</v>
      </c>
      <c r="BA3041" s="1">
        <v>24.4</v>
      </c>
      <c r="BB3041" s="1">
        <v>2.71</v>
      </c>
      <c r="BC3041" s="1" t="s">
        <v>4885</v>
      </c>
      <c r="BD3041" s="1">
        <v>20.3</v>
      </c>
      <c r="BE3041" s="1">
        <v>40.6</v>
      </c>
      <c r="BF3041" s="1">
        <v>24.1</v>
      </c>
      <c r="BG3041" s="1">
        <v>15.1</v>
      </c>
      <c r="BH3041" s="1" t="s">
        <v>4949</v>
      </c>
    </row>
    <row r="3042">
      <c r="A3042" s="1">
        <v>54101.0</v>
      </c>
      <c r="B3042" s="2" t="str">
        <f>IFERROR(__xludf.DUMMYFUNCTION("TO_TEXT(A3042)"),"54101")</f>
        <v>54101</v>
      </c>
      <c r="C3042" s="1">
        <v>8820.0</v>
      </c>
      <c r="D3042" s="1">
        <v>553.468492253106</v>
      </c>
      <c r="E3042" s="1" t="s">
        <v>1050</v>
      </c>
      <c r="F3042" s="1" t="s">
        <v>4950</v>
      </c>
      <c r="G3042" s="1">
        <v>15.9358664918662</v>
      </c>
      <c r="H3042" s="1">
        <v>25.635391963</v>
      </c>
      <c r="I3042" s="1">
        <v>5.5348566362</v>
      </c>
      <c r="J3042" s="1">
        <v>10.1910828029999</v>
      </c>
      <c r="K3042" s="1">
        <v>23.386586766</v>
      </c>
      <c r="L3042" s="1">
        <v>39.2</v>
      </c>
      <c r="M3042" s="1">
        <v>7.6</v>
      </c>
      <c r="N3042" s="1">
        <v>35.2</v>
      </c>
      <c r="O3042" s="1">
        <v>45.379069259</v>
      </c>
      <c r="P3042" s="1">
        <v>8.3008269621</v>
      </c>
      <c r="Q3042" s="1">
        <v>35.83373</v>
      </c>
      <c r="R3042" s="1">
        <v>94.51</v>
      </c>
      <c r="S3042" s="1">
        <v>36.8</v>
      </c>
      <c r="T3042" s="1">
        <v>1707.0</v>
      </c>
      <c r="U3042" s="1">
        <v>56.6490919739999</v>
      </c>
      <c r="V3042" s="1">
        <v>204.509002055</v>
      </c>
      <c r="W3042" s="1">
        <v>12.784810127</v>
      </c>
      <c r="X3042" s="1">
        <v>11.9170984459999</v>
      </c>
      <c r="Y3042" s="1">
        <v>74.221651586</v>
      </c>
      <c r="Z3042" s="1">
        <v>14.9</v>
      </c>
      <c r="AA3042" s="1">
        <v>0.6593008052</v>
      </c>
      <c r="AB3042" s="1">
        <v>34054.0</v>
      </c>
      <c r="AC3042" s="1">
        <v>67.789165447</v>
      </c>
      <c r="AD3042" s="1">
        <v>71.687221202</v>
      </c>
      <c r="AE3042" s="1">
        <v>13.973412112</v>
      </c>
      <c r="AF3042" s="1">
        <v>0.4586602293</v>
      </c>
      <c r="AG3042" s="1">
        <v>0.1086300543</v>
      </c>
      <c r="AH3042" s="1">
        <v>0.2414001207</v>
      </c>
      <c r="AI3042" s="1">
        <v>0.012070006</v>
      </c>
      <c r="AJ3042" s="1">
        <v>0.7121303561</v>
      </c>
      <c r="AK3042" s="1">
        <v>97.0669885329999</v>
      </c>
      <c r="AL3042" s="1">
        <v>0.0</v>
      </c>
      <c r="AM3042" s="1">
        <v>49.969824985</v>
      </c>
      <c r="AN3042" s="1">
        <v>100.0</v>
      </c>
      <c r="AO3042" s="1">
        <v>18652.0</v>
      </c>
      <c r="AP3042" s="1">
        <v>27.2</v>
      </c>
      <c r="AQ3042" s="1">
        <v>10.8</v>
      </c>
      <c r="AR3042" s="1">
        <v>26.1</v>
      </c>
      <c r="AS3042" s="1">
        <v>21.1</v>
      </c>
      <c r="AT3042" s="1">
        <v>20.3</v>
      </c>
      <c r="AU3042" s="1">
        <v>23.2</v>
      </c>
      <c r="AV3042" s="1">
        <v>0.4</v>
      </c>
      <c r="AW3042" s="1">
        <v>0.0</v>
      </c>
      <c r="AX3042" s="1">
        <v>0.7163</v>
      </c>
      <c r="AY3042" s="1">
        <v>21.8</v>
      </c>
      <c r="AZ3042" s="1">
        <v>17.2</v>
      </c>
      <c r="BA3042" s="1">
        <v>26.9</v>
      </c>
      <c r="BB3042" s="1">
        <v>2.87</v>
      </c>
      <c r="BC3042" s="1" t="s">
        <v>4885</v>
      </c>
      <c r="BD3042" s="1">
        <v>20.7</v>
      </c>
      <c r="BE3042" s="1">
        <v>49.5</v>
      </c>
      <c r="BF3042" s="1">
        <v>18.4</v>
      </c>
      <c r="BG3042" s="1">
        <v>11.4</v>
      </c>
      <c r="BH3042" s="1" t="s">
        <v>4950</v>
      </c>
    </row>
    <row r="3043">
      <c r="A3043" s="1">
        <v>54103.0</v>
      </c>
      <c r="B3043" s="2" t="str">
        <f>IFERROR(__xludf.DUMMYFUNCTION("TO_TEXT(A3043)"),"54103")</f>
        <v>54103</v>
      </c>
      <c r="C3043" s="1">
        <v>15997.0</v>
      </c>
      <c r="D3043" s="1">
        <v>358.063532992748</v>
      </c>
      <c r="E3043" s="1" t="s">
        <v>4951</v>
      </c>
      <c r="F3043" s="1" t="s">
        <v>4952</v>
      </c>
      <c r="G3043" s="1">
        <v>44.6764289741955</v>
      </c>
      <c r="H3043" s="1">
        <v>23.634422936</v>
      </c>
      <c r="I3043" s="1">
        <v>5.5252452204</v>
      </c>
      <c r="J3043" s="1">
        <v>8.4530853762</v>
      </c>
      <c r="K3043" s="1">
        <v>24.046389495</v>
      </c>
      <c r="L3043" s="1">
        <v>34.0</v>
      </c>
      <c r="M3043" s="1">
        <v>6.1</v>
      </c>
      <c r="N3043" s="1">
        <v>27.2</v>
      </c>
      <c r="O3043" s="1">
        <v>57.076524151</v>
      </c>
      <c r="P3043" s="1">
        <v>7.762980445</v>
      </c>
      <c r="Q3043" s="1">
        <v>51.82354</v>
      </c>
      <c r="R3043" s="1">
        <v>93.09</v>
      </c>
      <c r="S3043" s="1">
        <v>24.7</v>
      </c>
      <c r="T3043" s="1">
        <v>3170.0</v>
      </c>
      <c r="U3043" s="1">
        <v>46.498422713</v>
      </c>
      <c r="V3043" s="1">
        <v>89.333571556</v>
      </c>
      <c r="W3043" s="1">
        <v>8.9743589744</v>
      </c>
      <c r="X3043" s="1">
        <v>7.5471698113</v>
      </c>
      <c r="Y3043" s="1">
        <v>74.895091477</v>
      </c>
      <c r="Z3043" s="1">
        <v>20.9</v>
      </c>
      <c r="AA3043" s="1">
        <v>19.887948791</v>
      </c>
      <c r="AB3043" s="1">
        <v>44685.0</v>
      </c>
      <c r="AC3043" s="1">
        <v>51.266069342</v>
      </c>
      <c r="AD3043" s="1">
        <v>79.782719402</v>
      </c>
      <c r="AE3043" s="1">
        <v>8.1910642935</v>
      </c>
      <c r="AF3043" s="1">
        <v>0.4256712508</v>
      </c>
      <c r="AG3043" s="1">
        <v>0.137524558</v>
      </c>
      <c r="AH3043" s="1">
        <v>0.3470857891</v>
      </c>
      <c r="AI3043" s="1">
        <v>0.0</v>
      </c>
      <c r="AJ3043" s="1">
        <v>0.9954158481</v>
      </c>
      <c r="AK3043" s="1">
        <v>97.072691552</v>
      </c>
      <c r="AL3043" s="1">
        <v>0.0</v>
      </c>
      <c r="AM3043" s="1">
        <v>50.897184021</v>
      </c>
      <c r="AN3043" s="1">
        <v>53.856358922</v>
      </c>
      <c r="AO3043" s="1">
        <v>21484.0</v>
      </c>
      <c r="AP3043" s="1">
        <v>21.1</v>
      </c>
      <c r="AQ3043" s="1">
        <v>8.5</v>
      </c>
      <c r="AR3043" s="1">
        <v>16.9</v>
      </c>
      <c r="AS3043" s="1">
        <v>21.3</v>
      </c>
      <c r="AT3043" s="1">
        <v>20.6</v>
      </c>
      <c r="AU3043" s="1">
        <v>17.4</v>
      </c>
      <c r="AV3043" s="1">
        <v>2.4</v>
      </c>
      <c r="AW3043" s="1">
        <v>0.2</v>
      </c>
      <c r="AX3043" s="1">
        <v>0.4604</v>
      </c>
      <c r="AY3043" s="1">
        <v>16.3</v>
      </c>
      <c r="AZ3043" s="1">
        <v>15.4</v>
      </c>
      <c r="BA3043" s="1">
        <v>27.1</v>
      </c>
      <c r="BB3043" s="1">
        <v>2.88</v>
      </c>
      <c r="BC3043" s="1" t="s">
        <v>4885</v>
      </c>
      <c r="BD3043" s="1">
        <v>13.8</v>
      </c>
      <c r="BE3043" s="1">
        <v>50.9</v>
      </c>
      <c r="BF3043" s="1">
        <v>23.3</v>
      </c>
      <c r="BG3043" s="1">
        <v>12.0</v>
      </c>
      <c r="BH3043" s="1" t="s">
        <v>4952</v>
      </c>
    </row>
    <row r="3044">
      <c r="A3044" s="1">
        <v>54105.0</v>
      </c>
      <c r="B3044" s="2" t="str">
        <f>IFERROR(__xludf.DUMMYFUNCTION("TO_TEXT(A3044)"),"54105")</f>
        <v>54105</v>
      </c>
      <c r="C3044" s="1">
        <v>5826.0</v>
      </c>
      <c r="D3044" s="1">
        <v>232.51104139016</v>
      </c>
      <c r="E3044" s="1" t="s">
        <v>4953</v>
      </c>
      <c r="F3044" s="1" t="s">
        <v>4954</v>
      </c>
      <c r="G3044" s="1">
        <v>25.0568745689104</v>
      </c>
      <c r="H3044" s="1">
        <v>23.641251984</v>
      </c>
      <c r="I3044" s="1">
        <v>5.4919381223</v>
      </c>
      <c r="J3044" s="1">
        <v>7.7889447236</v>
      </c>
      <c r="K3044" s="1">
        <v>23.248005343</v>
      </c>
      <c r="L3044" s="1">
        <v>39.2</v>
      </c>
      <c r="M3044" s="1">
        <v>7.9</v>
      </c>
      <c r="N3044" s="1">
        <v>28.2</v>
      </c>
      <c r="O3044" s="1">
        <v>45.251005772</v>
      </c>
      <c r="P3044" s="1">
        <v>8.2596506362</v>
      </c>
      <c r="Q3044" s="1">
        <v>17.25923</v>
      </c>
      <c r="R3044" s="1">
        <v>88.16</v>
      </c>
      <c r="S3044" s="1">
        <v>28.2</v>
      </c>
      <c r="T3044" s="1">
        <v>1197.0</v>
      </c>
      <c r="U3044" s="1">
        <v>22.890559733</v>
      </c>
      <c r="V3044" s="1">
        <v>245.74188628</v>
      </c>
      <c r="W3044" s="1">
        <v>7.2016460905</v>
      </c>
      <c r="X3044" s="1">
        <v>3.932346723</v>
      </c>
      <c r="Y3044" s="1">
        <v>77.432713803</v>
      </c>
      <c r="Z3044" s="1">
        <v>16.8</v>
      </c>
      <c r="AA3044" s="1">
        <v>0.1539114273</v>
      </c>
      <c r="AB3044" s="1">
        <v>44837.0</v>
      </c>
      <c r="AC3044" s="1">
        <v>61.256038647</v>
      </c>
      <c r="AD3044" s="1">
        <v>81.992797119</v>
      </c>
      <c r="AE3044" s="1">
        <v>5.8798283262</v>
      </c>
      <c r="AF3044" s="1">
        <v>0.4459691252</v>
      </c>
      <c r="AG3044" s="1">
        <v>0.2401372213</v>
      </c>
      <c r="AH3044" s="1">
        <v>0.2915951973</v>
      </c>
      <c r="AI3044" s="1">
        <v>0.0171526587</v>
      </c>
      <c r="AJ3044" s="1">
        <v>0.7547169811</v>
      </c>
      <c r="AK3044" s="1">
        <v>97.101200686</v>
      </c>
      <c r="AL3044" s="1">
        <v>0.0</v>
      </c>
      <c r="AM3044" s="1">
        <v>49.0737564319999</v>
      </c>
      <c r="AN3044" s="1">
        <v>100.0</v>
      </c>
      <c r="AO3044" s="1">
        <v>22021.0</v>
      </c>
      <c r="AP3044" s="1">
        <v>15.2</v>
      </c>
      <c r="AQ3044" s="1">
        <v>5.4</v>
      </c>
      <c r="AR3044" s="1">
        <v>16.7</v>
      </c>
      <c r="AS3044" s="1">
        <v>18.0</v>
      </c>
      <c r="AT3044" s="1">
        <v>21.4</v>
      </c>
      <c r="AU3044" s="1">
        <v>22.1</v>
      </c>
      <c r="AV3044" s="1">
        <v>2.6</v>
      </c>
      <c r="AW3044" s="1">
        <v>0.1</v>
      </c>
      <c r="AX3044" s="1">
        <v>0.2805</v>
      </c>
      <c r="AY3044" s="1">
        <v>17.5</v>
      </c>
      <c r="AZ3044" s="1">
        <v>15.4</v>
      </c>
      <c r="BA3044" s="1">
        <v>26.3</v>
      </c>
      <c r="BB3044" s="1">
        <v>2.74</v>
      </c>
      <c r="BC3044" s="1" t="s">
        <v>4885</v>
      </c>
      <c r="BD3044" s="1">
        <v>17.1</v>
      </c>
      <c r="BE3044" s="1">
        <v>42.0</v>
      </c>
      <c r="BF3044" s="1">
        <v>29.7</v>
      </c>
      <c r="BG3044" s="1">
        <v>11.2</v>
      </c>
      <c r="BH3044" s="1" t="s">
        <v>4954</v>
      </c>
    </row>
    <row r="3045">
      <c r="A3045" s="1">
        <v>54107.0</v>
      </c>
      <c r="B3045" s="2" t="str">
        <f>IFERROR(__xludf.DUMMYFUNCTION("TO_TEXT(A3045)"),"54107")</f>
        <v>54107</v>
      </c>
      <c r="C3045" s="1">
        <v>86262.0</v>
      </c>
      <c r="D3045" s="1">
        <v>366.259947562498</v>
      </c>
      <c r="E3045" s="1" t="s">
        <v>3537</v>
      </c>
      <c r="F3045" s="1" t="s">
        <v>4955</v>
      </c>
      <c r="G3045" s="1">
        <v>235.521248157445</v>
      </c>
      <c r="H3045" s="1">
        <v>21.602369238</v>
      </c>
      <c r="I3045" s="1">
        <v>5.3540314315</v>
      </c>
      <c r="J3045" s="1">
        <v>9.2360489406</v>
      </c>
      <c r="K3045" s="1">
        <v>23.636736029</v>
      </c>
      <c r="L3045" s="1">
        <v>38.8</v>
      </c>
      <c r="M3045" s="1">
        <v>7.6</v>
      </c>
      <c r="N3045" s="1">
        <v>28.2</v>
      </c>
      <c r="O3045" s="1">
        <v>68.309259856</v>
      </c>
      <c r="P3045" s="1">
        <v>7.0861123462</v>
      </c>
      <c r="Q3045" s="1">
        <v>82.2523</v>
      </c>
      <c r="R3045" s="1">
        <v>89.58</v>
      </c>
      <c r="S3045" s="1">
        <v>21.7</v>
      </c>
      <c r="T3045" s="1">
        <v>17782.0</v>
      </c>
      <c r="U3045" s="1">
        <v>35.333483298</v>
      </c>
      <c r="V3045" s="1">
        <v>300.4381632</v>
      </c>
      <c r="W3045" s="1">
        <v>10.724637681</v>
      </c>
      <c r="X3045" s="1">
        <v>9.595181398</v>
      </c>
      <c r="Y3045" s="1">
        <v>74.956778544</v>
      </c>
      <c r="Z3045" s="1">
        <v>17.4</v>
      </c>
      <c r="AA3045" s="1">
        <v>6.6036379757</v>
      </c>
      <c r="AB3045" s="1">
        <v>45278.0</v>
      </c>
      <c r="AC3045" s="1">
        <v>54.023351215</v>
      </c>
      <c r="AD3045" s="1">
        <v>71.308790049</v>
      </c>
      <c r="AE3045" s="1">
        <v>9.5182310734</v>
      </c>
      <c r="AF3045" s="1">
        <v>1.2327351757</v>
      </c>
      <c r="AG3045" s="1">
        <v>0.250584896</v>
      </c>
      <c r="AH3045" s="1">
        <v>0.630618861599999</v>
      </c>
      <c r="AI3045" s="1">
        <v>0.0391910027</v>
      </c>
      <c r="AJ3045" s="1">
        <v>1.1650416256</v>
      </c>
      <c r="AK3045" s="1">
        <v>95.082122965</v>
      </c>
      <c r="AL3045" s="1">
        <v>0.1214314036</v>
      </c>
      <c r="AM3045" s="1">
        <v>51.420970749</v>
      </c>
      <c r="AN3045" s="1">
        <v>26.7744606469999</v>
      </c>
      <c r="AO3045" s="1">
        <v>25465.0</v>
      </c>
      <c r="AP3045" s="1">
        <v>17.4</v>
      </c>
      <c r="AQ3045" s="1">
        <v>7.6</v>
      </c>
      <c r="AR3045" s="1">
        <v>10.4</v>
      </c>
      <c r="AS3045" s="1">
        <v>18.6</v>
      </c>
      <c r="AT3045" s="1">
        <v>21.2</v>
      </c>
      <c r="AU3045" s="1">
        <v>18.3</v>
      </c>
      <c r="AV3045" s="1">
        <v>4.5</v>
      </c>
      <c r="AW3045" s="1">
        <v>0.1</v>
      </c>
      <c r="AX3045" s="1">
        <v>0.3693</v>
      </c>
      <c r="AY3045" s="1">
        <v>14.1</v>
      </c>
      <c r="AZ3045" s="1">
        <v>13.2</v>
      </c>
      <c r="BA3045" s="1">
        <v>20.3</v>
      </c>
      <c r="BB3045" s="1">
        <v>2.69</v>
      </c>
      <c r="BC3045" s="1" t="s">
        <v>4885</v>
      </c>
      <c r="BD3045" s="1">
        <v>10.1</v>
      </c>
      <c r="BE3045" s="1">
        <v>34.4</v>
      </c>
      <c r="BF3045" s="1">
        <v>33.6</v>
      </c>
      <c r="BG3045" s="1">
        <v>21.9</v>
      </c>
      <c r="BH3045" s="1" t="s">
        <v>4955</v>
      </c>
    </row>
    <row r="3046">
      <c r="A3046" s="1">
        <v>54109.0</v>
      </c>
      <c r="B3046" s="2" t="str">
        <f>IFERROR(__xludf.DUMMYFUNCTION("TO_TEXT(A3046)"),"54109")</f>
        <v>54109</v>
      </c>
      <c r="C3046" s="1">
        <v>22537.0</v>
      </c>
      <c r="D3046" s="1">
        <v>499.452768012724</v>
      </c>
      <c r="E3046" s="1" t="s">
        <v>3163</v>
      </c>
      <c r="F3046" s="1" t="s">
        <v>4956</v>
      </c>
      <c r="G3046" s="1">
        <v>45.1233859202996</v>
      </c>
      <c r="H3046" s="1">
        <v>25.973086519</v>
      </c>
      <c r="I3046" s="1">
        <v>5.9013616187</v>
      </c>
      <c r="J3046" s="1">
        <v>12.166780588</v>
      </c>
      <c r="K3046" s="1">
        <v>24.145529897</v>
      </c>
      <c r="L3046" s="1">
        <v>36.1</v>
      </c>
      <c r="M3046" s="1">
        <v>7.6</v>
      </c>
      <c r="N3046" s="1">
        <v>41.0</v>
      </c>
      <c r="O3046" s="1">
        <v>61.657421415</v>
      </c>
      <c r="P3046" s="1">
        <v>7.7390527256</v>
      </c>
      <c r="Q3046" s="1">
        <v>28.28854</v>
      </c>
      <c r="R3046" s="1">
        <v>88.75</v>
      </c>
      <c r="S3046" s="1">
        <v>29.7</v>
      </c>
      <c r="T3046" s="1">
        <v>4458.0</v>
      </c>
      <c r="U3046" s="1">
        <v>28.824585016</v>
      </c>
      <c r="V3046" s="1">
        <v>625.68915558</v>
      </c>
      <c r="W3046" s="1">
        <v>10.303687636</v>
      </c>
      <c r="X3046" s="1">
        <v>7.6812396237</v>
      </c>
      <c r="Y3046" s="1">
        <v>72.080853525</v>
      </c>
      <c r="Z3046" s="1">
        <v>15.2</v>
      </c>
      <c r="AA3046" s="1">
        <v>3.7098623573</v>
      </c>
      <c r="AB3046" s="1">
        <v>35460.0</v>
      </c>
      <c r="AC3046" s="1">
        <v>59.325842697</v>
      </c>
      <c r="AD3046" s="1">
        <v>82.39827723</v>
      </c>
      <c r="AE3046" s="1">
        <v>8.3515681984</v>
      </c>
      <c r="AF3046" s="1">
        <v>0.6879630521</v>
      </c>
      <c r="AG3046" s="1">
        <v>0.2068700087</v>
      </c>
      <c r="AH3046" s="1">
        <v>0.1539497739</v>
      </c>
      <c r="AI3046" s="1">
        <v>0.0048109304</v>
      </c>
      <c r="AJ3046" s="1">
        <v>0.7168286347</v>
      </c>
      <c r="AK3046" s="1">
        <v>97.0990089479999</v>
      </c>
      <c r="AL3046" s="1">
        <v>0.0</v>
      </c>
      <c r="AM3046" s="1">
        <v>50.572500722</v>
      </c>
      <c r="AN3046" s="1">
        <v>88.884686502</v>
      </c>
      <c r="AO3046" s="1">
        <v>19833.0</v>
      </c>
      <c r="AP3046" s="1">
        <v>20.1</v>
      </c>
      <c r="AQ3046" s="1">
        <v>12.1</v>
      </c>
      <c r="AR3046" s="1">
        <v>22.6</v>
      </c>
      <c r="AS3046" s="1">
        <v>17.8</v>
      </c>
      <c r="AT3046" s="1">
        <v>21.3</v>
      </c>
      <c r="AU3046" s="1">
        <v>33.3</v>
      </c>
      <c r="AV3046" s="1">
        <v>2.5</v>
      </c>
      <c r="AW3046" s="1">
        <v>0.0</v>
      </c>
      <c r="AX3046" s="1">
        <v>0.6788</v>
      </c>
      <c r="AY3046" s="1">
        <v>22.9</v>
      </c>
      <c r="AZ3046" s="1">
        <v>18.2</v>
      </c>
      <c r="BA3046" s="1">
        <v>26.8</v>
      </c>
      <c r="BB3046" s="1">
        <v>3.16</v>
      </c>
      <c r="BC3046" s="1" t="s">
        <v>4885</v>
      </c>
      <c r="BD3046" s="1">
        <v>19.8</v>
      </c>
      <c r="BE3046" s="1">
        <v>48.7</v>
      </c>
      <c r="BF3046" s="1">
        <v>22.2</v>
      </c>
      <c r="BG3046" s="1">
        <v>9.3</v>
      </c>
      <c r="BH3046" s="1" t="s">
        <v>4956</v>
      </c>
    </row>
    <row r="3047">
      <c r="A3047" s="1">
        <v>55001.0</v>
      </c>
      <c r="B3047" s="2" t="str">
        <f>IFERROR(__xludf.DUMMYFUNCTION("TO_TEXT(A3047)"),"55001")</f>
        <v>55001</v>
      </c>
      <c r="C3047" s="1">
        <v>20294.0</v>
      </c>
      <c r="D3047" s="1">
        <v>645.616883609378</v>
      </c>
      <c r="E3047" s="1" t="s">
        <v>532</v>
      </c>
      <c r="F3047" s="1" t="s">
        <v>4957</v>
      </c>
      <c r="G3047" s="1">
        <v>31.4335026162027</v>
      </c>
      <c r="H3047" s="1">
        <v>14.188976272</v>
      </c>
      <c r="I3047" s="1">
        <v>3.777039573</v>
      </c>
      <c r="J3047" s="1">
        <v>8.5526315789</v>
      </c>
      <c r="K3047" s="1">
        <v>16.440736811</v>
      </c>
      <c r="L3047" s="1">
        <v>30.2</v>
      </c>
      <c r="M3047" s="1">
        <v>8.5</v>
      </c>
      <c r="N3047" s="1">
        <v>26.1</v>
      </c>
      <c r="O3047" s="1">
        <v>53.073053892</v>
      </c>
      <c r="P3047" s="1">
        <v>7.8638678808</v>
      </c>
      <c r="Q3047" s="1">
        <v>10.01352</v>
      </c>
      <c r="R3047" s="1">
        <v>91.603053435</v>
      </c>
      <c r="S3047" s="1">
        <v>23.7</v>
      </c>
      <c r="T3047" s="1">
        <v>2944.0</v>
      </c>
      <c r="U3047" s="1">
        <v>34.137228261</v>
      </c>
      <c r="V3047" s="1">
        <v>188.28192741</v>
      </c>
      <c r="W3047" s="1">
        <v>13.58490566</v>
      </c>
      <c r="X3047" s="1">
        <v>11.7206349209999</v>
      </c>
      <c r="Y3047" s="1">
        <v>78.222524689</v>
      </c>
      <c r="Z3047" s="1">
        <v>17.4</v>
      </c>
      <c r="AA3047" s="1">
        <v>3.3279784932</v>
      </c>
      <c r="AB3047" s="1">
        <v>43000.0</v>
      </c>
      <c r="AC3047" s="1">
        <v>59.582790091</v>
      </c>
      <c r="AD3047" s="1">
        <v>82.701009398</v>
      </c>
      <c r="AE3047" s="1">
        <v>13.629255383</v>
      </c>
      <c r="AF3047" s="1">
        <v>3.0076666011</v>
      </c>
      <c r="AG3047" s="1">
        <v>1.2089640259</v>
      </c>
      <c r="AH3047" s="1">
        <v>0.5405936701</v>
      </c>
      <c r="AI3047" s="1">
        <v>0.0393159033</v>
      </c>
      <c r="AJ3047" s="1">
        <v>4.1527422843</v>
      </c>
      <c r="AK3047" s="1">
        <v>90.2545704739999</v>
      </c>
      <c r="AL3047" s="1">
        <v>0.710461285</v>
      </c>
      <c r="AM3047" s="1">
        <v>46.3092195789999</v>
      </c>
      <c r="AN3047" s="1">
        <v>100.0</v>
      </c>
      <c r="AO3047" s="1">
        <v>23668.0</v>
      </c>
      <c r="AP3047" s="1">
        <v>12.7</v>
      </c>
      <c r="AQ3047" s="1">
        <v>9.5</v>
      </c>
      <c r="AR3047" s="1">
        <v>12.7</v>
      </c>
      <c r="AS3047" s="1">
        <v>27.0</v>
      </c>
      <c r="AT3047" s="1">
        <v>14.9</v>
      </c>
      <c r="AU3047" s="1">
        <v>21.1</v>
      </c>
      <c r="AV3047" s="1">
        <v>9.4</v>
      </c>
      <c r="AW3047" s="1">
        <v>0.8</v>
      </c>
      <c r="AX3047" s="1">
        <v>0.4852</v>
      </c>
      <c r="AY3047" s="1">
        <v>11.6</v>
      </c>
      <c r="AZ3047" s="1">
        <v>12.2</v>
      </c>
      <c r="BA3047" s="1">
        <v>23.5</v>
      </c>
      <c r="BB3047" s="1">
        <v>3.01</v>
      </c>
      <c r="BC3047" s="1" t="s">
        <v>4958</v>
      </c>
      <c r="BD3047" s="1">
        <v>12.5</v>
      </c>
      <c r="BE3047" s="1">
        <v>42.6</v>
      </c>
      <c r="BF3047" s="1">
        <v>31.1</v>
      </c>
      <c r="BG3047" s="1">
        <v>13.9</v>
      </c>
      <c r="BH3047" s="1" t="s">
        <v>4957</v>
      </c>
    </row>
    <row r="3048">
      <c r="A3048" s="1">
        <v>55003.0</v>
      </c>
      <c r="B3048" s="2" t="str">
        <f>IFERROR(__xludf.DUMMYFUNCTION("TO_TEXT(A3048)"),"55003")</f>
        <v>55003</v>
      </c>
      <c r="C3048" s="1">
        <v>15936.0</v>
      </c>
      <c r="D3048" s="1">
        <v>1045.03681727039</v>
      </c>
      <c r="E3048" s="1" t="s">
        <v>3420</v>
      </c>
      <c r="F3048" s="1" t="s">
        <v>4959</v>
      </c>
      <c r="G3048" s="1">
        <v>15.2492235073826</v>
      </c>
      <c r="H3048" s="1">
        <v>16.491618152</v>
      </c>
      <c r="I3048" s="1">
        <v>4.1975942956</v>
      </c>
      <c r="J3048" s="1">
        <v>5.5467511886</v>
      </c>
      <c r="K3048" s="1">
        <v>18.637507301</v>
      </c>
      <c r="L3048" s="1">
        <v>33.8</v>
      </c>
      <c r="M3048" s="1">
        <v>7.4</v>
      </c>
      <c r="N3048" s="1">
        <v>20.7</v>
      </c>
      <c r="O3048" s="1">
        <v>64.294114006</v>
      </c>
      <c r="P3048" s="1">
        <v>7.9221971784</v>
      </c>
      <c r="Q3048" s="1">
        <v>161.29032</v>
      </c>
      <c r="R3048" s="1">
        <v>89.268292683</v>
      </c>
      <c r="S3048" s="1">
        <v>23.1</v>
      </c>
      <c r="T3048" s="1">
        <v>3467.0</v>
      </c>
      <c r="U3048" s="1">
        <v>32.5930199019999</v>
      </c>
      <c r="V3048" s="1">
        <v>261.54088546</v>
      </c>
      <c r="W3048" s="1">
        <v>11.8440779609999</v>
      </c>
      <c r="X3048" s="1">
        <v>9.4473883422</v>
      </c>
      <c r="Y3048" s="1">
        <v>76.659109528</v>
      </c>
      <c r="Z3048" s="1">
        <v>9.0</v>
      </c>
      <c r="AA3048" s="1">
        <v>12.781554619</v>
      </c>
      <c r="AB3048" s="1">
        <v>44627.0</v>
      </c>
      <c r="AC3048" s="1">
        <v>53.9281905439999</v>
      </c>
      <c r="AD3048" s="1">
        <v>68.331805683</v>
      </c>
      <c r="AE3048" s="1">
        <v>10.795814838</v>
      </c>
      <c r="AF3048" s="1">
        <v>0.4487179487</v>
      </c>
      <c r="AG3048" s="1">
        <v>11.621794872</v>
      </c>
      <c r="AH3048" s="1">
        <v>0.5320512821</v>
      </c>
      <c r="AI3048" s="1">
        <v>0.0320512821</v>
      </c>
      <c r="AJ3048" s="1">
        <v>2.9807692308</v>
      </c>
      <c r="AK3048" s="1">
        <v>82.2435897439999</v>
      </c>
      <c r="AL3048" s="1">
        <v>0.0942570524</v>
      </c>
      <c r="AM3048" s="1">
        <v>49.884615385</v>
      </c>
      <c r="AN3048" s="1">
        <v>54.861669864</v>
      </c>
      <c r="AO3048" s="1">
        <v>22270.0</v>
      </c>
      <c r="AP3048" s="1">
        <v>15.4</v>
      </c>
      <c r="AQ3048" s="1">
        <v>7.2</v>
      </c>
      <c r="AR3048" s="1">
        <v>8.4</v>
      </c>
      <c r="AS3048" s="1">
        <v>17.5</v>
      </c>
      <c r="AT3048" s="1">
        <v>22.7</v>
      </c>
      <c r="AU3048" s="1">
        <v>15.3</v>
      </c>
      <c r="AV3048" s="1">
        <v>17.1</v>
      </c>
      <c r="AW3048" s="1">
        <v>0.1</v>
      </c>
      <c r="AX3048" s="1">
        <v>0.5766</v>
      </c>
      <c r="AY3048" s="1">
        <v>17.8</v>
      </c>
      <c r="AZ3048" s="1">
        <v>11.7</v>
      </c>
      <c r="BA3048" s="1">
        <v>19.5</v>
      </c>
      <c r="BB3048" s="1">
        <v>3.32</v>
      </c>
      <c r="BC3048" s="1" t="s">
        <v>4958</v>
      </c>
      <c r="BD3048" s="1">
        <v>7.8</v>
      </c>
      <c r="BE3048" s="1">
        <v>37.0</v>
      </c>
      <c r="BF3048" s="1">
        <v>35.4</v>
      </c>
      <c r="BG3048" s="1">
        <v>19.8</v>
      </c>
      <c r="BH3048" s="1" t="s">
        <v>4959</v>
      </c>
    </row>
    <row r="3049">
      <c r="A3049" s="1">
        <v>55005.0</v>
      </c>
      <c r="B3049" s="2" t="str">
        <f>IFERROR(__xludf.DUMMYFUNCTION("TO_TEXT(A3049)"),"55005")</f>
        <v>55005</v>
      </c>
      <c r="C3049" s="1">
        <v>45548.0</v>
      </c>
      <c r="D3049" s="1">
        <v>862.746525570422</v>
      </c>
      <c r="E3049" s="1" t="s">
        <v>4960</v>
      </c>
      <c r="F3049" s="1" t="s">
        <v>4961</v>
      </c>
      <c r="G3049" s="1">
        <v>52.7941853719839</v>
      </c>
      <c r="H3049" s="1">
        <v>14.02935223</v>
      </c>
      <c r="I3049" s="1">
        <v>3.8180746097</v>
      </c>
      <c r="J3049" s="1">
        <v>5.711054566</v>
      </c>
      <c r="K3049" s="1">
        <v>16.573061952</v>
      </c>
      <c r="L3049" s="1">
        <v>41.4</v>
      </c>
      <c r="M3049" s="1">
        <v>8.6</v>
      </c>
      <c r="N3049" s="1">
        <v>23.2</v>
      </c>
      <c r="O3049" s="1">
        <v>74.329627207</v>
      </c>
      <c r="P3049" s="1">
        <v>7.9822363926</v>
      </c>
      <c r="Q3049" s="1">
        <v>110.4948</v>
      </c>
      <c r="R3049" s="1">
        <v>90.827338129</v>
      </c>
      <c r="S3049" s="1">
        <v>15.4</v>
      </c>
      <c r="T3049" s="1">
        <v>9660.0</v>
      </c>
      <c r="U3049" s="1">
        <v>32.4120082819999</v>
      </c>
      <c r="V3049" s="1">
        <v>45.920895216</v>
      </c>
      <c r="W3049" s="1">
        <v>11.753878517</v>
      </c>
      <c r="X3049" s="1">
        <v>9.7566137566</v>
      </c>
      <c r="Y3049" s="1">
        <v>79.017820671</v>
      </c>
      <c r="Z3049" s="1">
        <v>11.5</v>
      </c>
      <c r="AA3049" s="1">
        <v>3.1376105891</v>
      </c>
      <c r="AB3049" s="1">
        <v>50344.0</v>
      </c>
      <c r="AC3049" s="1">
        <v>39.4391561619999</v>
      </c>
      <c r="AD3049" s="1">
        <v>75.057567511</v>
      </c>
      <c r="AE3049" s="1">
        <v>10.161057306</v>
      </c>
      <c r="AF3049" s="1">
        <v>1.4325569037</v>
      </c>
      <c r="AG3049" s="1">
        <v>1.1137188912</v>
      </c>
      <c r="AH3049" s="1">
        <v>0.6930298468</v>
      </c>
      <c r="AI3049" s="1">
        <v>0.0221415287</v>
      </c>
      <c r="AJ3049" s="1">
        <v>2.5949871579</v>
      </c>
      <c r="AK3049" s="1">
        <v>93.076343991</v>
      </c>
      <c r="AL3049" s="1">
        <v>0.568195103699999</v>
      </c>
      <c r="AM3049" s="1">
        <v>49.898148968</v>
      </c>
      <c r="AN3049" s="1">
        <v>65.927621539</v>
      </c>
      <c r="AO3049" s="1">
        <v>25426.0</v>
      </c>
      <c r="AP3049" s="1">
        <v>12.2</v>
      </c>
      <c r="AQ3049" s="1">
        <v>5.4</v>
      </c>
      <c r="AR3049" s="1">
        <v>10.1</v>
      </c>
      <c r="AS3049" s="1">
        <v>20.1</v>
      </c>
      <c r="AT3049" s="1">
        <v>21.6</v>
      </c>
      <c r="AU3049" s="1">
        <v>13.8</v>
      </c>
      <c r="AV3049" s="1">
        <v>6.0</v>
      </c>
      <c r="AW3049" s="1">
        <v>0.9</v>
      </c>
      <c r="AX3049" s="1">
        <v>0.2604</v>
      </c>
      <c r="AY3049" s="1">
        <v>8.9</v>
      </c>
      <c r="AZ3049" s="1">
        <v>9.4</v>
      </c>
      <c r="BA3049" s="1">
        <v>17.1</v>
      </c>
      <c r="BB3049" s="1">
        <v>2.88</v>
      </c>
      <c r="BC3049" s="1" t="s">
        <v>4958</v>
      </c>
      <c r="BD3049" s="1">
        <v>9.8</v>
      </c>
      <c r="BE3049" s="1">
        <v>36.1</v>
      </c>
      <c r="BF3049" s="1">
        <v>33.5</v>
      </c>
      <c r="BG3049" s="1">
        <v>20.6</v>
      </c>
      <c r="BH3049" s="1" t="s">
        <v>4961</v>
      </c>
    </row>
    <row r="3050">
      <c r="A3050" s="1">
        <v>55007.0</v>
      </c>
      <c r="B3050" s="2" t="str">
        <f>IFERROR(__xludf.DUMMYFUNCTION("TO_TEXT(A3050)"),"55007")</f>
        <v>55007</v>
      </c>
      <c r="C3050" s="1">
        <v>14987.0</v>
      </c>
      <c r="D3050" s="1">
        <v>1477.86642340177</v>
      </c>
      <c r="E3050" s="1" t="s">
        <v>4962</v>
      </c>
      <c r="F3050" s="1" t="s">
        <v>4963</v>
      </c>
      <c r="G3050" s="1">
        <v>10.1409706335318</v>
      </c>
      <c r="H3050" s="1">
        <v>13.8889290109999</v>
      </c>
      <c r="I3050" s="1">
        <v>3.8484794969</v>
      </c>
      <c r="J3050" s="1">
        <v>5.2213393871</v>
      </c>
      <c r="K3050" s="1">
        <v>16.058552195</v>
      </c>
      <c r="L3050" s="1">
        <v>29.7</v>
      </c>
      <c r="M3050" s="1">
        <v>8.0</v>
      </c>
      <c r="N3050" s="1">
        <v>23.4</v>
      </c>
      <c r="O3050" s="1">
        <v>61.236179566</v>
      </c>
      <c r="P3050" s="1">
        <v>9.1504473757</v>
      </c>
      <c r="Q3050" s="1">
        <v>33.31557</v>
      </c>
      <c r="R3050" s="1">
        <v>94.244604317</v>
      </c>
      <c r="S3050" s="1">
        <v>22.9</v>
      </c>
      <c r="T3050" s="1">
        <v>2593.0</v>
      </c>
      <c r="U3050" s="1">
        <v>27.767065175</v>
      </c>
      <c r="V3050" s="1">
        <v>209.01068277</v>
      </c>
      <c r="W3050" s="1">
        <v>13.161764706</v>
      </c>
      <c r="X3050" s="1">
        <v>10.020661157</v>
      </c>
      <c r="Y3050" s="1">
        <v>80.075113914</v>
      </c>
      <c r="Z3050" s="1">
        <v>8.9</v>
      </c>
      <c r="AA3050" s="1">
        <v>10.441133507</v>
      </c>
      <c r="AB3050" s="1">
        <v>53637.0</v>
      </c>
      <c r="AC3050" s="1">
        <v>44.750656168</v>
      </c>
      <c r="AD3050" s="1">
        <v>82.766049117</v>
      </c>
      <c r="AE3050" s="1">
        <v>10.032845626</v>
      </c>
      <c r="AF3050" s="1">
        <v>0.6315649515</v>
      </c>
      <c r="AG3050" s="1">
        <v>10.390905465</v>
      </c>
      <c r="AH3050" s="1">
        <v>0.5384922218</v>
      </c>
      <c r="AI3050" s="1">
        <v>0.0332402606</v>
      </c>
      <c r="AJ3050" s="1">
        <v>2.0409520011</v>
      </c>
      <c r="AK3050" s="1">
        <v>84.330541151</v>
      </c>
      <c r="AL3050" s="1">
        <v>0.1668172656</v>
      </c>
      <c r="AM3050" s="1">
        <v>49.075920755</v>
      </c>
      <c r="AN3050" s="1">
        <v>100.0</v>
      </c>
      <c r="AO3050" s="1">
        <v>27321.0</v>
      </c>
      <c r="AP3050" s="1">
        <v>11.4</v>
      </c>
      <c r="AQ3050" s="1">
        <v>6.8</v>
      </c>
      <c r="AR3050" s="1">
        <v>5.5</v>
      </c>
      <c r="AS3050" s="1">
        <v>23.9</v>
      </c>
      <c r="AT3050" s="1">
        <v>17.8</v>
      </c>
      <c r="AU3050" s="1">
        <v>15.9</v>
      </c>
      <c r="AV3050" s="1">
        <v>14.9</v>
      </c>
      <c r="AW3050" s="1">
        <v>0.2</v>
      </c>
      <c r="AX3050" s="1">
        <v>0.1191</v>
      </c>
      <c r="AY3050" s="1">
        <v>10.3</v>
      </c>
      <c r="AZ3050" s="1">
        <v>10.2</v>
      </c>
      <c r="BA3050" s="1">
        <v>20.0</v>
      </c>
      <c r="BB3050" s="1">
        <v>3.11</v>
      </c>
      <c r="BC3050" s="1" t="s">
        <v>4958</v>
      </c>
      <c r="BD3050" s="1">
        <v>4.9</v>
      </c>
      <c r="BE3050" s="1">
        <v>29.1</v>
      </c>
      <c r="BF3050" s="1">
        <v>34.8</v>
      </c>
      <c r="BG3050" s="1">
        <v>31.1</v>
      </c>
      <c r="BH3050" s="1" t="s">
        <v>4963</v>
      </c>
    </row>
    <row r="3051">
      <c r="A3051" s="1">
        <v>55009.0</v>
      </c>
      <c r="B3051" s="2" t="str">
        <f>IFERROR(__xludf.DUMMYFUNCTION("TO_TEXT(A3051)"),"55009")</f>
        <v>55009</v>
      </c>
      <c r="C3051" s="1">
        <v>256621.0</v>
      </c>
      <c r="D3051" s="1">
        <v>529.744128993018</v>
      </c>
      <c r="E3051" s="1" t="s">
        <v>1158</v>
      </c>
      <c r="F3051" s="1" t="s">
        <v>4964</v>
      </c>
      <c r="G3051" s="1">
        <v>484.424434278879</v>
      </c>
      <c r="H3051" s="1">
        <v>12.291755527</v>
      </c>
      <c r="I3051" s="1">
        <v>3.5556485838</v>
      </c>
      <c r="J3051" s="1">
        <v>6.8384454588</v>
      </c>
      <c r="K3051" s="1">
        <v>14.962851844</v>
      </c>
      <c r="L3051" s="1">
        <v>32.9</v>
      </c>
      <c r="M3051" s="1">
        <v>8.5</v>
      </c>
      <c r="N3051" s="1">
        <v>19.6</v>
      </c>
      <c r="O3051" s="1">
        <v>91.970791147</v>
      </c>
      <c r="P3051" s="1">
        <v>7.2310333178</v>
      </c>
      <c r="Q3051" s="1">
        <v>71.35988</v>
      </c>
      <c r="R3051" s="1">
        <v>89.9784150479999</v>
      </c>
      <c r="S3051" s="1">
        <v>10.7</v>
      </c>
      <c r="T3051" s="1">
        <v>62036.0</v>
      </c>
      <c r="U3051" s="1">
        <v>30.398478303</v>
      </c>
      <c r="V3051" s="1">
        <v>250.09010452</v>
      </c>
      <c r="W3051" s="1">
        <v>13.578368829</v>
      </c>
      <c r="X3051" s="1">
        <v>10.873978708</v>
      </c>
      <c r="Y3051" s="1">
        <v>79.887059552</v>
      </c>
      <c r="Z3051" s="1">
        <v>10.8</v>
      </c>
      <c r="AA3051" s="1">
        <v>5.8533497932</v>
      </c>
      <c r="AB3051" s="1">
        <v>62097.0</v>
      </c>
      <c r="AC3051" s="1">
        <v>36.673846503</v>
      </c>
      <c r="AD3051" s="1">
        <v>65.209875832</v>
      </c>
      <c r="AE3051" s="1">
        <v>10.3025627</v>
      </c>
      <c r="AF3051" s="1">
        <v>2.7344728869</v>
      </c>
      <c r="AG3051" s="1">
        <v>3.3039965373</v>
      </c>
      <c r="AH3051" s="1">
        <v>3.3920828619</v>
      </c>
      <c r="AI3051" s="1">
        <v>0.083150453</v>
      </c>
      <c r="AJ3051" s="1">
        <v>8.7554769191</v>
      </c>
      <c r="AK3051" s="1">
        <v>80.640372393</v>
      </c>
      <c r="AL3051" s="1">
        <v>2.6400560224</v>
      </c>
      <c r="AM3051" s="1">
        <v>50.422206866</v>
      </c>
      <c r="AN3051" s="1">
        <v>14.49434895</v>
      </c>
      <c r="AO3051" s="1">
        <v>28787.0</v>
      </c>
      <c r="AP3051" s="1">
        <v>11.7</v>
      </c>
      <c r="AQ3051" s="1">
        <v>5.3</v>
      </c>
      <c r="AR3051" s="1">
        <v>8.6</v>
      </c>
      <c r="AS3051" s="1">
        <v>13.1</v>
      </c>
      <c r="AT3051" s="1">
        <v>24.3</v>
      </c>
      <c r="AU3051" s="1">
        <v>10.9</v>
      </c>
      <c r="AV3051" s="1">
        <v>18.0</v>
      </c>
      <c r="AW3051" s="1">
        <v>2.3</v>
      </c>
      <c r="AX3051" s="1">
        <v>0.3696</v>
      </c>
      <c r="AY3051" s="1">
        <v>9.9</v>
      </c>
      <c r="AZ3051" s="1">
        <v>8.0</v>
      </c>
      <c r="BA3051" s="1">
        <v>13.1</v>
      </c>
      <c r="BB3051" s="1">
        <v>3.08</v>
      </c>
      <c r="BC3051" s="1" t="s">
        <v>4958</v>
      </c>
      <c r="BD3051" s="1">
        <v>7.9</v>
      </c>
      <c r="BE3051" s="1">
        <v>29.9</v>
      </c>
      <c r="BF3051" s="1">
        <v>31.9</v>
      </c>
      <c r="BG3051" s="1">
        <v>30.3</v>
      </c>
      <c r="BH3051" s="1" t="s">
        <v>4964</v>
      </c>
    </row>
    <row r="3052">
      <c r="A3052" s="1">
        <v>55011.0</v>
      </c>
      <c r="B3052" s="2" t="str">
        <f>IFERROR(__xludf.DUMMYFUNCTION("TO_TEXT(A3052)"),"55011")</f>
        <v>55011</v>
      </c>
      <c r="C3052" s="1">
        <v>13256.0</v>
      </c>
      <c r="D3052" s="1">
        <v>671.635875765994</v>
      </c>
      <c r="E3052" s="1" t="s">
        <v>2815</v>
      </c>
      <c r="F3052" s="1" t="s">
        <v>4965</v>
      </c>
      <c r="G3052" s="1">
        <v>19.7368849376631</v>
      </c>
      <c r="H3052" s="1">
        <v>12.616834992</v>
      </c>
      <c r="I3052" s="1">
        <v>3.636269349</v>
      </c>
      <c r="J3052" s="1">
        <v>6.3894523327</v>
      </c>
      <c r="K3052" s="1">
        <v>15.532227523</v>
      </c>
      <c r="L3052" s="1">
        <v>25.2</v>
      </c>
      <c r="M3052" s="1">
        <v>8.4</v>
      </c>
      <c r="N3052" s="1">
        <v>25.5</v>
      </c>
      <c r="O3052" s="1">
        <v>66.865386031</v>
      </c>
      <c r="P3052" s="1">
        <v>6.975604977</v>
      </c>
      <c r="Q3052" s="1">
        <v>15.18949</v>
      </c>
      <c r="R3052" s="1">
        <v>97.1428571429999</v>
      </c>
      <c r="S3052" s="1">
        <v>12.5</v>
      </c>
      <c r="T3052" s="1">
        <v>2715.0</v>
      </c>
      <c r="U3052" s="1">
        <v>23.20441989</v>
      </c>
      <c r="V3052" s="1">
        <v>54.758086596</v>
      </c>
      <c r="W3052" s="1">
        <v>13.759859772</v>
      </c>
      <c r="X3052" s="1">
        <v>11.47396293</v>
      </c>
      <c r="Y3052" s="1">
        <v>80.793300574</v>
      </c>
      <c r="Z3052" s="1">
        <v>8.0</v>
      </c>
      <c r="AA3052" s="1">
        <v>6.604819278</v>
      </c>
      <c r="AB3052" s="1">
        <v>59087.0</v>
      </c>
      <c r="AC3052" s="1">
        <v>34.499753573</v>
      </c>
      <c r="AD3052" s="1">
        <v>75.3369508139999</v>
      </c>
      <c r="AE3052" s="1">
        <v>9.9132361085</v>
      </c>
      <c r="AF3052" s="1">
        <v>0.4647619048</v>
      </c>
      <c r="AG3052" s="1">
        <v>0.419047619</v>
      </c>
      <c r="AH3052" s="1">
        <v>0.4876190476</v>
      </c>
      <c r="AI3052" s="1">
        <v>0.0076190476</v>
      </c>
      <c r="AJ3052" s="1">
        <v>2.2019047619</v>
      </c>
      <c r="AK3052" s="1">
        <v>95.573333333</v>
      </c>
      <c r="AL3052" s="1">
        <v>0.8828250401</v>
      </c>
      <c r="AM3052" s="1">
        <v>49.127619048</v>
      </c>
      <c r="AN3052" s="1">
        <v>100.0</v>
      </c>
      <c r="AO3052" s="1">
        <v>26973.0</v>
      </c>
      <c r="AP3052" s="1">
        <v>10.8</v>
      </c>
      <c r="AQ3052" s="1">
        <v>3.7</v>
      </c>
      <c r="AR3052" s="1">
        <v>8.5</v>
      </c>
      <c r="AS3052" s="1">
        <v>19.9</v>
      </c>
      <c r="AT3052" s="1">
        <v>21.1</v>
      </c>
      <c r="AU3052" s="1">
        <v>11.1</v>
      </c>
      <c r="AV3052" s="1">
        <v>3.9</v>
      </c>
      <c r="AW3052" s="1">
        <v>1.0</v>
      </c>
      <c r="AX3052" s="1">
        <v>0.0793</v>
      </c>
      <c r="AY3052" s="1">
        <v>9.5</v>
      </c>
      <c r="AZ3052" s="1">
        <v>8.0</v>
      </c>
      <c r="BA3052" s="1">
        <v>14.2</v>
      </c>
      <c r="BB3052" s="1">
        <v>3.2</v>
      </c>
      <c r="BC3052" s="1" t="s">
        <v>4958</v>
      </c>
      <c r="BD3052" s="1">
        <v>9.1</v>
      </c>
      <c r="BE3052" s="1">
        <v>40.4</v>
      </c>
      <c r="BF3052" s="1">
        <v>31.2</v>
      </c>
      <c r="BG3052" s="1">
        <v>19.3</v>
      </c>
      <c r="BH3052" s="1" t="s">
        <v>4965</v>
      </c>
    </row>
    <row r="3053">
      <c r="A3053" s="1">
        <v>55013.0</v>
      </c>
      <c r="B3053" s="2" t="str">
        <f>IFERROR(__xludf.DUMMYFUNCTION("TO_TEXT(A3053)"),"55013")</f>
        <v>55013</v>
      </c>
      <c r="C3053" s="1">
        <v>15259.0</v>
      </c>
      <c r="D3053" s="1">
        <v>821.569561945641</v>
      </c>
      <c r="E3053" s="1" t="s">
        <v>4966</v>
      </c>
      <c r="F3053" s="1" t="s">
        <v>4967</v>
      </c>
      <c r="G3053" s="1">
        <v>18.5729860340293</v>
      </c>
      <c r="H3053" s="1">
        <v>14.000552928</v>
      </c>
      <c r="I3053" s="1">
        <v>3.8096741663</v>
      </c>
      <c r="J3053" s="1">
        <v>4.0261153428</v>
      </c>
      <c r="K3053" s="1">
        <v>16.09637578</v>
      </c>
      <c r="L3053" s="1">
        <v>35.1</v>
      </c>
      <c r="M3053" s="1">
        <v>8.4</v>
      </c>
      <c r="N3053" s="1">
        <v>28.3</v>
      </c>
      <c r="O3053" s="1">
        <v>69.696577602</v>
      </c>
      <c r="P3053" s="1">
        <v>8.419987117</v>
      </c>
      <c r="Q3053" s="1">
        <v>13.02762</v>
      </c>
      <c r="R3053" s="1">
        <v>83.025830258</v>
      </c>
      <c r="S3053" s="1">
        <v>19.5</v>
      </c>
      <c r="T3053" s="1">
        <v>2631.0</v>
      </c>
      <c r="U3053" s="1">
        <v>37.932345116</v>
      </c>
      <c r="V3053" s="1">
        <v>227.02595992</v>
      </c>
      <c r="W3053" s="1">
        <v>16.0054719559999</v>
      </c>
      <c r="X3053" s="1">
        <v>14.235868807</v>
      </c>
      <c r="Y3053" s="1">
        <v>78.875196828</v>
      </c>
      <c r="Z3053" s="1">
        <v>13.8</v>
      </c>
      <c r="AA3053" s="1">
        <v>2.9052684191</v>
      </c>
      <c r="AB3053" s="1">
        <v>55295.0</v>
      </c>
      <c r="AC3053" s="1">
        <v>42.939814815</v>
      </c>
      <c r="AD3053" s="1">
        <v>81.0078050119999</v>
      </c>
      <c r="AE3053" s="1">
        <v>11.893516531</v>
      </c>
      <c r="AF3053" s="1">
        <v>0.779625779599999</v>
      </c>
      <c r="AG3053" s="1">
        <v>4.67775467779999</v>
      </c>
      <c r="AH3053" s="1">
        <v>0.4547817048</v>
      </c>
      <c r="AI3053" s="1">
        <v>0.0714656965</v>
      </c>
      <c r="AJ3053" s="1">
        <v>2.027027027</v>
      </c>
      <c r="AK3053" s="1">
        <v>90.222193347</v>
      </c>
      <c r="AL3053" s="1">
        <v>0.219028063</v>
      </c>
      <c r="AM3053" s="1">
        <v>48.7785862789999</v>
      </c>
      <c r="AN3053" s="1">
        <v>100.0</v>
      </c>
      <c r="AO3053" s="1">
        <v>25073.0</v>
      </c>
      <c r="AP3053" s="1">
        <v>15.9</v>
      </c>
      <c r="AQ3053" s="1">
        <v>6.3</v>
      </c>
      <c r="AR3053" s="1">
        <v>7.9</v>
      </c>
      <c r="AS3053" s="1">
        <v>26.3</v>
      </c>
      <c r="AT3053" s="1">
        <v>18.3</v>
      </c>
      <c r="AU3053" s="1">
        <v>17.0</v>
      </c>
      <c r="AV3053" s="1">
        <v>9.3</v>
      </c>
      <c r="AW3053" s="1">
        <v>0.3</v>
      </c>
      <c r="AX3053" s="1">
        <v>0.1977</v>
      </c>
      <c r="AY3053" s="1">
        <v>12.6</v>
      </c>
      <c r="AZ3053" s="1">
        <v>10.7</v>
      </c>
      <c r="BA3053" s="1">
        <v>20.7</v>
      </c>
      <c r="BB3053" s="1">
        <v>3.07</v>
      </c>
      <c r="BC3053" s="1" t="s">
        <v>4958</v>
      </c>
      <c r="BD3053" s="1">
        <v>6.8</v>
      </c>
      <c r="BE3053" s="1">
        <v>36.4</v>
      </c>
      <c r="BF3053" s="1">
        <v>36.0</v>
      </c>
      <c r="BG3053" s="1">
        <v>20.8</v>
      </c>
      <c r="BH3053" s="1" t="s">
        <v>4967</v>
      </c>
    </row>
    <row r="3054">
      <c r="A3054" s="1">
        <v>55015.0</v>
      </c>
      <c r="B3054" s="2" t="str">
        <f>IFERROR(__xludf.DUMMYFUNCTION("TO_TEXT(A3054)"),"55015")</f>
        <v>55015</v>
      </c>
      <c r="C3054" s="1">
        <v>49653.0</v>
      </c>
      <c r="D3054" s="1">
        <v>318.235941417586</v>
      </c>
      <c r="E3054" s="1" t="s">
        <v>4968</v>
      </c>
      <c r="F3054" s="1" t="s">
        <v>4969</v>
      </c>
      <c r="G3054" s="1">
        <v>156.02574548563</v>
      </c>
      <c r="H3054" s="1">
        <v>10.860281785</v>
      </c>
      <c r="I3054" s="1">
        <v>3.3373004288</v>
      </c>
      <c r="J3054" s="1">
        <v>6.65004156279999</v>
      </c>
      <c r="K3054" s="1">
        <v>14.157229097</v>
      </c>
      <c r="L3054" s="1">
        <v>26.9</v>
      </c>
      <c r="M3054" s="1">
        <v>9.1</v>
      </c>
      <c r="N3054" s="1">
        <v>19.1</v>
      </c>
      <c r="O3054" s="1">
        <v>79.12642176</v>
      </c>
      <c r="P3054" s="1">
        <v>4.3695206118</v>
      </c>
      <c r="Q3054" s="1">
        <v>11.98394</v>
      </c>
      <c r="R3054" s="1">
        <v>95.8955223879999</v>
      </c>
      <c r="S3054" s="1">
        <v>6.3</v>
      </c>
      <c r="T3054" s="1">
        <v>12146.0</v>
      </c>
      <c r="U3054" s="1">
        <v>19.364399802</v>
      </c>
      <c r="V3054" s="1">
        <v>121.47252813</v>
      </c>
      <c r="W3054" s="1">
        <v>9.2356687898</v>
      </c>
      <c r="X3054" s="1">
        <v>7.7627028465</v>
      </c>
      <c r="Y3054" s="1">
        <v>80.861148257</v>
      </c>
      <c r="Z3054" s="1">
        <v>11.9</v>
      </c>
      <c r="AA3054" s="1">
        <v>4.3112654581</v>
      </c>
      <c r="AB3054" s="1">
        <v>72645.0</v>
      </c>
      <c r="AC3054" s="1">
        <v>25.4145186009999</v>
      </c>
      <c r="AD3054" s="1">
        <v>80.82485818</v>
      </c>
      <c r="AE3054" s="1">
        <v>7.8852484715</v>
      </c>
      <c r="AF3054" s="1">
        <v>0.6957873961</v>
      </c>
      <c r="AG3054" s="1">
        <v>0.5382882434</v>
      </c>
      <c r="AH3054" s="1">
        <v>2.4023604936</v>
      </c>
      <c r="AI3054" s="1">
        <v>0.0558224845</v>
      </c>
      <c r="AJ3054" s="1">
        <v>4.4498494787</v>
      </c>
      <c r="AK3054" s="1">
        <v>90.751410515</v>
      </c>
      <c r="AL3054" s="1">
        <v>0.7484743456</v>
      </c>
      <c r="AM3054" s="1">
        <v>49.636157021</v>
      </c>
      <c r="AN3054" s="1">
        <v>27.5346633719999</v>
      </c>
      <c r="AO3054" s="1">
        <v>30856.0</v>
      </c>
      <c r="AP3054" s="1">
        <v>6.3</v>
      </c>
      <c r="AQ3054" s="1">
        <v>2.6</v>
      </c>
      <c r="AR3054" s="1">
        <v>7.4</v>
      </c>
      <c r="AS3054" s="1">
        <v>13.1</v>
      </c>
      <c r="AT3054" s="1">
        <v>25.4</v>
      </c>
      <c r="AU3054" s="1">
        <v>9.0</v>
      </c>
      <c r="AV3054" s="1">
        <v>8.4</v>
      </c>
      <c r="AW3054" s="1">
        <v>1.2</v>
      </c>
      <c r="AX3054" s="1">
        <v>0.0318</v>
      </c>
      <c r="AY3054" s="1">
        <v>5.4</v>
      </c>
      <c r="AZ3054" s="1">
        <v>5.5</v>
      </c>
      <c r="BA3054" s="1">
        <v>10.8</v>
      </c>
      <c r="BB3054" s="1">
        <v>2.9</v>
      </c>
      <c r="BC3054" s="1" t="s">
        <v>4958</v>
      </c>
      <c r="BD3054" s="1">
        <v>5.8</v>
      </c>
      <c r="BE3054" s="1">
        <v>31.4</v>
      </c>
      <c r="BF3054" s="1">
        <v>33.3</v>
      </c>
      <c r="BG3054" s="1">
        <v>29.4</v>
      </c>
      <c r="BH3054" s="1" t="s">
        <v>4969</v>
      </c>
    </row>
    <row r="3055">
      <c r="A3055" s="1">
        <v>55017.0</v>
      </c>
      <c r="B3055" s="2" t="str">
        <f>IFERROR(__xludf.DUMMYFUNCTION("TO_TEXT(A3055)"),"55017")</f>
        <v>55017</v>
      </c>
      <c r="C3055" s="1">
        <v>63355.0</v>
      </c>
      <c r="D3055" s="1">
        <v>1008.35160717009</v>
      </c>
      <c r="E3055" s="1" t="s">
        <v>2170</v>
      </c>
      <c r="F3055" s="1" t="s">
        <v>4970</v>
      </c>
      <c r="G3055" s="1">
        <v>62.8302662974912</v>
      </c>
      <c r="H3055" s="1">
        <v>13.363668425</v>
      </c>
      <c r="I3055" s="1">
        <v>3.5319019557</v>
      </c>
      <c r="J3055" s="1">
        <v>6.2639821029</v>
      </c>
      <c r="K3055" s="1">
        <v>15.383002818</v>
      </c>
      <c r="L3055" s="1">
        <v>27.9</v>
      </c>
      <c r="M3055" s="1">
        <v>8.5</v>
      </c>
      <c r="N3055" s="1">
        <v>20.6</v>
      </c>
      <c r="O3055" s="1">
        <v>64.168869663</v>
      </c>
      <c r="P3055" s="1">
        <v>5.68145674299999</v>
      </c>
      <c r="Q3055" s="1">
        <v>84.62226</v>
      </c>
      <c r="R3055" s="1">
        <v>89.670658683</v>
      </c>
      <c r="S3055" s="1">
        <v>14.9</v>
      </c>
      <c r="T3055" s="1">
        <v>14349.0</v>
      </c>
      <c r="U3055" s="1">
        <v>27.611680256</v>
      </c>
      <c r="V3055" s="1">
        <v>125.2846483</v>
      </c>
      <c r="W3055" s="1">
        <v>11.031031031</v>
      </c>
      <c r="X3055" s="1">
        <v>9.3301146651</v>
      </c>
      <c r="Y3055" s="1">
        <v>79.857034839</v>
      </c>
      <c r="Z3055" s="1">
        <v>9.8</v>
      </c>
      <c r="AA3055" s="1">
        <v>5.0538471871</v>
      </c>
      <c r="AB3055" s="1">
        <v>59528.0</v>
      </c>
      <c r="AC3055" s="1">
        <v>36.73061994</v>
      </c>
      <c r="AD3055" s="1">
        <v>72.744751815</v>
      </c>
      <c r="AE3055" s="1">
        <v>8.930363235</v>
      </c>
      <c r="AF3055" s="1">
        <v>1.7073360879</v>
      </c>
      <c r="AG3055" s="1">
        <v>0.6314804709</v>
      </c>
      <c r="AH3055" s="1">
        <v>1.4220004678</v>
      </c>
      <c r="AI3055" s="1">
        <v>0.0608092305</v>
      </c>
      <c r="AJ3055" s="1">
        <v>1.827395338</v>
      </c>
      <c r="AK3055" s="1">
        <v>93.477820223</v>
      </c>
      <c r="AL3055" s="1">
        <v>0.453016222</v>
      </c>
      <c r="AM3055" s="1">
        <v>48.173384268</v>
      </c>
      <c r="AN3055" s="1">
        <v>46.142754146</v>
      </c>
      <c r="AO3055" s="1">
        <v>26299.0</v>
      </c>
      <c r="AP3055" s="1">
        <v>11.1</v>
      </c>
      <c r="AQ3055" s="1">
        <v>4.2</v>
      </c>
      <c r="AR3055" s="1">
        <v>7.9</v>
      </c>
      <c r="AS3055" s="1">
        <v>16.2</v>
      </c>
      <c r="AT3055" s="1">
        <v>22.9</v>
      </c>
      <c r="AU3055" s="1">
        <v>12.9</v>
      </c>
      <c r="AV3055" s="1">
        <v>5.9</v>
      </c>
      <c r="AW3055" s="1">
        <v>0.3</v>
      </c>
      <c r="AX3055" s="1">
        <v>0.1945</v>
      </c>
      <c r="AY3055" s="1">
        <v>8.8</v>
      </c>
      <c r="AZ3055" s="1">
        <v>8.9</v>
      </c>
      <c r="BA3055" s="1">
        <v>15.8</v>
      </c>
      <c r="BB3055" s="1">
        <v>2.78</v>
      </c>
      <c r="BC3055" s="1" t="s">
        <v>4958</v>
      </c>
      <c r="BD3055" s="1">
        <v>7.2</v>
      </c>
      <c r="BE3055" s="1">
        <v>35.4</v>
      </c>
      <c r="BF3055" s="1">
        <v>36.4</v>
      </c>
      <c r="BG3055" s="1">
        <v>21.0</v>
      </c>
      <c r="BH3055" s="1" t="s">
        <v>4970</v>
      </c>
    </row>
    <row r="3056">
      <c r="A3056" s="1">
        <v>55019.0</v>
      </c>
      <c r="B3056" s="2" t="str">
        <f>IFERROR(__xludf.DUMMYFUNCTION("TO_TEXT(A3056)"),"55019")</f>
        <v>55019</v>
      </c>
      <c r="C3056" s="1">
        <v>34486.0</v>
      </c>
      <c r="D3056" s="1">
        <v>1209.69957505591</v>
      </c>
      <c r="E3056" s="1" t="s">
        <v>302</v>
      </c>
      <c r="F3056" s="1" t="s">
        <v>4971</v>
      </c>
      <c r="G3056" s="1">
        <v>28.5079045335749</v>
      </c>
      <c r="H3056" s="1">
        <v>14.086168501</v>
      </c>
      <c r="I3056" s="1">
        <v>3.9042887236</v>
      </c>
      <c r="J3056" s="1">
        <v>5.2644836272</v>
      </c>
      <c r="K3056" s="1">
        <v>17.670510932</v>
      </c>
      <c r="L3056" s="1">
        <v>38.8</v>
      </c>
      <c r="M3056" s="1">
        <v>8.8</v>
      </c>
      <c r="N3056" s="1">
        <v>25.5</v>
      </c>
      <c r="O3056" s="1">
        <v>45.791294321</v>
      </c>
      <c r="P3056" s="1">
        <v>16.460774997</v>
      </c>
      <c r="Q3056" s="1">
        <v>28.83589</v>
      </c>
      <c r="R3056" s="1">
        <v>96.121883657</v>
      </c>
      <c r="S3056" s="1">
        <v>18.1</v>
      </c>
      <c r="T3056" s="1">
        <v>10076.0</v>
      </c>
      <c r="U3056" s="1">
        <v>17.844382692</v>
      </c>
      <c r="V3056" s="1">
        <v>47.862851176</v>
      </c>
      <c r="W3056" s="1">
        <v>14.807541241</v>
      </c>
      <c r="X3056" s="1">
        <v>9.5366336634</v>
      </c>
      <c r="Y3056" s="1">
        <v>78.626500643</v>
      </c>
      <c r="Z3056" s="1">
        <v>10.7</v>
      </c>
      <c r="AA3056" s="1">
        <v>1.4936837439</v>
      </c>
      <c r="AB3056" s="1">
        <v>55245.0</v>
      </c>
      <c r="AC3056" s="1">
        <v>49.979372937</v>
      </c>
      <c r="AD3056" s="1">
        <v>77.7890625</v>
      </c>
      <c r="AE3056" s="1">
        <v>9.2077263055</v>
      </c>
      <c r="AF3056" s="1">
        <v>0.4696188309</v>
      </c>
      <c r="AG3056" s="1">
        <v>0.7721340286</v>
      </c>
      <c r="AH3056" s="1">
        <v>0.521478578999999</v>
      </c>
      <c r="AI3056" s="1">
        <v>0.0518597482</v>
      </c>
      <c r="AJ3056" s="1">
        <v>4.8460053588</v>
      </c>
      <c r="AK3056" s="1">
        <v>92.78285171</v>
      </c>
      <c r="AL3056" s="1">
        <v>2.2716501848</v>
      </c>
      <c r="AM3056" s="1">
        <v>49.514535135</v>
      </c>
      <c r="AN3056" s="1">
        <v>91.7296050739999</v>
      </c>
      <c r="AO3056" s="1">
        <v>22560.0</v>
      </c>
      <c r="AP3056" s="1">
        <v>14.9</v>
      </c>
      <c r="AQ3056" s="1">
        <v>4.2</v>
      </c>
      <c r="AR3056" s="1">
        <v>18.4</v>
      </c>
      <c r="AS3056" s="1">
        <v>16.0</v>
      </c>
      <c r="AT3056" s="1">
        <v>29.4</v>
      </c>
      <c r="AU3056" s="1">
        <v>10.9</v>
      </c>
      <c r="AV3056" s="1">
        <v>6.3</v>
      </c>
      <c r="AW3056" s="1">
        <v>1.6</v>
      </c>
      <c r="AX3056" s="1">
        <v>0.5762</v>
      </c>
      <c r="AY3056" s="1">
        <v>13.5</v>
      </c>
      <c r="AZ3056" s="1">
        <v>8.5</v>
      </c>
      <c r="BA3056" s="1">
        <v>15.4</v>
      </c>
      <c r="BB3056" s="1">
        <v>3.12</v>
      </c>
      <c r="BC3056" s="1" t="s">
        <v>4958</v>
      </c>
      <c r="BD3056" s="1">
        <v>17.7</v>
      </c>
      <c r="BE3056" s="1">
        <v>39.8</v>
      </c>
      <c r="BF3056" s="1">
        <v>29.9</v>
      </c>
      <c r="BG3056" s="1">
        <v>12.6</v>
      </c>
      <c r="BH3056" s="1" t="s">
        <v>4971</v>
      </c>
    </row>
    <row r="3057">
      <c r="A3057" s="1">
        <v>55021.0</v>
      </c>
      <c r="B3057" s="2" t="str">
        <f>IFERROR(__xludf.DUMMYFUNCTION("TO_TEXT(A3057)"),"55021")</f>
        <v>55021</v>
      </c>
      <c r="C3057" s="1">
        <v>56650.0</v>
      </c>
      <c r="D3057" s="1">
        <v>765.542706132742</v>
      </c>
      <c r="E3057" s="1" t="s">
        <v>308</v>
      </c>
      <c r="F3057" s="1" t="s">
        <v>4972</v>
      </c>
      <c r="G3057" s="1">
        <v>73.999790666384</v>
      </c>
      <c r="H3057" s="1">
        <v>12.3759620979999</v>
      </c>
      <c r="I3057" s="1">
        <v>3.3725292275</v>
      </c>
      <c r="J3057" s="1">
        <v>5.7692307692</v>
      </c>
      <c r="K3057" s="1">
        <v>14.9819694879999</v>
      </c>
      <c r="L3057" s="1">
        <v>43.2</v>
      </c>
      <c r="M3057" s="1">
        <v>9.0</v>
      </c>
      <c r="N3057" s="1">
        <v>20.2</v>
      </c>
      <c r="O3057" s="1">
        <v>72.2062886</v>
      </c>
      <c r="P3057" s="1">
        <v>5.6439598402</v>
      </c>
      <c r="Q3057" s="1">
        <v>45.41643</v>
      </c>
      <c r="R3057" s="1">
        <v>93.805309735</v>
      </c>
      <c r="S3057" s="1">
        <v>9.8</v>
      </c>
      <c r="T3057" s="1">
        <v>12342.0</v>
      </c>
      <c r="U3057" s="1">
        <v>24.971641549</v>
      </c>
      <c r="V3057" s="1">
        <v>145.49673346</v>
      </c>
      <c r="W3057" s="1">
        <v>12.141615986</v>
      </c>
      <c r="X3057" s="1">
        <v>10.050361287</v>
      </c>
      <c r="Y3057" s="1">
        <v>79.167854462</v>
      </c>
      <c r="Z3057" s="1">
        <v>11.0</v>
      </c>
      <c r="AA3057" s="1">
        <v>1.4778371827</v>
      </c>
      <c r="AB3057" s="1">
        <v>65435.0</v>
      </c>
      <c r="AC3057" s="1">
        <v>29.688779689</v>
      </c>
      <c r="AD3057" s="1">
        <v>73.518284994</v>
      </c>
      <c r="AE3057" s="1">
        <v>10.0502728479999</v>
      </c>
      <c r="AF3057" s="1">
        <v>1.6475469856</v>
      </c>
      <c r="AG3057" s="1">
        <v>0.7078350012</v>
      </c>
      <c r="AH3057" s="1">
        <v>0.8002371073</v>
      </c>
      <c r="AI3057" s="1">
        <v>0.0732243105</v>
      </c>
      <c r="AJ3057" s="1">
        <v>3.4310819764</v>
      </c>
      <c r="AK3057" s="1">
        <v>92.459639457</v>
      </c>
      <c r="AL3057" s="1">
        <v>0.8143956961</v>
      </c>
      <c r="AM3057" s="1">
        <v>48.880714111</v>
      </c>
      <c r="AN3057" s="1">
        <v>60.670737072</v>
      </c>
      <c r="AO3057" s="1">
        <v>29936.0</v>
      </c>
      <c r="AP3057" s="1">
        <v>8.6</v>
      </c>
      <c r="AQ3057" s="1">
        <v>4.3</v>
      </c>
      <c r="AR3057" s="1">
        <v>7.2</v>
      </c>
      <c r="AS3057" s="1">
        <v>16.2</v>
      </c>
      <c r="AT3057" s="1">
        <v>22.4</v>
      </c>
      <c r="AU3057" s="1">
        <v>10.9</v>
      </c>
      <c r="AV3057" s="1">
        <v>6.7</v>
      </c>
      <c r="AW3057" s="1">
        <v>0.8</v>
      </c>
      <c r="AX3057" s="1">
        <v>0.1</v>
      </c>
      <c r="AY3057" s="1">
        <v>6.7</v>
      </c>
      <c r="AZ3057" s="1">
        <v>7.2</v>
      </c>
      <c r="BA3057" s="1">
        <v>13.0</v>
      </c>
      <c r="BB3057" s="1">
        <v>2.86</v>
      </c>
      <c r="BC3057" s="1" t="s">
        <v>4958</v>
      </c>
      <c r="BD3057" s="1">
        <v>7.3</v>
      </c>
      <c r="BE3057" s="1">
        <v>33.7</v>
      </c>
      <c r="BF3057" s="1">
        <v>35.7</v>
      </c>
      <c r="BG3057" s="1">
        <v>23.3</v>
      </c>
      <c r="BH3057" s="1" t="s">
        <v>4972</v>
      </c>
    </row>
    <row r="3058">
      <c r="A3058" s="1">
        <v>55023.0</v>
      </c>
      <c r="B3058" s="2" t="str">
        <f>IFERROR(__xludf.DUMMYFUNCTION("TO_TEXT(A3058)"),"55023")</f>
        <v>55023</v>
      </c>
      <c r="C3058" s="1">
        <v>16415.0</v>
      </c>
      <c r="D3058" s="1">
        <v>570.659481099555</v>
      </c>
      <c r="E3058" s="1" t="s">
        <v>314</v>
      </c>
      <c r="F3058" s="1" t="s">
        <v>4973</v>
      </c>
      <c r="G3058" s="1">
        <v>28.7649649986912</v>
      </c>
      <c r="H3058" s="1">
        <v>12.912950801</v>
      </c>
      <c r="I3058" s="1">
        <v>3.575672712</v>
      </c>
      <c r="J3058" s="1">
        <v>6.5255731922</v>
      </c>
      <c r="K3058" s="1">
        <v>15.898762759</v>
      </c>
      <c r="L3058" s="1">
        <v>38.3</v>
      </c>
      <c r="M3058" s="1">
        <v>8.3</v>
      </c>
      <c r="N3058" s="1">
        <v>24.0</v>
      </c>
      <c r="O3058" s="1">
        <v>72.957221822</v>
      </c>
      <c r="P3058" s="1">
        <v>6.4781099162</v>
      </c>
      <c r="Q3058" s="1">
        <v>67.84261</v>
      </c>
      <c r="R3058" s="1">
        <v>94.478527607</v>
      </c>
      <c r="S3058" s="1">
        <v>19.2</v>
      </c>
      <c r="T3058" s="1">
        <v>3336.0</v>
      </c>
      <c r="U3058" s="1">
        <v>31.324940048</v>
      </c>
      <c r="V3058" s="1">
        <v>116.33958914</v>
      </c>
      <c r="W3058" s="1">
        <v>12.481203008</v>
      </c>
      <c r="X3058" s="1">
        <v>10.243161094</v>
      </c>
      <c r="Y3058" s="1">
        <v>79.887928546</v>
      </c>
      <c r="Z3058" s="1">
        <v>15.2</v>
      </c>
      <c r="AA3058" s="1">
        <v>4.6491960204</v>
      </c>
      <c r="AB3058" s="1">
        <v>49200.0</v>
      </c>
      <c r="AC3058" s="1">
        <v>50.34546292</v>
      </c>
      <c r="AD3058" s="1">
        <v>76.125717739</v>
      </c>
      <c r="AE3058" s="1">
        <v>10.133333333</v>
      </c>
      <c r="AF3058" s="1">
        <v>2.1913940212</v>
      </c>
      <c r="AG3058" s="1">
        <v>0.3498864404</v>
      </c>
      <c r="AH3058" s="1">
        <v>0.6936345221</v>
      </c>
      <c r="AI3058" s="1">
        <v>0.0429685102</v>
      </c>
      <c r="AJ3058" s="1">
        <v>1.6634951814</v>
      </c>
      <c r="AK3058" s="1">
        <v>94.0764839479999</v>
      </c>
      <c r="AL3058" s="1">
        <v>0.652159876</v>
      </c>
      <c r="AM3058" s="1">
        <v>48.063347861</v>
      </c>
      <c r="AN3058" s="1">
        <v>62.41888969</v>
      </c>
      <c r="AO3058" s="1">
        <v>23466.0</v>
      </c>
      <c r="AP3058" s="1">
        <v>13.6</v>
      </c>
      <c r="AQ3058" s="1">
        <v>5.4</v>
      </c>
      <c r="AR3058" s="1">
        <v>9.9</v>
      </c>
      <c r="AS3058" s="1">
        <v>20.8</v>
      </c>
      <c r="AT3058" s="1">
        <v>20.6</v>
      </c>
      <c r="AU3058" s="1">
        <v>15.7</v>
      </c>
      <c r="AV3058" s="1">
        <v>4.7</v>
      </c>
      <c r="AW3058" s="1">
        <v>0.7</v>
      </c>
      <c r="AX3058" s="1">
        <v>0.4982</v>
      </c>
      <c r="AY3058" s="1">
        <v>11.6</v>
      </c>
      <c r="AZ3058" s="1">
        <v>10.2</v>
      </c>
      <c r="BA3058" s="1">
        <v>18.5</v>
      </c>
      <c r="BB3058" s="1">
        <v>2.85</v>
      </c>
      <c r="BC3058" s="1" t="s">
        <v>4958</v>
      </c>
      <c r="BD3058" s="1">
        <v>8.7</v>
      </c>
      <c r="BE3058" s="1">
        <v>39.7</v>
      </c>
      <c r="BF3058" s="1">
        <v>33.2</v>
      </c>
      <c r="BG3058" s="1">
        <v>18.4</v>
      </c>
      <c r="BH3058" s="1" t="s">
        <v>4973</v>
      </c>
    </row>
    <row r="3059">
      <c r="A3059" s="1">
        <v>55025.0</v>
      </c>
      <c r="B3059" s="2" t="str">
        <f>IFERROR(__xludf.DUMMYFUNCTION("TO_TEXT(A3059)"),"55025")</f>
        <v>55025</v>
      </c>
      <c r="C3059" s="1">
        <v>516818.0</v>
      </c>
      <c r="D3059" s="1">
        <v>1196.43128214294</v>
      </c>
      <c r="E3059" s="1" t="s">
        <v>4974</v>
      </c>
      <c r="F3059" s="1" t="s">
        <v>4975</v>
      </c>
      <c r="G3059" s="1">
        <v>431.966304888252</v>
      </c>
      <c r="H3059" s="1">
        <v>11.9905471229999</v>
      </c>
      <c r="I3059" s="1">
        <v>3.4136794784</v>
      </c>
      <c r="J3059" s="1">
        <v>6.9258866502</v>
      </c>
      <c r="K3059" s="1">
        <v>12.4429236279999</v>
      </c>
      <c r="L3059" s="1">
        <v>22.6</v>
      </c>
      <c r="M3059" s="1">
        <v>8.4</v>
      </c>
      <c r="N3059" s="1">
        <v>13.7</v>
      </c>
      <c r="O3059" s="1">
        <v>94.065846707</v>
      </c>
      <c r="P3059" s="1">
        <v>5.0612981137</v>
      </c>
      <c r="Q3059" s="1">
        <v>127.6994</v>
      </c>
      <c r="R3059" s="1">
        <v>90.57905246</v>
      </c>
      <c r="S3059" s="1">
        <v>8.4</v>
      </c>
      <c r="T3059" s="1">
        <v>109118.0</v>
      </c>
      <c r="U3059" s="1">
        <v>26.27064279</v>
      </c>
      <c r="V3059" s="1">
        <v>226.96119188</v>
      </c>
      <c r="W3059" s="1">
        <v>15.790089921</v>
      </c>
      <c r="X3059" s="1">
        <v>13.782991202</v>
      </c>
      <c r="Y3059" s="1">
        <v>81.7174310119999</v>
      </c>
      <c r="Z3059" s="1">
        <v>6.1</v>
      </c>
      <c r="AA3059" s="1">
        <v>5.1349333161</v>
      </c>
      <c r="AB3059" s="1">
        <v>71789.0</v>
      </c>
      <c r="AC3059" s="1">
        <v>28.369023743</v>
      </c>
      <c r="AD3059" s="1">
        <v>57.990341246</v>
      </c>
      <c r="AE3059" s="1">
        <v>13.6704978709999</v>
      </c>
      <c r="AF3059" s="1">
        <v>5.2147635168</v>
      </c>
      <c r="AG3059" s="1">
        <v>0.4659232545</v>
      </c>
      <c r="AH3059" s="1">
        <v>6.41156123929999</v>
      </c>
      <c r="AI3059" s="1">
        <v>0.0556821618</v>
      </c>
      <c r="AJ3059" s="1">
        <v>6.4250208347</v>
      </c>
      <c r="AK3059" s="1">
        <v>79.326798976</v>
      </c>
      <c r="AL3059" s="1">
        <v>1.6329286914</v>
      </c>
      <c r="AM3059" s="1">
        <v>50.274723249</v>
      </c>
      <c r="AN3059" s="1">
        <v>12.3299178609999</v>
      </c>
      <c r="AO3059" s="1">
        <v>35687.0</v>
      </c>
      <c r="AP3059" s="1">
        <v>12.7</v>
      </c>
      <c r="AQ3059" s="1">
        <v>4.4</v>
      </c>
      <c r="AR3059" s="1">
        <v>4.7</v>
      </c>
      <c r="AS3059" s="1">
        <v>11.9</v>
      </c>
      <c r="AT3059" s="1">
        <v>21.1</v>
      </c>
      <c r="AU3059" s="1">
        <v>8.8</v>
      </c>
      <c r="AV3059" s="1">
        <v>19.4</v>
      </c>
      <c r="AW3059" s="1">
        <v>1.9</v>
      </c>
      <c r="AX3059" s="1">
        <v>0.1974</v>
      </c>
      <c r="AY3059" s="1">
        <v>9.4</v>
      </c>
      <c r="AZ3059" s="1">
        <v>7.4</v>
      </c>
      <c r="BA3059" s="1">
        <v>10.7</v>
      </c>
      <c r="BB3059" s="1">
        <v>3.29</v>
      </c>
      <c r="BC3059" s="1" t="s">
        <v>4958</v>
      </c>
      <c r="BD3059" s="1">
        <v>4.2</v>
      </c>
      <c r="BE3059" s="1">
        <v>17.8</v>
      </c>
      <c r="BF3059" s="1">
        <v>26.7</v>
      </c>
      <c r="BG3059" s="1">
        <v>51.4</v>
      </c>
      <c r="BH3059" s="1" t="s">
        <v>4975</v>
      </c>
    </row>
    <row r="3060">
      <c r="A3060" s="1">
        <v>55027.0</v>
      </c>
      <c r="B3060" s="2" t="str">
        <f>IFERROR(__xludf.DUMMYFUNCTION("TO_TEXT(A3060)"),"55027")</f>
        <v>55027</v>
      </c>
      <c r="C3060" s="1">
        <v>88404.0</v>
      </c>
      <c r="D3060" s="1">
        <v>875.673635590072</v>
      </c>
      <c r="E3060" s="1" t="s">
        <v>873</v>
      </c>
      <c r="F3060" s="1" t="s">
        <v>4976</v>
      </c>
      <c r="G3060" s="1">
        <v>100.955420383793</v>
      </c>
      <c r="H3060" s="1">
        <v>11.9402166</v>
      </c>
      <c r="I3060" s="1">
        <v>3.3415539963</v>
      </c>
      <c r="J3060" s="1">
        <v>6.6736916052</v>
      </c>
      <c r="K3060" s="1">
        <v>15.475755585</v>
      </c>
      <c r="L3060" s="1">
        <v>33.8</v>
      </c>
      <c r="M3060" s="1">
        <v>8.8</v>
      </c>
      <c r="N3060" s="1">
        <v>20.6</v>
      </c>
      <c r="O3060" s="1">
        <v>83.3583073269999</v>
      </c>
      <c r="P3060" s="1">
        <v>5.5469770757</v>
      </c>
      <c r="Q3060" s="1">
        <v>45.56535</v>
      </c>
      <c r="R3060" s="1">
        <v>89.7151898729999</v>
      </c>
      <c r="S3060" s="1">
        <v>10.8</v>
      </c>
      <c r="T3060" s="1">
        <v>17904.0</v>
      </c>
      <c r="U3060" s="1">
        <v>30.071492404</v>
      </c>
      <c r="V3060" s="1">
        <v>88.895935134</v>
      </c>
      <c r="W3060" s="1">
        <v>12.327137546</v>
      </c>
      <c r="X3060" s="1">
        <v>10.386291898</v>
      </c>
      <c r="Y3060" s="1">
        <v>78.538822603</v>
      </c>
      <c r="Z3060" s="1">
        <v>11.1</v>
      </c>
      <c r="AA3060" s="1">
        <v>3.837079684</v>
      </c>
      <c r="AB3060" s="1">
        <v>63608.0</v>
      </c>
      <c r="AC3060" s="1">
        <v>33.304624925</v>
      </c>
      <c r="AD3060" s="1">
        <v>69.738477099</v>
      </c>
      <c r="AE3060" s="1">
        <v>10.251342262</v>
      </c>
      <c r="AF3060" s="1">
        <v>3.2408619532</v>
      </c>
      <c r="AG3060" s="1">
        <v>0.5851081995</v>
      </c>
      <c r="AH3060" s="1">
        <v>0.6784523091</v>
      </c>
      <c r="AI3060" s="1">
        <v>0.0683005679999999</v>
      </c>
      <c r="AJ3060" s="1">
        <v>4.8960123852</v>
      </c>
      <c r="AK3060" s="1">
        <v>89.682060856</v>
      </c>
      <c r="AL3060" s="1">
        <v>0.5663585421</v>
      </c>
      <c r="AM3060" s="1">
        <v>47.130806971</v>
      </c>
      <c r="AN3060" s="1">
        <v>48.641827871</v>
      </c>
      <c r="AO3060" s="1">
        <v>25617.0</v>
      </c>
      <c r="AP3060" s="1">
        <v>8.8</v>
      </c>
      <c r="AQ3060" s="1">
        <v>4.8</v>
      </c>
      <c r="AR3060" s="1">
        <v>11.0</v>
      </c>
      <c r="AS3060" s="1">
        <v>16.3</v>
      </c>
      <c r="AT3060" s="1">
        <v>21.2</v>
      </c>
      <c r="AU3060" s="1">
        <v>11.3</v>
      </c>
      <c r="AV3060" s="1">
        <v>9.4</v>
      </c>
      <c r="AW3060" s="1">
        <v>0.6</v>
      </c>
      <c r="AX3060" s="1">
        <v>0.1968</v>
      </c>
      <c r="AY3060" s="1">
        <v>8.0</v>
      </c>
      <c r="AZ3060" s="1">
        <v>7.7</v>
      </c>
      <c r="BA3060" s="1">
        <v>13.2</v>
      </c>
      <c r="BB3060" s="1">
        <v>2.88</v>
      </c>
      <c r="BC3060" s="1" t="s">
        <v>4958</v>
      </c>
      <c r="BD3060" s="1">
        <v>9.2</v>
      </c>
      <c r="BE3060" s="1">
        <v>40.9</v>
      </c>
      <c r="BF3060" s="1">
        <v>32.9</v>
      </c>
      <c r="BG3060" s="1">
        <v>17.0</v>
      </c>
      <c r="BH3060" s="1" t="s">
        <v>4976</v>
      </c>
    </row>
    <row r="3061">
      <c r="A3061" s="1">
        <v>55029.0</v>
      </c>
      <c r="B3061" s="2" t="str">
        <f>IFERROR(__xludf.DUMMYFUNCTION("TO_TEXT(A3061)"),"55029")</f>
        <v>55029</v>
      </c>
      <c r="C3061" s="1">
        <v>27669.0</v>
      </c>
      <c r="D3061" s="1">
        <v>481.962397605983</v>
      </c>
      <c r="E3061" s="1" t="s">
        <v>4977</v>
      </c>
      <c r="F3061" s="1" t="s">
        <v>4978</v>
      </c>
      <c r="G3061" s="1">
        <v>57.4090429822703</v>
      </c>
      <c r="H3061" s="1">
        <v>11.8394643559999</v>
      </c>
      <c r="I3061" s="1">
        <v>3.3264824587</v>
      </c>
      <c r="J3061" s="1">
        <v>7.0802427512</v>
      </c>
      <c r="K3061" s="1">
        <v>13.029937925</v>
      </c>
      <c r="L3061" s="1">
        <v>32.7</v>
      </c>
      <c r="M3061" s="1">
        <v>8.9</v>
      </c>
      <c r="N3061" s="1">
        <v>20.2</v>
      </c>
      <c r="O3061" s="1">
        <v>73.017815368</v>
      </c>
      <c r="P3061" s="1">
        <v>6.9841760734</v>
      </c>
      <c r="Q3061" s="1">
        <v>80.04949</v>
      </c>
      <c r="R3061" s="1">
        <v>94.718309859</v>
      </c>
      <c r="S3061" s="1">
        <v>12.8</v>
      </c>
      <c r="T3061" s="1">
        <v>4470.0</v>
      </c>
      <c r="U3061" s="1">
        <v>26.487695749</v>
      </c>
      <c r="V3061" s="1">
        <v>43.30097788</v>
      </c>
      <c r="W3061" s="1">
        <v>13.0134357009999</v>
      </c>
      <c r="X3061" s="1">
        <v>11.645962733</v>
      </c>
      <c r="Y3061" s="1">
        <v>81.151998536</v>
      </c>
      <c r="Z3061" s="1">
        <v>11.2</v>
      </c>
      <c r="AA3061" s="1">
        <v>2.5781191312</v>
      </c>
      <c r="AB3061" s="1">
        <v>61221.0</v>
      </c>
      <c r="AC3061" s="1">
        <v>33.844339623</v>
      </c>
      <c r="AD3061" s="1">
        <v>77.887238557</v>
      </c>
      <c r="AE3061" s="1">
        <v>10.5201316</v>
      </c>
      <c r="AF3061" s="1">
        <v>0.6845345889</v>
      </c>
      <c r="AG3061" s="1">
        <v>0.7352408548</v>
      </c>
      <c r="AH3061" s="1">
        <v>0.5034407823</v>
      </c>
      <c r="AI3061" s="1">
        <v>0.0434625136</v>
      </c>
      <c r="AJ3061" s="1">
        <v>3.2343353857</v>
      </c>
      <c r="AK3061" s="1">
        <v>93.737776168</v>
      </c>
      <c r="AL3061" s="1">
        <v>0.4997160704</v>
      </c>
      <c r="AM3061" s="1">
        <v>50.651937704</v>
      </c>
      <c r="AN3061" s="1">
        <v>68.986863416</v>
      </c>
      <c r="AO3061" s="1">
        <v>32767.0</v>
      </c>
      <c r="AP3061" s="1">
        <v>9.0</v>
      </c>
      <c r="AQ3061" s="1">
        <v>5.9</v>
      </c>
      <c r="AR3061" s="1">
        <v>6.4</v>
      </c>
      <c r="AS3061" s="1">
        <v>26.6</v>
      </c>
      <c r="AT3061" s="1">
        <v>16.6</v>
      </c>
      <c r="AU3061" s="1">
        <v>13.2</v>
      </c>
      <c r="AV3061" s="1">
        <v>5.4</v>
      </c>
      <c r="AW3061" s="1">
        <v>0.5</v>
      </c>
      <c r="AX3061" s="1">
        <v>0.0449</v>
      </c>
      <c r="AY3061" s="1">
        <v>9.3</v>
      </c>
      <c r="AZ3061" s="1">
        <v>8.2</v>
      </c>
      <c r="BA3061" s="1">
        <v>14.4</v>
      </c>
      <c r="BB3061" s="1">
        <v>3.56</v>
      </c>
      <c r="BC3061" s="1" t="s">
        <v>4958</v>
      </c>
      <c r="BD3061" s="1">
        <v>5.6</v>
      </c>
      <c r="BE3061" s="1">
        <v>30.3</v>
      </c>
      <c r="BF3061" s="1">
        <v>30.3</v>
      </c>
      <c r="BG3061" s="1">
        <v>33.7</v>
      </c>
      <c r="BH3061" s="1" t="s">
        <v>4978</v>
      </c>
    </row>
    <row r="3062">
      <c r="A3062" s="1">
        <v>55031.0</v>
      </c>
      <c r="B3062" s="2" t="str">
        <f>IFERROR(__xludf.DUMMYFUNCTION("TO_TEXT(A3062)"),"55031")</f>
        <v>55031</v>
      </c>
      <c r="C3062" s="1">
        <v>43705.0</v>
      </c>
      <c r="D3062" s="1">
        <v>1304.14272426676</v>
      </c>
      <c r="E3062" s="1" t="s">
        <v>569</v>
      </c>
      <c r="F3062" s="1" t="s">
        <v>4979</v>
      </c>
      <c r="G3062" s="1">
        <v>33.5124363206276</v>
      </c>
      <c r="H3062" s="1">
        <v>12.941404851</v>
      </c>
      <c r="I3062" s="1">
        <v>3.682416233</v>
      </c>
      <c r="J3062" s="1">
        <v>6.2222222222</v>
      </c>
      <c r="K3062" s="1">
        <v>17.813739463</v>
      </c>
      <c r="L3062" s="1">
        <v>31.1</v>
      </c>
      <c r="M3062" s="1">
        <v>7.8</v>
      </c>
      <c r="N3062" s="1">
        <v>19.0</v>
      </c>
      <c r="O3062" s="1">
        <v>69.473946421</v>
      </c>
      <c r="P3062" s="1">
        <v>6.5935028166</v>
      </c>
      <c r="Q3062" s="1">
        <v>20.7929</v>
      </c>
      <c r="R3062" s="1">
        <v>89.0350877189999</v>
      </c>
      <c r="S3062" s="1">
        <v>14.3</v>
      </c>
      <c r="T3062" s="1">
        <v>8599.0</v>
      </c>
      <c r="U3062" s="1">
        <v>34.050470985</v>
      </c>
      <c r="V3062" s="1">
        <v>184.54837231</v>
      </c>
      <c r="W3062" s="1">
        <v>12.86407767</v>
      </c>
      <c r="X3062" s="1">
        <v>11.180973209</v>
      </c>
      <c r="Y3062" s="1">
        <v>79.165862433</v>
      </c>
      <c r="Z3062" s="1">
        <v>7.9</v>
      </c>
      <c r="AA3062" s="1">
        <v>8.4856776158</v>
      </c>
      <c r="AB3062" s="1">
        <v>50637.0</v>
      </c>
      <c r="AC3062" s="1">
        <v>40.158115521</v>
      </c>
      <c r="AD3062" s="1">
        <v>66.902748414</v>
      </c>
      <c r="AE3062" s="1">
        <v>10.38671024</v>
      </c>
      <c r="AF3062" s="1">
        <v>1.1687650435</v>
      </c>
      <c r="AG3062" s="1">
        <v>1.9602851324</v>
      </c>
      <c r="AH3062" s="1">
        <v>1.1664506573</v>
      </c>
      <c r="AI3062" s="1">
        <v>0.0370301796</v>
      </c>
      <c r="AJ3062" s="1">
        <v>1.5737826328</v>
      </c>
      <c r="AK3062" s="1">
        <v>91.49694501</v>
      </c>
      <c r="AL3062" s="1">
        <v>0.2257665137</v>
      </c>
      <c r="AM3062" s="1">
        <v>49.9467691169999</v>
      </c>
      <c r="AN3062" s="1">
        <v>38.755406599</v>
      </c>
      <c r="AO3062" s="1">
        <v>26036.0</v>
      </c>
      <c r="AP3062" s="1">
        <v>15.5</v>
      </c>
      <c r="AQ3062" s="1">
        <v>6.4</v>
      </c>
      <c r="AR3062" s="1">
        <v>6.4</v>
      </c>
      <c r="AS3062" s="1">
        <v>16.3</v>
      </c>
      <c r="AT3062" s="1">
        <v>20.5</v>
      </c>
      <c r="AU3062" s="1">
        <v>14.7</v>
      </c>
      <c r="AV3062" s="1">
        <v>7.9</v>
      </c>
      <c r="AW3062" s="1">
        <v>0.2</v>
      </c>
      <c r="AX3062" s="1">
        <v>0.3505</v>
      </c>
      <c r="AY3062" s="1">
        <v>11.5</v>
      </c>
      <c r="AZ3062" s="1">
        <v>10.4</v>
      </c>
      <c r="BA3062" s="1">
        <v>17.1</v>
      </c>
      <c r="BB3062" s="1">
        <v>2.88</v>
      </c>
      <c r="BC3062" s="1" t="s">
        <v>4958</v>
      </c>
      <c r="BD3062" s="1">
        <v>6.3</v>
      </c>
      <c r="BE3062" s="1">
        <v>31.1</v>
      </c>
      <c r="BF3062" s="1">
        <v>38.5</v>
      </c>
      <c r="BG3062" s="1">
        <v>24.1</v>
      </c>
      <c r="BH3062" s="1" t="s">
        <v>4979</v>
      </c>
    </row>
    <row r="3063">
      <c r="A3063" s="1">
        <v>55033.0</v>
      </c>
      <c r="B3063" s="2" t="str">
        <f>IFERROR(__xludf.DUMMYFUNCTION("TO_TEXT(A3063)"),"55033")</f>
        <v>55033</v>
      </c>
      <c r="C3063" s="1">
        <v>44348.0</v>
      </c>
      <c r="D3063" s="1">
        <v>850.15331424376</v>
      </c>
      <c r="E3063" s="1" t="s">
        <v>3354</v>
      </c>
      <c r="F3063" s="1" t="s">
        <v>4980</v>
      </c>
      <c r="G3063" s="1">
        <v>52.1647087142735</v>
      </c>
      <c r="H3063" s="1">
        <v>14.070600777</v>
      </c>
      <c r="I3063" s="1">
        <v>3.728909755</v>
      </c>
      <c r="J3063" s="1">
        <v>5.8258642766</v>
      </c>
      <c r="K3063" s="1">
        <v>16.230806759</v>
      </c>
      <c r="L3063" s="1">
        <v>41.6</v>
      </c>
      <c r="M3063" s="1">
        <v>8.4</v>
      </c>
      <c r="N3063" s="1">
        <v>18.9</v>
      </c>
      <c r="O3063" s="1">
        <v>63.654604738</v>
      </c>
      <c r="P3063" s="1">
        <v>5.9741750359</v>
      </c>
      <c r="Q3063" s="1">
        <v>60.41215</v>
      </c>
      <c r="R3063" s="1">
        <v>90.147783251</v>
      </c>
      <c r="S3063" s="1">
        <v>11.8</v>
      </c>
      <c r="T3063" s="1">
        <v>8733.0</v>
      </c>
      <c r="U3063" s="1">
        <v>26.600251918</v>
      </c>
      <c r="V3063" s="1">
        <v>160.01983344</v>
      </c>
      <c r="W3063" s="1">
        <v>15.354211006</v>
      </c>
      <c r="X3063" s="1">
        <v>13.353751914</v>
      </c>
      <c r="Y3063" s="1">
        <v>80.418246028</v>
      </c>
      <c r="Z3063" s="1">
        <v>9.3</v>
      </c>
      <c r="AA3063" s="1">
        <v>4.5780978676</v>
      </c>
      <c r="AB3063" s="1">
        <v>57506.0</v>
      </c>
      <c r="AC3063" s="1">
        <v>34.275618375</v>
      </c>
      <c r="AD3063" s="1">
        <v>67.362349863</v>
      </c>
      <c r="AE3063" s="1">
        <v>12.2166943059999</v>
      </c>
      <c r="AF3063" s="1">
        <v>0.7954620992</v>
      </c>
      <c r="AG3063" s="1">
        <v>0.5229221599</v>
      </c>
      <c r="AH3063" s="1">
        <v>2.8982295983</v>
      </c>
      <c r="AI3063" s="1">
        <v>0.0598258403</v>
      </c>
      <c r="AJ3063" s="1">
        <v>1.941016153</v>
      </c>
      <c r="AK3063" s="1">
        <v>92.687952848</v>
      </c>
      <c r="AL3063" s="1">
        <v>0.6499822085</v>
      </c>
      <c r="AM3063" s="1">
        <v>49.810551506</v>
      </c>
      <c r="AN3063" s="1">
        <v>59.3132225189999</v>
      </c>
      <c r="AO3063" s="1">
        <v>25120.0</v>
      </c>
      <c r="AP3063" s="1">
        <v>14.2</v>
      </c>
      <c r="AQ3063" s="1">
        <v>5.5</v>
      </c>
      <c r="AR3063" s="1">
        <v>7.1</v>
      </c>
      <c r="AS3063" s="1">
        <v>14.7</v>
      </c>
      <c r="AT3063" s="1">
        <v>19.9</v>
      </c>
      <c r="AU3063" s="1">
        <v>11.3</v>
      </c>
      <c r="AV3063" s="1">
        <v>6.7</v>
      </c>
      <c r="AW3063" s="1">
        <v>0.5</v>
      </c>
      <c r="AX3063" s="1">
        <v>0.1996</v>
      </c>
      <c r="AY3063" s="1">
        <v>11.7</v>
      </c>
      <c r="AZ3063" s="1">
        <v>8.7</v>
      </c>
      <c r="BA3063" s="1">
        <v>14.3</v>
      </c>
      <c r="BB3063" s="1">
        <v>2.81</v>
      </c>
      <c r="BC3063" s="1" t="s">
        <v>4958</v>
      </c>
      <c r="BD3063" s="1">
        <v>6.3</v>
      </c>
      <c r="BE3063" s="1">
        <v>33.3</v>
      </c>
      <c r="BF3063" s="1">
        <v>32.5</v>
      </c>
      <c r="BG3063" s="1">
        <v>27.9</v>
      </c>
      <c r="BH3063" s="1" t="s">
        <v>4980</v>
      </c>
    </row>
    <row r="3064">
      <c r="A3064" s="1">
        <v>55035.0</v>
      </c>
      <c r="B3064" s="2" t="str">
        <f>IFERROR(__xludf.DUMMYFUNCTION("TO_TEXT(A3064)"),"55035")</f>
        <v>55035</v>
      </c>
      <c r="C3064" s="1">
        <v>101907.0</v>
      </c>
      <c r="D3064" s="1">
        <v>637.92209121362</v>
      </c>
      <c r="E3064" s="1" t="s">
        <v>4981</v>
      </c>
      <c r="F3064" s="1" t="s">
        <v>4982</v>
      </c>
      <c r="G3064" s="1">
        <v>159.748347648733</v>
      </c>
      <c r="H3064" s="1">
        <v>13.0549376009999</v>
      </c>
      <c r="I3064" s="1">
        <v>3.7593118383</v>
      </c>
      <c r="J3064" s="1">
        <v>6.34825393019999</v>
      </c>
      <c r="K3064" s="1">
        <v>16.445144577</v>
      </c>
      <c r="L3064" s="1">
        <v>30.8</v>
      </c>
      <c r="M3064" s="1">
        <v>8.1</v>
      </c>
      <c r="N3064" s="1">
        <v>20.1</v>
      </c>
      <c r="O3064" s="1">
        <v>80.735496678</v>
      </c>
      <c r="P3064" s="1">
        <v>6.4997182896</v>
      </c>
      <c r="Q3064" s="1">
        <v>123.46751</v>
      </c>
      <c r="R3064" s="1">
        <v>87.412587413</v>
      </c>
      <c r="S3064" s="1">
        <v>12.6</v>
      </c>
      <c r="T3064" s="1">
        <v>20793.0</v>
      </c>
      <c r="U3064" s="1">
        <v>23.757995479</v>
      </c>
      <c r="V3064" s="1">
        <v>141.68596527</v>
      </c>
      <c r="W3064" s="1">
        <v>14.116915423</v>
      </c>
      <c r="X3064" s="1">
        <v>12.3287671229999</v>
      </c>
      <c r="Y3064" s="1">
        <v>79.534466852</v>
      </c>
      <c r="Z3064" s="1">
        <v>8.9</v>
      </c>
      <c r="AA3064" s="1">
        <v>6.4996094595</v>
      </c>
      <c r="AB3064" s="1">
        <v>60111.0</v>
      </c>
      <c r="AC3064" s="1">
        <v>34.142461964</v>
      </c>
      <c r="AD3064" s="1">
        <v>63.170809511</v>
      </c>
      <c r="AE3064" s="1">
        <v>12.569167981</v>
      </c>
      <c r="AF3064" s="1">
        <v>1.1364723439</v>
      </c>
      <c r="AG3064" s="1">
        <v>0.6409397899</v>
      </c>
      <c r="AH3064" s="1">
        <v>4.395699007</v>
      </c>
      <c r="AI3064" s="1">
        <v>0.0688771118</v>
      </c>
      <c r="AJ3064" s="1">
        <v>2.5561061473</v>
      </c>
      <c r="AK3064" s="1">
        <v>89.6751296229999</v>
      </c>
      <c r="AL3064" s="1">
        <v>1.2682092597</v>
      </c>
      <c r="AM3064" s="1">
        <v>50.593108462</v>
      </c>
      <c r="AN3064" s="1">
        <v>23.0007292169999</v>
      </c>
      <c r="AO3064" s="1">
        <v>26795.0</v>
      </c>
      <c r="AP3064" s="1">
        <v>14.6</v>
      </c>
      <c r="AQ3064" s="1">
        <v>4.8</v>
      </c>
      <c r="AR3064" s="1">
        <v>6.9</v>
      </c>
      <c r="AS3064" s="1">
        <v>13.9</v>
      </c>
      <c r="AT3064" s="1">
        <v>20.5</v>
      </c>
      <c r="AU3064" s="1">
        <v>12.4</v>
      </c>
      <c r="AV3064" s="1">
        <v>9.1</v>
      </c>
      <c r="AW3064" s="1">
        <v>1.1</v>
      </c>
      <c r="AX3064" s="1">
        <v>0.1862</v>
      </c>
      <c r="AY3064" s="1">
        <v>10.6</v>
      </c>
      <c r="AZ3064" s="1">
        <v>8.9</v>
      </c>
      <c r="BA3064" s="1">
        <v>13.9</v>
      </c>
      <c r="BB3064" s="1">
        <v>3.12</v>
      </c>
      <c r="BC3064" s="1" t="s">
        <v>4958</v>
      </c>
      <c r="BD3064" s="1">
        <v>5.9</v>
      </c>
      <c r="BE3064" s="1">
        <v>25.0</v>
      </c>
      <c r="BF3064" s="1">
        <v>36.7</v>
      </c>
      <c r="BG3064" s="1">
        <v>32.3</v>
      </c>
      <c r="BH3064" s="1" t="s">
        <v>4982</v>
      </c>
    </row>
    <row r="3065">
      <c r="A3065" s="1">
        <v>55037.0</v>
      </c>
      <c r="B3065" s="2" t="str">
        <f>IFERROR(__xludf.DUMMYFUNCTION("TO_TEXT(A3065)"),"55037")</f>
        <v>55037</v>
      </c>
      <c r="C3065" s="1">
        <v>4474.0</v>
      </c>
      <c r="D3065" s="1">
        <v>488.122672390574</v>
      </c>
      <c r="E3065" s="1" t="s">
        <v>3855</v>
      </c>
      <c r="F3065" s="1" t="s">
        <v>4983</v>
      </c>
      <c r="G3065" s="1">
        <v>9.16572872570873</v>
      </c>
      <c r="H3065" s="1">
        <v>12.734808355</v>
      </c>
      <c r="I3065" s="1">
        <v>3.5875696097</v>
      </c>
      <c r="J3065" s="1">
        <v>8.6124401914</v>
      </c>
      <c r="K3065" s="1">
        <v>15.527174054</v>
      </c>
      <c r="L3065" s="1">
        <v>33.8</v>
      </c>
      <c r="M3065" s="1">
        <v>8.6</v>
      </c>
      <c r="N3065" s="1">
        <v>25.6</v>
      </c>
      <c r="O3065" s="1">
        <v>78.7248473889999</v>
      </c>
      <c r="P3065" s="1">
        <v>7.4326416847</v>
      </c>
      <c r="Q3065" s="1">
        <v>68.63418</v>
      </c>
      <c r="R3065" s="1">
        <v>93.75</v>
      </c>
      <c r="S3065" s="1">
        <v>18.4</v>
      </c>
      <c r="T3065" s="1">
        <v>696.0</v>
      </c>
      <c r="U3065" s="1">
        <v>20.114942529</v>
      </c>
      <c r="V3065" s="1">
        <v>88.672134782</v>
      </c>
      <c r="W3065" s="1">
        <v>11.9897959179999</v>
      </c>
      <c r="X3065" s="1">
        <v>9.067357513</v>
      </c>
      <c r="Y3065" s="1">
        <v>75.895795796</v>
      </c>
      <c r="Z3065" s="1">
        <v>14.1</v>
      </c>
      <c r="AA3065" s="1">
        <v>5.3121233104</v>
      </c>
      <c r="AB3065" s="1">
        <v>53188.0</v>
      </c>
      <c r="AC3065" s="1">
        <v>50.130548303</v>
      </c>
      <c r="AD3065" s="1">
        <v>84.776119403</v>
      </c>
      <c r="AE3065" s="1">
        <v>11.139499234</v>
      </c>
      <c r="AF3065" s="1">
        <v>0.4165702384</v>
      </c>
      <c r="AG3065" s="1">
        <v>0.9719972229</v>
      </c>
      <c r="AH3065" s="1">
        <v>0.4165702384</v>
      </c>
      <c r="AI3065" s="1">
        <v>0.023142791</v>
      </c>
      <c r="AJ3065" s="1">
        <v>0.9257116408</v>
      </c>
      <c r="AK3065" s="1">
        <v>95.811154825</v>
      </c>
      <c r="AL3065" s="1">
        <v>0.0</v>
      </c>
      <c r="AM3065" s="1">
        <v>48.484147188</v>
      </c>
      <c r="AN3065" s="1">
        <v>100.0</v>
      </c>
      <c r="AO3065" s="1">
        <v>28358.0</v>
      </c>
      <c r="AP3065" s="1">
        <v>8.0</v>
      </c>
      <c r="AQ3065" s="1">
        <v>7.6</v>
      </c>
      <c r="AR3065" s="1">
        <v>7.2</v>
      </c>
      <c r="AS3065" s="1">
        <v>25.4</v>
      </c>
      <c r="AT3065" s="1">
        <v>15.8</v>
      </c>
      <c r="AU3065" s="1">
        <v>18.7</v>
      </c>
      <c r="AV3065" s="1">
        <v>1.7</v>
      </c>
      <c r="AW3065" s="1">
        <v>0.0</v>
      </c>
      <c r="AX3065" s="1">
        <v>0.0825</v>
      </c>
      <c r="AY3065" s="1">
        <v>10.9</v>
      </c>
      <c r="AZ3065" s="1">
        <v>10.1</v>
      </c>
      <c r="BA3065" s="1">
        <v>17.4</v>
      </c>
      <c r="BB3065" s="1">
        <v>2.93</v>
      </c>
      <c r="BC3065" s="1" t="s">
        <v>4958</v>
      </c>
      <c r="BD3065" s="1">
        <v>6.9</v>
      </c>
      <c r="BE3065" s="1">
        <v>37.6</v>
      </c>
      <c r="BF3065" s="1">
        <v>35.5</v>
      </c>
      <c r="BG3065" s="1">
        <v>19.9</v>
      </c>
      <c r="BH3065" s="1" t="s">
        <v>4983</v>
      </c>
    </row>
    <row r="3066">
      <c r="A3066" s="1">
        <v>55039.0</v>
      </c>
      <c r="B3066" s="2" t="str">
        <f>IFERROR(__xludf.DUMMYFUNCTION("TO_TEXT(A3066)"),"55039")</f>
        <v>55039</v>
      </c>
      <c r="C3066" s="1">
        <v>101968.0</v>
      </c>
      <c r="D3066" s="1">
        <v>719.554201160282</v>
      </c>
      <c r="E3066" s="1" t="s">
        <v>4984</v>
      </c>
      <c r="F3066" s="1" t="s">
        <v>4985</v>
      </c>
      <c r="G3066" s="1">
        <v>141.709964079949</v>
      </c>
      <c r="H3066" s="1">
        <v>12.966435004</v>
      </c>
      <c r="I3066" s="1">
        <v>3.6043582356</v>
      </c>
      <c r="J3066" s="1">
        <v>7.0383182544</v>
      </c>
      <c r="K3066" s="1">
        <v>15.7882759209999</v>
      </c>
      <c r="L3066" s="1">
        <v>34.2</v>
      </c>
      <c r="M3066" s="1">
        <v>8.5</v>
      </c>
      <c r="N3066" s="1">
        <v>24.6</v>
      </c>
      <c r="O3066" s="1">
        <v>84.915332618</v>
      </c>
      <c r="P3066" s="1">
        <v>5.52280331909999</v>
      </c>
      <c r="Q3066" s="1">
        <v>63.38495</v>
      </c>
      <c r="R3066" s="1">
        <v>89.210526316</v>
      </c>
      <c r="S3066" s="1">
        <v>11.9</v>
      </c>
      <c r="T3066" s="1">
        <v>21970.0</v>
      </c>
      <c r="U3066" s="1">
        <v>27.309968138</v>
      </c>
      <c r="V3066" s="1">
        <v>191.44298926</v>
      </c>
      <c r="W3066" s="1">
        <v>12.027784548</v>
      </c>
      <c r="X3066" s="1">
        <v>10.18177352</v>
      </c>
      <c r="Y3066" s="1">
        <v>80.4415130369999</v>
      </c>
      <c r="Z3066" s="1">
        <v>8.6</v>
      </c>
      <c r="AA3066" s="1">
        <v>6.8147967283</v>
      </c>
      <c r="AB3066" s="1">
        <v>59428.0</v>
      </c>
      <c r="AC3066" s="1">
        <v>35.738582905</v>
      </c>
      <c r="AD3066" s="1">
        <v>71.223334785</v>
      </c>
      <c r="AE3066" s="1">
        <v>10.440062196</v>
      </c>
      <c r="AF3066" s="1">
        <v>1.914307337</v>
      </c>
      <c r="AG3066" s="1">
        <v>0.5928240157</v>
      </c>
      <c r="AH3066" s="1">
        <v>1.9094560767</v>
      </c>
      <c r="AI3066" s="1">
        <v>0.0717986533</v>
      </c>
      <c r="AJ3066" s="1">
        <v>5.2645877399</v>
      </c>
      <c r="AK3066" s="1">
        <v>89.274833602</v>
      </c>
      <c r="AL3066" s="1">
        <v>0.9289368489</v>
      </c>
      <c r="AM3066" s="1">
        <v>50.814041488</v>
      </c>
      <c r="AN3066" s="1">
        <v>35.129337912</v>
      </c>
      <c r="AO3066" s="1">
        <v>28036.0</v>
      </c>
      <c r="AP3066" s="1">
        <v>8.6</v>
      </c>
      <c r="AQ3066" s="1">
        <v>4.6</v>
      </c>
      <c r="AR3066" s="1">
        <v>8.4</v>
      </c>
      <c r="AS3066" s="1">
        <v>16.5</v>
      </c>
      <c r="AT3066" s="1">
        <v>22.0</v>
      </c>
      <c r="AU3066" s="1">
        <v>11.4</v>
      </c>
      <c r="AV3066" s="1">
        <v>9.3</v>
      </c>
      <c r="AW3066" s="1">
        <v>1.2</v>
      </c>
      <c r="AX3066" s="1">
        <v>0.2044</v>
      </c>
      <c r="AY3066" s="1">
        <v>7.3</v>
      </c>
      <c r="AZ3066" s="1">
        <v>7.6</v>
      </c>
      <c r="BA3066" s="1">
        <v>13.2</v>
      </c>
      <c r="BB3066" s="1">
        <v>3.05</v>
      </c>
      <c r="BC3066" s="1" t="s">
        <v>4958</v>
      </c>
      <c r="BD3066" s="1">
        <v>8.2</v>
      </c>
      <c r="BE3066" s="1">
        <v>36.1</v>
      </c>
      <c r="BF3066" s="1">
        <v>32.7</v>
      </c>
      <c r="BG3066" s="1">
        <v>23.1</v>
      </c>
      <c r="BH3066" s="1" t="s">
        <v>4985</v>
      </c>
    </row>
    <row r="3067">
      <c r="A3067" s="1">
        <v>55041.0</v>
      </c>
      <c r="B3067" s="2" t="str">
        <f>IFERROR(__xludf.DUMMYFUNCTION("TO_TEXT(A3067)"),"55041")</f>
        <v>55041</v>
      </c>
      <c r="C3067" s="1">
        <v>9108.0</v>
      </c>
      <c r="D3067" s="1">
        <v>1014.24304144869</v>
      </c>
      <c r="E3067" s="1" t="s">
        <v>3752</v>
      </c>
      <c r="F3067" s="1" t="s">
        <v>4986</v>
      </c>
      <c r="G3067" s="1">
        <v>8.98009611876717</v>
      </c>
      <c r="H3067" s="1">
        <v>15.390098814</v>
      </c>
      <c r="I3067" s="1">
        <v>3.9607739472</v>
      </c>
      <c r="J3067" s="1">
        <v>6.8783068783</v>
      </c>
      <c r="K3067" s="1">
        <v>19.328996131</v>
      </c>
      <c r="L3067" s="1">
        <v>29.4</v>
      </c>
      <c r="M3067" s="1">
        <v>7.2</v>
      </c>
      <c r="N3067" s="1">
        <v>22.6</v>
      </c>
      <c r="O3067" s="1">
        <v>54.395958727</v>
      </c>
      <c r="P3067" s="1">
        <v>11.428571429</v>
      </c>
      <c r="Q3067" s="1">
        <v>33.44482</v>
      </c>
      <c r="R3067" s="1">
        <v>93.137254902</v>
      </c>
      <c r="S3067" s="1">
        <v>20.9</v>
      </c>
      <c r="T3067" s="1">
        <v>1806.0</v>
      </c>
      <c r="U3067" s="1">
        <v>37.541528239</v>
      </c>
      <c r="V3067" s="1">
        <v>243.32245756</v>
      </c>
      <c r="W3067" s="1">
        <v>12.0558375629999</v>
      </c>
      <c r="X3067" s="1">
        <v>9.4056847545</v>
      </c>
      <c r="Y3067" s="1">
        <v>74.836282402</v>
      </c>
      <c r="Z3067" s="1">
        <v>9.4</v>
      </c>
      <c r="AA3067" s="1">
        <v>13.859789212</v>
      </c>
      <c r="AB3067" s="1">
        <v>45156.0</v>
      </c>
      <c r="AC3067" s="1">
        <v>43.264248705</v>
      </c>
      <c r="AD3067" s="1">
        <v>77.041449491</v>
      </c>
      <c r="AE3067" s="1">
        <v>9.9762470309</v>
      </c>
      <c r="AF3067" s="1">
        <v>1.2123234345</v>
      </c>
      <c r="AG3067" s="1">
        <v>15.226337449</v>
      </c>
      <c r="AH3067" s="1">
        <v>0.3892781671</v>
      </c>
      <c r="AI3067" s="1">
        <v>0.1334668001</v>
      </c>
      <c r="AJ3067" s="1">
        <v>2.3467912357</v>
      </c>
      <c r="AK3067" s="1">
        <v>78.734289845</v>
      </c>
      <c r="AL3067" s="1">
        <v>0.3182461103</v>
      </c>
      <c r="AM3067" s="1">
        <v>49.327104883</v>
      </c>
      <c r="AN3067" s="1">
        <v>100.0</v>
      </c>
      <c r="AO3067" s="1">
        <v>22559.0</v>
      </c>
      <c r="AP3067" s="1">
        <v>17.1</v>
      </c>
      <c r="AQ3067" s="1">
        <v>9.8</v>
      </c>
      <c r="AR3067" s="1">
        <v>13.5</v>
      </c>
      <c r="AS3067" s="1">
        <v>22.0</v>
      </c>
      <c r="AT3067" s="1">
        <v>20.3</v>
      </c>
      <c r="AU3067" s="1">
        <v>18.0</v>
      </c>
      <c r="AV3067" s="1">
        <v>19.8</v>
      </c>
      <c r="AW3067" s="1">
        <v>0.5</v>
      </c>
      <c r="AX3067" s="1">
        <v>0.6921</v>
      </c>
      <c r="AY3067" s="1">
        <v>16.3</v>
      </c>
      <c r="AZ3067" s="1">
        <v>12.0</v>
      </c>
      <c r="BA3067" s="1">
        <v>21.3</v>
      </c>
      <c r="BB3067" s="1">
        <v>2.91</v>
      </c>
      <c r="BC3067" s="1" t="s">
        <v>4958</v>
      </c>
      <c r="BD3067" s="1">
        <v>11.2</v>
      </c>
      <c r="BE3067" s="1">
        <v>39.2</v>
      </c>
      <c r="BF3067" s="1">
        <v>35.0</v>
      </c>
      <c r="BG3067" s="1">
        <v>14.7</v>
      </c>
      <c r="BH3067" s="1" t="s">
        <v>4986</v>
      </c>
    </row>
    <row r="3068">
      <c r="A3068" s="1">
        <v>55043.0</v>
      </c>
      <c r="B3068" s="2" t="str">
        <f>IFERROR(__xludf.DUMMYFUNCTION("TO_TEXT(A3068)"),"55043")</f>
        <v>55043</v>
      </c>
      <c r="C3068" s="1">
        <v>51723.0</v>
      </c>
      <c r="D3068" s="1">
        <v>1146.86519426257</v>
      </c>
      <c r="E3068" s="1" t="s">
        <v>332</v>
      </c>
      <c r="F3068" s="1" t="s">
        <v>4987</v>
      </c>
      <c r="G3068" s="1">
        <v>45.099459168135</v>
      </c>
      <c r="H3068" s="1">
        <v>13.582181362</v>
      </c>
      <c r="I3068" s="1">
        <v>3.7927868883</v>
      </c>
      <c r="J3068" s="1">
        <v>5.2779194289</v>
      </c>
      <c r="K3068" s="1">
        <v>16.299603557</v>
      </c>
      <c r="L3068" s="1">
        <v>33.8</v>
      </c>
      <c r="M3068" s="1">
        <v>8.3</v>
      </c>
      <c r="N3068" s="1">
        <v>21.1</v>
      </c>
      <c r="O3068" s="1">
        <v>70.295656929</v>
      </c>
      <c r="P3068" s="1">
        <v>8.0770617627</v>
      </c>
      <c r="Q3068" s="1">
        <v>44.23162</v>
      </c>
      <c r="R3068" s="1">
        <v>93.688362919</v>
      </c>
      <c r="S3068" s="1">
        <v>14.5</v>
      </c>
      <c r="T3068" s="1">
        <v>10605.0</v>
      </c>
      <c r="U3068" s="1">
        <v>24.752475248</v>
      </c>
      <c r="V3068" s="1">
        <v>146.69252656</v>
      </c>
      <c r="W3068" s="1">
        <v>13.43322139</v>
      </c>
      <c r="X3068" s="1">
        <v>11.108207005</v>
      </c>
      <c r="Y3068" s="1">
        <v>80.279907738</v>
      </c>
      <c r="Z3068" s="1">
        <v>10.6</v>
      </c>
      <c r="AA3068" s="1">
        <v>3.9592119036</v>
      </c>
      <c r="AB3068" s="1">
        <v>57328.0</v>
      </c>
      <c r="AC3068" s="1">
        <v>39.501628203</v>
      </c>
      <c r="AD3068" s="1">
        <v>69.815988867</v>
      </c>
      <c r="AE3068" s="1">
        <v>11.14456212</v>
      </c>
      <c r="AF3068" s="1">
        <v>1.4082321449</v>
      </c>
      <c r="AG3068" s="1">
        <v>0.2754393452</v>
      </c>
      <c r="AH3068" s="1">
        <v>0.9582185669</v>
      </c>
      <c r="AI3068" s="1">
        <v>0.0213368507</v>
      </c>
      <c r="AJ3068" s="1">
        <v>1.8291500175</v>
      </c>
      <c r="AK3068" s="1">
        <v>94.8694572679999</v>
      </c>
      <c r="AL3068" s="1">
        <v>0.3385958471</v>
      </c>
      <c r="AM3068" s="1">
        <v>48.13787485</v>
      </c>
      <c r="AN3068" s="1">
        <v>64.48797063</v>
      </c>
      <c r="AO3068" s="1">
        <v>23103.0</v>
      </c>
      <c r="AP3068" s="1">
        <v>15.3</v>
      </c>
      <c r="AQ3068" s="1">
        <v>4.3</v>
      </c>
      <c r="AR3068" s="1">
        <v>8.6</v>
      </c>
      <c r="AS3068" s="1">
        <v>16.3</v>
      </c>
      <c r="AT3068" s="1">
        <v>20.4</v>
      </c>
      <c r="AU3068" s="1">
        <v>11.4</v>
      </c>
      <c r="AV3068" s="1">
        <v>4.5</v>
      </c>
      <c r="AW3068" s="1">
        <v>0.4</v>
      </c>
      <c r="AX3068" s="1">
        <v>0.2496</v>
      </c>
      <c r="AY3068" s="1">
        <v>13.4</v>
      </c>
      <c r="AZ3068" s="1">
        <v>8.6</v>
      </c>
      <c r="BA3068" s="1">
        <v>14.7</v>
      </c>
      <c r="BB3068" s="1">
        <v>2.77</v>
      </c>
      <c r="BC3068" s="1" t="s">
        <v>4958</v>
      </c>
      <c r="BD3068" s="1">
        <v>7.7</v>
      </c>
      <c r="BE3068" s="1">
        <v>35.1</v>
      </c>
      <c r="BF3068" s="1">
        <v>33.3</v>
      </c>
      <c r="BG3068" s="1">
        <v>23.8</v>
      </c>
      <c r="BH3068" s="1" t="s">
        <v>4987</v>
      </c>
    </row>
    <row r="3069">
      <c r="A3069" s="1">
        <v>55045.0</v>
      </c>
      <c r="B3069" s="2" t="str">
        <f>IFERROR(__xludf.DUMMYFUNCTION("TO_TEXT(A3069)"),"55045")</f>
        <v>55045</v>
      </c>
      <c r="C3069" s="1">
        <v>37050.0</v>
      </c>
      <c r="D3069" s="1">
        <v>584.042852871932</v>
      </c>
      <c r="E3069" s="1" t="s">
        <v>1827</v>
      </c>
      <c r="F3069" s="1" t="s">
        <v>4988</v>
      </c>
      <c r="G3069" s="1">
        <v>63.4371259194644</v>
      </c>
      <c r="H3069" s="1">
        <v>11.804697817</v>
      </c>
      <c r="I3069" s="1">
        <v>3.5059520958</v>
      </c>
      <c r="J3069" s="1">
        <v>6.1816811157</v>
      </c>
      <c r="K3069" s="1">
        <v>14.519826132</v>
      </c>
      <c r="L3069" s="1">
        <v>34.6</v>
      </c>
      <c r="M3069" s="1">
        <v>8.7</v>
      </c>
      <c r="N3069" s="1">
        <v>24.7</v>
      </c>
      <c r="O3069" s="1">
        <v>73.823353781</v>
      </c>
      <c r="P3069" s="1">
        <v>5.8403137881</v>
      </c>
      <c r="Q3069" s="1">
        <v>56.98624</v>
      </c>
      <c r="R3069" s="1">
        <v>95.8737864079999</v>
      </c>
      <c r="S3069" s="1">
        <v>10.0</v>
      </c>
      <c r="T3069" s="1">
        <v>8271.0</v>
      </c>
      <c r="U3069" s="1">
        <v>27.445290775</v>
      </c>
      <c r="V3069" s="1">
        <v>83.38937458</v>
      </c>
      <c r="W3069" s="1">
        <v>11.6452268109999</v>
      </c>
      <c r="X3069" s="1">
        <v>10.092055915</v>
      </c>
      <c r="Y3069" s="1">
        <v>80.647572993</v>
      </c>
      <c r="Z3069" s="1">
        <v>7.2</v>
      </c>
      <c r="AA3069" s="1">
        <v>4.813002367</v>
      </c>
      <c r="AB3069" s="1">
        <v>63160.0</v>
      </c>
      <c r="AC3069" s="1">
        <v>31.550162365</v>
      </c>
      <c r="AD3069" s="1">
        <v>74.433699828</v>
      </c>
      <c r="AE3069" s="1">
        <v>9.7453010079</v>
      </c>
      <c r="AF3069" s="1">
        <v>0.693222129</v>
      </c>
      <c r="AG3069" s="1">
        <v>0.368274256</v>
      </c>
      <c r="AH3069" s="1">
        <v>0.6417720491</v>
      </c>
      <c r="AI3069" s="1">
        <v>0.0704053725</v>
      </c>
      <c r="AJ3069" s="1">
        <v>3.0924205909</v>
      </c>
      <c r="AK3069" s="1">
        <v>94.188848872</v>
      </c>
      <c r="AL3069" s="1">
        <v>0.5720496539</v>
      </c>
      <c r="AM3069" s="1">
        <v>50.310054429</v>
      </c>
      <c r="AN3069" s="1">
        <v>60.216600619</v>
      </c>
      <c r="AO3069" s="1">
        <v>28867.0</v>
      </c>
      <c r="AP3069" s="1">
        <v>8.9</v>
      </c>
      <c r="AQ3069" s="1">
        <v>3.0</v>
      </c>
      <c r="AR3069" s="1">
        <v>7.8</v>
      </c>
      <c r="AS3069" s="1">
        <v>16.8</v>
      </c>
      <c r="AT3069" s="1">
        <v>23.0</v>
      </c>
      <c r="AU3069" s="1">
        <v>12.1</v>
      </c>
      <c r="AV3069" s="1">
        <v>5.3</v>
      </c>
      <c r="AW3069" s="1">
        <v>0.5</v>
      </c>
      <c r="AX3069" s="1">
        <v>0.0541</v>
      </c>
      <c r="AY3069" s="1">
        <v>6.4</v>
      </c>
      <c r="AZ3069" s="1">
        <v>7.2</v>
      </c>
      <c r="BA3069" s="1">
        <v>12.7</v>
      </c>
      <c r="BB3069" s="1">
        <v>2.76</v>
      </c>
      <c r="BC3069" s="1" t="s">
        <v>4958</v>
      </c>
      <c r="BD3069" s="1">
        <v>7.6</v>
      </c>
      <c r="BE3069" s="1">
        <v>35.5</v>
      </c>
      <c r="BF3069" s="1">
        <v>33.4</v>
      </c>
      <c r="BG3069" s="1">
        <v>23.6</v>
      </c>
      <c r="BH3069" s="1" t="s">
        <v>4988</v>
      </c>
    </row>
    <row r="3070">
      <c r="A3070" s="1">
        <v>55047.0</v>
      </c>
      <c r="B3070" s="2" t="str">
        <f>IFERROR(__xludf.DUMMYFUNCTION("TO_TEXT(A3070)"),"55047")</f>
        <v>55047</v>
      </c>
      <c r="C3070" s="1">
        <v>18881.0</v>
      </c>
      <c r="D3070" s="1">
        <v>349.329814246574</v>
      </c>
      <c r="E3070" s="1" t="s">
        <v>4989</v>
      </c>
      <c r="F3070" s="1" t="s">
        <v>4990</v>
      </c>
      <c r="G3070" s="1">
        <v>54.0492085988197</v>
      </c>
      <c r="H3070" s="1">
        <v>13.744361509</v>
      </c>
      <c r="I3070" s="1">
        <v>3.6999150475</v>
      </c>
      <c r="J3070" s="1">
        <v>6.5817409766</v>
      </c>
      <c r="K3070" s="1">
        <v>16.17346863</v>
      </c>
      <c r="L3070" s="1">
        <v>32.8</v>
      </c>
      <c r="M3070" s="1">
        <v>8.3</v>
      </c>
      <c r="N3070" s="1">
        <v>27.8</v>
      </c>
      <c r="O3070" s="1">
        <v>73.628680909</v>
      </c>
      <c r="P3070" s="1">
        <v>8.2435046987</v>
      </c>
      <c r="Q3070" s="1">
        <v>90.61834</v>
      </c>
      <c r="R3070" s="1">
        <v>91.796875</v>
      </c>
      <c r="S3070" s="1">
        <v>17.5</v>
      </c>
      <c r="T3070" s="1">
        <v>4203.0</v>
      </c>
      <c r="U3070" s="1">
        <v>24.79181537</v>
      </c>
      <c r="V3070" s="1">
        <v>42.3998304009999</v>
      </c>
      <c r="W3070" s="1">
        <v>13.22418136</v>
      </c>
      <c r="X3070" s="1">
        <v>9.9173553719</v>
      </c>
      <c r="Y3070" s="1">
        <v>77.916443205</v>
      </c>
      <c r="Z3070" s="1">
        <v>13.2</v>
      </c>
      <c r="AA3070" s="1">
        <v>6.7032362427</v>
      </c>
      <c r="AB3070" s="1">
        <v>55512.0</v>
      </c>
      <c r="AC3070" s="1">
        <v>38.163464669</v>
      </c>
      <c r="AD3070" s="1">
        <v>75.02205419</v>
      </c>
      <c r="AE3070" s="1">
        <v>10.7161458329999</v>
      </c>
      <c r="AF3070" s="1">
        <v>0.9884765831</v>
      </c>
      <c r="AG3070" s="1">
        <v>0.5444550164</v>
      </c>
      <c r="AH3070" s="1">
        <v>0.798181626</v>
      </c>
      <c r="AI3070" s="1">
        <v>0.0422877683</v>
      </c>
      <c r="AJ3070" s="1">
        <v>5.1908235543</v>
      </c>
      <c r="AK3070" s="1">
        <v>91.785601015</v>
      </c>
      <c r="AL3070" s="1">
        <v>1.0111851768</v>
      </c>
      <c r="AM3070" s="1">
        <v>49.751559361</v>
      </c>
      <c r="AN3070" s="1">
        <v>74.326806992</v>
      </c>
      <c r="AO3070" s="1">
        <v>26115.0</v>
      </c>
      <c r="AP3070" s="1">
        <v>11.2</v>
      </c>
      <c r="AQ3070" s="1">
        <v>5.0</v>
      </c>
      <c r="AR3070" s="1">
        <v>11.4</v>
      </c>
      <c r="AS3070" s="1">
        <v>20.8</v>
      </c>
      <c r="AT3070" s="1">
        <v>22.7</v>
      </c>
      <c r="AU3070" s="1">
        <v>12.6</v>
      </c>
      <c r="AV3070" s="1">
        <v>6.9</v>
      </c>
      <c r="AW3070" s="1">
        <v>1.2</v>
      </c>
      <c r="AX3070" s="1">
        <v>0.2767</v>
      </c>
      <c r="AY3070" s="1">
        <v>11.7</v>
      </c>
      <c r="AZ3070" s="1">
        <v>8.7</v>
      </c>
      <c r="BA3070" s="1">
        <v>15.9</v>
      </c>
      <c r="BB3070" s="1">
        <v>3.01</v>
      </c>
      <c r="BC3070" s="1" t="s">
        <v>4958</v>
      </c>
      <c r="BD3070" s="1">
        <v>10.2</v>
      </c>
      <c r="BE3070" s="1">
        <v>38.7</v>
      </c>
      <c r="BF3070" s="1">
        <v>30.9</v>
      </c>
      <c r="BG3070" s="1">
        <v>20.2</v>
      </c>
      <c r="BH3070" s="1" t="s">
        <v>4990</v>
      </c>
    </row>
    <row r="3071">
      <c r="A3071" s="1">
        <v>55049.0</v>
      </c>
      <c r="B3071" s="2" t="str">
        <f>IFERROR(__xludf.DUMMYFUNCTION("TO_TEXT(A3071)"),"55049")</f>
        <v>55049</v>
      </c>
      <c r="C3071" s="1">
        <v>23751.0</v>
      </c>
      <c r="D3071" s="1">
        <v>762.698423973421</v>
      </c>
      <c r="E3071" s="1" t="s">
        <v>1508</v>
      </c>
      <c r="F3071" s="1" t="s">
        <v>4991</v>
      </c>
      <c r="G3071" s="1">
        <v>31.1407487592076</v>
      </c>
      <c r="H3071" s="1">
        <v>11.792859444</v>
      </c>
      <c r="I3071" s="1">
        <v>3.4498374379</v>
      </c>
      <c r="J3071" s="1">
        <v>6.6847826087</v>
      </c>
      <c r="K3071" s="1">
        <v>15.142635101</v>
      </c>
      <c r="L3071" s="1">
        <v>29.0</v>
      </c>
      <c r="M3071" s="1">
        <v>8.6</v>
      </c>
      <c r="N3071" s="1">
        <v>24.7</v>
      </c>
      <c r="O3071" s="1">
        <v>47.080677165</v>
      </c>
      <c r="P3071" s="1">
        <v>5.6353989595</v>
      </c>
      <c r="Q3071" s="1">
        <v>67.46785</v>
      </c>
      <c r="R3071" s="1">
        <v>97.119341564</v>
      </c>
      <c r="S3071" s="1">
        <v>10.0</v>
      </c>
      <c r="T3071" s="1">
        <v>5388.0</v>
      </c>
      <c r="U3071" s="1">
        <v>22.624350408</v>
      </c>
      <c r="V3071" s="1">
        <v>123.99386335</v>
      </c>
      <c r="W3071" s="1">
        <v>12.0743034059999</v>
      </c>
      <c r="X3071" s="1">
        <v>10.263321584</v>
      </c>
      <c r="Y3071" s="1">
        <v>81.084405136</v>
      </c>
      <c r="Z3071" s="1">
        <v>11.9</v>
      </c>
      <c r="AA3071" s="1">
        <v>5.7204311316</v>
      </c>
      <c r="AB3071" s="1">
        <v>68017.0</v>
      </c>
      <c r="AC3071" s="1">
        <v>29.833377413</v>
      </c>
      <c r="AD3071" s="1">
        <v>73.726487036</v>
      </c>
      <c r="AE3071" s="1">
        <v>9.987357775</v>
      </c>
      <c r="AF3071" s="1">
        <v>0.761431997</v>
      </c>
      <c r="AG3071" s="1">
        <v>0.2355811703</v>
      </c>
      <c r="AH3071" s="1">
        <v>0.8876361954</v>
      </c>
      <c r="AI3071" s="1">
        <v>0.0462748727</v>
      </c>
      <c r="AJ3071" s="1">
        <v>1.8215472635</v>
      </c>
      <c r="AK3071" s="1">
        <v>95.195826848</v>
      </c>
      <c r="AL3071" s="1">
        <v>0.4353680431</v>
      </c>
      <c r="AM3071" s="1">
        <v>49.922174078</v>
      </c>
      <c r="AN3071" s="1">
        <v>79.921475915</v>
      </c>
      <c r="AO3071" s="1">
        <v>29610.0</v>
      </c>
      <c r="AP3071" s="1">
        <v>9.7</v>
      </c>
      <c r="AQ3071" s="1">
        <v>4.3</v>
      </c>
      <c r="AR3071" s="1">
        <v>6.6</v>
      </c>
      <c r="AS3071" s="1">
        <v>16.8</v>
      </c>
      <c r="AT3071" s="1">
        <v>23.5</v>
      </c>
      <c r="AU3071" s="1">
        <v>12.3</v>
      </c>
      <c r="AV3071" s="1">
        <v>4.1</v>
      </c>
      <c r="AW3071" s="1">
        <v>0.5</v>
      </c>
      <c r="AX3071" s="1">
        <v>0.0468</v>
      </c>
      <c r="AY3071" s="1">
        <v>9.5</v>
      </c>
      <c r="AZ3071" s="1">
        <v>7.4</v>
      </c>
      <c r="BA3071" s="1">
        <v>12.1</v>
      </c>
      <c r="BB3071" s="1">
        <v>3.19</v>
      </c>
      <c r="BC3071" s="1" t="s">
        <v>4958</v>
      </c>
      <c r="BD3071" s="1">
        <v>4.8</v>
      </c>
      <c r="BE3071" s="1">
        <v>35.3</v>
      </c>
      <c r="BF3071" s="1">
        <v>35.3</v>
      </c>
      <c r="BG3071" s="1">
        <v>24.6</v>
      </c>
      <c r="BH3071" s="1" t="s">
        <v>4991</v>
      </c>
    </row>
    <row r="3072">
      <c r="A3072" s="1">
        <v>55051.0</v>
      </c>
      <c r="B3072" s="2" t="str">
        <f>IFERROR(__xludf.DUMMYFUNCTION("TO_TEXT(A3072)"),"55051")</f>
        <v>55051</v>
      </c>
      <c r="C3072" s="1">
        <v>5850.0</v>
      </c>
      <c r="D3072" s="1">
        <v>758.186837547502</v>
      </c>
      <c r="E3072" s="1" t="s">
        <v>2203</v>
      </c>
      <c r="F3072" s="1" t="s">
        <v>4992</v>
      </c>
      <c r="G3072" s="1">
        <v>7.7157762576345</v>
      </c>
      <c r="H3072" s="1">
        <v>13.412981269</v>
      </c>
      <c r="I3072" s="1">
        <v>3.7597804664</v>
      </c>
      <c r="J3072" s="1">
        <v>7.80443539465</v>
      </c>
      <c r="K3072" s="1">
        <v>16.224886653</v>
      </c>
      <c r="L3072" s="1">
        <v>26.1</v>
      </c>
      <c r="M3072" s="1">
        <v>7.9</v>
      </c>
      <c r="N3072" s="1">
        <v>20.4</v>
      </c>
      <c r="O3072" s="1">
        <v>63.624070318</v>
      </c>
      <c r="P3072" s="1">
        <v>7.341320418</v>
      </c>
      <c r="Q3072" s="1">
        <v>70.5343</v>
      </c>
      <c r="R3072" s="1">
        <v>95.833333333</v>
      </c>
      <c r="S3072" s="1">
        <v>20.1</v>
      </c>
      <c r="T3072" s="1">
        <v>770.0</v>
      </c>
      <c r="U3072" s="1">
        <v>41.688311688</v>
      </c>
      <c r="V3072" s="1">
        <v>68.65774116</v>
      </c>
      <c r="W3072" s="1">
        <v>12.521150592</v>
      </c>
      <c r="X3072" s="1">
        <v>10.618556701</v>
      </c>
      <c r="Y3072" s="1">
        <v>78.623426482</v>
      </c>
      <c r="Z3072" s="1">
        <v>10.5</v>
      </c>
      <c r="AA3072" s="1">
        <v>5.8829607036</v>
      </c>
      <c r="AB3072" s="1">
        <v>44130.0</v>
      </c>
      <c r="AC3072" s="1">
        <v>44.46002805</v>
      </c>
      <c r="AD3072" s="1">
        <v>74.891774892</v>
      </c>
      <c r="AE3072" s="1">
        <v>12.028218695</v>
      </c>
      <c r="AF3072" s="1">
        <v>0.1761804087</v>
      </c>
      <c r="AG3072" s="1">
        <v>1.5151515152</v>
      </c>
      <c r="AH3072" s="1">
        <v>0.3523608175</v>
      </c>
      <c r="AI3072" s="1">
        <v>0.0</v>
      </c>
      <c r="AJ3072" s="1">
        <v>1.3213530655</v>
      </c>
      <c r="AK3072" s="1">
        <v>95.2255109229999</v>
      </c>
      <c r="AL3072" s="1">
        <v>0.0539762504</v>
      </c>
      <c r="AM3072" s="1">
        <v>49.665257223</v>
      </c>
      <c r="AN3072" s="1">
        <v>67.799188641</v>
      </c>
      <c r="AO3072" s="1">
        <v>25536.0</v>
      </c>
      <c r="AP3072" s="1">
        <v>12.8</v>
      </c>
      <c r="AQ3072" s="1">
        <v>7.2</v>
      </c>
      <c r="AR3072" s="1">
        <v>6.6</v>
      </c>
      <c r="AS3072" s="1">
        <v>28.5</v>
      </c>
      <c r="AT3072" s="1">
        <v>15.0</v>
      </c>
      <c r="AU3072" s="1">
        <v>16.8</v>
      </c>
      <c r="AV3072" s="1">
        <v>3.8</v>
      </c>
      <c r="AW3072" s="1">
        <v>0.1</v>
      </c>
      <c r="AX3072" s="1">
        <v>0.2477</v>
      </c>
      <c r="AY3072" s="1">
        <v>12.7</v>
      </c>
      <c r="AZ3072" s="1">
        <v>12.4</v>
      </c>
      <c r="BA3072" s="1">
        <v>21.4</v>
      </c>
      <c r="BB3072" s="1">
        <v>3.26</v>
      </c>
      <c r="BC3072" s="1" t="s">
        <v>4958</v>
      </c>
      <c r="BD3072" s="1">
        <v>5.5</v>
      </c>
      <c r="BE3072" s="1">
        <v>33.7</v>
      </c>
      <c r="BF3072" s="1">
        <v>40.9</v>
      </c>
      <c r="BG3072" s="1">
        <v>20.0</v>
      </c>
      <c r="BH3072" s="1" t="s">
        <v>4992</v>
      </c>
    </row>
    <row r="3073">
      <c r="A3073" s="1">
        <v>55053.0</v>
      </c>
      <c r="B3073" s="2" t="str">
        <f>IFERROR(__xludf.DUMMYFUNCTION("TO_TEXT(A3073)"),"55053")</f>
        <v>55053</v>
      </c>
      <c r="C3073" s="1">
        <v>20566.0</v>
      </c>
      <c r="D3073" s="1">
        <v>987.736946869898</v>
      </c>
      <c r="E3073" s="1" t="s">
        <v>130</v>
      </c>
      <c r="F3073" s="1" t="s">
        <v>4993</v>
      </c>
      <c r="G3073" s="1">
        <v>20.8213331142191</v>
      </c>
      <c r="H3073" s="1">
        <v>14.190308035</v>
      </c>
      <c r="I3073" s="1">
        <v>3.8523034303</v>
      </c>
      <c r="J3073" s="1">
        <v>5.7772483621</v>
      </c>
      <c r="K3073" s="1">
        <v>17.888559424</v>
      </c>
      <c r="L3073" s="1">
        <v>33.2</v>
      </c>
      <c r="M3073" s="1">
        <v>7.7</v>
      </c>
      <c r="N3073" s="1">
        <v>23.8</v>
      </c>
      <c r="O3073" s="1">
        <v>66.120592694</v>
      </c>
      <c r="P3073" s="1">
        <v>10.137980177</v>
      </c>
      <c r="Q3073" s="1">
        <v>102.29432</v>
      </c>
      <c r="R3073" s="1">
        <v>89.285714286</v>
      </c>
      <c r="S3073" s="1">
        <v>16.9</v>
      </c>
      <c r="T3073" s="1">
        <v>4413.0</v>
      </c>
      <c r="U3073" s="1">
        <v>33.945162021</v>
      </c>
      <c r="V3073" s="1">
        <v>89.733950962</v>
      </c>
      <c r="W3073" s="1">
        <v>13.391196528</v>
      </c>
      <c r="X3073" s="1">
        <v>10.2790929479999</v>
      </c>
      <c r="Y3073" s="1">
        <v>78.363575472</v>
      </c>
      <c r="Z3073" s="1">
        <v>4.1</v>
      </c>
      <c r="AA3073" s="1">
        <v>13.044964204</v>
      </c>
      <c r="AB3073" s="1">
        <v>52919.0</v>
      </c>
      <c r="AC3073" s="1">
        <v>42.642249836</v>
      </c>
      <c r="AD3073" s="1">
        <v>74.477298033</v>
      </c>
      <c r="AE3073" s="1">
        <v>9.8709677419</v>
      </c>
      <c r="AF3073" s="1">
        <v>2.1388807501</v>
      </c>
      <c r="AG3073" s="1">
        <v>6.8170719797</v>
      </c>
      <c r="AH3073" s="1">
        <v>0.4785623596</v>
      </c>
      <c r="AI3073" s="1">
        <v>0.1025490771</v>
      </c>
      <c r="AJ3073" s="1">
        <v>3.4183025686</v>
      </c>
      <c r="AK3073" s="1">
        <v>86.13634144</v>
      </c>
      <c r="AL3073" s="1">
        <v>0.6330099102</v>
      </c>
      <c r="AM3073" s="1">
        <v>46.43519875</v>
      </c>
      <c r="AN3073" s="1">
        <v>72.238251259</v>
      </c>
      <c r="AO3073" s="1">
        <v>24074.0</v>
      </c>
      <c r="AP3073" s="1">
        <v>13.1</v>
      </c>
      <c r="AQ3073" s="1">
        <v>5.6</v>
      </c>
      <c r="AR3073" s="1">
        <v>11.8</v>
      </c>
      <c r="AS3073" s="1">
        <v>17.6</v>
      </c>
      <c r="AT3073" s="1">
        <v>22.3</v>
      </c>
      <c r="AU3073" s="1">
        <v>13.5</v>
      </c>
      <c r="AV3073" s="1">
        <v>13.3</v>
      </c>
      <c r="AW3073" s="1">
        <v>0.4</v>
      </c>
      <c r="AX3073" s="1">
        <v>0.4731</v>
      </c>
      <c r="AY3073" s="1">
        <v>12.4</v>
      </c>
      <c r="AZ3073" s="1">
        <v>9.2</v>
      </c>
      <c r="BA3073" s="1">
        <v>16.5</v>
      </c>
      <c r="BB3073" s="1">
        <v>3.08</v>
      </c>
      <c r="BC3073" s="1" t="s">
        <v>4958</v>
      </c>
      <c r="BD3073" s="1">
        <v>10.1</v>
      </c>
      <c r="BE3073" s="1">
        <v>41.6</v>
      </c>
      <c r="BF3073" s="1">
        <v>33.8</v>
      </c>
      <c r="BG3073" s="1">
        <v>14.6</v>
      </c>
      <c r="BH3073" s="1" t="s">
        <v>4993</v>
      </c>
    </row>
    <row r="3074">
      <c r="A3074" s="1">
        <v>55055.0</v>
      </c>
      <c r="B3074" s="2" t="str">
        <f>IFERROR(__xludf.DUMMYFUNCTION("TO_TEXT(A3074)"),"55055")</f>
        <v>55055</v>
      </c>
      <c r="C3074" s="1">
        <v>84538.0</v>
      </c>
      <c r="D3074" s="1">
        <v>556.461774263042</v>
      </c>
      <c r="E3074" s="1" t="s">
        <v>132</v>
      </c>
      <c r="F3074" s="1" t="s">
        <v>4994</v>
      </c>
      <c r="G3074" s="1">
        <v>151.920588097824</v>
      </c>
      <c r="H3074" s="1">
        <v>11.9698736759999</v>
      </c>
      <c r="I3074" s="1">
        <v>3.3549341303</v>
      </c>
      <c r="J3074" s="1">
        <v>5.90871369289999</v>
      </c>
      <c r="K3074" s="1">
        <v>15.021069678</v>
      </c>
      <c r="L3074" s="1">
        <v>30.3</v>
      </c>
      <c r="M3074" s="1">
        <v>8.9</v>
      </c>
      <c r="N3074" s="1">
        <v>20.2</v>
      </c>
      <c r="O3074" s="1">
        <v>77.78720455</v>
      </c>
      <c r="P3074" s="1">
        <v>5.8798627837</v>
      </c>
      <c r="Q3074" s="1">
        <v>40.07922</v>
      </c>
      <c r="R3074" s="1">
        <v>90.920245399</v>
      </c>
      <c r="S3074" s="1">
        <v>10.4</v>
      </c>
      <c r="T3074" s="1">
        <v>18168.0</v>
      </c>
      <c r="U3074" s="1">
        <v>26.0678115369999</v>
      </c>
      <c r="V3074" s="1">
        <v>148.00136993</v>
      </c>
      <c r="W3074" s="1">
        <v>11.972810134</v>
      </c>
      <c r="X3074" s="1">
        <v>10.155279503</v>
      </c>
      <c r="Y3074" s="1">
        <v>79.816613471</v>
      </c>
      <c r="Z3074" s="1">
        <v>4.8</v>
      </c>
      <c r="AA3074" s="1">
        <v>1.8946879889</v>
      </c>
      <c r="AB3074" s="1">
        <v>65831.0</v>
      </c>
      <c r="AC3074" s="1">
        <v>32.059326868</v>
      </c>
      <c r="AD3074" s="1">
        <v>70.057201972</v>
      </c>
      <c r="AE3074" s="1">
        <v>9.6038863976</v>
      </c>
      <c r="AF3074" s="1">
        <v>0.9561958909</v>
      </c>
      <c r="AG3074" s="1">
        <v>0.4992423264</v>
      </c>
      <c r="AH3074" s="1">
        <v>0.9796896475</v>
      </c>
      <c r="AI3074" s="1">
        <v>0.0399393861</v>
      </c>
      <c r="AJ3074" s="1">
        <v>7.2031857534</v>
      </c>
      <c r="AK3074" s="1">
        <v>89.460700819</v>
      </c>
      <c r="AL3074" s="1">
        <v>1.0212214805</v>
      </c>
      <c r="AM3074" s="1">
        <v>50.021731725</v>
      </c>
      <c r="AN3074" s="1">
        <v>34.051095763</v>
      </c>
      <c r="AO3074" s="1">
        <v>27272.0</v>
      </c>
      <c r="AP3074" s="1">
        <v>10.3</v>
      </c>
      <c r="AQ3074" s="1">
        <v>4.7</v>
      </c>
      <c r="AR3074" s="1">
        <v>8.9</v>
      </c>
      <c r="AS3074" s="1">
        <v>14.9</v>
      </c>
      <c r="AT3074" s="1">
        <v>22.3</v>
      </c>
      <c r="AU3074" s="1">
        <v>10.6</v>
      </c>
      <c r="AV3074" s="1">
        <v>10.0</v>
      </c>
      <c r="AW3074" s="1">
        <v>1.3</v>
      </c>
      <c r="AX3074" s="1">
        <v>0.1847</v>
      </c>
      <c r="AY3074" s="1">
        <v>7.1</v>
      </c>
      <c r="AZ3074" s="1">
        <v>7.6</v>
      </c>
      <c r="BA3074" s="1">
        <v>12.9</v>
      </c>
      <c r="BB3074" s="1">
        <v>2.97</v>
      </c>
      <c r="BC3074" s="1" t="s">
        <v>4958</v>
      </c>
      <c r="BD3074" s="1">
        <v>8.2</v>
      </c>
      <c r="BE3074" s="1">
        <v>33.4</v>
      </c>
      <c r="BF3074" s="1">
        <v>33.0</v>
      </c>
      <c r="BG3074" s="1">
        <v>25.4</v>
      </c>
      <c r="BH3074" s="1" t="s">
        <v>4994</v>
      </c>
    </row>
    <row r="3075">
      <c r="A3075" s="1">
        <v>55057.0</v>
      </c>
      <c r="B3075" s="2" t="str">
        <f>IFERROR(__xludf.DUMMYFUNCTION("TO_TEXT(A3075)"),"55057")</f>
        <v>55057</v>
      </c>
      <c r="C3075" s="1">
        <v>26399.0</v>
      </c>
      <c r="D3075" s="1">
        <v>767.044135188612</v>
      </c>
      <c r="E3075" s="1" t="s">
        <v>215</v>
      </c>
      <c r="F3075" s="1" t="s">
        <v>4995</v>
      </c>
      <c r="G3075" s="1">
        <v>34.416533272246</v>
      </c>
      <c r="H3075" s="1">
        <v>13.9968568109999</v>
      </c>
      <c r="I3075" s="1">
        <v>3.6474079419</v>
      </c>
      <c r="J3075" s="1">
        <v>7.1649484536</v>
      </c>
      <c r="K3075" s="1">
        <v>16.868127477</v>
      </c>
      <c r="L3075" s="1">
        <v>36.2</v>
      </c>
      <c r="M3075" s="1">
        <v>8.1</v>
      </c>
      <c r="N3075" s="1">
        <v>25.0</v>
      </c>
      <c r="O3075" s="1">
        <v>63.4150915089999</v>
      </c>
      <c r="P3075" s="1">
        <v>8.07231342529999</v>
      </c>
      <c r="Q3075" s="1">
        <v>82.78146</v>
      </c>
      <c r="R3075" s="1">
        <v>90.357142857</v>
      </c>
      <c r="S3075" s="1">
        <v>18.4</v>
      </c>
      <c r="T3075" s="1">
        <v>5265.0</v>
      </c>
      <c r="U3075" s="1">
        <v>25.660018993</v>
      </c>
      <c r="V3075" s="1">
        <v>243.27200851</v>
      </c>
      <c r="W3075" s="1">
        <v>13.2264529059999</v>
      </c>
      <c r="X3075" s="1">
        <v>11.04040404</v>
      </c>
      <c r="Y3075" s="1">
        <v>78.326046764</v>
      </c>
      <c r="Z3075" s="1">
        <v>7.2</v>
      </c>
      <c r="AA3075" s="1">
        <v>8.42495250909999</v>
      </c>
      <c r="AB3075" s="1">
        <v>52891.0</v>
      </c>
      <c r="AC3075" s="1">
        <v>50.3845133919999</v>
      </c>
      <c r="AD3075" s="1">
        <v>76.926691729</v>
      </c>
      <c r="AE3075" s="1">
        <v>12.123859445</v>
      </c>
      <c r="AF3075" s="1">
        <v>2.3255813953</v>
      </c>
      <c r="AG3075" s="1">
        <v>1.5290979449</v>
      </c>
      <c r="AH3075" s="1">
        <v>0.5560356163</v>
      </c>
      <c r="AI3075" s="1">
        <v>0.0638689559</v>
      </c>
      <c r="AJ3075" s="1">
        <v>2.9342149754</v>
      </c>
      <c r="AK3075" s="1">
        <v>91.738362701</v>
      </c>
      <c r="AL3075" s="1">
        <v>0.3192338388</v>
      </c>
      <c r="AM3075" s="1">
        <v>46.78213172</v>
      </c>
      <c r="AN3075" s="1">
        <v>83.49459946</v>
      </c>
      <c r="AO3075" s="1">
        <v>23519.0</v>
      </c>
      <c r="AP3075" s="1">
        <v>13.1</v>
      </c>
      <c r="AQ3075" s="1">
        <v>5.8</v>
      </c>
      <c r="AR3075" s="1">
        <v>13.9</v>
      </c>
      <c r="AS3075" s="1">
        <v>19.0</v>
      </c>
      <c r="AT3075" s="1">
        <v>20.3</v>
      </c>
      <c r="AU3075" s="1">
        <v>17.1</v>
      </c>
      <c r="AV3075" s="1">
        <v>8.1</v>
      </c>
      <c r="AW3075" s="1">
        <v>0.4</v>
      </c>
      <c r="AX3075" s="1">
        <v>0.4097</v>
      </c>
      <c r="AY3075" s="1">
        <v>13.4</v>
      </c>
      <c r="AZ3075" s="1">
        <v>10.5</v>
      </c>
      <c r="BA3075" s="1">
        <v>19.0</v>
      </c>
      <c r="BB3075" s="1">
        <v>3.0</v>
      </c>
      <c r="BC3075" s="1" t="s">
        <v>4958</v>
      </c>
      <c r="BD3075" s="1">
        <v>11.6</v>
      </c>
      <c r="BE3075" s="1">
        <v>41.5</v>
      </c>
      <c r="BF3075" s="1">
        <v>33.2</v>
      </c>
      <c r="BG3075" s="1">
        <v>13.7</v>
      </c>
      <c r="BH3075" s="1" t="s">
        <v>4995</v>
      </c>
    </row>
    <row r="3076">
      <c r="A3076" s="1">
        <v>55059.0</v>
      </c>
      <c r="B3076" s="2" t="str">
        <f>IFERROR(__xludf.DUMMYFUNCTION("TO_TEXT(A3076)"),"55059")</f>
        <v>55059</v>
      </c>
      <c r="C3076" s="1">
        <v>167896.0</v>
      </c>
      <c r="D3076" s="1">
        <v>272.015983740205</v>
      </c>
      <c r="E3076" s="1" t="s">
        <v>4996</v>
      </c>
      <c r="F3076" s="1" t="s">
        <v>4997</v>
      </c>
      <c r="G3076" s="1">
        <v>617.228435224425</v>
      </c>
      <c r="H3076" s="1">
        <v>13.836933104</v>
      </c>
      <c r="I3076" s="1">
        <v>3.6275873993</v>
      </c>
      <c r="J3076" s="1">
        <v>7.88608162659999</v>
      </c>
      <c r="K3076" s="1">
        <v>17.017955366</v>
      </c>
      <c r="L3076" s="1">
        <v>30.5</v>
      </c>
      <c r="M3076" s="1">
        <v>8.2</v>
      </c>
      <c r="N3076" s="1">
        <v>22.7</v>
      </c>
      <c r="O3076" s="1">
        <v>98.0561931429999</v>
      </c>
      <c r="P3076" s="1">
        <v>6.610641486</v>
      </c>
      <c r="Q3076" s="1">
        <v>46.87843</v>
      </c>
      <c r="R3076" s="1">
        <v>89.514731369</v>
      </c>
      <c r="S3076" s="1">
        <v>15.4</v>
      </c>
      <c r="T3076" s="1">
        <v>39227.0</v>
      </c>
      <c r="U3076" s="1">
        <v>37.599102659</v>
      </c>
      <c r="V3076" s="1">
        <v>233.50811782</v>
      </c>
      <c r="W3076" s="1">
        <v>17.318834828</v>
      </c>
      <c r="X3076" s="1">
        <v>15.479528884</v>
      </c>
      <c r="Y3076" s="1">
        <v>78.269627804</v>
      </c>
      <c r="Z3076" s="1">
        <v>7.6</v>
      </c>
      <c r="AA3076" s="1">
        <v>6.7954556233</v>
      </c>
      <c r="AB3076" s="1">
        <v>65013.0</v>
      </c>
      <c r="AC3076" s="1">
        <v>39.634636208</v>
      </c>
      <c r="AD3076" s="1">
        <v>65.917727008</v>
      </c>
      <c r="AE3076" s="1">
        <v>14.011510144</v>
      </c>
      <c r="AF3076" s="1">
        <v>6.8645519523</v>
      </c>
      <c r="AG3076" s="1">
        <v>0.7425128478</v>
      </c>
      <c r="AH3076" s="1">
        <v>1.7118553961</v>
      </c>
      <c r="AI3076" s="1">
        <v>0.099237994</v>
      </c>
      <c r="AJ3076" s="1">
        <v>13.355780022</v>
      </c>
      <c r="AK3076" s="1">
        <v>75.581546459</v>
      </c>
      <c r="AL3076" s="1">
        <v>1.533635853</v>
      </c>
      <c r="AM3076" s="1">
        <v>50.4778781969999</v>
      </c>
      <c r="AN3076" s="1">
        <v>10.723084133</v>
      </c>
      <c r="AO3076" s="1">
        <v>27335.0</v>
      </c>
      <c r="AP3076" s="1">
        <v>15.2</v>
      </c>
      <c r="AQ3076" s="1">
        <v>8.7</v>
      </c>
      <c r="AR3076" s="1">
        <v>10.0</v>
      </c>
      <c r="AS3076" s="1">
        <v>12.5</v>
      </c>
      <c r="AT3076" s="1">
        <v>24.2</v>
      </c>
      <c r="AU3076" s="1">
        <v>12.0</v>
      </c>
      <c r="AV3076" s="1">
        <v>23.3</v>
      </c>
      <c r="AW3076" s="1">
        <v>1.4</v>
      </c>
      <c r="AX3076" s="1">
        <v>0.5492</v>
      </c>
      <c r="AY3076" s="1">
        <v>9.8</v>
      </c>
      <c r="AZ3076" s="1">
        <v>9.5</v>
      </c>
      <c r="BA3076" s="1">
        <v>16.1</v>
      </c>
      <c r="BB3076" s="1">
        <v>2.95</v>
      </c>
      <c r="BC3076" s="1" t="s">
        <v>4958</v>
      </c>
      <c r="BD3076" s="1">
        <v>9.9</v>
      </c>
      <c r="BE3076" s="1">
        <v>30.1</v>
      </c>
      <c r="BF3076" s="1">
        <v>33.9</v>
      </c>
      <c r="BG3076" s="1">
        <v>26.1</v>
      </c>
      <c r="BH3076" s="1" t="s">
        <v>4997</v>
      </c>
    </row>
    <row r="3077">
      <c r="A3077" s="1">
        <v>55061.0</v>
      </c>
      <c r="B3077" s="2" t="str">
        <f>IFERROR(__xludf.DUMMYFUNCTION("TO_TEXT(A3077)"),"55061")</f>
        <v>55061</v>
      </c>
      <c r="C3077" s="1">
        <v>20459.0</v>
      </c>
      <c r="D3077" s="1">
        <v>342.422512787302</v>
      </c>
      <c r="E3077" s="1" t="s">
        <v>4998</v>
      </c>
      <c r="F3077" s="1" t="s">
        <v>4999</v>
      </c>
      <c r="G3077" s="1">
        <v>59.7478239192417</v>
      </c>
      <c r="H3077" s="1">
        <v>11.814694196</v>
      </c>
      <c r="I3077" s="1">
        <v>3.4607793228</v>
      </c>
      <c r="J3077" s="1">
        <v>6.9090909091</v>
      </c>
      <c r="K3077" s="1">
        <v>14.439015218</v>
      </c>
      <c r="L3077" s="1">
        <v>31.6</v>
      </c>
      <c r="M3077" s="1">
        <v>9.2</v>
      </c>
      <c r="N3077" s="1">
        <v>23.6</v>
      </c>
      <c r="O3077" s="1">
        <v>63.8961796439999</v>
      </c>
      <c r="P3077" s="1">
        <v>5.64580396</v>
      </c>
      <c r="Q3077" s="1">
        <v>53.80289</v>
      </c>
      <c r="R3077" s="1">
        <v>94.65408805</v>
      </c>
      <c r="S3077" s="1">
        <v>8.9</v>
      </c>
      <c r="T3077" s="1">
        <v>4372.0</v>
      </c>
      <c r="U3077" s="1">
        <v>20.722781336</v>
      </c>
      <c r="V3077" s="1">
        <v>95.616357752</v>
      </c>
      <c r="W3077" s="1">
        <v>12.0584652859999</v>
      </c>
      <c r="X3077" s="1">
        <v>10.055180871</v>
      </c>
      <c r="Y3077" s="1">
        <v>81.330346973</v>
      </c>
      <c r="Z3077" s="1">
        <v>8.0</v>
      </c>
      <c r="AA3077" s="1">
        <v>0.156600452</v>
      </c>
      <c r="AB3077" s="1">
        <v>63612.0</v>
      </c>
      <c r="AC3077" s="1">
        <v>25.027746948</v>
      </c>
      <c r="AD3077" s="1">
        <v>79.20611799</v>
      </c>
      <c r="AE3077" s="1">
        <v>9.01228378039999</v>
      </c>
      <c r="AF3077" s="1">
        <v>0.5592896041</v>
      </c>
      <c r="AG3077" s="1">
        <v>0.5494775058</v>
      </c>
      <c r="AH3077" s="1">
        <v>0.4170141785</v>
      </c>
      <c r="AI3077" s="1">
        <v>0.0539665407</v>
      </c>
      <c r="AJ3077" s="1">
        <v>3.1742138056</v>
      </c>
      <c r="AK3077" s="1">
        <v>94.2304861889999</v>
      </c>
      <c r="AL3077" s="1">
        <v>0.7410862355</v>
      </c>
      <c r="AM3077" s="1">
        <v>49.300887995</v>
      </c>
      <c r="AN3077" s="1">
        <v>72.334013804</v>
      </c>
      <c r="AO3077" s="1">
        <v>27539.0</v>
      </c>
      <c r="AP3077" s="1">
        <v>9.0</v>
      </c>
      <c r="AQ3077" s="1">
        <v>4.6</v>
      </c>
      <c r="AR3077" s="1">
        <v>7.9</v>
      </c>
      <c r="AS3077" s="1">
        <v>18.6</v>
      </c>
      <c r="AT3077" s="1">
        <v>22.1</v>
      </c>
      <c r="AU3077" s="1">
        <v>12.9</v>
      </c>
      <c r="AV3077" s="1">
        <v>4.7</v>
      </c>
      <c r="AW3077" s="1">
        <v>0.9</v>
      </c>
      <c r="AX3077" s="1">
        <v>0.07</v>
      </c>
      <c r="AY3077" s="1">
        <v>7.4</v>
      </c>
      <c r="AZ3077" s="1">
        <v>7.4</v>
      </c>
      <c r="BA3077" s="1">
        <v>12.7</v>
      </c>
      <c r="BB3077" s="1">
        <v>3.25</v>
      </c>
      <c r="BC3077" s="1" t="s">
        <v>4958</v>
      </c>
      <c r="BD3077" s="1">
        <v>6.9</v>
      </c>
      <c r="BE3077" s="1">
        <v>39.9</v>
      </c>
      <c r="BF3077" s="1">
        <v>33.8</v>
      </c>
      <c r="BG3077" s="1">
        <v>19.4</v>
      </c>
      <c r="BH3077" s="1" t="s">
        <v>4999</v>
      </c>
    </row>
    <row r="3078">
      <c r="A3078" s="1">
        <v>55063.0</v>
      </c>
      <c r="B3078" s="2" t="str">
        <f>IFERROR(__xludf.DUMMYFUNCTION("TO_TEXT(A3078)"),"55063")</f>
        <v>55063</v>
      </c>
      <c r="C3078" s="1">
        <v>117538.0</v>
      </c>
      <c r="D3078" s="1">
        <v>451.751171323586</v>
      </c>
      <c r="E3078" s="1" t="s">
        <v>5000</v>
      </c>
      <c r="F3078" s="1" t="s">
        <v>5001</v>
      </c>
      <c r="G3078" s="1">
        <v>260.183055321418</v>
      </c>
      <c r="H3078" s="1">
        <v>12.152984698</v>
      </c>
      <c r="I3078" s="1">
        <v>3.6132535798</v>
      </c>
      <c r="J3078" s="1">
        <v>6.6705744431</v>
      </c>
      <c r="K3078" s="1">
        <v>14.832192712</v>
      </c>
      <c r="L3078" s="1">
        <v>27.2</v>
      </c>
      <c r="M3078" s="1">
        <v>8.1</v>
      </c>
      <c r="N3078" s="1">
        <v>22.6</v>
      </c>
      <c r="O3078" s="1">
        <v>89.3831015889999</v>
      </c>
      <c r="P3078" s="1">
        <v>5.0456926628</v>
      </c>
      <c r="Q3078" s="1">
        <v>138.66108</v>
      </c>
      <c r="R3078" s="1">
        <v>92.676767677</v>
      </c>
      <c r="S3078" s="1">
        <v>8.5</v>
      </c>
      <c r="T3078" s="1">
        <v>23349.0</v>
      </c>
      <c r="U3078" s="1">
        <v>23.804017303</v>
      </c>
      <c r="V3078" s="1">
        <v>137.76790559</v>
      </c>
      <c r="W3078" s="1">
        <v>13.449791019</v>
      </c>
      <c r="X3078" s="1">
        <v>11.8496175809999</v>
      </c>
      <c r="Y3078" s="1">
        <v>79.944704518</v>
      </c>
      <c r="Z3078" s="1">
        <v>6.6</v>
      </c>
      <c r="AA3078" s="1">
        <v>5.6784253253</v>
      </c>
      <c r="AB3078" s="1">
        <v>60619.0</v>
      </c>
      <c r="AC3078" s="1">
        <v>32.705824827</v>
      </c>
      <c r="AD3078" s="1">
        <v>63.1458822039999</v>
      </c>
      <c r="AE3078" s="1">
        <v>11.466027385</v>
      </c>
      <c r="AF3078" s="1">
        <v>1.5131523302</v>
      </c>
      <c r="AG3078" s="1">
        <v>0.467732386</v>
      </c>
      <c r="AH3078" s="1">
        <v>4.717076884</v>
      </c>
      <c r="AI3078" s="1">
        <v>0.0482111139</v>
      </c>
      <c r="AJ3078" s="1">
        <v>1.9758098621</v>
      </c>
      <c r="AK3078" s="1">
        <v>89.6904339</v>
      </c>
      <c r="AL3078" s="1">
        <v>1.5325807693</v>
      </c>
      <c r="AM3078" s="1">
        <v>51.231497928</v>
      </c>
      <c r="AN3078" s="1">
        <v>16.82775345</v>
      </c>
      <c r="AO3078" s="1">
        <v>28240.0</v>
      </c>
      <c r="AP3078" s="1">
        <v>14.8</v>
      </c>
      <c r="AQ3078" s="1">
        <v>4.8</v>
      </c>
      <c r="AR3078" s="1">
        <v>5.5</v>
      </c>
      <c r="AS3078" s="1">
        <v>14.7</v>
      </c>
      <c r="AT3078" s="1">
        <v>20.4</v>
      </c>
      <c r="AU3078" s="1">
        <v>11.3</v>
      </c>
      <c r="AV3078" s="1">
        <v>9.5</v>
      </c>
      <c r="AW3078" s="1">
        <v>1.5</v>
      </c>
      <c r="AX3078" s="1">
        <v>0.1792</v>
      </c>
      <c r="AY3078" s="1">
        <v>11.8</v>
      </c>
      <c r="AZ3078" s="1">
        <v>8.4</v>
      </c>
      <c r="BA3078" s="1">
        <v>12.4</v>
      </c>
      <c r="BB3078" s="1">
        <v>3.2</v>
      </c>
      <c r="BC3078" s="1" t="s">
        <v>4958</v>
      </c>
      <c r="BD3078" s="1">
        <v>5.0</v>
      </c>
      <c r="BE3078" s="1">
        <v>25.4</v>
      </c>
      <c r="BF3078" s="1">
        <v>34.7</v>
      </c>
      <c r="BG3078" s="1">
        <v>34.9</v>
      </c>
      <c r="BH3078" s="1" t="s">
        <v>5001</v>
      </c>
    </row>
    <row r="3079">
      <c r="A3079" s="1">
        <v>55065.0</v>
      </c>
      <c r="B3079" s="2" t="str">
        <f>IFERROR(__xludf.DUMMYFUNCTION("TO_TEXT(A3079)"),"55065")</f>
        <v>55065</v>
      </c>
      <c r="C3079" s="1">
        <v>16793.0</v>
      </c>
      <c r="D3079" s="1">
        <v>633.587702825682</v>
      </c>
      <c r="E3079" s="1" t="s">
        <v>349</v>
      </c>
      <c r="F3079" s="1" t="s">
        <v>5002</v>
      </c>
      <c r="G3079" s="1">
        <v>26.5046179480857</v>
      </c>
      <c r="H3079" s="1">
        <v>13.12484922</v>
      </c>
      <c r="I3079" s="1">
        <v>3.7109210322</v>
      </c>
      <c r="J3079" s="1">
        <v>5.735003296</v>
      </c>
      <c r="K3079" s="1">
        <v>16.167905282</v>
      </c>
      <c r="L3079" s="1">
        <v>33.7</v>
      </c>
      <c r="M3079" s="1">
        <v>8.8</v>
      </c>
      <c r="N3079" s="1">
        <v>27.0</v>
      </c>
      <c r="O3079" s="1">
        <v>52.987645522</v>
      </c>
      <c r="P3079" s="1">
        <v>11.016698685</v>
      </c>
      <c r="Q3079" s="1">
        <v>23.89344</v>
      </c>
      <c r="R3079" s="1">
        <v>95.416666667</v>
      </c>
      <c r="S3079" s="1">
        <v>16.9</v>
      </c>
      <c r="T3079" s="1">
        <v>4084.0</v>
      </c>
      <c r="U3079" s="1">
        <v>26.958863859</v>
      </c>
      <c r="V3079" s="1">
        <v>89.911886351</v>
      </c>
      <c r="W3079" s="1">
        <v>10.91180867</v>
      </c>
      <c r="X3079" s="1">
        <v>8.9525244913</v>
      </c>
      <c r="Y3079" s="1">
        <v>80.919716956</v>
      </c>
      <c r="Z3079" s="1">
        <v>7.4</v>
      </c>
      <c r="AA3079" s="1">
        <v>4.2971833331</v>
      </c>
      <c r="AB3079" s="1">
        <v>60711.0</v>
      </c>
      <c r="AC3079" s="1">
        <v>33.052884615</v>
      </c>
      <c r="AD3079" s="1">
        <v>76.179068723</v>
      </c>
      <c r="AE3079" s="1">
        <v>9.6724111163</v>
      </c>
      <c r="AF3079" s="1">
        <v>0.5580558056</v>
      </c>
      <c r="AG3079" s="1">
        <v>0.6360636064</v>
      </c>
      <c r="AH3079" s="1">
        <v>0.504050405</v>
      </c>
      <c r="AI3079" s="1">
        <v>0.0180018002</v>
      </c>
      <c r="AJ3079" s="1">
        <v>4.0264026403</v>
      </c>
      <c r="AK3079" s="1">
        <v>93.8613861389999</v>
      </c>
      <c r="AL3079" s="1">
        <v>0.9076382231</v>
      </c>
      <c r="AM3079" s="1">
        <v>49.384938494</v>
      </c>
      <c r="AN3079" s="1">
        <v>100.0</v>
      </c>
      <c r="AO3079" s="1">
        <v>25877.0</v>
      </c>
      <c r="AP3079" s="1">
        <v>11.2</v>
      </c>
      <c r="AQ3079" s="1">
        <v>3.0</v>
      </c>
      <c r="AR3079" s="1">
        <v>10.1</v>
      </c>
      <c r="AS3079" s="1">
        <v>16.7</v>
      </c>
      <c r="AT3079" s="1">
        <v>24.8</v>
      </c>
      <c r="AU3079" s="1">
        <v>11.1</v>
      </c>
      <c r="AV3079" s="1">
        <v>5.2</v>
      </c>
      <c r="AW3079" s="1">
        <v>1.1</v>
      </c>
      <c r="AX3079" s="1">
        <v>0.1423</v>
      </c>
      <c r="AY3079" s="1">
        <v>11.3</v>
      </c>
      <c r="AZ3079" s="1">
        <v>7.8</v>
      </c>
      <c r="BA3079" s="1">
        <v>14.3</v>
      </c>
      <c r="BB3079" s="1">
        <v>2.9</v>
      </c>
      <c r="BC3079" s="1" t="s">
        <v>4958</v>
      </c>
      <c r="BD3079" s="1">
        <v>9.2</v>
      </c>
      <c r="BE3079" s="1">
        <v>40.5</v>
      </c>
      <c r="BF3079" s="1">
        <v>31.4</v>
      </c>
      <c r="BG3079" s="1">
        <v>18.8</v>
      </c>
      <c r="BH3079" s="1" t="s">
        <v>5002</v>
      </c>
    </row>
    <row r="3080">
      <c r="A3080" s="1">
        <v>55067.0</v>
      </c>
      <c r="B3080" s="2" t="str">
        <f>IFERROR(__xludf.DUMMYFUNCTION("TO_TEXT(A3080)"),"55067")</f>
        <v>55067</v>
      </c>
      <c r="C3080" s="1">
        <v>19414.0</v>
      </c>
      <c r="D3080" s="1">
        <v>870.649057830668</v>
      </c>
      <c r="E3080" s="1" t="s">
        <v>5003</v>
      </c>
      <c r="F3080" s="1" t="s">
        <v>5004</v>
      </c>
      <c r="G3080" s="1">
        <v>22.2983070220881</v>
      </c>
      <c r="H3080" s="1">
        <v>13.7129106829999</v>
      </c>
      <c r="I3080" s="1">
        <v>3.6748096624</v>
      </c>
      <c r="J3080" s="1">
        <v>6.9016152717</v>
      </c>
      <c r="K3080" s="1">
        <v>16.4462185509999</v>
      </c>
      <c r="L3080" s="1">
        <v>32.3</v>
      </c>
      <c r="M3080" s="1">
        <v>7.7</v>
      </c>
      <c r="N3080" s="1">
        <v>22.4</v>
      </c>
      <c r="O3080" s="1">
        <v>64.153776843</v>
      </c>
      <c r="P3080" s="1">
        <v>6.9118667592</v>
      </c>
      <c r="Q3080" s="1">
        <v>83.50731</v>
      </c>
      <c r="R3080" s="1">
        <v>89.029535865</v>
      </c>
      <c r="S3080" s="1">
        <v>20.6</v>
      </c>
      <c r="T3080" s="1">
        <v>3650.0</v>
      </c>
      <c r="U3080" s="1">
        <v>30.794520548</v>
      </c>
      <c r="V3080" s="1">
        <v>64.865986871</v>
      </c>
      <c r="W3080" s="1">
        <v>14.0258215959999</v>
      </c>
      <c r="X3080" s="1">
        <v>11.25074096</v>
      </c>
      <c r="Y3080" s="1">
        <v>80.561903489</v>
      </c>
      <c r="Z3080" s="1">
        <v>12.7</v>
      </c>
      <c r="AA3080" s="1">
        <v>10.890505589</v>
      </c>
      <c r="AB3080" s="1">
        <v>51334.0</v>
      </c>
      <c r="AC3080" s="1">
        <v>50.201391432</v>
      </c>
      <c r="AD3080" s="1">
        <v>75.529439144</v>
      </c>
      <c r="AE3080" s="1">
        <v>11.108424997</v>
      </c>
      <c r="AF3080" s="1">
        <v>1.1054598298</v>
      </c>
      <c r="AG3080" s="1">
        <v>1.4687564874</v>
      </c>
      <c r="AH3080" s="1">
        <v>0.5086153207</v>
      </c>
      <c r="AI3080" s="1">
        <v>0.020759809</v>
      </c>
      <c r="AJ3080" s="1">
        <v>2.0240813785</v>
      </c>
      <c r="AK3080" s="1">
        <v>93.792817106</v>
      </c>
      <c r="AL3080" s="1">
        <v>0.4656003506</v>
      </c>
      <c r="AM3080" s="1">
        <v>49.569233963</v>
      </c>
      <c r="AN3080" s="1">
        <v>59.163037493</v>
      </c>
      <c r="AO3080" s="1">
        <v>24772.0</v>
      </c>
      <c r="AP3080" s="1">
        <v>15.9</v>
      </c>
      <c r="AQ3080" s="1">
        <v>7.2</v>
      </c>
      <c r="AR3080" s="1">
        <v>10.1</v>
      </c>
      <c r="AS3080" s="1">
        <v>22.2</v>
      </c>
      <c r="AT3080" s="1">
        <v>19.7</v>
      </c>
      <c r="AU3080" s="1">
        <v>18.0</v>
      </c>
      <c r="AV3080" s="1">
        <v>5.2</v>
      </c>
      <c r="AW3080" s="1">
        <v>0.3</v>
      </c>
      <c r="AX3080" s="1">
        <v>0.348</v>
      </c>
      <c r="AY3080" s="1">
        <v>13.0</v>
      </c>
      <c r="AZ3080" s="1">
        <v>11.2</v>
      </c>
      <c r="BA3080" s="1">
        <v>20.0</v>
      </c>
      <c r="BB3080" s="1">
        <v>2.89</v>
      </c>
      <c r="BC3080" s="1" t="s">
        <v>4958</v>
      </c>
      <c r="BD3080" s="1">
        <v>9.7</v>
      </c>
      <c r="BE3080" s="1">
        <v>42.3</v>
      </c>
      <c r="BF3080" s="1">
        <v>31.3</v>
      </c>
      <c r="BG3080" s="1">
        <v>16.7</v>
      </c>
      <c r="BH3080" s="1" t="s">
        <v>5004</v>
      </c>
    </row>
    <row r="3081">
      <c r="A3081" s="1">
        <v>55069.0</v>
      </c>
      <c r="B3081" s="2" t="str">
        <f>IFERROR(__xludf.DUMMYFUNCTION("TO_TEXT(A3081)"),"55069")</f>
        <v>55069</v>
      </c>
      <c r="C3081" s="1">
        <v>28171.0</v>
      </c>
      <c r="D3081" s="1">
        <v>878.811852568768</v>
      </c>
      <c r="E3081" s="1" t="s">
        <v>353</v>
      </c>
      <c r="F3081" s="1" t="s">
        <v>5005</v>
      </c>
      <c r="G3081" s="1">
        <v>32.0557806743914</v>
      </c>
      <c r="H3081" s="1">
        <v>11.394854375</v>
      </c>
      <c r="I3081" s="1">
        <v>3.2372865136</v>
      </c>
      <c r="J3081" s="1">
        <v>7.4291822555</v>
      </c>
      <c r="K3081" s="1">
        <v>15.638381888</v>
      </c>
      <c r="L3081" s="1">
        <v>34.2</v>
      </c>
      <c r="M3081" s="1">
        <v>8.7</v>
      </c>
      <c r="N3081" s="1">
        <v>24.7</v>
      </c>
      <c r="O3081" s="1">
        <v>74.411160978</v>
      </c>
      <c r="P3081" s="1">
        <v>5.7006132689</v>
      </c>
      <c r="Q3081" s="1">
        <v>61.06761</v>
      </c>
      <c r="R3081" s="1">
        <v>93.922651934</v>
      </c>
      <c r="S3081" s="1">
        <v>13.0</v>
      </c>
      <c r="T3081" s="1">
        <v>5055.0</v>
      </c>
      <c r="U3081" s="1">
        <v>29.297725025</v>
      </c>
      <c r="V3081" s="1">
        <v>180.75107387</v>
      </c>
      <c r="W3081" s="1">
        <v>9.0474292547</v>
      </c>
      <c r="X3081" s="1">
        <v>7.7679290894</v>
      </c>
      <c r="Y3081" s="1">
        <v>78.927995391</v>
      </c>
      <c r="Z3081" s="1">
        <v>9.4</v>
      </c>
      <c r="AA3081" s="1">
        <v>3.7873798198</v>
      </c>
      <c r="AB3081" s="1">
        <v>56645.0</v>
      </c>
      <c r="AC3081" s="1">
        <v>34.9697377269999</v>
      </c>
      <c r="AD3081" s="1">
        <v>77.500597752</v>
      </c>
      <c r="AE3081" s="1">
        <v>8.1592689295</v>
      </c>
      <c r="AF3081" s="1">
        <v>0.8523240276</v>
      </c>
      <c r="AG3081" s="1">
        <v>0.5561775434</v>
      </c>
      <c r="AH3081" s="1">
        <v>0.523673661</v>
      </c>
      <c r="AI3081" s="1">
        <v>0.0325038824</v>
      </c>
      <c r="AJ3081" s="1">
        <v>1.6865903427</v>
      </c>
      <c r="AK3081" s="1">
        <v>95.279713966</v>
      </c>
      <c r="AL3081" s="1">
        <v>0.0639265971999999</v>
      </c>
      <c r="AM3081" s="1">
        <v>49.333670411</v>
      </c>
      <c r="AN3081" s="1">
        <v>54.047942108</v>
      </c>
      <c r="AO3081" s="1">
        <v>27322.0</v>
      </c>
      <c r="AP3081" s="1">
        <v>9.6</v>
      </c>
      <c r="AQ3081" s="1">
        <v>4.9</v>
      </c>
      <c r="AR3081" s="1">
        <v>9.7</v>
      </c>
      <c r="AS3081" s="1">
        <v>19.8</v>
      </c>
      <c r="AT3081" s="1">
        <v>19.7</v>
      </c>
      <c r="AU3081" s="1">
        <v>12.8</v>
      </c>
      <c r="AV3081" s="1">
        <v>4.2</v>
      </c>
      <c r="AW3081" s="1">
        <v>0.1</v>
      </c>
      <c r="AX3081" s="1">
        <v>0.0987</v>
      </c>
      <c r="AY3081" s="1">
        <v>9.1</v>
      </c>
      <c r="AZ3081" s="1">
        <v>8.3</v>
      </c>
      <c r="BA3081" s="1">
        <v>14.2</v>
      </c>
      <c r="BB3081" s="1">
        <v>3.03</v>
      </c>
      <c r="BC3081" s="1" t="s">
        <v>4958</v>
      </c>
      <c r="BD3081" s="1">
        <v>8.0</v>
      </c>
      <c r="BE3081" s="1">
        <v>38.1</v>
      </c>
      <c r="BF3081" s="1">
        <v>35.4</v>
      </c>
      <c r="BG3081" s="1">
        <v>18.4</v>
      </c>
      <c r="BH3081" s="1" t="s">
        <v>5005</v>
      </c>
    </row>
    <row r="3082">
      <c r="A3082" s="1">
        <v>55071.0</v>
      </c>
      <c r="B3082" s="2" t="str">
        <f>IFERROR(__xludf.DUMMYFUNCTION("TO_TEXT(A3082)"),"55071")</f>
        <v>55071</v>
      </c>
      <c r="C3082" s="1">
        <v>80178.0</v>
      </c>
      <c r="D3082" s="1">
        <v>589.356654234108</v>
      </c>
      <c r="E3082" s="1" t="s">
        <v>5006</v>
      </c>
      <c r="F3082" s="1" t="s">
        <v>5007</v>
      </c>
      <c r="G3082" s="1">
        <v>136.04325907577</v>
      </c>
      <c r="H3082" s="1">
        <v>12.667495421</v>
      </c>
      <c r="I3082" s="1">
        <v>3.4930078127</v>
      </c>
      <c r="J3082" s="1">
        <v>7.2133500807</v>
      </c>
      <c r="K3082" s="1">
        <v>14.92612891</v>
      </c>
      <c r="L3082" s="1">
        <v>33.4</v>
      </c>
      <c r="M3082" s="1">
        <v>8.5</v>
      </c>
      <c r="N3082" s="1">
        <v>22.6</v>
      </c>
      <c r="O3082" s="1">
        <v>76.642273029</v>
      </c>
      <c r="P3082" s="1">
        <v>6.501651213</v>
      </c>
      <c r="Q3082" s="1">
        <v>47.99495</v>
      </c>
      <c r="R3082" s="1">
        <v>90.767386091</v>
      </c>
      <c r="S3082" s="1">
        <v>13.0</v>
      </c>
      <c r="T3082" s="1">
        <v>16096.0</v>
      </c>
      <c r="U3082" s="1">
        <v>26.85139165</v>
      </c>
      <c r="V3082" s="1">
        <v>187.62547454</v>
      </c>
      <c r="W3082" s="1">
        <v>10.4442483079999</v>
      </c>
      <c r="X3082" s="1">
        <v>8.8892197737</v>
      </c>
      <c r="Y3082" s="1">
        <v>79.256047246</v>
      </c>
      <c r="Z3082" s="1">
        <v>11.9</v>
      </c>
      <c r="AA3082" s="1">
        <v>5.330741631</v>
      </c>
      <c r="AB3082" s="1">
        <v>56466.0</v>
      </c>
      <c r="AC3082" s="1">
        <v>33.0118203309999</v>
      </c>
      <c r="AD3082" s="1">
        <v>75.126947741</v>
      </c>
      <c r="AE3082" s="1">
        <v>8.5376363258</v>
      </c>
      <c r="AF3082" s="1">
        <v>0.9813592331</v>
      </c>
      <c r="AG3082" s="1">
        <v>0.737284062999999</v>
      </c>
      <c r="AH3082" s="1">
        <v>2.8214077952</v>
      </c>
      <c r="AI3082" s="1">
        <v>0.0480562511</v>
      </c>
      <c r="AJ3082" s="1">
        <v>4.1568657207</v>
      </c>
      <c r="AK3082" s="1">
        <v>90.263550598</v>
      </c>
      <c r="AL3082" s="1">
        <v>1.2349453646</v>
      </c>
      <c r="AM3082" s="1">
        <v>50.037939146</v>
      </c>
      <c r="AN3082" s="1">
        <v>38.86201223</v>
      </c>
      <c r="AO3082" s="1">
        <v>26751.0</v>
      </c>
      <c r="AP3082" s="1">
        <v>10.3</v>
      </c>
      <c r="AQ3082" s="1">
        <v>4.8</v>
      </c>
      <c r="AR3082" s="1">
        <v>9.1</v>
      </c>
      <c r="AS3082" s="1">
        <v>18.6</v>
      </c>
      <c r="AT3082" s="1">
        <v>21.2</v>
      </c>
      <c r="AU3082" s="1">
        <v>12.1</v>
      </c>
      <c r="AV3082" s="1">
        <v>8.5</v>
      </c>
      <c r="AW3082" s="1">
        <v>1.1</v>
      </c>
      <c r="AX3082" s="1">
        <v>0.1589</v>
      </c>
      <c r="AY3082" s="1">
        <v>8.8</v>
      </c>
      <c r="AZ3082" s="1">
        <v>8.4</v>
      </c>
      <c r="BA3082" s="1">
        <v>15.1</v>
      </c>
      <c r="BB3082" s="1">
        <v>2.96</v>
      </c>
      <c r="BC3082" s="1" t="s">
        <v>4958</v>
      </c>
      <c r="BD3082" s="1">
        <v>8.0</v>
      </c>
      <c r="BE3082" s="1">
        <v>38.6</v>
      </c>
      <c r="BF3082" s="1">
        <v>33.2</v>
      </c>
      <c r="BG3082" s="1">
        <v>20.2</v>
      </c>
      <c r="BH3082" s="1" t="s">
        <v>5007</v>
      </c>
    </row>
    <row r="3083">
      <c r="A3083" s="1">
        <v>55073.0</v>
      </c>
      <c r="B3083" s="2" t="str">
        <f>IFERROR(__xludf.DUMMYFUNCTION("TO_TEXT(A3083)"),"55073")</f>
        <v>55073</v>
      </c>
      <c r="C3083" s="1">
        <v>135367.0</v>
      </c>
      <c r="D3083" s="1">
        <v>1545.0023075035</v>
      </c>
      <c r="E3083" s="1" t="s">
        <v>5008</v>
      </c>
      <c r="F3083" s="1" t="s">
        <v>5009</v>
      </c>
      <c r="G3083" s="1">
        <v>87.6160503725935</v>
      </c>
      <c r="H3083" s="1">
        <v>11.807094256</v>
      </c>
      <c r="I3083" s="1">
        <v>3.3025217856</v>
      </c>
      <c r="J3083" s="1">
        <v>6.6479739508</v>
      </c>
      <c r="K3083" s="1">
        <v>15.15327876</v>
      </c>
      <c r="L3083" s="1">
        <v>33.5</v>
      </c>
      <c r="M3083" s="1">
        <v>8.5</v>
      </c>
      <c r="N3083" s="1">
        <v>24.6</v>
      </c>
      <c r="O3083" s="1">
        <v>72.69567293</v>
      </c>
      <c r="P3083" s="1">
        <v>6.4905998209</v>
      </c>
      <c r="Q3083" s="1">
        <v>88.40951</v>
      </c>
      <c r="R3083" s="1">
        <v>93.574846206</v>
      </c>
      <c r="S3083" s="1">
        <v>8.9</v>
      </c>
      <c r="T3083" s="1">
        <v>30666.0</v>
      </c>
      <c r="U3083" s="1">
        <v>22.259179547</v>
      </c>
      <c r="V3083" s="1">
        <v>115.24237955</v>
      </c>
      <c r="W3083" s="1">
        <v>12.434033886</v>
      </c>
      <c r="X3083" s="1">
        <v>10.33743475</v>
      </c>
      <c r="Y3083" s="1">
        <v>80.426865806</v>
      </c>
      <c r="Z3083" s="1">
        <v>10.5</v>
      </c>
      <c r="AA3083" s="1">
        <v>5.67530725559999</v>
      </c>
      <c r="AB3083" s="1">
        <v>63442.0</v>
      </c>
      <c r="AC3083" s="1">
        <v>33.240626288</v>
      </c>
      <c r="AD3083" s="1">
        <v>72.829875219</v>
      </c>
      <c r="AE3083" s="1">
        <v>9.2141722393</v>
      </c>
      <c r="AF3083" s="1">
        <v>0.798210119</v>
      </c>
      <c r="AG3083" s="1">
        <v>0.5641374014</v>
      </c>
      <c r="AH3083" s="1">
        <v>6.011312284</v>
      </c>
      <c r="AI3083" s="1">
        <v>0.0479959830999999</v>
      </c>
      <c r="AJ3083" s="1">
        <v>2.8169950084</v>
      </c>
      <c r="AK3083" s="1">
        <v>88.516407242</v>
      </c>
      <c r="AL3083" s="1">
        <v>1.4323786763</v>
      </c>
      <c r="AM3083" s="1">
        <v>49.726792096</v>
      </c>
      <c r="AN3083" s="1">
        <v>42.990235934</v>
      </c>
      <c r="AO3083" s="1">
        <v>28773.0</v>
      </c>
      <c r="AP3083" s="1">
        <v>11.1</v>
      </c>
      <c r="AQ3083" s="1">
        <v>4.8</v>
      </c>
      <c r="AR3083" s="1">
        <v>8.9</v>
      </c>
      <c r="AS3083" s="1">
        <v>15.9</v>
      </c>
      <c r="AT3083" s="1">
        <v>23.4</v>
      </c>
      <c r="AU3083" s="1">
        <v>11.3</v>
      </c>
      <c r="AV3083" s="1">
        <v>10.6</v>
      </c>
      <c r="AW3083" s="1">
        <v>1.6</v>
      </c>
      <c r="AX3083" s="1">
        <v>0.1818</v>
      </c>
      <c r="AY3083" s="1">
        <v>8.2</v>
      </c>
      <c r="AZ3083" s="1">
        <v>7.8</v>
      </c>
      <c r="BA3083" s="1">
        <v>13.7</v>
      </c>
      <c r="BB3083" s="1">
        <v>2.89</v>
      </c>
      <c r="BC3083" s="1" t="s">
        <v>4958</v>
      </c>
      <c r="BD3083" s="1">
        <v>8.2</v>
      </c>
      <c r="BE3083" s="1">
        <v>34.3</v>
      </c>
      <c r="BF3083" s="1">
        <v>32.2</v>
      </c>
      <c r="BG3083" s="1">
        <v>25.4</v>
      </c>
      <c r="BH3083" s="1" t="s">
        <v>5009</v>
      </c>
    </row>
    <row r="3084">
      <c r="A3084" s="1">
        <v>55075.0</v>
      </c>
      <c r="B3084" s="2" t="str">
        <f>IFERROR(__xludf.DUMMYFUNCTION("TO_TEXT(A3084)"),"55075")</f>
        <v>55075</v>
      </c>
      <c r="C3084" s="1">
        <v>41090.0</v>
      </c>
      <c r="D3084" s="1">
        <v>1399.36823080194</v>
      </c>
      <c r="E3084" s="1" t="s">
        <v>5010</v>
      </c>
      <c r="F3084" s="1" t="s">
        <v>5011</v>
      </c>
      <c r="G3084" s="1">
        <v>29.3632505694748</v>
      </c>
      <c r="H3084" s="1">
        <v>15.135186082</v>
      </c>
      <c r="I3084" s="1">
        <v>3.8266633642</v>
      </c>
      <c r="J3084" s="1">
        <v>6.8682344158</v>
      </c>
      <c r="K3084" s="1">
        <v>16.357618312</v>
      </c>
      <c r="L3084" s="1">
        <v>30.8</v>
      </c>
      <c r="M3084" s="1">
        <v>7.8</v>
      </c>
      <c r="N3084" s="1">
        <v>25.1</v>
      </c>
      <c r="O3084" s="1">
        <v>76.674890417</v>
      </c>
      <c r="P3084" s="1">
        <v>6.208527692</v>
      </c>
      <c r="Q3084" s="1">
        <v>64.50012</v>
      </c>
      <c r="R3084" s="1">
        <v>91.810344828</v>
      </c>
      <c r="S3084" s="1">
        <v>16.5</v>
      </c>
      <c r="T3084" s="1">
        <v>7600.0</v>
      </c>
      <c r="U3084" s="1">
        <v>38.078947368</v>
      </c>
      <c r="V3084" s="1">
        <v>40.119629441</v>
      </c>
      <c r="W3084" s="1">
        <v>13.084874864</v>
      </c>
      <c r="X3084" s="1">
        <v>11.2493120529999</v>
      </c>
      <c r="Y3084" s="1">
        <v>78.65740192</v>
      </c>
      <c r="Z3084" s="1">
        <v>7.9</v>
      </c>
      <c r="AA3084" s="1">
        <v>10.192717372</v>
      </c>
      <c r="AB3084" s="1">
        <v>50670.0</v>
      </c>
      <c r="AC3084" s="1">
        <v>41.668059502</v>
      </c>
      <c r="AD3084" s="1">
        <v>74.66051205</v>
      </c>
      <c r="AE3084" s="1">
        <v>10.53248493</v>
      </c>
      <c r="AF3084" s="1">
        <v>0.5663550477</v>
      </c>
      <c r="AG3084" s="1">
        <v>0.7864668348</v>
      </c>
      <c r="AH3084" s="1">
        <v>0.5416233863</v>
      </c>
      <c r="AI3084" s="1">
        <v>0.0346243261</v>
      </c>
      <c r="AJ3084" s="1">
        <v>1.8993916011</v>
      </c>
      <c r="AK3084" s="1">
        <v>95.06356037</v>
      </c>
      <c r="AL3084" s="1">
        <v>0.1549546758</v>
      </c>
      <c r="AM3084" s="1">
        <v>49.802146708</v>
      </c>
      <c r="AN3084" s="1">
        <v>61.829025845</v>
      </c>
      <c r="AO3084" s="1">
        <v>25231.0</v>
      </c>
      <c r="AP3084" s="1">
        <v>13.1</v>
      </c>
      <c r="AQ3084" s="1">
        <v>6.6</v>
      </c>
      <c r="AR3084" s="1">
        <v>8.6</v>
      </c>
      <c r="AS3084" s="1">
        <v>21.8</v>
      </c>
      <c r="AT3084" s="1">
        <v>19.5</v>
      </c>
      <c r="AU3084" s="1">
        <v>16.2</v>
      </c>
      <c r="AV3084" s="1">
        <v>4.2</v>
      </c>
      <c r="AW3084" s="1">
        <v>0.3</v>
      </c>
      <c r="AX3084" s="1">
        <v>0.3028</v>
      </c>
      <c r="AY3084" s="1">
        <v>11.5</v>
      </c>
      <c r="AZ3084" s="1">
        <v>10.9</v>
      </c>
      <c r="BA3084" s="1">
        <v>19.3</v>
      </c>
      <c r="BB3084" s="1">
        <v>2.73</v>
      </c>
      <c r="BC3084" s="1" t="s">
        <v>4958</v>
      </c>
      <c r="BD3084" s="1">
        <v>8.9</v>
      </c>
      <c r="BE3084" s="1">
        <v>41.6</v>
      </c>
      <c r="BF3084" s="1">
        <v>33.5</v>
      </c>
      <c r="BG3084" s="1">
        <v>15.9</v>
      </c>
      <c r="BH3084" s="1" t="s">
        <v>5011</v>
      </c>
    </row>
    <row r="3085">
      <c r="A3085" s="1">
        <v>55077.0</v>
      </c>
      <c r="B3085" s="2" t="str">
        <f>IFERROR(__xludf.DUMMYFUNCTION("TO_TEXT(A3085)"),"55077")</f>
        <v>55077</v>
      </c>
      <c r="C3085" s="1">
        <v>15082.0</v>
      </c>
      <c r="D3085" s="1">
        <v>455.707619907804</v>
      </c>
      <c r="E3085" s="1" t="s">
        <v>2231</v>
      </c>
      <c r="F3085" s="1" t="s">
        <v>5012</v>
      </c>
      <c r="G3085" s="1">
        <v>33.0957819029914</v>
      </c>
      <c r="H3085" s="1">
        <v>12.941739783</v>
      </c>
      <c r="I3085" s="1">
        <v>3.5968558199</v>
      </c>
      <c r="J3085" s="1">
        <v>7.25646123259999</v>
      </c>
      <c r="K3085" s="1">
        <v>15.485292068</v>
      </c>
      <c r="L3085" s="1">
        <v>37.9</v>
      </c>
      <c r="M3085" s="1">
        <v>8.9</v>
      </c>
      <c r="N3085" s="1">
        <v>25.5</v>
      </c>
      <c r="O3085" s="1">
        <v>27.7005972469999</v>
      </c>
      <c r="P3085" s="1">
        <v>8.4921256417</v>
      </c>
      <c r="Q3085" s="1">
        <v>6.53253</v>
      </c>
      <c r="R3085" s="1">
        <v>84.507042254</v>
      </c>
      <c r="S3085" s="1">
        <v>16.3</v>
      </c>
      <c r="T3085" s="1">
        <v>2924.0</v>
      </c>
      <c r="U3085" s="1">
        <v>31.3953488369999</v>
      </c>
      <c r="V3085" s="1">
        <v>33.2060435</v>
      </c>
      <c r="W3085" s="1">
        <v>12.164296998</v>
      </c>
      <c r="X3085" s="1">
        <v>9.5534290271</v>
      </c>
      <c r="Y3085" s="1">
        <v>77.388034473</v>
      </c>
      <c r="Z3085" s="1">
        <v>18.9</v>
      </c>
      <c r="AA3085" s="1">
        <v>0.3458612516</v>
      </c>
      <c r="AB3085" s="1">
        <v>46964.0</v>
      </c>
      <c r="AC3085" s="1">
        <v>45.108695652</v>
      </c>
      <c r="AD3085" s="1">
        <v>81.015960712</v>
      </c>
      <c r="AE3085" s="1">
        <v>10.309930424</v>
      </c>
      <c r="AF3085" s="1">
        <v>0.6090449657</v>
      </c>
      <c r="AG3085" s="1">
        <v>0.900609045</v>
      </c>
      <c r="AH3085" s="1">
        <v>0.6867953868</v>
      </c>
      <c r="AI3085" s="1">
        <v>0.0453544123</v>
      </c>
      <c r="AJ3085" s="1">
        <v>3.7061034081</v>
      </c>
      <c r="AK3085" s="1">
        <v>93.119087728</v>
      </c>
      <c r="AL3085" s="1">
        <v>0.4647291392</v>
      </c>
      <c r="AM3085" s="1">
        <v>48.963327718</v>
      </c>
      <c r="AN3085" s="1">
        <v>100.0</v>
      </c>
      <c r="AO3085" s="1">
        <v>25268.0</v>
      </c>
      <c r="AP3085" s="1">
        <v>11.7</v>
      </c>
      <c r="AQ3085" s="1">
        <v>6.3</v>
      </c>
      <c r="AR3085" s="1">
        <v>11.5</v>
      </c>
      <c r="AS3085" s="1">
        <v>22.4</v>
      </c>
      <c r="AT3085" s="1">
        <v>19.7</v>
      </c>
      <c r="AU3085" s="1">
        <v>16.3</v>
      </c>
      <c r="AV3085" s="1">
        <v>6.0</v>
      </c>
      <c r="AW3085" s="1">
        <v>0.6</v>
      </c>
      <c r="AX3085" s="1">
        <v>0.2343</v>
      </c>
      <c r="AY3085" s="1">
        <v>10.0</v>
      </c>
      <c r="AZ3085" s="1">
        <v>9.5</v>
      </c>
      <c r="BA3085" s="1">
        <v>17.1</v>
      </c>
      <c r="BB3085" s="1">
        <v>2.91</v>
      </c>
      <c r="BC3085" s="1" t="s">
        <v>4958</v>
      </c>
      <c r="BD3085" s="1">
        <v>10.9</v>
      </c>
      <c r="BE3085" s="1">
        <v>40.9</v>
      </c>
      <c r="BF3085" s="1">
        <v>33.1</v>
      </c>
      <c r="BG3085" s="1">
        <v>15.1</v>
      </c>
      <c r="BH3085" s="1" t="s">
        <v>5012</v>
      </c>
    </row>
    <row r="3086">
      <c r="A3086" s="1">
        <v>55078.0</v>
      </c>
      <c r="B3086" s="2" t="str">
        <f>IFERROR(__xludf.DUMMYFUNCTION("TO_TEXT(A3086)"),"55078")</f>
        <v>55078</v>
      </c>
      <c r="C3086" s="1">
        <v>4457.0</v>
      </c>
      <c r="D3086" s="1">
        <v>357.608101745423</v>
      </c>
      <c r="E3086" s="1" t="s">
        <v>2236</v>
      </c>
      <c r="F3086" s="1" t="s">
        <v>5013</v>
      </c>
      <c r="G3086" s="1">
        <v>12.4633641638601</v>
      </c>
      <c r="H3086" s="1">
        <v>26.94660876</v>
      </c>
      <c r="I3086" s="1">
        <v>5.5934396545</v>
      </c>
      <c r="J3086" s="1">
        <v>6.990881459</v>
      </c>
      <c r="K3086" s="1">
        <v>33.579999574</v>
      </c>
      <c r="L3086" s="1">
        <v>43.2</v>
      </c>
      <c r="M3086" s="1">
        <v>6.5</v>
      </c>
      <c r="N3086" s="1">
        <v>22.5</v>
      </c>
      <c r="O3086" s="1">
        <v>6.9234404537</v>
      </c>
      <c r="P3086" s="1">
        <v>9.9048109082</v>
      </c>
      <c r="Q3086" s="1">
        <v>43.33694</v>
      </c>
      <c r="R3086" s="1">
        <v>77.631578947</v>
      </c>
      <c r="S3086" s="1">
        <v>43.3</v>
      </c>
      <c r="T3086" s="1">
        <v>1497.0</v>
      </c>
      <c r="U3086" s="1">
        <v>65.86506346</v>
      </c>
      <c r="V3086" s="1">
        <v>0.0</v>
      </c>
      <c r="W3086" s="1">
        <v>17.283950617</v>
      </c>
      <c r="X3086" s="1">
        <v>8.4255319149</v>
      </c>
      <c r="Y3086" s="1">
        <v>70.591813175</v>
      </c>
      <c r="Z3086" s="1">
        <v>10.2</v>
      </c>
      <c r="AA3086" s="1">
        <v>10.832951113</v>
      </c>
      <c r="AB3086" s="1">
        <v>40682.0</v>
      </c>
      <c r="AC3086" s="1">
        <v>88.613303269</v>
      </c>
      <c r="AD3086" s="1">
        <v>65.557865558</v>
      </c>
      <c r="AE3086" s="1">
        <v>10.237923576</v>
      </c>
      <c r="AF3086" s="1">
        <v>0.8158007729</v>
      </c>
      <c r="AG3086" s="1">
        <v>81.300987548</v>
      </c>
      <c r="AH3086" s="1">
        <v>3.0485186775</v>
      </c>
      <c r="AI3086" s="1">
        <v>0.0</v>
      </c>
      <c r="AJ3086" s="1">
        <v>6.0326320309</v>
      </c>
      <c r="AK3086" s="1">
        <v>11.142121082</v>
      </c>
      <c r="AL3086" s="1">
        <v>0.2151565862</v>
      </c>
      <c r="AM3086" s="1">
        <v>50.193215973</v>
      </c>
      <c r="AN3086" s="1">
        <v>100.0</v>
      </c>
      <c r="AO3086" s="1">
        <v>15171.0</v>
      </c>
      <c r="AP3086" s="1">
        <v>33.1</v>
      </c>
      <c r="AQ3086" s="1">
        <v>11.0</v>
      </c>
      <c r="AR3086" s="1">
        <v>10.7</v>
      </c>
      <c r="AS3086" s="1">
        <v>12.6</v>
      </c>
      <c r="AT3086" s="1">
        <v>32.9</v>
      </c>
      <c r="AU3086" s="1">
        <v>14.5</v>
      </c>
      <c r="AV3086" s="1">
        <v>90.9</v>
      </c>
      <c r="AW3086" s="1">
        <v>0.8</v>
      </c>
      <c r="AX3086" s="1">
        <v>0.8797</v>
      </c>
      <c r="AY3086" s="1">
        <v>25.3</v>
      </c>
      <c r="AZ3086" s="1">
        <v>17.5</v>
      </c>
      <c r="BA3086" s="1">
        <v>29.1</v>
      </c>
      <c r="BB3086" s="1">
        <v>2.8</v>
      </c>
      <c r="BC3086" s="1" t="s">
        <v>4958</v>
      </c>
      <c r="BD3086" s="1">
        <v>8.1</v>
      </c>
      <c r="BE3086" s="1">
        <v>42.6</v>
      </c>
      <c r="BF3086" s="1">
        <v>31.4</v>
      </c>
      <c r="BG3086" s="1">
        <v>17.9</v>
      </c>
      <c r="BH3086" s="1" t="s">
        <v>5013</v>
      </c>
    </row>
    <row r="3087">
      <c r="A3087" s="1">
        <v>55079.0</v>
      </c>
      <c r="B3087" s="2" t="str">
        <f>IFERROR(__xludf.DUMMYFUNCTION("TO_TEXT(A3087)"),"55079")</f>
        <v>55079</v>
      </c>
      <c r="C3087" s="1">
        <v>955306.0</v>
      </c>
      <c r="D3087" s="1">
        <v>241.624156316797</v>
      </c>
      <c r="E3087" s="1" t="s">
        <v>5014</v>
      </c>
      <c r="F3087" s="1" t="s">
        <v>5015</v>
      </c>
      <c r="G3087" s="1">
        <v>3953.68581752017</v>
      </c>
      <c r="H3087" s="1">
        <v>18.390966872</v>
      </c>
      <c r="I3087" s="1">
        <v>4.4954497835</v>
      </c>
      <c r="J3087" s="1">
        <v>9.9878032254</v>
      </c>
      <c r="K3087" s="1">
        <v>17.817309912</v>
      </c>
      <c r="L3087" s="1">
        <v>32.2</v>
      </c>
      <c r="M3087" s="1">
        <v>7.6</v>
      </c>
      <c r="N3087" s="1">
        <v>22.5</v>
      </c>
      <c r="O3087" s="1">
        <v>97.827873825</v>
      </c>
      <c r="P3087" s="1">
        <v>8.0928725161</v>
      </c>
      <c r="Q3087" s="1">
        <v>71.63226</v>
      </c>
      <c r="R3087" s="1">
        <v>76.77950958</v>
      </c>
      <c r="S3087" s="1">
        <v>27.2</v>
      </c>
      <c r="T3087" s="1">
        <v>228965.0</v>
      </c>
      <c r="U3087" s="1">
        <v>50.171860328</v>
      </c>
      <c r="V3087" s="1">
        <v>1019.7025954</v>
      </c>
      <c r="W3087" s="1">
        <v>21.619468102</v>
      </c>
      <c r="X3087" s="1">
        <v>19.08548443</v>
      </c>
      <c r="Y3087" s="1">
        <v>76.858929455</v>
      </c>
      <c r="Z3087" s="1">
        <v>10.4</v>
      </c>
      <c r="AA3087" s="1">
        <v>2.5226075608</v>
      </c>
      <c r="AB3087" s="1">
        <v>49771.0</v>
      </c>
      <c r="AC3087" s="1">
        <v>60.701832315</v>
      </c>
      <c r="AD3087" s="1">
        <v>49.48831366</v>
      </c>
      <c r="AE3087" s="1">
        <v>18.710554554</v>
      </c>
      <c r="AF3087" s="1">
        <v>26.223870255</v>
      </c>
      <c r="AG3087" s="1">
        <v>0.9723676731</v>
      </c>
      <c r="AH3087" s="1">
        <v>4.6682085338</v>
      </c>
      <c r="AI3087" s="1">
        <v>0.0437670916</v>
      </c>
      <c r="AJ3087" s="1">
        <v>15.350859153</v>
      </c>
      <c r="AK3087" s="1">
        <v>50.969151056</v>
      </c>
      <c r="AL3087" s="1">
        <v>3.1952445387</v>
      </c>
      <c r="AM3087" s="1">
        <v>51.57978108</v>
      </c>
      <c r="AN3087" s="1">
        <v>0.1920368035</v>
      </c>
      <c r="AO3087" s="1">
        <v>25881.0</v>
      </c>
      <c r="AP3087" s="1">
        <v>21.2</v>
      </c>
      <c r="AQ3087" s="1">
        <v>8.1</v>
      </c>
      <c r="AR3087" s="1">
        <v>13.1</v>
      </c>
      <c r="AS3087" s="1">
        <v>12.2</v>
      </c>
      <c r="AT3087" s="1">
        <v>24.5</v>
      </c>
      <c r="AU3087" s="1">
        <v>13.3</v>
      </c>
      <c r="AV3087" s="1">
        <v>47.3</v>
      </c>
      <c r="AW3087" s="1">
        <v>3.3</v>
      </c>
      <c r="AX3087" s="1">
        <v>0.8268</v>
      </c>
      <c r="AY3087" s="1">
        <v>16.9</v>
      </c>
      <c r="AZ3087" s="1">
        <v>12.6</v>
      </c>
      <c r="BA3087" s="1">
        <v>19.0</v>
      </c>
      <c r="BB3087" s="1">
        <v>2.91</v>
      </c>
      <c r="BC3087" s="1" t="s">
        <v>4958</v>
      </c>
      <c r="BD3087" s="1">
        <v>11.7</v>
      </c>
      <c r="BE3087" s="1">
        <v>28.4</v>
      </c>
      <c r="BF3087" s="1">
        <v>29.0</v>
      </c>
      <c r="BG3087" s="1">
        <v>31.0</v>
      </c>
      <c r="BH3087" s="1" t="s">
        <v>5015</v>
      </c>
    </row>
    <row r="3088">
      <c r="A3088" s="1">
        <v>55081.0</v>
      </c>
      <c r="B3088" s="2" t="str">
        <f>IFERROR(__xludf.DUMMYFUNCTION("TO_TEXT(A3088)"),"55081")</f>
        <v>55081</v>
      </c>
      <c r="C3088" s="1">
        <v>45365.0</v>
      </c>
      <c r="D3088" s="1">
        <v>900.907626395898</v>
      </c>
      <c r="E3088" s="1" t="s">
        <v>158</v>
      </c>
      <c r="F3088" s="1" t="s">
        <v>5016</v>
      </c>
      <c r="G3088" s="1">
        <v>50.3547740865329</v>
      </c>
      <c r="H3088" s="1">
        <v>13.0217922909999</v>
      </c>
      <c r="I3088" s="1">
        <v>3.6084264548</v>
      </c>
      <c r="J3088" s="1">
        <v>6.4615384615</v>
      </c>
      <c r="K3088" s="1">
        <v>16.265412062</v>
      </c>
      <c r="L3088" s="1">
        <v>38.2</v>
      </c>
      <c r="M3088" s="1">
        <v>8.3</v>
      </c>
      <c r="N3088" s="1">
        <v>23.2</v>
      </c>
      <c r="O3088" s="1">
        <v>64.913930114</v>
      </c>
      <c r="P3088" s="1">
        <v>7.7434577435</v>
      </c>
      <c r="Q3088" s="1">
        <v>63.56164</v>
      </c>
      <c r="R3088" s="1">
        <v>94.72693032</v>
      </c>
      <c r="S3088" s="1">
        <v>20.1</v>
      </c>
      <c r="T3088" s="1">
        <v>11450.0</v>
      </c>
      <c r="U3088" s="1">
        <v>29.458515284</v>
      </c>
      <c r="V3088" s="1">
        <v>140.1735061</v>
      </c>
      <c r="W3088" s="1">
        <v>13.808588268</v>
      </c>
      <c r="X3088" s="1">
        <v>10.934844193</v>
      </c>
      <c r="Y3088" s="1">
        <v>78.499105078</v>
      </c>
      <c r="Z3088" s="1">
        <v>13.6</v>
      </c>
      <c r="AA3088" s="1">
        <v>7.2566031049</v>
      </c>
      <c r="AB3088" s="1">
        <v>58391.0</v>
      </c>
      <c r="AC3088" s="1">
        <v>42.235506743</v>
      </c>
      <c r="AD3088" s="1">
        <v>70.352239478</v>
      </c>
      <c r="AE3088" s="1">
        <v>10.008085008</v>
      </c>
      <c r="AF3088" s="1">
        <v>1.5135393368</v>
      </c>
      <c r="AG3088" s="1">
        <v>1.4266791166</v>
      </c>
      <c r="AH3088" s="1">
        <v>0.8859742459</v>
      </c>
      <c r="AI3088" s="1">
        <v>0.1150897918</v>
      </c>
      <c r="AJ3088" s="1">
        <v>4.7946841545</v>
      </c>
      <c r="AK3088" s="1">
        <v>90.12616447</v>
      </c>
      <c r="AL3088" s="1">
        <v>1.1232515424</v>
      </c>
      <c r="AM3088" s="1">
        <v>49.401750233</v>
      </c>
      <c r="AN3088" s="1">
        <v>57.6724195819999</v>
      </c>
      <c r="AO3088" s="1">
        <v>24971.0</v>
      </c>
      <c r="AP3088" s="1">
        <v>13.9</v>
      </c>
      <c r="AQ3088" s="1">
        <v>6.1</v>
      </c>
      <c r="AR3088" s="1">
        <v>9.8</v>
      </c>
      <c r="AS3088" s="1">
        <v>15.6</v>
      </c>
      <c r="AT3088" s="1">
        <v>25.5</v>
      </c>
      <c r="AU3088" s="1">
        <v>13.1</v>
      </c>
      <c r="AV3088" s="1">
        <v>8.5</v>
      </c>
      <c r="AW3088" s="1">
        <v>1.1</v>
      </c>
      <c r="AX3088" s="1">
        <v>0.5158</v>
      </c>
      <c r="AY3088" s="1">
        <v>10.9</v>
      </c>
      <c r="AZ3088" s="1">
        <v>9.4</v>
      </c>
      <c r="BA3088" s="1">
        <v>16.9</v>
      </c>
      <c r="BB3088" s="1">
        <v>2.82</v>
      </c>
      <c r="BC3088" s="1" t="s">
        <v>4958</v>
      </c>
      <c r="BD3088" s="1">
        <v>9.1</v>
      </c>
      <c r="BE3088" s="1">
        <v>36.8</v>
      </c>
      <c r="BF3088" s="1">
        <v>33.5</v>
      </c>
      <c r="BG3088" s="1">
        <v>20.6</v>
      </c>
      <c r="BH3088" s="1" t="s">
        <v>5016</v>
      </c>
    </row>
    <row r="3089">
      <c r="A3089" s="1">
        <v>55083.0</v>
      </c>
      <c r="B3089" s="2" t="str">
        <f>IFERROR(__xludf.DUMMYFUNCTION("TO_TEXT(A3089)"),"55083")</f>
        <v>55083</v>
      </c>
      <c r="C3089" s="1">
        <v>37475.0</v>
      </c>
      <c r="D3089" s="1">
        <v>997.207019273168</v>
      </c>
      <c r="E3089" s="1" t="s">
        <v>5017</v>
      </c>
      <c r="F3089" s="1" t="s">
        <v>5018</v>
      </c>
      <c r="G3089" s="1">
        <v>37.5799601042864</v>
      </c>
      <c r="H3089" s="1">
        <v>12.439879534</v>
      </c>
      <c r="I3089" s="1">
        <v>3.4366544188</v>
      </c>
      <c r="J3089" s="1">
        <v>8.1713605712</v>
      </c>
      <c r="K3089" s="1">
        <v>15.973848957</v>
      </c>
      <c r="L3089" s="1">
        <v>37.3</v>
      </c>
      <c r="M3089" s="1">
        <v>8.9</v>
      </c>
      <c r="N3089" s="1">
        <v>27.3</v>
      </c>
      <c r="O3089" s="1">
        <v>62.5889537969999</v>
      </c>
      <c r="P3089" s="1">
        <v>6.2773820274</v>
      </c>
      <c r="Q3089" s="1">
        <v>31.95484</v>
      </c>
      <c r="R3089" s="1">
        <v>91.5857605179999</v>
      </c>
      <c r="S3089" s="1">
        <v>12.6</v>
      </c>
      <c r="T3089" s="1">
        <v>7546.0</v>
      </c>
      <c r="U3089" s="1">
        <v>23.774184999</v>
      </c>
      <c r="V3089" s="1">
        <v>204.509002055</v>
      </c>
      <c r="W3089" s="1">
        <v>10.6217616579999</v>
      </c>
      <c r="X3089" s="1">
        <v>9.0078328982</v>
      </c>
      <c r="Y3089" s="1">
        <v>79.092796763</v>
      </c>
      <c r="Z3089" s="1">
        <v>19.3</v>
      </c>
      <c r="AA3089" s="1">
        <v>3.6679671497</v>
      </c>
      <c r="AB3089" s="1">
        <v>59983.0</v>
      </c>
      <c r="AC3089" s="1">
        <v>34.286323875</v>
      </c>
      <c r="AD3089" s="1">
        <v>83.005018821</v>
      </c>
      <c r="AE3089" s="1">
        <v>8.687495957</v>
      </c>
      <c r="AF3089" s="1">
        <v>0.3780068729</v>
      </c>
      <c r="AG3089" s="1">
        <v>1.5040972773</v>
      </c>
      <c r="AH3089" s="1">
        <v>0.5154639175</v>
      </c>
      <c r="AI3089" s="1">
        <v>0.0211472376</v>
      </c>
      <c r="AJ3089" s="1">
        <v>1.8450964843</v>
      </c>
      <c r="AK3089" s="1">
        <v>94.829500397</v>
      </c>
      <c r="AL3089" s="1">
        <v>0.4560843896</v>
      </c>
      <c r="AM3089" s="1">
        <v>48.762886598</v>
      </c>
      <c r="AN3089" s="1">
        <v>81.343600637</v>
      </c>
      <c r="AO3089" s="1">
        <v>27623.0</v>
      </c>
      <c r="AP3089" s="1">
        <v>9.0</v>
      </c>
      <c r="AQ3089" s="1">
        <v>5.0</v>
      </c>
      <c r="AR3089" s="1">
        <v>9.6</v>
      </c>
      <c r="AS3089" s="1">
        <v>18.5</v>
      </c>
      <c r="AT3089" s="1">
        <v>20.7</v>
      </c>
      <c r="AU3089" s="1">
        <v>12.7</v>
      </c>
      <c r="AV3089" s="1">
        <v>4.6</v>
      </c>
      <c r="AW3089" s="1">
        <v>0.6</v>
      </c>
      <c r="AX3089" s="1">
        <v>0.0544</v>
      </c>
      <c r="AY3089" s="1">
        <v>9.3</v>
      </c>
      <c r="AZ3089" s="1">
        <v>8.1</v>
      </c>
      <c r="BA3089" s="1">
        <v>15.4</v>
      </c>
      <c r="BB3089" s="1">
        <v>3.06</v>
      </c>
      <c r="BC3089" s="1" t="s">
        <v>4958</v>
      </c>
      <c r="BD3089" s="1">
        <v>9.6</v>
      </c>
      <c r="BE3089" s="1">
        <v>41.7</v>
      </c>
      <c r="BF3089" s="1">
        <v>31.9</v>
      </c>
      <c r="BG3089" s="1">
        <v>16.8</v>
      </c>
      <c r="BH3089" s="1" t="s">
        <v>5018</v>
      </c>
    </row>
    <row r="3090">
      <c r="A3090" s="1">
        <v>55085.0</v>
      </c>
      <c r="B3090" s="2" t="str">
        <f>IFERROR(__xludf.DUMMYFUNCTION("TO_TEXT(A3090)"),"55085")</f>
        <v>55085</v>
      </c>
      <c r="C3090" s="1">
        <v>35604.0</v>
      </c>
      <c r="D3090" s="1">
        <v>1113.93644774068</v>
      </c>
      <c r="E3090" s="1" t="s">
        <v>1134</v>
      </c>
      <c r="F3090" s="1" t="s">
        <v>5019</v>
      </c>
      <c r="G3090" s="1">
        <v>31.9623261023671</v>
      </c>
      <c r="H3090" s="1">
        <v>12.079876159</v>
      </c>
      <c r="I3090" s="1">
        <v>3.6061574837</v>
      </c>
      <c r="J3090" s="1">
        <v>6.3849765258</v>
      </c>
      <c r="K3090" s="1">
        <v>14.620805614</v>
      </c>
      <c r="L3090" s="1">
        <v>34.8</v>
      </c>
      <c r="M3090" s="1">
        <v>8.9</v>
      </c>
      <c r="N3090" s="1">
        <v>23.8</v>
      </c>
      <c r="O3090" s="1">
        <v>73.629090505</v>
      </c>
      <c r="P3090" s="1">
        <v>6.3246743236</v>
      </c>
      <c r="Q3090" s="1">
        <v>90.76984</v>
      </c>
      <c r="R3090" s="1">
        <v>91.066997519</v>
      </c>
      <c r="S3090" s="1">
        <v>13.7</v>
      </c>
      <c r="T3090" s="1">
        <v>5977.0</v>
      </c>
      <c r="U3090" s="1">
        <v>23.4733143719999</v>
      </c>
      <c r="V3090" s="1">
        <v>171.66174194</v>
      </c>
      <c r="W3090" s="1">
        <v>12.395589709</v>
      </c>
      <c r="X3090" s="1">
        <v>11.556603774</v>
      </c>
      <c r="Y3090" s="1">
        <v>78.9893067719999</v>
      </c>
      <c r="Z3090" s="1">
        <v>9.2</v>
      </c>
      <c r="AA3090" s="1">
        <v>3.0591200342</v>
      </c>
      <c r="AB3090" s="1">
        <v>53805.0</v>
      </c>
      <c r="AC3090" s="1">
        <v>39.961759082</v>
      </c>
      <c r="AD3090" s="1">
        <v>83.9966240339999</v>
      </c>
      <c r="AE3090" s="1">
        <v>9.76323490289999</v>
      </c>
      <c r="AF3090" s="1">
        <v>0.6258810262</v>
      </c>
      <c r="AG3090" s="1">
        <v>1.1587256837</v>
      </c>
      <c r="AH3090" s="1">
        <v>0.631519594</v>
      </c>
      <c r="AI3090" s="1">
        <v>0.028192839</v>
      </c>
      <c r="AJ3090" s="1">
        <v>1.609811108</v>
      </c>
      <c r="AK3090" s="1">
        <v>94.674372709</v>
      </c>
      <c r="AL3090" s="1">
        <v>0.144931822899999</v>
      </c>
      <c r="AM3090" s="1">
        <v>49.83366225</v>
      </c>
      <c r="AN3090" s="1">
        <v>74.970831713</v>
      </c>
      <c r="AO3090" s="1">
        <v>28084.0</v>
      </c>
      <c r="AP3090" s="1">
        <v>9.4</v>
      </c>
      <c r="AQ3090" s="1">
        <v>5.1</v>
      </c>
      <c r="AR3090" s="1">
        <v>8.0</v>
      </c>
      <c r="AS3090" s="1">
        <v>24.1</v>
      </c>
      <c r="AT3090" s="1">
        <v>17.4</v>
      </c>
      <c r="AU3090" s="1">
        <v>14.7</v>
      </c>
      <c r="AV3090" s="1">
        <v>4.7</v>
      </c>
      <c r="AW3090" s="1">
        <v>0.2</v>
      </c>
      <c r="AX3090" s="1">
        <v>0.0369</v>
      </c>
      <c r="AY3090" s="1">
        <v>8.9</v>
      </c>
      <c r="AZ3090" s="1">
        <v>8.1</v>
      </c>
      <c r="BA3090" s="1">
        <v>15.4</v>
      </c>
      <c r="BB3090" s="1">
        <v>2.86</v>
      </c>
      <c r="BC3090" s="1" t="s">
        <v>4958</v>
      </c>
      <c r="BD3090" s="1">
        <v>6.9</v>
      </c>
      <c r="BE3090" s="1">
        <v>32.0</v>
      </c>
      <c r="BF3090" s="1">
        <v>34.0</v>
      </c>
      <c r="BG3090" s="1">
        <v>27.2</v>
      </c>
      <c r="BH3090" s="1" t="s">
        <v>5019</v>
      </c>
    </row>
    <row r="3091">
      <c r="A3091" s="1">
        <v>55087.0</v>
      </c>
      <c r="B3091" s="2" t="str">
        <f>IFERROR(__xludf.DUMMYFUNCTION("TO_TEXT(A3091)"),"55087")</f>
        <v>55087</v>
      </c>
      <c r="C3091" s="1">
        <v>181799.0</v>
      </c>
      <c r="D3091" s="1">
        <v>637.557269997554</v>
      </c>
      <c r="E3091" s="1" t="s">
        <v>5020</v>
      </c>
      <c r="F3091" s="1" t="s">
        <v>5021</v>
      </c>
      <c r="G3091" s="1">
        <v>285.149285491949</v>
      </c>
      <c r="H3091" s="1">
        <v>12.787029826</v>
      </c>
      <c r="I3091" s="1">
        <v>3.4902102141</v>
      </c>
      <c r="J3091" s="1">
        <v>6.9349962207</v>
      </c>
      <c r="K3091" s="1">
        <v>14.6472579509999</v>
      </c>
      <c r="L3091" s="1">
        <v>33.1</v>
      </c>
      <c r="M3091" s="1">
        <v>8.9</v>
      </c>
      <c r="N3091" s="1">
        <v>17.4</v>
      </c>
      <c r="O3091" s="1">
        <v>89.358499109</v>
      </c>
      <c r="P3091" s="1">
        <v>5.3059076412</v>
      </c>
      <c r="Q3091" s="1">
        <v>81.69452</v>
      </c>
      <c r="R3091" s="1">
        <v>90.6310491679999</v>
      </c>
      <c r="S3091" s="1">
        <v>8.0</v>
      </c>
      <c r="T3091" s="1">
        <v>43714.0</v>
      </c>
      <c r="U3091" s="1">
        <v>25.1658507569999</v>
      </c>
      <c r="V3091" s="1">
        <v>152.93699215</v>
      </c>
      <c r="W3091" s="1">
        <v>10.899641829</v>
      </c>
      <c r="X3091" s="1">
        <v>9.254680325</v>
      </c>
      <c r="Y3091" s="1">
        <v>80.124011908</v>
      </c>
      <c r="Z3091" s="1">
        <v>10.4</v>
      </c>
      <c r="AA3091" s="1">
        <v>2.4437769754</v>
      </c>
      <c r="AB3091" s="1">
        <v>65993.0</v>
      </c>
      <c r="AC3091" s="1">
        <v>25.881152609</v>
      </c>
      <c r="AD3091" s="1">
        <v>70.574526711</v>
      </c>
      <c r="AE3091" s="1">
        <v>8.7831248084</v>
      </c>
      <c r="AF3091" s="1">
        <v>1.3641822112</v>
      </c>
      <c r="AG3091" s="1">
        <v>1.8354548608</v>
      </c>
      <c r="AH3091" s="1">
        <v>3.7269500707</v>
      </c>
      <c r="AI3091" s="1">
        <v>0.0677821365</v>
      </c>
      <c r="AJ3091" s="1">
        <v>4.4303898807</v>
      </c>
      <c r="AK3091" s="1">
        <v>87.301256905</v>
      </c>
      <c r="AL3091" s="1">
        <v>0.9880966139</v>
      </c>
      <c r="AM3091" s="1">
        <v>50.0045366</v>
      </c>
      <c r="AN3091" s="1">
        <v>24.738673986</v>
      </c>
      <c r="AO3091" s="1">
        <v>29663.0</v>
      </c>
      <c r="AP3091" s="1">
        <v>9.0</v>
      </c>
      <c r="AQ3091" s="1">
        <v>3.7</v>
      </c>
      <c r="AR3091" s="1">
        <v>6.5</v>
      </c>
      <c r="AS3091" s="1">
        <v>13.1</v>
      </c>
      <c r="AT3091" s="1">
        <v>24.2</v>
      </c>
      <c r="AU3091" s="1">
        <v>9.9</v>
      </c>
      <c r="AV3091" s="1">
        <v>11.6</v>
      </c>
      <c r="AW3091" s="1">
        <v>1.0</v>
      </c>
      <c r="AX3091" s="1">
        <v>0.1047</v>
      </c>
      <c r="AY3091" s="1">
        <v>7.1</v>
      </c>
      <c r="AZ3091" s="1">
        <v>7.4</v>
      </c>
      <c r="BA3091" s="1">
        <v>12.9</v>
      </c>
      <c r="BB3091" s="1">
        <v>3.1</v>
      </c>
      <c r="BC3091" s="1" t="s">
        <v>4958</v>
      </c>
      <c r="BD3091" s="1">
        <v>5.9</v>
      </c>
      <c r="BE3091" s="1">
        <v>31.7</v>
      </c>
      <c r="BF3091" s="1">
        <v>32.8</v>
      </c>
      <c r="BG3091" s="1">
        <v>29.7</v>
      </c>
      <c r="BH3091" s="1" t="s">
        <v>5021</v>
      </c>
    </row>
    <row r="3092">
      <c r="A3092" s="1">
        <v>55089.0</v>
      </c>
      <c r="B3092" s="2" t="str">
        <f>IFERROR(__xludf.DUMMYFUNCTION("TO_TEXT(A3092)"),"55089")</f>
        <v>55089</v>
      </c>
      <c r="C3092" s="1">
        <v>87625.0</v>
      </c>
      <c r="D3092" s="1">
        <v>233.058349855505</v>
      </c>
      <c r="E3092" s="1" t="s">
        <v>5022</v>
      </c>
      <c r="F3092" s="1" t="s">
        <v>5023</v>
      </c>
      <c r="G3092" s="1">
        <v>375.978805540873</v>
      </c>
      <c r="H3092" s="1">
        <v>10.180234264</v>
      </c>
      <c r="I3092" s="1">
        <v>3.2492370622</v>
      </c>
      <c r="J3092" s="1">
        <v>5.9857316861</v>
      </c>
      <c r="K3092" s="1">
        <v>12.510559054</v>
      </c>
      <c r="L3092" s="1">
        <v>23.5</v>
      </c>
      <c r="M3092" s="1">
        <v>9.0</v>
      </c>
      <c r="N3092" s="1">
        <v>15.5</v>
      </c>
      <c r="O3092" s="1">
        <v>89.18687424</v>
      </c>
      <c r="P3092" s="1">
        <v>3.9074768338</v>
      </c>
      <c r="Q3092" s="1">
        <v>136.832939999999</v>
      </c>
      <c r="R3092" s="1">
        <v>96.347826087</v>
      </c>
      <c r="S3092" s="1">
        <v>3.9</v>
      </c>
      <c r="T3092" s="1">
        <v>19049.0</v>
      </c>
      <c r="U3092" s="1">
        <v>20.610005775</v>
      </c>
      <c r="V3092" s="1">
        <v>59.3421015089999</v>
      </c>
      <c r="W3092" s="1">
        <v>11.433913419</v>
      </c>
      <c r="X3092" s="1">
        <v>10.299435846</v>
      </c>
      <c r="Y3092" s="1">
        <v>82.252963161</v>
      </c>
      <c r="Z3092" s="1">
        <v>6.0</v>
      </c>
      <c r="AA3092" s="1">
        <v>4.2136053202</v>
      </c>
      <c r="AB3092" s="1">
        <v>83014.0</v>
      </c>
      <c r="AC3092" s="1">
        <v>11.9334389859999</v>
      </c>
      <c r="AD3092" s="1">
        <v>75.767017544</v>
      </c>
      <c r="AE3092" s="1">
        <v>11.0564266909999</v>
      </c>
      <c r="AF3092" s="1">
        <v>1.5827790055</v>
      </c>
      <c r="AG3092" s="1">
        <v>0.3331575936</v>
      </c>
      <c r="AH3092" s="1">
        <v>2.6798434047</v>
      </c>
      <c r="AI3092" s="1">
        <v>0.0325305394</v>
      </c>
      <c r="AJ3092" s="1">
        <v>3.0601141934</v>
      </c>
      <c r="AK3092" s="1">
        <v>91.088875677</v>
      </c>
      <c r="AL3092" s="1">
        <v>0.445187086</v>
      </c>
      <c r="AM3092" s="1">
        <v>50.8216765569999</v>
      </c>
      <c r="AN3092" s="1">
        <v>24.886856878</v>
      </c>
      <c r="AO3092" s="1">
        <v>44369.0</v>
      </c>
      <c r="AP3092" s="1">
        <v>5.5</v>
      </c>
      <c r="AQ3092" s="1">
        <v>3.5</v>
      </c>
      <c r="AR3092" s="1">
        <v>3.7</v>
      </c>
      <c r="AS3092" s="1">
        <v>17.4</v>
      </c>
      <c r="AT3092" s="1">
        <v>22.1</v>
      </c>
      <c r="AU3092" s="1">
        <v>9.0</v>
      </c>
      <c r="AV3092" s="1">
        <v>7.7</v>
      </c>
      <c r="AW3092" s="1">
        <v>0.5</v>
      </c>
      <c r="AX3092" s="1">
        <v>0.0124</v>
      </c>
      <c r="AY3092" s="1">
        <v>4.5</v>
      </c>
      <c r="AZ3092" s="1">
        <v>5.3</v>
      </c>
      <c r="BA3092" s="1">
        <v>9.4</v>
      </c>
      <c r="BB3092" s="1">
        <v>3.15</v>
      </c>
      <c r="BC3092" s="1" t="s">
        <v>4958</v>
      </c>
      <c r="BD3092" s="1">
        <v>3.2</v>
      </c>
      <c r="BE3092" s="1">
        <v>20.0</v>
      </c>
      <c r="BF3092" s="1">
        <v>27.9</v>
      </c>
      <c r="BG3092" s="1">
        <v>49.0</v>
      </c>
      <c r="BH3092" s="1" t="s">
        <v>5023</v>
      </c>
    </row>
    <row r="3093">
      <c r="A3093" s="1">
        <v>55091.0</v>
      </c>
      <c r="B3093" s="2" t="str">
        <f>IFERROR(__xludf.DUMMYFUNCTION("TO_TEXT(A3093)"),"55091")</f>
        <v>55091</v>
      </c>
      <c r="C3093" s="1">
        <v>7349.0</v>
      </c>
      <c r="D3093" s="1">
        <v>231.990623770807</v>
      </c>
      <c r="E3093" s="1" t="s">
        <v>5024</v>
      </c>
      <c r="F3093" s="1" t="s">
        <v>5025</v>
      </c>
      <c r="G3093" s="1">
        <v>31.6780043975412</v>
      </c>
      <c r="H3093" s="1">
        <v>12.830363417</v>
      </c>
      <c r="I3093" s="1">
        <v>3.6395761961</v>
      </c>
      <c r="J3093" s="1">
        <v>4.8214285714</v>
      </c>
      <c r="K3093" s="1">
        <v>15.7106512179999</v>
      </c>
      <c r="L3093" s="1">
        <v>32.3</v>
      </c>
      <c r="M3093" s="1">
        <v>7.7</v>
      </c>
      <c r="N3093" s="1">
        <v>26.8</v>
      </c>
      <c r="O3093" s="1">
        <v>67.050475298</v>
      </c>
      <c r="P3093" s="1">
        <v>8.0326994846</v>
      </c>
      <c r="Q3093" s="1">
        <v>41.35649</v>
      </c>
      <c r="R3093" s="1">
        <v>97.619047619</v>
      </c>
      <c r="S3093" s="1">
        <v>15.5</v>
      </c>
      <c r="T3093" s="1">
        <v>1536.0</v>
      </c>
      <c r="U3093" s="1">
        <v>24.348958333</v>
      </c>
      <c r="V3093" s="1">
        <v>116.55810764</v>
      </c>
      <c r="W3093" s="1">
        <v>10.169491525</v>
      </c>
      <c r="X3093" s="1">
        <v>9.0068493151</v>
      </c>
      <c r="Y3093" s="1">
        <v>81.990526046</v>
      </c>
      <c r="Z3093" s="1">
        <v>14.4</v>
      </c>
      <c r="AA3093" s="1">
        <v>6.508531482</v>
      </c>
      <c r="AB3093" s="1">
        <v>56348.0</v>
      </c>
      <c r="AC3093" s="1">
        <v>31.732418525</v>
      </c>
      <c r="AD3093" s="1">
        <v>80.355411955</v>
      </c>
      <c r="AE3093" s="1">
        <v>10.339039946</v>
      </c>
      <c r="AF3093" s="1">
        <v>0.4115790918</v>
      </c>
      <c r="AG3093" s="1">
        <v>0.3018246673</v>
      </c>
      <c r="AH3093" s="1">
        <v>0.3841404857</v>
      </c>
      <c r="AI3093" s="1">
        <v>0.0137193031</v>
      </c>
      <c r="AJ3093" s="1">
        <v>1.8932638222</v>
      </c>
      <c r="AK3093" s="1">
        <v>96.350665386</v>
      </c>
      <c r="AL3093" s="1">
        <v>0.539122832599999</v>
      </c>
      <c r="AM3093" s="1">
        <v>48.895596104</v>
      </c>
      <c r="AN3093" s="1">
        <v>100.0</v>
      </c>
      <c r="AO3093" s="1">
        <v>26280.0</v>
      </c>
      <c r="AP3093" s="1">
        <v>13.4</v>
      </c>
      <c r="AQ3093" s="1">
        <v>4.2</v>
      </c>
      <c r="AR3093" s="1">
        <v>9.1</v>
      </c>
      <c r="AS3093" s="1">
        <v>20.6</v>
      </c>
      <c r="AT3093" s="1">
        <v>21.9</v>
      </c>
      <c r="AU3093" s="1">
        <v>11.6</v>
      </c>
      <c r="AV3093" s="1">
        <v>3.1</v>
      </c>
      <c r="AW3093" s="1">
        <v>0.8</v>
      </c>
      <c r="AX3093" s="1">
        <v>0.1302</v>
      </c>
      <c r="AY3093" s="1">
        <v>9.0</v>
      </c>
      <c r="AZ3093" s="1">
        <v>8.8</v>
      </c>
      <c r="BA3093" s="1">
        <v>16.8</v>
      </c>
      <c r="BB3093" s="1">
        <v>3.07</v>
      </c>
      <c r="BC3093" s="1" t="s">
        <v>4958</v>
      </c>
      <c r="BD3093" s="1">
        <v>9.0</v>
      </c>
      <c r="BE3093" s="1">
        <v>38.0</v>
      </c>
      <c r="BF3093" s="1">
        <v>32.4</v>
      </c>
      <c r="BG3093" s="1">
        <v>20.6</v>
      </c>
      <c r="BH3093" s="1" t="s">
        <v>5025</v>
      </c>
    </row>
    <row r="3094">
      <c r="A3094" s="1">
        <v>55093.0</v>
      </c>
      <c r="B3094" s="2" t="str">
        <f>IFERROR(__xludf.DUMMYFUNCTION("TO_TEXT(A3094)"),"55093")</f>
        <v>55093</v>
      </c>
      <c r="C3094" s="1">
        <v>40881.0</v>
      </c>
      <c r="D3094" s="1">
        <v>573.748528374654</v>
      </c>
      <c r="E3094" s="1" t="s">
        <v>984</v>
      </c>
      <c r="F3094" s="1" t="s">
        <v>5026</v>
      </c>
      <c r="G3094" s="1">
        <v>71.2524703388955</v>
      </c>
      <c r="H3094" s="1">
        <v>11.441414384</v>
      </c>
      <c r="I3094" s="1">
        <v>3.4033663304</v>
      </c>
      <c r="J3094" s="1">
        <v>5.9391239792</v>
      </c>
      <c r="K3094" s="1">
        <v>15.02384777</v>
      </c>
      <c r="L3094" s="1">
        <v>27.0</v>
      </c>
      <c r="M3094" s="1">
        <v>8.6</v>
      </c>
      <c r="N3094" s="1">
        <v>16.1</v>
      </c>
      <c r="O3094" s="1">
        <v>74.826300007</v>
      </c>
      <c r="P3094" s="1">
        <v>4.8833647502</v>
      </c>
      <c r="Q3094" s="1">
        <v>45.34498</v>
      </c>
      <c r="R3094" s="1">
        <v>95.652173913</v>
      </c>
      <c r="S3094" s="1">
        <v>7.1</v>
      </c>
      <c r="T3094" s="1">
        <v>8608.0</v>
      </c>
      <c r="U3094" s="1">
        <v>21.689126394</v>
      </c>
      <c r="V3094" s="1">
        <v>144.44903013</v>
      </c>
      <c r="W3094" s="1">
        <v>12.251655629</v>
      </c>
      <c r="X3094" s="1">
        <v>10.912117177</v>
      </c>
      <c r="Y3094" s="1">
        <v>80.8608135469999</v>
      </c>
      <c r="Z3094" s="1">
        <v>5.5</v>
      </c>
      <c r="AA3094" s="1">
        <v>4.6507134459</v>
      </c>
      <c r="AB3094" s="1">
        <v>75421.0</v>
      </c>
      <c r="AC3094" s="1">
        <v>21.092544987</v>
      </c>
      <c r="AD3094" s="1">
        <v>72.356348018</v>
      </c>
      <c r="AE3094" s="1">
        <v>8.9075294588</v>
      </c>
      <c r="AF3094" s="1">
        <v>0.7590177417</v>
      </c>
      <c r="AG3094" s="1">
        <v>0.5404770297</v>
      </c>
      <c r="AH3094" s="1">
        <v>1.2501468688</v>
      </c>
      <c r="AI3094" s="1">
        <v>0.0422982023</v>
      </c>
      <c r="AJ3094" s="1">
        <v>2.1290095171</v>
      </c>
      <c r="AK3094" s="1">
        <v>94.021854071</v>
      </c>
      <c r="AL3094" s="1">
        <v>1.0937657876</v>
      </c>
      <c r="AM3094" s="1">
        <v>50.18446716</v>
      </c>
      <c r="AN3094" s="1">
        <v>53.64830932</v>
      </c>
      <c r="AO3094" s="1">
        <v>30009.0</v>
      </c>
      <c r="AP3094" s="1">
        <v>12.0</v>
      </c>
      <c r="AQ3094" s="1">
        <v>2.8</v>
      </c>
      <c r="AR3094" s="1">
        <v>5.3</v>
      </c>
      <c r="AS3094" s="1">
        <v>12.6</v>
      </c>
      <c r="AT3094" s="1">
        <v>21.2</v>
      </c>
      <c r="AU3094" s="1">
        <v>9.4</v>
      </c>
      <c r="AV3094" s="1">
        <v>5.1</v>
      </c>
      <c r="AW3094" s="1">
        <v>0.6</v>
      </c>
      <c r="AX3094" s="1">
        <v>0.05</v>
      </c>
      <c r="AY3094" s="1">
        <v>9.8</v>
      </c>
      <c r="AZ3094" s="1">
        <v>7.1</v>
      </c>
      <c r="BA3094" s="1">
        <v>12.3</v>
      </c>
      <c r="BB3094" s="1">
        <v>4.03</v>
      </c>
      <c r="BC3094" s="1" t="s">
        <v>4958</v>
      </c>
      <c r="BD3094" s="1">
        <v>4.9</v>
      </c>
      <c r="BE3094" s="1">
        <v>32.1</v>
      </c>
      <c r="BF3094" s="1">
        <v>33.9</v>
      </c>
      <c r="BG3094" s="1">
        <v>29.2</v>
      </c>
      <c r="BH3094" s="1" t="s">
        <v>5026</v>
      </c>
    </row>
    <row r="3095">
      <c r="A3095" s="1">
        <v>55095.0</v>
      </c>
      <c r="B3095" s="2" t="str">
        <f>IFERROR(__xludf.DUMMYFUNCTION("TO_TEXT(A3095)"),"55095")</f>
        <v>55095</v>
      </c>
      <c r="C3095" s="1">
        <v>43483.0</v>
      </c>
      <c r="D3095" s="1">
        <v>914.065333904538</v>
      </c>
      <c r="E3095" s="1" t="s">
        <v>381</v>
      </c>
      <c r="F3095" s="1" t="s">
        <v>5027</v>
      </c>
      <c r="G3095" s="1">
        <v>47.5709978128776</v>
      </c>
      <c r="H3095" s="1">
        <v>12.589098831</v>
      </c>
      <c r="I3095" s="1">
        <v>3.6001450858</v>
      </c>
      <c r="J3095" s="1">
        <v>6.1965080452</v>
      </c>
      <c r="K3095" s="1">
        <v>15.568792124</v>
      </c>
      <c r="L3095" s="1">
        <v>32.6</v>
      </c>
      <c r="M3095" s="1">
        <v>9.0</v>
      </c>
      <c r="N3095" s="1">
        <v>18.5</v>
      </c>
      <c r="O3095" s="1">
        <v>66.621422916</v>
      </c>
      <c r="P3095" s="1">
        <v>6.51006126769999</v>
      </c>
      <c r="Q3095" s="1">
        <v>78.25086</v>
      </c>
      <c r="R3095" s="1">
        <v>93.904761905</v>
      </c>
      <c r="S3095" s="1">
        <v>13.3</v>
      </c>
      <c r="T3095" s="1">
        <v>9168.0</v>
      </c>
      <c r="U3095" s="1">
        <v>30.9554973819999</v>
      </c>
      <c r="V3095" s="1">
        <v>273.84914032</v>
      </c>
      <c r="W3095" s="1">
        <v>12.699285322</v>
      </c>
      <c r="X3095" s="1">
        <v>11.104957076</v>
      </c>
      <c r="Y3095" s="1">
        <v>79.1638156039999</v>
      </c>
      <c r="Z3095" s="1">
        <v>10.2</v>
      </c>
      <c r="AA3095" s="1">
        <v>0.7233359778</v>
      </c>
      <c r="AB3095" s="1">
        <v>59990.0</v>
      </c>
      <c r="AC3095" s="1">
        <v>34.857866592</v>
      </c>
      <c r="AD3095" s="1">
        <v>78.382658076</v>
      </c>
      <c r="AE3095" s="1">
        <v>10.554591751</v>
      </c>
      <c r="AF3095" s="1">
        <v>0.4059819258</v>
      </c>
      <c r="AG3095" s="1">
        <v>1.1491352814</v>
      </c>
      <c r="AH3095" s="1">
        <v>0.5711271159</v>
      </c>
      <c r="AI3095" s="1">
        <v>0.0206431488</v>
      </c>
      <c r="AJ3095" s="1">
        <v>2.0253222625</v>
      </c>
      <c r="AK3095" s="1">
        <v>94.832331758</v>
      </c>
      <c r="AL3095" s="1">
        <v>0.3377721617</v>
      </c>
      <c r="AM3095" s="1">
        <v>49.594018074</v>
      </c>
      <c r="AN3095" s="1">
        <v>85.465445085</v>
      </c>
      <c r="AO3095" s="1">
        <v>27066.0</v>
      </c>
      <c r="AP3095" s="1">
        <v>9.9</v>
      </c>
      <c r="AQ3095" s="1">
        <v>5.8</v>
      </c>
      <c r="AR3095" s="1">
        <v>7.2</v>
      </c>
      <c r="AS3095" s="1">
        <v>18.4</v>
      </c>
      <c r="AT3095" s="1">
        <v>22.0</v>
      </c>
      <c r="AU3095" s="1">
        <v>12.7</v>
      </c>
      <c r="AV3095" s="1">
        <v>4.6</v>
      </c>
      <c r="AW3095" s="1">
        <v>0.6</v>
      </c>
      <c r="AX3095" s="1">
        <v>0.113</v>
      </c>
      <c r="AY3095" s="1">
        <v>8.6</v>
      </c>
      <c r="AZ3095" s="1">
        <v>8.7</v>
      </c>
      <c r="BA3095" s="1">
        <v>16.1</v>
      </c>
      <c r="BB3095" s="1">
        <v>3.35</v>
      </c>
      <c r="BC3095" s="1" t="s">
        <v>4958</v>
      </c>
      <c r="BD3095" s="1">
        <v>6.2</v>
      </c>
      <c r="BE3095" s="1">
        <v>37.3</v>
      </c>
      <c r="BF3095" s="1">
        <v>35.6</v>
      </c>
      <c r="BG3095" s="1">
        <v>20.9</v>
      </c>
      <c r="BH3095" s="1" t="s">
        <v>5027</v>
      </c>
    </row>
    <row r="3096">
      <c r="A3096" s="1">
        <v>55097.0</v>
      </c>
      <c r="B3096" s="2" t="str">
        <f>IFERROR(__xludf.DUMMYFUNCTION("TO_TEXT(A3096)"),"55097")</f>
        <v>55097</v>
      </c>
      <c r="C3096" s="1">
        <v>70551.0</v>
      </c>
      <c r="D3096" s="1">
        <v>800.814369783896</v>
      </c>
      <c r="E3096" s="1" t="s">
        <v>3508</v>
      </c>
      <c r="F3096" s="1" t="s">
        <v>5028</v>
      </c>
      <c r="G3096" s="1">
        <v>88.0990684758049</v>
      </c>
      <c r="H3096" s="1">
        <v>12.2939451029999</v>
      </c>
      <c r="I3096" s="1">
        <v>3.4604212085</v>
      </c>
      <c r="J3096" s="1">
        <v>6.8610994545</v>
      </c>
      <c r="K3096" s="1">
        <v>15.61276422</v>
      </c>
      <c r="L3096" s="1">
        <v>31.5</v>
      </c>
      <c r="M3096" s="1">
        <v>8.3</v>
      </c>
      <c r="N3096" s="1">
        <v>16.9</v>
      </c>
      <c r="O3096" s="1">
        <v>81.200816921</v>
      </c>
      <c r="P3096" s="1">
        <v>5.4747203579</v>
      </c>
      <c r="Q3096" s="1">
        <v>52.50163</v>
      </c>
      <c r="R3096" s="1">
        <v>90.8819133029999</v>
      </c>
      <c r="S3096" s="1">
        <v>9.9</v>
      </c>
      <c r="T3096" s="1">
        <v>13653.0</v>
      </c>
      <c r="U3096" s="1">
        <v>25.679337874</v>
      </c>
      <c r="V3096" s="1">
        <v>112.86681716</v>
      </c>
      <c r="W3096" s="1">
        <v>14.095887951</v>
      </c>
      <c r="X3096" s="1">
        <v>11.963800905</v>
      </c>
      <c r="Y3096" s="1">
        <v>81.844792374</v>
      </c>
      <c r="Z3096" s="1">
        <v>6.3</v>
      </c>
      <c r="AA3096" s="1">
        <v>5.2976022345</v>
      </c>
      <c r="AB3096" s="1">
        <v>59032.0</v>
      </c>
      <c r="AC3096" s="1">
        <v>29.93126432</v>
      </c>
      <c r="AD3096" s="1">
        <v>68.903621681</v>
      </c>
      <c r="AE3096" s="1">
        <v>11.533213645</v>
      </c>
      <c r="AF3096" s="1">
        <v>0.885230188</v>
      </c>
      <c r="AG3096" s="1">
        <v>0.4750359449</v>
      </c>
      <c r="AH3096" s="1">
        <v>3.0898480449</v>
      </c>
      <c r="AI3096" s="1">
        <v>0.0380592597</v>
      </c>
      <c r="AJ3096" s="1">
        <v>3.385864509</v>
      </c>
      <c r="AK3096" s="1">
        <v>90.97572665</v>
      </c>
      <c r="AL3096" s="1">
        <v>0.7645647346</v>
      </c>
      <c r="AM3096" s="1">
        <v>49.594034563</v>
      </c>
      <c r="AN3096" s="1">
        <v>36.031648553</v>
      </c>
      <c r="AO3096" s="1">
        <v>26832.0</v>
      </c>
      <c r="AP3096" s="1">
        <v>14.1</v>
      </c>
      <c r="AQ3096" s="1">
        <v>6.2</v>
      </c>
      <c r="AR3096" s="1">
        <v>6.8</v>
      </c>
      <c r="AS3096" s="1">
        <v>14.6</v>
      </c>
      <c r="AT3096" s="1">
        <v>19.7</v>
      </c>
      <c r="AU3096" s="1">
        <v>11.3</v>
      </c>
      <c r="AV3096" s="1">
        <v>8.2</v>
      </c>
      <c r="AW3096" s="1">
        <v>0.6</v>
      </c>
      <c r="AX3096" s="1">
        <v>0.1633</v>
      </c>
      <c r="AY3096" s="1">
        <v>11.8</v>
      </c>
      <c r="AZ3096" s="1">
        <v>8.1</v>
      </c>
      <c r="BA3096" s="1">
        <v>13.2</v>
      </c>
      <c r="BB3096" s="1">
        <v>3.09</v>
      </c>
      <c r="BC3096" s="1" t="s">
        <v>4958</v>
      </c>
      <c r="BD3096" s="1">
        <v>6.1</v>
      </c>
      <c r="BE3096" s="1">
        <v>31.9</v>
      </c>
      <c r="BF3096" s="1">
        <v>29.1</v>
      </c>
      <c r="BG3096" s="1">
        <v>32.9</v>
      </c>
      <c r="BH3096" s="1" t="s">
        <v>5028</v>
      </c>
    </row>
    <row r="3097">
      <c r="A3097" s="1">
        <v>55099.0</v>
      </c>
      <c r="B3097" s="2" t="str">
        <f>IFERROR(__xludf.DUMMYFUNCTION("TO_TEXT(A3097)"),"55099")</f>
        <v>55099</v>
      </c>
      <c r="C3097" s="1">
        <v>13707.0</v>
      </c>
      <c r="D3097" s="1">
        <v>1253.98924551414</v>
      </c>
      <c r="E3097" s="1" t="s">
        <v>5029</v>
      </c>
      <c r="F3097" s="1" t="s">
        <v>5030</v>
      </c>
      <c r="G3097" s="1">
        <v>10.9307157529729</v>
      </c>
      <c r="H3097" s="1">
        <v>13.1683652479999</v>
      </c>
      <c r="I3097" s="1">
        <v>3.7814207893</v>
      </c>
      <c r="J3097" s="1">
        <v>6.4556962025</v>
      </c>
      <c r="K3097" s="1">
        <v>15.430803143</v>
      </c>
      <c r="L3097" s="1">
        <v>29.1</v>
      </c>
      <c r="M3097" s="1">
        <v>8.5</v>
      </c>
      <c r="N3097" s="1">
        <v>23.6</v>
      </c>
      <c r="O3097" s="1">
        <v>66.798502719</v>
      </c>
      <c r="P3097" s="1">
        <v>6.757843926</v>
      </c>
      <c r="Q3097" s="1">
        <v>22.31811</v>
      </c>
      <c r="R3097" s="1">
        <v>92.19858156</v>
      </c>
      <c r="S3097" s="1">
        <v>18.4</v>
      </c>
      <c r="T3097" s="1">
        <v>2265.0</v>
      </c>
      <c r="U3097" s="1">
        <v>29.0066225169999</v>
      </c>
      <c r="V3097" s="1">
        <v>62.357860759</v>
      </c>
      <c r="W3097" s="1">
        <v>12.734082397</v>
      </c>
      <c r="X3097" s="1">
        <v>10.332829047</v>
      </c>
      <c r="Y3097" s="1">
        <v>79.014797233</v>
      </c>
      <c r="Z3097" s="1">
        <v>9.6</v>
      </c>
      <c r="AA3097" s="1">
        <v>4.3109216629</v>
      </c>
      <c r="AB3097" s="1">
        <v>47032.0</v>
      </c>
      <c r="AC3097" s="1">
        <v>44.640753828</v>
      </c>
      <c r="AD3097" s="1">
        <v>78.54655564</v>
      </c>
      <c r="AE3097" s="1">
        <v>10.227094753</v>
      </c>
      <c r="AF3097" s="1">
        <v>0.5896842577</v>
      </c>
      <c r="AG3097" s="1">
        <v>0.8434724192</v>
      </c>
      <c r="AH3097" s="1">
        <v>0.731507053799999</v>
      </c>
      <c r="AI3097" s="1">
        <v>0.9330447115</v>
      </c>
      <c r="AJ3097" s="1">
        <v>1.9929835038</v>
      </c>
      <c r="AK3097" s="1">
        <v>93.7597969689999</v>
      </c>
      <c r="AL3097" s="1">
        <v>0.0539083558</v>
      </c>
      <c r="AM3097" s="1">
        <v>49.09308054</v>
      </c>
      <c r="AN3097" s="1">
        <v>100.0</v>
      </c>
      <c r="AO3097" s="1">
        <v>27987.0</v>
      </c>
      <c r="AP3097" s="1">
        <v>12.8</v>
      </c>
      <c r="AQ3097" s="1">
        <v>3.9</v>
      </c>
      <c r="AR3097" s="1">
        <v>9.7</v>
      </c>
      <c r="AS3097" s="1">
        <v>23.9</v>
      </c>
      <c r="AT3097" s="1">
        <v>16.8</v>
      </c>
      <c r="AU3097" s="1">
        <v>15.5</v>
      </c>
      <c r="AV3097" s="1">
        <v>4.7</v>
      </c>
      <c r="AW3097" s="1">
        <v>0.1</v>
      </c>
      <c r="AX3097" s="1">
        <v>0.1267</v>
      </c>
      <c r="AY3097" s="1">
        <v>14.9</v>
      </c>
      <c r="AZ3097" s="1">
        <v>9.8</v>
      </c>
      <c r="BA3097" s="1">
        <v>16.8</v>
      </c>
      <c r="BB3097" s="1">
        <v>2.95</v>
      </c>
      <c r="BC3097" s="1" t="s">
        <v>4958</v>
      </c>
      <c r="BD3097" s="1">
        <v>8.2</v>
      </c>
      <c r="BE3097" s="1">
        <v>40.4</v>
      </c>
      <c r="BF3097" s="1">
        <v>34.9</v>
      </c>
      <c r="BG3097" s="1">
        <v>16.5</v>
      </c>
      <c r="BH3097" s="1" t="s">
        <v>5030</v>
      </c>
    </row>
    <row r="3098">
      <c r="A3098" s="1">
        <v>55101.0</v>
      </c>
      <c r="B3098" s="2" t="str">
        <f>IFERROR(__xludf.DUMMYFUNCTION("TO_TEXT(A3098)"),"55101")</f>
        <v>55101</v>
      </c>
      <c r="C3098" s="1">
        <v>194873.0</v>
      </c>
      <c r="D3098" s="1">
        <v>332.537230154252</v>
      </c>
      <c r="E3098" s="1" t="s">
        <v>5031</v>
      </c>
      <c r="F3098" s="1" t="s">
        <v>5032</v>
      </c>
      <c r="G3098" s="1">
        <v>586.018593796567</v>
      </c>
      <c r="H3098" s="1">
        <v>15.3300769759999</v>
      </c>
      <c r="I3098" s="1">
        <v>3.6207120255</v>
      </c>
      <c r="J3098" s="1">
        <v>8.2534869618</v>
      </c>
      <c r="K3098" s="1">
        <v>15.414274165</v>
      </c>
      <c r="L3098" s="1">
        <v>36.2</v>
      </c>
      <c r="M3098" s="1">
        <v>8.1</v>
      </c>
      <c r="N3098" s="1">
        <v>21.9</v>
      </c>
      <c r="O3098" s="1">
        <v>93.3457176779999</v>
      </c>
      <c r="P3098" s="1">
        <v>6.1712477655</v>
      </c>
      <c r="Q3098" s="1">
        <v>47.4318</v>
      </c>
      <c r="R3098" s="1">
        <v>82.516556291</v>
      </c>
      <c r="S3098" s="1">
        <v>17.6</v>
      </c>
      <c r="T3098" s="1">
        <v>45378.0</v>
      </c>
      <c r="U3098" s="1">
        <v>39.761558464</v>
      </c>
      <c r="V3098" s="1">
        <v>209.6581315</v>
      </c>
      <c r="W3098" s="1">
        <v>13.78669146</v>
      </c>
      <c r="X3098" s="1">
        <v>12.342788333</v>
      </c>
      <c r="Y3098" s="1">
        <v>78.32937802</v>
      </c>
      <c r="Z3098" s="1">
        <v>8.3</v>
      </c>
      <c r="AA3098" s="1">
        <v>8.3253750425</v>
      </c>
      <c r="AB3098" s="1">
        <v>60349.0</v>
      </c>
      <c r="AC3098" s="1">
        <v>46.073936094</v>
      </c>
      <c r="AD3098" s="1">
        <v>67.84405111</v>
      </c>
      <c r="AE3098" s="1">
        <v>13.084323562</v>
      </c>
      <c r="AF3098" s="1">
        <v>11.273043584</v>
      </c>
      <c r="AG3098" s="1">
        <v>0.6689252432</v>
      </c>
      <c r="AH3098" s="1">
        <v>1.3500590079</v>
      </c>
      <c r="AI3098" s="1">
        <v>0.0824075204</v>
      </c>
      <c r="AJ3098" s="1">
        <v>13.366296342</v>
      </c>
      <c r="AK3098" s="1">
        <v>71.671651813</v>
      </c>
      <c r="AL3098" s="1">
        <v>1.3832978781</v>
      </c>
      <c r="AM3098" s="1">
        <v>50.497497253</v>
      </c>
      <c r="AN3098" s="1">
        <v>12.2779005979999</v>
      </c>
      <c r="AO3098" s="1">
        <v>28436.0</v>
      </c>
      <c r="AP3098" s="1">
        <v>12.5</v>
      </c>
      <c r="AQ3098" s="1">
        <v>7.5</v>
      </c>
      <c r="AR3098" s="1">
        <v>11.2</v>
      </c>
      <c r="AS3098" s="1">
        <v>14.7</v>
      </c>
      <c r="AT3098" s="1">
        <v>23.9</v>
      </c>
      <c r="AU3098" s="1">
        <v>13.0</v>
      </c>
      <c r="AV3098" s="1">
        <v>26.9</v>
      </c>
      <c r="AW3098" s="1">
        <v>1.6</v>
      </c>
      <c r="AX3098" s="1">
        <v>0.4944</v>
      </c>
      <c r="AY3098" s="1">
        <v>12.4</v>
      </c>
      <c r="AZ3098" s="1">
        <v>9.2</v>
      </c>
      <c r="BA3098" s="1">
        <v>15.5</v>
      </c>
      <c r="BB3098" s="1">
        <v>2.9</v>
      </c>
      <c r="BC3098" s="1" t="s">
        <v>4958</v>
      </c>
      <c r="BD3098" s="1">
        <v>9.5</v>
      </c>
      <c r="BE3098" s="1">
        <v>31.6</v>
      </c>
      <c r="BF3098" s="1">
        <v>33.7</v>
      </c>
      <c r="BG3098" s="1">
        <v>25.2</v>
      </c>
      <c r="BH3098" s="1" t="s">
        <v>5032</v>
      </c>
    </row>
    <row r="3099">
      <c r="A3099" s="1">
        <v>55103.0</v>
      </c>
      <c r="B3099" s="2" t="str">
        <f>IFERROR(__xludf.DUMMYFUNCTION("TO_TEXT(A3099)"),"55103")</f>
        <v>55103</v>
      </c>
      <c r="C3099" s="1">
        <v>17642.0</v>
      </c>
      <c r="D3099" s="1">
        <v>586.149628473584</v>
      </c>
      <c r="E3099" s="1" t="s">
        <v>1271</v>
      </c>
      <c r="F3099" s="1" t="s">
        <v>5033</v>
      </c>
      <c r="G3099" s="1">
        <v>30.0981168339938</v>
      </c>
      <c r="H3099" s="1">
        <v>13.4153529409999</v>
      </c>
      <c r="I3099" s="1">
        <v>3.6726763952</v>
      </c>
      <c r="J3099" s="1">
        <v>5.3702196908</v>
      </c>
      <c r="K3099" s="1">
        <v>15.721994422</v>
      </c>
      <c r="L3099" s="1">
        <v>34.2</v>
      </c>
      <c r="M3099" s="1">
        <v>8.2</v>
      </c>
      <c r="N3099" s="1">
        <v>21.0</v>
      </c>
      <c r="O3099" s="1">
        <v>61.783474835</v>
      </c>
      <c r="P3099" s="1">
        <v>7.9397210976</v>
      </c>
      <c r="Q3099" s="1">
        <v>74.21786</v>
      </c>
      <c r="R3099" s="1">
        <v>91.26984127</v>
      </c>
      <c r="S3099" s="1">
        <v>20.1</v>
      </c>
      <c r="T3099" s="1">
        <v>3808.0</v>
      </c>
      <c r="U3099" s="1">
        <v>28.781512605</v>
      </c>
      <c r="V3099" s="1">
        <v>11.42041399</v>
      </c>
      <c r="W3099" s="1">
        <v>13.657561626</v>
      </c>
      <c r="X3099" s="1">
        <v>11.260053619</v>
      </c>
      <c r="Y3099" s="1">
        <v>79.705919868</v>
      </c>
      <c r="Z3099" s="1">
        <v>6.4</v>
      </c>
      <c r="AA3099" s="1">
        <v>7.7139755841</v>
      </c>
      <c r="AB3099" s="1">
        <v>53050.0</v>
      </c>
      <c r="AC3099" s="1">
        <v>48.222222222</v>
      </c>
      <c r="AD3099" s="1">
        <v>75.504851823</v>
      </c>
      <c r="AE3099" s="1">
        <v>10.495867769</v>
      </c>
      <c r="AF3099" s="1">
        <v>0.7366058583</v>
      </c>
      <c r="AG3099" s="1">
        <v>0.4776428613</v>
      </c>
      <c r="AH3099" s="1">
        <v>0.7826437245</v>
      </c>
      <c r="AI3099" s="1">
        <v>0.0345283996</v>
      </c>
      <c r="AJ3099" s="1">
        <v>2.4400069057</v>
      </c>
      <c r="AK3099" s="1">
        <v>94.653852794</v>
      </c>
      <c r="AL3099" s="1">
        <v>0.6733601876</v>
      </c>
      <c r="AM3099" s="1">
        <v>49.7036312369999</v>
      </c>
      <c r="AN3099" s="1">
        <v>72.138061151</v>
      </c>
      <c r="AO3099" s="1">
        <v>24961.0</v>
      </c>
      <c r="AP3099" s="1">
        <v>13.7</v>
      </c>
      <c r="AQ3099" s="1">
        <v>3.6</v>
      </c>
      <c r="AR3099" s="1">
        <v>10.7</v>
      </c>
      <c r="AS3099" s="1">
        <v>19.9</v>
      </c>
      <c r="AT3099" s="1">
        <v>22.3</v>
      </c>
      <c r="AU3099" s="1">
        <v>13.4</v>
      </c>
      <c r="AV3099" s="1">
        <v>4.7</v>
      </c>
      <c r="AW3099" s="1">
        <v>0.4</v>
      </c>
      <c r="AX3099" s="1">
        <v>0.2407</v>
      </c>
      <c r="AY3099" s="1">
        <v>12.5</v>
      </c>
      <c r="AZ3099" s="1">
        <v>9.3</v>
      </c>
      <c r="BA3099" s="1">
        <v>16.8</v>
      </c>
      <c r="BB3099" s="1">
        <v>3.13</v>
      </c>
      <c r="BC3099" s="1" t="s">
        <v>4958</v>
      </c>
      <c r="BD3099" s="1">
        <v>9.9</v>
      </c>
      <c r="BE3099" s="1">
        <v>40.8</v>
      </c>
      <c r="BF3099" s="1">
        <v>30.3</v>
      </c>
      <c r="BG3099" s="1">
        <v>19.0</v>
      </c>
      <c r="BH3099" s="1" t="s">
        <v>5033</v>
      </c>
    </row>
    <row r="3100">
      <c r="A3100" s="1">
        <v>55105.0</v>
      </c>
      <c r="B3100" s="2" t="str">
        <f>IFERROR(__xludf.DUMMYFUNCTION("TO_TEXT(A3100)"),"55105")</f>
        <v>55105</v>
      </c>
      <c r="C3100" s="1">
        <v>160986.0</v>
      </c>
      <c r="D3100" s="1">
        <v>718.14203463969</v>
      </c>
      <c r="E3100" s="1" t="s">
        <v>2399</v>
      </c>
      <c r="F3100" s="1" t="s">
        <v>5034</v>
      </c>
      <c r="G3100" s="1">
        <v>224.170139380256</v>
      </c>
      <c r="H3100" s="1">
        <v>14.810341003</v>
      </c>
      <c r="I3100" s="1">
        <v>3.9192357814</v>
      </c>
      <c r="J3100" s="1">
        <v>7.5051759834</v>
      </c>
      <c r="K3100" s="1">
        <v>17.3459203159999</v>
      </c>
      <c r="L3100" s="1">
        <v>36.3</v>
      </c>
      <c r="M3100" s="1">
        <v>7.8</v>
      </c>
      <c r="N3100" s="1">
        <v>22.4</v>
      </c>
      <c r="O3100" s="1">
        <v>89.478641061</v>
      </c>
      <c r="P3100" s="1">
        <v>7.1796986281</v>
      </c>
      <c r="Q3100" s="1">
        <v>48.67259</v>
      </c>
      <c r="R3100" s="1">
        <v>93.87755102</v>
      </c>
      <c r="S3100" s="1">
        <v>15.0</v>
      </c>
      <c r="T3100" s="1">
        <v>37516.0</v>
      </c>
      <c r="U3100" s="1">
        <v>38.650175925</v>
      </c>
      <c r="V3100" s="1">
        <v>230.511251</v>
      </c>
      <c r="W3100" s="1">
        <v>14.1538942759999</v>
      </c>
      <c r="X3100" s="1">
        <v>12.19377272</v>
      </c>
      <c r="Y3100" s="1">
        <v>78.148522023</v>
      </c>
      <c r="Z3100" s="1">
        <v>11.6</v>
      </c>
      <c r="AA3100" s="1">
        <v>10.5566376289999</v>
      </c>
      <c r="AB3100" s="1">
        <v>57675.0</v>
      </c>
      <c r="AC3100" s="1">
        <v>44.1900192639999</v>
      </c>
      <c r="AD3100" s="1">
        <v>67.9553131489999</v>
      </c>
      <c r="AE3100" s="1">
        <v>11.357828744</v>
      </c>
      <c r="AF3100" s="1">
        <v>4.9157415297</v>
      </c>
      <c r="AG3100" s="1">
        <v>0.549871574</v>
      </c>
      <c r="AH3100" s="1">
        <v>1.4007319361</v>
      </c>
      <c r="AI3100" s="1">
        <v>0.0643662378</v>
      </c>
      <c r="AJ3100" s="1">
        <v>8.9138044125</v>
      </c>
      <c r="AK3100" s="1">
        <v>82.455602621</v>
      </c>
      <c r="AL3100" s="1">
        <v>1.2322437104</v>
      </c>
      <c r="AM3100" s="1">
        <v>50.71814331</v>
      </c>
      <c r="AN3100" s="1">
        <v>20.4165133379999</v>
      </c>
      <c r="AO3100" s="1">
        <v>25884.0</v>
      </c>
      <c r="AP3100" s="1">
        <v>14.7</v>
      </c>
      <c r="AQ3100" s="1">
        <v>7.4</v>
      </c>
      <c r="AR3100" s="1">
        <v>10.6</v>
      </c>
      <c r="AS3100" s="1">
        <v>15.0</v>
      </c>
      <c r="AT3100" s="1">
        <v>23.9</v>
      </c>
      <c r="AU3100" s="1">
        <v>14.4</v>
      </c>
      <c r="AV3100" s="1">
        <v>16.4</v>
      </c>
      <c r="AW3100" s="1">
        <v>1.3</v>
      </c>
      <c r="AX3100" s="1">
        <v>0.5094</v>
      </c>
      <c r="AY3100" s="1">
        <v>12.3</v>
      </c>
      <c r="AZ3100" s="1">
        <v>9.9</v>
      </c>
      <c r="BA3100" s="1">
        <v>17.2</v>
      </c>
      <c r="BB3100" s="1">
        <v>2.86</v>
      </c>
      <c r="BC3100" s="1" t="s">
        <v>4958</v>
      </c>
      <c r="BD3100" s="1">
        <v>9.2</v>
      </c>
      <c r="BE3100" s="1">
        <v>36.1</v>
      </c>
      <c r="BF3100" s="1">
        <v>32.5</v>
      </c>
      <c r="BG3100" s="1">
        <v>22.1</v>
      </c>
      <c r="BH3100" s="1" t="s">
        <v>5034</v>
      </c>
    </row>
    <row r="3101">
      <c r="A3101" s="1">
        <v>55107.0</v>
      </c>
      <c r="B3101" s="2" t="str">
        <f>IFERROR(__xludf.DUMMYFUNCTION("TO_TEXT(A3101)"),"55107")</f>
        <v>55107</v>
      </c>
      <c r="C3101" s="1">
        <v>14272.0</v>
      </c>
      <c r="D3101" s="1">
        <v>913.552997786148</v>
      </c>
      <c r="E3101" s="1" t="s">
        <v>4444</v>
      </c>
      <c r="F3101" s="1" t="s">
        <v>5035</v>
      </c>
      <c r="G3101" s="1">
        <v>15.6225200230156</v>
      </c>
      <c r="H3101" s="1">
        <v>14.321542024</v>
      </c>
      <c r="I3101" s="1">
        <v>3.8489088589</v>
      </c>
      <c r="J3101" s="1">
        <v>4.5271629779</v>
      </c>
      <c r="K3101" s="1">
        <v>16.574520258</v>
      </c>
      <c r="L3101" s="1">
        <v>26.6</v>
      </c>
      <c r="M3101" s="1">
        <v>7.4</v>
      </c>
      <c r="N3101" s="1">
        <v>29.9</v>
      </c>
      <c r="O3101" s="1">
        <v>40.698068451</v>
      </c>
      <c r="P3101" s="1">
        <v>8.7702842135</v>
      </c>
      <c r="Q3101" s="1">
        <v>56.53311</v>
      </c>
      <c r="R3101" s="1">
        <v>88.405797101</v>
      </c>
      <c r="S3101" s="1">
        <v>23.4</v>
      </c>
      <c r="T3101" s="1">
        <v>2877.0</v>
      </c>
      <c r="U3101" s="1">
        <v>29.058046576</v>
      </c>
      <c r="V3101" s="1">
        <v>183.7196156</v>
      </c>
      <c r="W3101" s="1">
        <v>14.491593275</v>
      </c>
      <c r="X3101" s="1">
        <v>11.195476575</v>
      </c>
      <c r="Y3101" s="1">
        <v>79.57002275</v>
      </c>
      <c r="Z3101" s="1">
        <v>7.1</v>
      </c>
      <c r="AA3101" s="1">
        <v>14.382913795</v>
      </c>
      <c r="AB3101" s="1">
        <v>48448.0</v>
      </c>
      <c r="AC3101" s="1">
        <v>53.48189415</v>
      </c>
      <c r="AD3101" s="1">
        <v>77.2171733</v>
      </c>
      <c r="AE3101" s="1">
        <v>11.9066904259999</v>
      </c>
      <c r="AF3101" s="1">
        <v>1.1380504701</v>
      </c>
      <c r="AG3101" s="1">
        <v>0.6997950095</v>
      </c>
      <c r="AH3101" s="1">
        <v>0.4735986428</v>
      </c>
      <c r="AI3101" s="1">
        <v>0.0141372729</v>
      </c>
      <c r="AJ3101" s="1">
        <v>2.0004241182</v>
      </c>
      <c r="AK3101" s="1">
        <v>94.352159468</v>
      </c>
      <c r="AL3101" s="1">
        <v>0.3778057634</v>
      </c>
      <c r="AM3101" s="1">
        <v>49.2471902169999</v>
      </c>
      <c r="AN3101" s="1">
        <v>76.624872924</v>
      </c>
      <c r="AO3101" s="1">
        <v>22651.0</v>
      </c>
      <c r="AP3101" s="1">
        <v>15.9</v>
      </c>
      <c r="AQ3101" s="1">
        <v>4.9</v>
      </c>
      <c r="AR3101" s="1">
        <v>12.5</v>
      </c>
      <c r="AS3101" s="1">
        <v>22.3</v>
      </c>
      <c r="AT3101" s="1">
        <v>21.2</v>
      </c>
      <c r="AU3101" s="1">
        <v>16.7</v>
      </c>
      <c r="AV3101" s="1">
        <v>4.4</v>
      </c>
      <c r="AW3101" s="1">
        <v>0.7</v>
      </c>
      <c r="AX3101" s="1">
        <v>0.3575</v>
      </c>
      <c r="AY3101" s="1">
        <v>12.3</v>
      </c>
      <c r="AZ3101" s="1">
        <v>11.1</v>
      </c>
      <c r="BA3101" s="1">
        <v>20.4</v>
      </c>
      <c r="BB3101" s="1">
        <v>2.99</v>
      </c>
      <c r="BC3101" s="1" t="s">
        <v>4958</v>
      </c>
      <c r="BD3101" s="1">
        <v>12.0</v>
      </c>
      <c r="BE3101" s="1">
        <v>41.5</v>
      </c>
      <c r="BF3101" s="1">
        <v>29.9</v>
      </c>
      <c r="BG3101" s="1">
        <v>16.6</v>
      </c>
      <c r="BH3101" s="1" t="s">
        <v>5035</v>
      </c>
    </row>
    <row r="3102">
      <c r="A3102" s="1">
        <v>55109.0</v>
      </c>
      <c r="B3102" s="2" t="str">
        <f>IFERROR(__xludf.DUMMYFUNCTION("TO_TEXT(A3102)"),"55109")</f>
        <v>55109</v>
      </c>
      <c r="C3102" s="1">
        <v>86726.0</v>
      </c>
      <c r="D3102" s="1">
        <v>722.480430766387</v>
      </c>
      <c r="E3102" s="1" t="s">
        <v>5036</v>
      </c>
      <c r="F3102" s="1" t="s">
        <v>5037</v>
      </c>
      <c r="G3102" s="1">
        <v>120.039237475266</v>
      </c>
      <c r="H3102" s="1">
        <v>10.071278319</v>
      </c>
      <c r="I3102" s="1">
        <v>3.124334744</v>
      </c>
      <c r="J3102" s="1">
        <v>5.4038997214</v>
      </c>
      <c r="K3102" s="1">
        <v>14.272623564</v>
      </c>
      <c r="L3102" s="1">
        <v>27.7</v>
      </c>
      <c r="M3102" s="1">
        <v>9.2</v>
      </c>
      <c r="N3102" s="1">
        <v>20.5</v>
      </c>
      <c r="O3102" s="1">
        <v>83.8449226389999</v>
      </c>
      <c r="P3102" s="1">
        <v>4.5736504675</v>
      </c>
      <c r="Q3102" s="1">
        <v>55.24052</v>
      </c>
      <c r="R3102" s="1">
        <v>93.113207547</v>
      </c>
      <c r="S3102" s="1">
        <v>5.1</v>
      </c>
      <c r="T3102" s="1">
        <v>22288.0</v>
      </c>
      <c r="U3102" s="1">
        <v>21.778535535</v>
      </c>
      <c r="V3102" s="1">
        <v>63.330097777</v>
      </c>
      <c r="W3102" s="1">
        <v>10.743675709</v>
      </c>
      <c r="X3102" s="1">
        <v>8.8851506347</v>
      </c>
      <c r="Y3102" s="1">
        <v>80.823669726</v>
      </c>
      <c r="Z3102" s="1">
        <v>7.3</v>
      </c>
      <c r="AA3102" s="1">
        <v>2.1364656482</v>
      </c>
      <c r="AB3102" s="1">
        <v>82575.0</v>
      </c>
      <c r="AC3102" s="1">
        <v>16.679173204</v>
      </c>
      <c r="AD3102" s="1">
        <v>76.183405595</v>
      </c>
      <c r="AE3102" s="1">
        <v>8.4012312149</v>
      </c>
      <c r="AF3102" s="1">
        <v>0.8138782973</v>
      </c>
      <c r="AG3102" s="1">
        <v>0.4336967913</v>
      </c>
      <c r="AH3102" s="1">
        <v>1.1784511785</v>
      </c>
      <c r="AI3102" s="1">
        <v>0.0379066604</v>
      </c>
      <c r="AJ3102" s="1">
        <v>2.4427497937</v>
      </c>
      <c r="AK3102" s="1">
        <v>93.773273575</v>
      </c>
      <c r="AL3102" s="1">
        <v>0.54345189</v>
      </c>
      <c r="AM3102" s="1">
        <v>50.060204696</v>
      </c>
      <c r="AN3102" s="1">
        <v>53.168533997</v>
      </c>
      <c r="AO3102" s="1">
        <v>34679.0</v>
      </c>
      <c r="AP3102" s="1">
        <v>5.7</v>
      </c>
      <c r="AQ3102" s="1">
        <v>4.1</v>
      </c>
      <c r="AR3102" s="1">
        <v>4.2</v>
      </c>
      <c r="AS3102" s="1">
        <v>12.2</v>
      </c>
      <c r="AT3102" s="1">
        <v>26.1</v>
      </c>
      <c r="AU3102" s="1">
        <v>9.0</v>
      </c>
      <c r="AV3102" s="1">
        <v>5.6</v>
      </c>
      <c r="AW3102" s="1">
        <v>0.6</v>
      </c>
      <c r="AX3102" s="1">
        <v>0.0357</v>
      </c>
      <c r="AY3102" s="1">
        <v>5.9</v>
      </c>
      <c r="AZ3102" s="1">
        <v>5.5</v>
      </c>
      <c r="BA3102" s="1">
        <v>10.3</v>
      </c>
      <c r="BB3102" s="1">
        <v>2.85</v>
      </c>
      <c r="BC3102" s="1" t="s">
        <v>4958</v>
      </c>
      <c r="BD3102" s="1">
        <v>3.8</v>
      </c>
      <c r="BE3102" s="1">
        <v>24.6</v>
      </c>
      <c r="BF3102" s="1">
        <v>36.2</v>
      </c>
      <c r="BG3102" s="1">
        <v>35.4</v>
      </c>
      <c r="BH3102" s="1" t="s">
        <v>5037</v>
      </c>
    </row>
    <row r="3103">
      <c r="A3103" s="1">
        <v>55111.0</v>
      </c>
      <c r="B3103" s="2" t="str">
        <f>IFERROR(__xludf.DUMMYFUNCTION("TO_TEXT(A3103)"),"55111")</f>
        <v>55111</v>
      </c>
      <c r="C3103" s="1">
        <v>63317.0</v>
      </c>
      <c r="D3103" s="1">
        <v>831.530320955957</v>
      </c>
      <c r="E3103" s="1" t="s">
        <v>5038</v>
      </c>
      <c r="F3103" s="1" t="s">
        <v>5039</v>
      </c>
      <c r="G3103" s="1">
        <v>76.1451487748618</v>
      </c>
      <c r="H3103" s="1">
        <v>12.962388441</v>
      </c>
      <c r="I3103" s="1">
        <v>3.7691563707</v>
      </c>
      <c r="J3103" s="1">
        <v>6.2818336163</v>
      </c>
      <c r="K3103" s="1">
        <v>17.5625341059999</v>
      </c>
      <c r="L3103" s="1">
        <v>30.9</v>
      </c>
      <c r="M3103" s="1">
        <v>8.8</v>
      </c>
      <c r="N3103" s="1">
        <v>16.0</v>
      </c>
      <c r="O3103" s="1">
        <v>79.219375242</v>
      </c>
      <c r="P3103" s="1">
        <v>7.28541762809999</v>
      </c>
      <c r="Q3103" s="1">
        <v>104.71859</v>
      </c>
      <c r="R3103" s="1">
        <v>90.7692307689999</v>
      </c>
      <c r="S3103" s="1">
        <v>11.6</v>
      </c>
      <c r="T3103" s="1">
        <v>14418.0</v>
      </c>
      <c r="U3103" s="1">
        <v>29.456235261</v>
      </c>
      <c r="V3103" s="1">
        <v>110.73675282</v>
      </c>
      <c r="W3103" s="1">
        <v>12.947222771</v>
      </c>
      <c r="X3103" s="1">
        <v>11.009174312</v>
      </c>
      <c r="Y3103" s="1">
        <v>79.148256127</v>
      </c>
      <c r="Z3103" s="1">
        <v>9.8</v>
      </c>
      <c r="AA3103" s="1">
        <v>1.9380836309</v>
      </c>
      <c r="AB3103" s="1">
        <v>57256.0</v>
      </c>
      <c r="AC3103" s="1">
        <v>35.017591869</v>
      </c>
      <c r="AD3103" s="1">
        <v>68.817327527</v>
      </c>
      <c r="AE3103" s="1">
        <v>12.578149422</v>
      </c>
      <c r="AF3103" s="1">
        <v>1.0163582313</v>
      </c>
      <c r="AG3103" s="1">
        <v>1.473952902</v>
      </c>
      <c r="AH3103" s="1">
        <v>0.7128515619</v>
      </c>
      <c r="AI3103" s="1">
        <v>0.0326853336</v>
      </c>
      <c r="AJ3103" s="1">
        <v>5.1985244907</v>
      </c>
      <c r="AK3103" s="1">
        <v>90.793631029</v>
      </c>
      <c r="AL3103" s="1">
        <v>0.811471021299999</v>
      </c>
      <c r="AM3103" s="1">
        <v>50.100390668</v>
      </c>
      <c r="AN3103" s="1">
        <v>46.146895572</v>
      </c>
      <c r="AO3103" s="1">
        <v>26736.0</v>
      </c>
      <c r="AP3103" s="1">
        <v>11.1</v>
      </c>
      <c r="AQ3103" s="1">
        <v>4.8</v>
      </c>
      <c r="AR3103" s="1">
        <v>9.1</v>
      </c>
      <c r="AS3103" s="1">
        <v>17.1</v>
      </c>
      <c r="AT3103" s="1">
        <v>23.1</v>
      </c>
      <c r="AU3103" s="1">
        <v>13.0</v>
      </c>
      <c r="AV3103" s="1">
        <v>8.5</v>
      </c>
      <c r="AW3103" s="1">
        <v>0.9</v>
      </c>
      <c r="AX3103" s="1">
        <v>0.2582</v>
      </c>
      <c r="AY3103" s="1">
        <v>10.2</v>
      </c>
      <c r="AZ3103" s="1">
        <v>8.4</v>
      </c>
      <c r="BA3103" s="1">
        <v>14.6</v>
      </c>
      <c r="BB3103" s="1">
        <v>2.94</v>
      </c>
      <c r="BC3103" s="1" t="s">
        <v>4958</v>
      </c>
      <c r="BD3103" s="1">
        <v>9.1</v>
      </c>
      <c r="BE3103" s="1">
        <v>33.9</v>
      </c>
      <c r="BF3103" s="1">
        <v>33.0</v>
      </c>
      <c r="BG3103" s="1">
        <v>24.1</v>
      </c>
      <c r="BH3103" s="1" t="s">
        <v>5039</v>
      </c>
    </row>
    <row r="3104">
      <c r="A3104" s="1">
        <v>55113.0</v>
      </c>
      <c r="B3104" s="2" t="str">
        <f>IFERROR(__xludf.DUMMYFUNCTION("TO_TEXT(A3104)"),"55113")</f>
        <v>55113</v>
      </c>
      <c r="C3104" s="1">
        <v>16438.0</v>
      </c>
      <c r="D3104" s="1">
        <v>1257.30644354985</v>
      </c>
      <c r="E3104" s="1" t="s">
        <v>5040</v>
      </c>
      <c r="F3104" s="1" t="s">
        <v>5041</v>
      </c>
      <c r="G3104" s="1">
        <v>13.0739805592576</v>
      </c>
      <c r="H3104" s="1">
        <v>15.806629735</v>
      </c>
      <c r="I3104" s="1">
        <v>4.2439232689</v>
      </c>
      <c r="J3104" s="1">
        <v>5.6387665198</v>
      </c>
      <c r="K3104" s="1">
        <v>19.894844601</v>
      </c>
      <c r="L3104" s="1">
        <v>35.6</v>
      </c>
      <c r="M3104" s="1">
        <v>7.8</v>
      </c>
      <c r="N3104" s="1">
        <v>29.5</v>
      </c>
      <c r="O3104" s="1">
        <v>67.711541946</v>
      </c>
      <c r="P3104" s="1">
        <v>10.710987996</v>
      </c>
      <c r="Q3104" s="1">
        <v>85.27226</v>
      </c>
      <c r="R3104" s="1">
        <v>87.755102041</v>
      </c>
      <c r="S3104" s="1">
        <v>23.6</v>
      </c>
      <c r="T3104" s="1">
        <v>3124.0</v>
      </c>
      <c r="U3104" s="1">
        <v>46.318822023</v>
      </c>
      <c r="V3104" s="1">
        <v>185.88493418</v>
      </c>
      <c r="W3104" s="1">
        <v>14.218958611</v>
      </c>
      <c r="X3104" s="1">
        <v>10.842886042</v>
      </c>
      <c r="Y3104" s="1">
        <v>76.7687646</v>
      </c>
      <c r="Z3104" s="1">
        <v>11.2</v>
      </c>
      <c r="AA3104" s="1">
        <v>6.8587529014</v>
      </c>
      <c r="AB3104" s="1">
        <v>46490.0</v>
      </c>
      <c r="AC3104" s="1">
        <v>44.778067885</v>
      </c>
      <c r="AD3104" s="1">
        <v>73.277443018</v>
      </c>
      <c r="AE3104" s="1">
        <v>11.011051985</v>
      </c>
      <c r="AF3104" s="1">
        <v>0.6185942143</v>
      </c>
      <c r="AG3104" s="1">
        <v>18.005943356</v>
      </c>
      <c r="AH3104" s="1">
        <v>0.3638789496</v>
      </c>
      <c r="AI3104" s="1">
        <v>0.0</v>
      </c>
      <c r="AJ3104" s="1">
        <v>2.8200618594</v>
      </c>
      <c r="AK3104" s="1">
        <v>76.529807751</v>
      </c>
      <c r="AL3104" s="1">
        <v>0.2310654685</v>
      </c>
      <c r="AM3104" s="1">
        <v>48.929589423</v>
      </c>
      <c r="AN3104" s="1">
        <v>84.200036238</v>
      </c>
      <c r="AO3104" s="1">
        <v>25680.0</v>
      </c>
      <c r="AP3104" s="1">
        <v>16.4</v>
      </c>
      <c r="AQ3104" s="1">
        <v>7.7</v>
      </c>
      <c r="AR3104" s="1">
        <v>8.9</v>
      </c>
      <c r="AS3104" s="1">
        <v>23.3</v>
      </c>
      <c r="AT3104" s="1">
        <v>19.9</v>
      </c>
      <c r="AU3104" s="1">
        <v>15.2</v>
      </c>
      <c r="AV3104" s="1">
        <v>22.7</v>
      </c>
      <c r="AW3104" s="1">
        <v>0.2</v>
      </c>
      <c r="AX3104" s="1">
        <v>0.405</v>
      </c>
      <c r="AY3104" s="1">
        <v>12.7</v>
      </c>
      <c r="AZ3104" s="1">
        <v>11.6</v>
      </c>
      <c r="BA3104" s="1">
        <v>22.4</v>
      </c>
      <c r="BB3104" s="1">
        <v>3.0</v>
      </c>
      <c r="BC3104" s="1" t="s">
        <v>4958</v>
      </c>
      <c r="BD3104" s="1">
        <v>7.7</v>
      </c>
      <c r="BE3104" s="1">
        <v>34.0</v>
      </c>
      <c r="BF3104" s="1">
        <v>34.1</v>
      </c>
      <c r="BG3104" s="1">
        <v>24.2</v>
      </c>
      <c r="BH3104" s="1" t="s">
        <v>5041</v>
      </c>
    </row>
    <row r="3105">
      <c r="A3105" s="1">
        <v>55115.0</v>
      </c>
      <c r="B3105" s="2" t="str">
        <f>IFERROR(__xludf.DUMMYFUNCTION("TO_TEXT(A3105)"),"55115")</f>
        <v>55115</v>
      </c>
      <c r="C3105" s="1">
        <v>41384.0</v>
      </c>
      <c r="D3105" s="1">
        <v>893.199683752122</v>
      </c>
      <c r="E3105" s="1" t="s">
        <v>5042</v>
      </c>
      <c r="F3105" s="1" t="s">
        <v>5043</v>
      </c>
      <c r="G3105" s="1">
        <v>46.3323048057467</v>
      </c>
      <c r="H3105" s="1">
        <v>14.131532422</v>
      </c>
      <c r="I3105" s="1">
        <v>3.7526755405</v>
      </c>
      <c r="J3105" s="1">
        <v>6.2602965404</v>
      </c>
      <c r="K3105" s="1">
        <v>17.132717201</v>
      </c>
      <c r="L3105" s="1">
        <v>36.2</v>
      </c>
      <c r="M3105" s="1">
        <v>8.7</v>
      </c>
      <c r="N3105" s="1">
        <v>28.7</v>
      </c>
      <c r="O3105" s="1">
        <v>59.2743569569999</v>
      </c>
      <c r="P3105" s="1">
        <v>7.9348644578</v>
      </c>
      <c r="Q3105" s="1">
        <v>63.51533</v>
      </c>
      <c r="R3105" s="1">
        <v>91.19804401</v>
      </c>
      <c r="S3105" s="1">
        <v>15.3</v>
      </c>
      <c r="T3105" s="1">
        <v>8698.0</v>
      </c>
      <c r="U3105" s="1">
        <v>30.420786388</v>
      </c>
      <c r="V3105" s="1">
        <v>83.443180032</v>
      </c>
      <c r="W3105" s="1">
        <v>10.507674144</v>
      </c>
      <c r="X3105" s="1">
        <v>8.9800773119</v>
      </c>
      <c r="Y3105" s="1">
        <v>78.320045261</v>
      </c>
      <c r="Z3105" s="1">
        <v>12.4</v>
      </c>
      <c r="AA3105" s="1">
        <v>3.6604363312</v>
      </c>
      <c r="AB3105" s="1">
        <v>56022.0</v>
      </c>
      <c r="AC3105" s="1">
        <v>41.066892464</v>
      </c>
      <c r="AD3105" s="1">
        <v>76.561490099</v>
      </c>
      <c r="AE3105" s="1">
        <v>8.8139478764</v>
      </c>
      <c r="AF3105" s="1">
        <v>0.5490734386</v>
      </c>
      <c r="AG3105" s="1">
        <v>8.3905284832</v>
      </c>
      <c r="AH3105" s="1">
        <v>0.5294636729</v>
      </c>
      <c r="AI3105" s="1">
        <v>0.0490244142</v>
      </c>
      <c r="AJ3105" s="1">
        <v>2.870379449</v>
      </c>
      <c r="AK3105" s="1">
        <v>86.4373958229999</v>
      </c>
      <c r="AL3105" s="1">
        <v>0.2576721894</v>
      </c>
      <c r="AM3105" s="1">
        <v>49.960780469</v>
      </c>
      <c r="AN3105" s="1">
        <v>74.392714963</v>
      </c>
      <c r="AO3105" s="1">
        <v>25286.0</v>
      </c>
      <c r="AP3105" s="1">
        <v>11.4</v>
      </c>
      <c r="AQ3105" s="1">
        <v>4.5</v>
      </c>
      <c r="AR3105" s="1">
        <v>9.4</v>
      </c>
      <c r="AS3105" s="1">
        <v>20.0</v>
      </c>
      <c r="AT3105" s="1">
        <v>21.9</v>
      </c>
      <c r="AU3105" s="1">
        <v>12.4</v>
      </c>
      <c r="AV3105" s="1">
        <v>12.6</v>
      </c>
      <c r="AW3105" s="1">
        <v>0.4</v>
      </c>
      <c r="AX3105" s="1">
        <v>0.1878</v>
      </c>
      <c r="AY3105" s="1">
        <v>9.6</v>
      </c>
      <c r="AZ3105" s="1">
        <v>8.2</v>
      </c>
      <c r="BA3105" s="1">
        <v>15.3</v>
      </c>
      <c r="BB3105" s="1">
        <v>2.66</v>
      </c>
      <c r="BC3105" s="1" t="s">
        <v>4958</v>
      </c>
      <c r="BD3105" s="1">
        <v>8.6</v>
      </c>
      <c r="BE3105" s="1">
        <v>44.8</v>
      </c>
      <c r="BF3105" s="1">
        <v>30.9</v>
      </c>
      <c r="BG3105" s="1">
        <v>15.7</v>
      </c>
      <c r="BH3105" s="1" t="s">
        <v>5043</v>
      </c>
    </row>
    <row r="3106">
      <c r="A3106" s="1">
        <v>55117.0</v>
      </c>
      <c r="B3106" s="2" t="str">
        <f>IFERROR(__xludf.DUMMYFUNCTION("TO_TEXT(A3106)"),"55117")</f>
        <v>55117</v>
      </c>
      <c r="C3106" s="1">
        <v>115269.0</v>
      </c>
      <c r="D3106" s="1">
        <v>511.276646007755</v>
      </c>
      <c r="E3106" s="1" t="s">
        <v>5044</v>
      </c>
      <c r="F3106" s="1" t="s">
        <v>5045</v>
      </c>
      <c r="G3106" s="1">
        <v>225.453286200464</v>
      </c>
      <c r="H3106" s="1">
        <v>12.118250305</v>
      </c>
      <c r="I3106" s="1">
        <v>3.5210495203</v>
      </c>
      <c r="J3106" s="1">
        <v>6.4789377289</v>
      </c>
      <c r="K3106" s="1">
        <v>15.3909515709999</v>
      </c>
      <c r="L3106" s="1">
        <v>29.1</v>
      </c>
      <c r="M3106" s="1">
        <v>9.0</v>
      </c>
      <c r="N3106" s="1">
        <v>22.7</v>
      </c>
      <c r="O3106" s="1">
        <v>82.9586085689999</v>
      </c>
      <c r="P3106" s="1">
        <v>6.0819896088</v>
      </c>
      <c r="Q3106" s="1">
        <v>61.555</v>
      </c>
      <c r="R3106" s="1">
        <v>94.204764971</v>
      </c>
      <c r="S3106" s="1">
        <v>10.5</v>
      </c>
      <c r="T3106" s="1">
        <v>25539.0</v>
      </c>
      <c r="U3106" s="1">
        <v>26.590704413</v>
      </c>
      <c r="V3106" s="1">
        <v>158.97560637</v>
      </c>
      <c r="W3106" s="1">
        <v>11.389183457</v>
      </c>
      <c r="X3106" s="1">
        <v>9.0947953404</v>
      </c>
      <c r="Y3106" s="1">
        <v>79.628431016</v>
      </c>
      <c r="Z3106" s="1">
        <v>7.4</v>
      </c>
      <c r="AA3106" s="1">
        <v>2.0486451021</v>
      </c>
      <c r="AB3106" s="1">
        <v>61906.0</v>
      </c>
      <c r="AC3106" s="1">
        <v>34.100696475</v>
      </c>
      <c r="AD3106" s="1">
        <v>70.171025094</v>
      </c>
      <c r="AE3106" s="1">
        <v>8.3779886801</v>
      </c>
      <c r="AF3106" s="1">
        <v>2.0483993902</v>
      </c>
      <c r="AG3106" s="1">
        <v>0.562985033299999</v>
      </c>
      <c r="AH3106" s="1">
        <v>5.7736280488</v>
      </c>
      <c r="AI3106" s="1">
        <v>0.0588968958</v>
      </c>
      <c r="AJ3106" s="1">
        <v>6.5020440687</v>
      </c>
      <c r="AK3106" s="1">
        <v>83.819810144</v>
      </c>
      <c r="AL3106" s="1">
        <v>1.0940818447</v>
      </c>
      <c r="AM3106" s="1">
        <v>49.665673503</v>
      </c>
      <c r="AN3106" s="1">
        <v>28.284865852</v>
      </c>
      <c r="AO3106" s="1">
        <v>27796.0</v>
      </c>
      <c r="AP3106" s="1">
        <v>8.9</v>
      </c>
      <c r="AQ3106" s="1">
        <v>5.1</v>
      </c>
      <c r="AR3106" s="1">
        <v>8.4</v>
      </c>
      <c r="AS3106" s="1">
        <v>16.3</v>
      </c>
      <c r="AT3106" s="1">
        <v>22.8</v>
      </c>
      <c r="AU3106" s="1">
        <v>10.6</v>
      </c>
      <c r="AV3106" s="1">
        <v>14.4</v>
      </c>
      <c r="AW3106" s="1">
        <v>1.3</v>
      </c>
      <c r="AX3106" s="1">
        <v>0.226</v>
      </c>
      <c r="AY3106" s="1">
        <v>8.1</v>
      </c>
      <c r="AZ3106" s="1">
        <v>7.0</v>
      </c>
      <c r="BA3106" s="1">
        <v>11.8</v>
      </c>
      <c r="BB3106" s="1">
        <v>3.12</v>
      </c>
      <c r="BC3106" s="1" t="s">
        <v>4958</v>
      </c>
      <c r="BD3106" s="1">
        <v>6.8</v>
      </c>
      <c r="BE3106" s="1">
        <v>35.9</v>
      </c>
      <c r="BF3106" s="1">
        <v>32.2</v>
      </c>
      <c r="BG3106" s="1">
        <v>25.1</v>
      </c>
      <c r="BH3106" s="1" t="s">
        <v>5045</v>
      </c>
    </row>
    <row r="3107">
      <c r="A3107" s="1">
        <v>55119.0</v>
      </c>
      <c r="B3107" s="2" t="str">
        <f>IFERROR(__xludf.DUMMYFUNCTION("TO_TEXT(A3107)"),"55119")</f>
        <v>55119</v>
      </c>
      <c r="C3107" s="1">
        <v>20521.0</v>
      </c>
      <c r="D3107" s="1">
        <v>975.03064510913</v>
      </c>
      <c r="E3107" s="1" t="s">
        <v>786</v>
      </c>
      <c r="F3107" s="1" t="s">
        <v>5046</v>
      </c>
      <c r="G3107" s="1">
        <v>21.0465179765742</v>
      </c>
      <c r="H3107" s="1">
        <v>12.894415226</v>
      </c>
      <c r="I3107" s="1">
        <v>3.6427021686</v>
      </c>
      <c r="J3107" s="1">
        <v>4.3225806452</v>
      </c>
      <c r="K3107" s="1">
        <v>17.057977458</v>
      </c>
      <c r="L3107" s="1">
        <v>32.9</v>
      </c>
      <c r="M3107" s="1">
        <v>8.3</v>
      </c>
      <c r="N3107" s="1">
        <v>29.4</v>
      </c>
      <c r="O3107" s="1">
        <v>61.771956112</v>
      </c>
      <c r="P3107" s="1">
        <v>8.3927693064</v>
      </c>
      <c r="Q3107" s="1">
        <v>34.44712</v>
      </c>
      <c r="R3107" s="1">
        <v>92.452830189</v>
      </c>
      <c r="S3107" s="1">
        <v>15.4</v>
      </c>
      <c r="T3107" s="1">
        <v>4815.0</v>
      </c>
      <c r="U3107" s="1">
        <v>23.198338525</v>
      </c>
      <c r="V3107" s="1">
        <v>95.131232315</v>
      </c>
      <c r="W3107" s="1">
        <v>14.228571429</v>
      </c>
      <c r="X3107" s="1">
        <v>11.221771859</v>
      </c>
      <c r="Y3107" s="1">
        <v>81.301458843</v>
      </c>
      <c r="Z3107" s="1">
        <v>8.9</v>
      </c>
      <c r="AA3107" s="1">
        <v>8.000559035</v>
      </c>
      <c r="AB3107" s="1">
        <v>56981.0</v>
      </c>
      <c r="AC3107" s="1">
        <v>32.5884016969999</v>
      </c>
      <c r="AD3107" s="1">
        <v>77.571825765</v>
      </c>
      <c r="AE3107" s="1">
        <v>11.323279008</v>
      </c>
      <c r="AF3107" s="1">
        <v>0.4115226337</v>
      </c>
      <c r="AG3107" s="1">
        <v>0.4654125024</v>
      </c>
      <c r="AH3107" s="1">
        <v>0.6123848716</v>
      </c>
      <c r="AI3107" s="1">
        <v>0.0734861846</v>
      </c>
      <c r="AJ3107" s="1">
        <v>2.2437781697</v>
      </c>
      <c r="AK3107" s="1">
        <v>95.448755634</v>
      </c>
      <c r="AL3107" s="1">
        <v>0.7188997708</v>
      </c>
      <c r="AM3107" s="1">
        <v>49.176954733</v>
      </c>
      <c r="AN3107" s="1">
        <v>80.443714051</v>
      </c>
      <c r="AO3107" s="1">
        <v>24907.0</v>
      </c>
      <c r="AP3107" s="1">
        <v>12.4</v>
      </c>
      <c r="AQ3107" s="1">
        <v>4.5</v>
      </c>
      <c r="AR3107" s="1">
        <v>12.4</v>
      </c>
      <c r="AS3107" s="1">
        <v>18.1</v>
      </c>
      <c r="AT3107" s="1">
        <v>23.9</v>
      </c>
      <c r="AU3107" s="1">
        <v>12.5</v>
      </c>
      <c r="AV3107" s="1">
        <v>3.5</v>
      </c>
      <c r="AW3107" s="1">
        <v>0.6</v>
      </c>
      <c r="AX3107" s="1">
        <v>0.2627</v>
      </c>
      <c r="AY3107" s="1">
        <v>9.7</v>
      </c>
      <c r="AZ3107" s="1">
        <v>8.2</v>
      </c>
      <c r="BA3107" s="1">
        <v>15.0</v>
      </c>
      <c r="BB3107" s="1">
        <v>3.17</v>
      </c>
      <c r="BC3107" s="1" t="s">
        <v>4958</v>
      </c>
      <c r="BD3107" s="1">
        <v>11.6</v>
      </c>
      <c r="BE3107" s="1">
        <v>43.4</v>
      </c>
      <c r="BF3107" s="1">
        <v>29.8</v>
      </c>
      <c r="BG3107" s="1">
        <v>15.1</v>
      </c>
      <c r="BH3107" s="1" t="s">
        <v>5046</v>
      </c>
    </row>
    <row r="3108">
      <c r="A3108" s="1">
        <v>55121.0</v>
      </c>
      <c r="B3108" s="2" t="str">
        <f>IFERROR(__xludf.DUMMYFUNCTION("TO_TEXT(A3108)"),"55121")</f>
        <v>55121</v>
      </c>
      <c r="C3108" s="1">
        <v>29521.0</v>
      </c>
      <c r="D3108" s="1">
        <v>733.004166647312</v>
      </c>
      <c r="E3108" s="1" t="s">
        <v>5047</v>
      </c>
      <c r="F3108" s="1" t="s">
        <v>5048</v>
      </c>
      <c r="G3108" s="1">
        <v>40.2739866200572</v>
      </c>
      <c r="H3108" s="1">
        <v>12.580835839</v>
      </c>
      <c r="I3108" s="1">
        <v>3.5825582325</v>
      </c>
      <c r="J3108" s="1">
        <v>6.9592046623</v>
      </c>
      <c r="K3108" s="1">
        <v>15.443949235</v>
      </c>
      <c r="L3108" s="1">
        <v>30.2</v>
      </c>
      <c r="M3108" s="1">
        <v>9.2</v>
      </c>
      <c r="N3108" s="1">
        <v>23.7</v>
      </c>
      <c r="O3108" s="1">
        <v>82.370905053</v>
      </c>
      <c r="P3108" s="1">
        <v>7.6411265012</v>
      </c>
      <c r="Q3108" s="1">
        <v>27.14441</v>
      </c>
      <c r="R3108" s="1">
        <v>94.890510949</v>
      </c>
      <c r="S3108" s="1">
        <v>10.6</v>
      </c>
      <c r="T3108" s="1">
        <v>7202.0</v>
      </c>
      <c r="U3108" s="1">
        <v>26.7981116359999</v>
      </c>
      <c r="V3108" s="1">
        <v>61.283897656</v>
      </c>
      <c r="W3108" s="1">
        <v>10.9375</v>
      </c>
      <c r="X3108" s="1">
        <v>8.4416135881</v>
      </c>
      <c r="Y3108" s="1">
        <v>78.76351801</v>
      </c>
      <c r="Z3108" s="1">
        <v>10.3</v>
      </c>
      <c r="AA3108" s="1">
        <v>0.3224990166</v>
      </c>
      <c r="AB3108" s="1">
        <v>56978.0</v>
      </c>
      <c r="AC3108" s="1">
        <v>41.604855024</v>
      </c>
      <c r="AD3108" s="1">
        <v>72.310656836</v>
      </c>
      <c r="AE3108" s="1">
        <v>9.05217391299999</v>
      </c>
      <c r="AF3108" s="1">
        <v>0.4347530738</v>
      </c>
      <c r="AG3108" s="1">
        <v>1.2940696964</v>
      </c>
      <c r="AH3108" s="1">
        <v>0.7030772366</v>
      </c>
      <c r="AI3108" s="1">
        <v>0.0543441342</v>
      </c>
      <c r="AJ3108" s="1">
        <v>8.7833706949</v>
      </c>
      <c r="AK3108" s="1">
        <v>89.063242986</v>
      </c>
      <c r="AL3108" s="1">
        <v>1.8858977165</v>
      </c>
      <c r="AM3108" s="1">
        <v>49.174648461</v>
      </c>
      <c r="AN3108" s="1">
        <v>89.613409217</v>
      </c>
      <c r="AO3108" s="1">
        <v>26002.0</v>
      </c>
      <c r="AP3108" s="1">
        <v>9.7</v>
      </c>
      <c r="AQ3108" s="1">
        <v>3.3</v>
      </c>
      <c r="AR3108" s="1">
        <v>10.6</v>
      </c>
      <c r="AS3108" s="1">
        <v>17.0</v>
      </c>
      <c r="AT3108" s="1">
        <v>24.3</v>
      </c>
      <c r="AU3108" s="1">
        <v>11.0</v>
      </c>
      <c r="AV3108" s="1">
        <v>8.9</v>
      </c>
      <c r="AW3108" s="1">
        <v>1.8</v>
      </c>
      <c r="AX3108" s="1">
        <v>0.2506</v>
      </c>
      <c r="AY3108" s="1">
        <v>8.9</v>
      </c>
      <c r="AZ3108" s="1">
        <v>7.3</v>
      </c>
      <c r="BA3108" s="1">
        <v>12.0</v>
      </c>
      <c r="BB3108" s="1">
        <v>3.1</v>
      </c>
      <c r="BC3108" s="1" t="s">
        <v>4958</v>
      </c>
      <c r="BD3108" s="1">
        <v>9.3</v>
      </c>
      <c r="BE3108" s="1">
        <v>39.0</v>
      </c>
      <c r="BF3108" s="1">
        <v>32.4</v>
      </c>
      <c r="BG3108" s="1">
        <v>19.3</v>
      </c>
      <c r="BH3108" s="1" t="s">
        <v>5048</v>
      </c>
    </row>
    <row r="3109">
      <c r="A3109" s="1">
        <v>55123.0</v>
      </c>
      <c r="B3109" s="2" t="str">
        <f>IFERROR(__xludf.DUMMYFUNCTION("TO_TEXT(A3109)"),"55123")</f>
        <v>55123</v>
      </c>
      <c r="C3109" s="1">
        <v>30442.0</v>
      </c>
      <c r="D3109" s="1">
        <v>791.558972409238</v>
      </c>
      <c r="E3109" s="1" t="s">
        <v>2037</v>
      </c>
      <c r="F3109" s="1" t="s">
        <v>5049</v>
      </c>
      <c r="G3109" s="1">
        <v>38.458284298572</v>
      </c>
      <c r="H3109" s="1">
        <v>13.751157835</v>
      </c>
      <c r="I3109" s="1">
        <v>3.7810358191</v>
      </c>
      <c r="J3109" s="1">
        <v>5.2596089009</v>
      </c>
      <c r="K3109" s="1">
        <v>17.199406674</v>
      </c>
      <c r="L3109" s="1">
        <v>31.8</v>
      </c>
      <c r="M3109" s="1">
        <v>8.2</v>
      </c>
      <c r="N3109" s="1">
        <v>18.3</v>
      </c>
      <c r="O3109" s="1">
        <v>65.670238135</v>
      </c>
      <c r="P3109" s="1">
        <v>10.553809738</v>
      </c>
      <c r="Q3109" s="1">
        <v>104.03459</v>
      </c>
      <c r="R3109" s="1">
        <v>95.93220339</v>
      </c>
      <c r="S3109" s="1">
        <v>21.3</v>
      </c>
      <c r="T3109" s="1">
        <v>7928.0</v>
      </c>
      <c r="U3109" s="1">
        <v>17.9364278509999</v>
      </c>
      <c r="V3109" s="1">
        <v>59.375163718</v>
      </c>
      <c r="W3109" s="1">
        <v>15.322921064</v>
      </c>
      <c r="X3109" s="1">
        <v>9.2720306513</v>
      </c>
      <c r="Y3109" s="1">
        <v>80.427707886</v>
      </c>
      <c r="Z3109" s="1">
        <v>10.7</v>
      </c>
      <c r="AA3109" s="1">
        <v>6.123086611</v>
      </c>
      <c r="AB3109" s="1">
        <v>51692.0</v>
      </c>
      <c r="AC3109" s="1">
        <v>40.019569472</v>
      </c>
      <c r="AD3109" s="1">
        <v>76.920529801</v>
      </c>
      <c r="AE3109" s="1">
        <v>11.232354724</v>
      </c>
      <c r="AF3109" s="1">
        <v>0.4742569433</v>
      </c>
      <c r="AG3109" s="1">
        <v>0.3020951762</v>
      </c>
      <c r="AH3109" s="1">
        <v>0.4677602729</v>
      </c>
      <c r="AI3109" s="1">
        <v>0.0259866818</v>
      </c>
      <c r="AJ3109" s="1">
        <v>1.5721942504</v>
      </c>
      <c r="AK3109" s="1">
        <v>96.238427806</v>
      </c>
      <c r="AL3109" s="1">
        <v>0.7640038024</v>
      </c>
      <c r="AM3109" s="1">
        <v>49.657300633</v>
      </c>
      <c r="AN3109" s="1">
        <v>85.691734122</v>
      </c>
      <c r="AO3109" s="1">
        <v>24414.0</v>
      </c>
      <c r="AP3109" s="1">
        <v>16.3</v>
      </c>
      <c r="AQ3109" s="1">
        <v>3.6</v>
      </c>
      <c r="AR3109" s="1">
        <v>11.9</v>
      </c>
      <c r="AS3109" s="1">
        <v>18.5</v>
      </c>
      <c r="AT3109" s="1">
        <v>26.0</v>
      </c>
      <c r="AU3109" s="1">
        <v>11.6</v>
      </c>
      <c r="AV3109" s="1">
        <v>3.6</v>
      </c>
      <c r="AW3109" s="1">
        <v>1.0</v>
      </c>
      <c r="AX3109" s="1">
        <v>0.404</v>
      </c>
      <c r="AY3109" s="1">
        <v>14.1</v>
      </c>
      <c r="AZ3109" s="1">
        <v>9.9</v>
      </c>
      <c r="BA3109" s="1">
        <v>17.9</v>
      </c>
      <c r="BB3109" s="1">
        <v>3.13</v>
      </c>
      <c r="BC3109" s="1" t="s">
        <v>4958</v>
      </c>
      <c r="BD3109" s="1">
        <v>10.6</v>
      </c>
      <c r="BE3109" s="1">
        <v>37.7</v>
      </c>
      <c r="BF3109" s="1">
        <v>29.3</v>
      </c>
      <c r="BG3109" s="1">
        <v>22.4</v>
      </c>
      <c r="BH3109" s="1" t="s">
        <v>5049</v>
      </c>
    </row>
    <row r="3110">
      <c r="A3110" s="1">
        <v>55125.0</v>
      </c>
      <c r="B3110" s="2" t="str">
        <f>IFERROR(__xludf.DUMMYFUNCTION("TO_TEXT(A3110)"),"55125")</f>
        <v>55125</v>
      </c>
      <c r="C3110" s="1">
        <v>21373.0</v>
      </c>
      <c r="D3110" s="1">
        <v>857.702880935952</v>
      </c>
      <c r="E3110" s="1" t="s">
        <v>5050</v>
      </c>
      <c r="F3110" s="1" t="s">
        <v>5051</v>
      </c>
      <c r="G3110" s="1">
        <v>24.9188856363373</v>
      </c>
      <c r="H3110" s="1">
        <v>13.5468625109999</v>
      </c>
      <c r="I3110" s="1">
        <v>3.8553812961</v>
      </c>
      <c r="J3110" s="1">
        <v>7.1428571429</v>
      </c>
      <c r="K3110" s="1">
        <v>17.212498589</v>
      </c>
      <c r="L3110" s="1">
        <v>31.2</v>
      </c>
      <c r="M3110" s="1">
        <v>8.5</v>
      </c>
      <c r="N3110" s="1">
        <v>25.0</v>
      </c>
      <c r="O3110" s="1">
        <v>90.522631825</v>
      </c>
      <c r="P3110" s="1">
        <v>10.16183412</v>
      </c>
      <c r="Q3110" s="1">
        <v>64.56671</v>
      </c>
      <c r="R3110" s="1">
        <v>97.247706422</v>
      </c>
      <c r="S3110" s="1">
        <v>20.1</v>
      </c>
      <c r="T3110" s="1">
        <v>3543.0</v>
      </c>
      <c r="U3110" s="1">
        <v>43.2966412639999</v>
      </c>
      <c r="V3110" s="1">
        <v>46.843892727</v>
      </c>
      <c r="W3110" s="1">
        <v>16.103286385</v>
      </c>
      <c r="X3110" s="1">
        <v>14.391634981</v>
      </c>
      <c r="Y3110" s="1">
        <v>78.263194003</v>
      </c>
      <c r="Z3110" s="1">
        <v>12.3</v>
      </c>
      <c r="AA3110" s="1">
        <v>1.7375064401</v>
      </c>
      <c r="AB3110" s="1">
        <v>47198.0</v>
      </c>
      <c r="AC3110" s="1">
        <v>49.867374005</v>
      </c>
      <c r="AD3110" s="1">
        <v>76.543888583</v>
      </c>
      <c r="AE3110" s="1">
        <v>15.494816211</v>
      </c>
      <c r="AF3110" s="1">
        <v>0.3692223539</v>
      </c>
      <c r="AG3110" s="1">
        <v>11.122253624</v>
      </c>
      <c r="AH3110" s="1">
        <v>0.5333211779</v>
      </c>
      <c r="AI3110" s="1">
        <v>0.0182332027</v>
      </c>
      <c r="AJ3110" s="1">
        <v>2.8124715106</v>
      </c>
      <c r="AK3110" s="1">
        <v>84.788950679</v>
      </c>
      <c r="AL3110" s="1">
        <v>0.1299263751</v>
      </c>
      <c r="AM3110" s="1">
        <v>49.24788039</v>
      </c>
      <c r="AN3110" s="1">
        <v>100.0</v>
      </c>
      <c r="AO3110" s="1">
        <v>27537.0</v>
      </c>
      <c r="AP3110" s="1">
        <v>14.7</v>
      </c>
      <c r="AQ3110" s="1">
        <v>7.7</v>
      </c>
      <c r="AR3110" s="1">
        <v>7.5</v>
      </c>
      <c r="AS3110" s="1">
        <v>28.8</v>
      </c>
      <c r="AT3110" s="1">
        <v>16.9</v>
      </c>
      <c r="AU3110" s="1">
        <v>16.8</v>
      </c>
      <c r="AV3110" s="1">
        <v>14.9</v>
      </c>
      <c r="AW3110" s="1">
        <v>0.3</v>
      </c>
      <c r="AX3110" s="1">
        <v>0.1531</v>
      </c>
      <c r="AY3110" s="1">
        <v>11.2</v>
      </c>
      <c r="AZ3110" s="1">
        <v>10.7</v>
      </c>
      <c r="BA3110" s="1">
        <v>18.6</v>
      </c>
      <c r="BB3110" s="1">
        <v>3.53</v>
      </c>
      <c r="BC3110" s="1" t="s">
        <v>4958</v>
      </c>
      <c r="BD3110" s="1">
        <v>6.3</v>
      </c>
      <c r="BE3110" s="1">
        <v>30.0</v>
      </c>
      <c r="BF3110" s="1">
        <v>34.7</v>
      </c>
      <c r="BG3110" s="1">
        <v>29.1</v>
      </c>
      <c r="BH3110" s="1" t="s">
        <v>5051</v>
      </c>
    </row>
    <row r="3111">
      <c r="A3111" s="1">
        <v>55127.0</v>
      </c>
      <c r="B3111" s="2" t="str">
        <f>IFERROR(__xludf.DUMMYFUNCTION("TO_TEXT(A3111)"),"55127")</f>
        <v>55127</v>
      </c>
      <c r="C3111" s="1">
        <v>103021.0</v>
      </c>
      <c r="D3111" s="1">
        <v>555.255610147938</v>
      </c>
      <c r="E3111" s="1" t="s">
        <v>3994</v>
      </c>
      <c r="F3111" s="1" t="s">
        <v>5052</v>
      </c>
      <c r="G3111" s="1">
        <v>185.537972272899</v>
      </c>
      <c r="H3111" s="1">
        <v>13.920147333</v>
      </c>
      <c r="I3111" s="1">
        <v>3.5658263203</v>
      </c>
      <c r="J3111" s="1">
        <v>6.48702594809999</v>
      </c>
      <c r="K3111" s="1">
        <v>15.453405129</v>
      </c>
      <c r="L3111" s="1">
        <v>29.4</v>
      </c>
      <c r="M3111" s="1">
        <v>8.3</v>
      </c>
      <c r="N3111" s="1">
        <v>21.6</v>
      </c>
      <c r="O3111" s="1">
        <v>86.01850765</v>
      </c>
      <c r="P3111" s="1">
        <v>8.5275137298</v>
      </c>
      <c r="Q3111" s="1">
        <v>34.92365</v>
      </c>
      <c r="R3111" s="1">
        <v>93.39314845</v>
      </c>
      <c r="S3111" s="1">
        <v>11.3</v>
      </c>
      <c r="T3111" s="1">
        <v>21836.0</v>
      </c>
      <c r="U3111" s="1">
        <v>29.877266899</v>
      </c>
      <c r="V3111" s="1">
        <v>85.954041297</v>
      </c>
      <c r="W3111" s="1">
        <v>16.889778556</v>
      </c>
      <c r="X3111" s="1">
        <v>15.058793779</v>
      </c>
      <c r="Y3111" s="1">
        <v>79.586618579</v>
      </c>
      <c r="Z3111" s="1">
        <v>7.6</v>
      </c>
      <c r="AA3111" s="1">
        <v>8.5149941789</v>
      </c>
      <c r="AB3111" s="1">
        <v>64234.0</v>
      </c>
      <c r="AC3111" s="1">
        <v>36.94488189</v>
      </c>
      <c r="AD3111" s="1">
        <v>67.735063906</v>
      </c>
      <c r="AE3111" s="1">
        <v>14.352075136</v>
      </c>
      <c r="AF3111" s="1">
        <v>1.0393567173</v>
      </c>
      <c r="AG3111" s="1">
        <v>0.4811122467</v>
      </c>
      <c r="AH3111" s="1">
        <v>1.1290229276</v>
      </c>
      <c r="AI3111" s="1">
        <v>0.0597774735</v>
      </c>
      <c r="AJ3111" s="1">
        <v>11.192849843</v>
      </c>
      <c r="AK3111" s="1">
        <v>85.3255944</v>
      </c>
      <c r="AL3111" s="1">
        <v>2.2038200913</v>
      </c>
      <c r="AM3111" s="1">
        <v>50.0597774739999</v>
      </c>
      <c r="AN3111" s="1">
        <v>34.19708886</v>
      </c>
      <c r="AO3111" s="1">
        <v>28085.0</v>
      </c>
      <c r="AP3111" s="1">
        <v>12.9</v>
      </c>
      <c r="AQ3111" s="1">
        <v>6.4</v>
      </c>
      <c r="AR3111" s="1">
        <v>9.1</v>
      </c>
      <c r="AS3111" s="1">
        <v>15.3</v>
      </c>
      <c r="AT3111" s="1">
        <v>22.0</v>
      </c>
      <c r="AU3111" s="1">
        <v>11.6</v>
      </c>
      <c r="AV3111" s="1">
        <v>14.3</v>
      </c>
      <c r="AW3111" s="1">
        <v>2.4</v>
      </c>
      <c r="AX3111" s="1">
        <v>0.2833</v>
      </c>
      <c r="AY3111" s="1">
        <v>9.5</v>
      </c>
      <c r="AZ3111" s="1">
        <v>7.9</v>
      </c>
      <c r="BA3111" s="1">
        <v>12.9</v>
      </c>
      <c r="BB3111" s="1">
        <v>2.96</v>
      </c>
      <c r="BC3111" s="1" t="s">
        <v>4958</v>
      </c>
      <c r="BD3111" s="1">
        <v>9.2</v>
      </c>
      <c r="BE3111" s="1">
        <v>31.3</v>
      </c>
      <c r="BF3111" s="1">
        <v>30.8</v>
      </c>
      <c r="BG3111" s="1">
        <v>28.8</v>
      </c>
      <c r="BH3111" s="1" t="s">
        <v>5052</v>
      </c>
    </row>
    <row r="3112">
      <c r="A3112" s="1">
        <v>55129.0</v>
      </c>
      <c r="B3112" s="2" t="str">
        <f>IFERROR(__xludf.DUMMYFUNCTION("TO_TEXT(A3112)"),"55129")</f>
        <v>55129</v>
      </c>
      <c r="C3112" s="1">
        <v>15685.0</v>
      </c>
      <c r="D3112" s="1">
        <v>797.112709909478</v>
      </c>
      <c r="E3112" s="1" t="s">
        <v>5053</v>
      </c>
      <c r="F3112" s="1" t="s">
        <v>5054</v>
      </c>
      <c r="G3112" s="1">
        <v>19.6772674742336</v>
      </c>
      <c r="H3112" s="1">
        <v>13.603549879</v>
      </c>
      <c r="I3112" s="1">
        <v>3.6874342606</v>
      </c>
      <c r="J3112" s="1">
        <v>5.971659919</v>
      </c>
      <c r="K3112" s="1">
        <v>16.332521395</v>
      </c>
      <c r="L3112" s="1">
        <v>30.4</v>
      </c>
      <c r="M3112" s="1">
        <v>8.2</v>
      </c>
      <c r="N3112" s="1">
        <v>30.4</v>
      </c>
      <c r="O3112" s="1">
        <v>73.810571303</v>
      </c>
      <c r="P3112" s="1">
        <v>6.7623659633</v>
      </c>
      <c r="Q3112" s="1">
        <v>95.18974</v>
      </c>
      <c r="R3112" s="1">
        <v>91.379310345</v>
      </c>
      <c r="S3112" s="1">
        <v>17.7</v>
      </c>
      <c r="T3112" s="1">
        <v>2970.0</v>
      </c>
      <c r="U3112" s="1">
        <v>26.7003367</v>
      </c>
      <c r="V3112" s="1">
        <v>202.69618095</v>
      </c>
      <c r="W3112" s="1">
        <v>14.125874126</v>
      </c>
      <c r="X3112" s="1">
        <v>12.3849964609999</v>
      </c>
      <c r="Y3112" s="1">
        <v>79.2547257539999</v>
      </c>
      <c r="Z3112" s="1">
        <v>12.6</v>
      </c>
      <c r="AA3112" s="1">
        <v>6.84906792779999</v>
      </c>
      <c r="AB3112" s="1">
        <v>50482.0</v>
      </c>
      <c r="AC3112" s="1">
        <v>47.46506986</v>
      </c>
      <c r="AD3112" s="1">
        <v>79.32596998</v>
      </c>
      <c r="AE3112" s="1">
        <v>11.504424779</v>
      </c>
      <c r="AF3112" s="1">
        <v>0.3337951883</v>
      </c>
      <c r="AG3112" s="1">
        <v>1.6626779191</v>
      </c>
      <c r="AH3112" s="1">
        <v>0.610908174799999</v>
      </c>
      <c r="AI3112" s="1">
        <v>0.0314901121</v>
      </c>
      <c r="AJ3112" s="1">
        <v>1.8516185918</v>
      </c>
      <c r="AK3112" s="1">
        <v>94.067262879</v>
      </c>
      <c r="AL3112" s="1">
        <v>0.253942796</v>
      </c>
      <c r="AM3112" s="1">
        <v>50.4912457489999</v>
      </c>
      <c r="AN3112" s="1">
        <v>83.200301678</v>
      </c>
      <c r="AO3112" s="1">
        <v>26570.0</v>
      </c>
      <c r="AP3112" s="1">
        <v>12.8</v>
      </c>
      <c r="AQ3112" s="1">
        <v>5.3</v>
      </c>
      <c r="AR3112" s="1">
        <v>8.2</v>
      </c>
      <c r="AS3112" s="1">
        <v>24.1</v>
      </c>
      <c r="AT3112" s="1">
        <v>19.1</v>
      </c>
      <c r="AU3112" s="1">
        <v>15.5</v>
      </c>
      <c r="AV3112" s="1">
        <v>5.4</v>
      </c>
      <c r="AW3112" s="1">
        <v>0.2</v>
      </c>
      <c r="AX3112" s="1">
        <v>0.1012</v>
      </c>
      <c r="AY3112" s="1">
        <v>12.8</v>
      </c>
      <c r="AZ3112" s="1">
        <v>10.4</v>
      </c>
      <c r="BA3112" s="1">
        <v>19.6</v>
      </c>
      <c r="BB3112" s="1">
        <v>3.06</v>
      </c>
      <c r="BC3112" s="1" t="s">
        <v>4958</v>
      </c>
      <c r="BD3112" s="1">
        <v>7.8</v>
      </c>
      <c r="BE3112" s="1">
        <v>33.6</v>
      </c>
      <c r="BF3112" s="1">
        <v>35.6</v>
      </c>
      <c r="BG3112" s="1">
        <v>23.0</v>
      </c>
      <c r="BH3112" s="1" t="s">
        <v>5054</v>
      </c>
    </row>
    <row r="3113">
      <c r="A3113" s="1">
        <v>55131.0</v>
      </c>
      <c r="B3113" s="2" t="str">
        <f>IFERROR(__xludf.DUMMYFUNCTION("TO_TEXT(A3113)"),"55131")</f>
        <v>55131</v>
      </c>
      <c r="C3113" s="1">
        <v>133422.0</v>
      </c>
      <c r="D3113" s="1">
        <v>430.64644681277</v>
      </c>
      <c r="E3113" s="1" t="s">
        <v>188</v>
      </c>
      <c r="F3113" s="1" t="s">
        <v>5055</v>
      </c>
      <c r="G3113" s="1">
        <v>309.817951564353</v>
      </c>
      <c r="H3113" s="1">
        <v>9.8309632217</v>
      </c>
      <c r="I3113" s="1">
        <v>3.3702817287</v>
      </c>
      <c r="J3113" s="1">
        <v>5.8343182551</v>
      </c>
      <c r="K3113" s="1">
        <v>13.5196858509999</v>
      </c>
      <c r="L3113" s="1">
        <v>32.6</v>
      </c>
      <c r="M3113" s="1">
        <v>9.2</v>
      </c>
      <c r="N3113" s="1">
        <v>20.6</v>
      </c>
      <c r="O3113" s="1">
        <v>91.946893932</v>
      </c>
      <c r="P3113" s="1">
        <v>4.16863834</v>
      </c>
      <c r="Q3113" s="1">
        <v>54.77384</v>
      </c>
      <c r="R3113" s="1">
        <v>93.3532934129999</v>
      </c>
      <c r="S3113" s="1">
        <v>4.9</v>
      </c>
      <c r="T3113" s="1">
        <v>30076.0</v>
      </c>
      <c r="U3113" s="1">
        <v>21.036707009</v>
      </c>
      <c r="V3113" s="1">
        <v>69.237496761</v>
      </c>
      <c r="W3113" s="1">
        <v>10.162639842</v>
      </c>
      <c r="X3113" s="1">
        <v>9.2230718399</v>
      </c>
      <c r="Y3113" s="1">
        <v>81.181283404</v>
      </c>
      <c r="Z3113" s="1">
        <v>6.6</v>
      </c>
      <c r="AA3113" s="1">
        <v>3.0057093967</v>
      </c>
      <c r="AB3113" s="1">
        <v>75799.0</v>
      </c>
      <c r="AC3113" s="1">
        <v>18.470820869</v>
      </c>
      <c r="AD3113" s="1">
        <v>77.276589457</v>
      </c>
      <c r="AE3113" s="1">
        <v>8.721377989</v>
      </c>
      <c r="AF3113" s="1">
        <v>1.2439845828</v>
      </c>
      <c r="AG3113" s="1">
        <v>0.3927984494</v>
      </c>
      <c r="AH3113" s="1">
        <v>1.4591762287</v>
      </c>
      <c r="AI3113" s="1">
        <v>0.0427435461</v>
      </c>
      <c r="AJ3113" s="1">
        <v>3.2205051108</v>
      </c>
      <c r="AK3113" s="1">
        <v>92.676114464</v>
      </c>
      <c r="AL3113" s="1">
        <v>0.497789782</v>
      </c>
      <c r="AM3113" s="1">
        <v>50.290729809</v>
      </c>
      <c r="AN3113" s="1">
        <v>30.784686891</v>
      </c>
      <c r="AO3113" s="1">
        <v>34722.0</v>
      </c>
      <c r="AP3113" s="1">
        <v>5.7</v>
      </c>
      <c r="AQ3113" s="1">
        <v>4.0</v>
      </c>
      <c r="AR3113" s="1">
        <v>6.1</v>
      </c>
      <c r="AS3113" s="1">
        <v>15.6</v>
      </c>
      <c r="AT3113" s="1">
        <v>23.1</v>
      </c>
      <c r="AU3113" s="1">
        <v>10.1</v>
      </c>
      <c r="AV3113" s="1">
        <v>6.6</v>
      </c>
      <c r="AW3113" s="1">
        <v>0.6</v>
      </c>
      <c r="AX3113" s="1">
        <v>0.014</v>
      </c>
      <c r="AY3113" s="1">
        <v>5.1</v>
      </c>
      <c r="AZ3113" s="1">
        <v>5.7</v>
      </c>
      <c r="BA3113" s="1">
        <v>10.2</v>
      </c>
      <c r="BB3113" s="1">
        <v>2.91</v>
      </c>
      <c r="BC3113" s="1" t="s">
        <v>4958</v>
      </c>
      <c r="BD3113" s="1">
        <v>5.1</v>
      </c>
      <c r="BE3113" s="1">
        <v>30.3</v>
      </c>
      <c r="BF3113" s="1">
        <v>33.2</v>
      </c>
      <c r="BG3113" s="1">
        <v>31.5</v>
      </c>
      <c r="BH3113" s="1" t="s">
        <v>5055</v>
      </c>
    </row>
    <row r="3114">
      <c r="A3114" s="1">
        <v>55133.0</v>
      </c>
      <c r="B3114" s="2" t="str">
        <f>IFERROR(__xludf.DUMMYFUNCTION("TO_TEXT(A3114)"),"55133")</f>
        <v>55133</v>
      </c>
      <c r="C3114" s="1">
        <v>395377.0</v>
      </c>
      <c r="D3114" s="1">
        <v>549.680617346496</v>
      </c>
      <c r="E3114" s="1" t="s">
        <v>5056</v>
      </c>
      <c r="F3114" s="1" t="s">
        <v>5057</v>
      </c>
      <c r="G3114" s="1">
        <v>719.284958433909</v>
      </c>
      <c r="H3114" s="1">
        <v>10.114866311</v>
      </c>
      <c r="I3114" s="1">
        <v>3.3402501406</v>
      </c>
      <c r="J3114" s="1">
        <v>6.25</v>
      </c>
      <c r="K3114" s="1">
        <v>12.194141698</v>
      </c>
      <c r="L3114" s="1">
        <v>26.4</v>
      </c>
      <c r="M3114" s="1">
        <v>9.1</v>
      </c>
      <c r="N3114" s="1">
        <v>17.4</v>
      </c>
      <c r="O3114" s="1">
        <v>94.742889679</v>
      </c>
      <c r="P3114" s="1">
        <v>3.8078786628</v>
      </c>
      <c r="Q3114" s="1">
        <v>138.53492</v>
      </c>
      <c r="R3114" s="1">
        <v>94.494338149</v>
      </c>
      <c r="S3114" s="1">
        <v>4.8</v>
      </c>
      <c r="T3114" s="1">
        <v>86576.0</v>
      </c>
      <c r="U3114" s="1">
        <v>18.23369063</v>
      </c>
      <c r="V3114" s="1">
        <v>68.206747549</v>
      </c>
      <c r="W3114" s="1">
        <v>11.2630396409999</v>
      </c>
      <c r="X3114" s="1">
        <v>9.9803232154</v>
      </c>
      <c r="Y3114" s="1">
        <v>81.515588378</v>
      </c>
      <c r="Z3114" s="1">
        <v>9.5</v>
      </c>
      <c r="AA3114" s="1">
        <v>5.0644210514</v>
      </c>
      <c r="AB3114" s="1">
        <v>87333.0</v>
      </c>
      <c r="AC3114" s="1">
        <v>14.204324744</v>
      </c>
      <c r="AD3114" s="1">
        <v>76.400208191</v>
      </c>
      <c r="AE3114" s="1">
        <v>10.479061117</v>
      </c>
      <c r="AF3114" s="1">
        <v>1.5902865989</v>
      </c>
      <c r="AG3114" s="1">
        <v>0.324011591</v>
      </c>
      <c r="AH3114" s="1">
        <v>3.886650524</v>
      </c>
      <c r="AI3114" s="1">
        <v>0.0545808193</v>
      </c>
      <c r="AJ3114" s="1">
        <v>4.7869859479</v>
      </c>
      <c r="AK3114" s="1">
        <v>88.186229755</v>
      </c>
      <c r="AL3114" s="1">
        <v>0.6805309992</v>
      </c>
      <c r="AM3114" s="1">
        <v>50.830372737</v>
      </c>
      <c r="AN3114" s="1">
        <v>9.8604481765</v>
      </c>
      <c r="AO3114" s="1">
        <v>40174.0</v>
      </c>
      <c r="AP3114" s="1">
        <v>5.2</v>
      </c>
      <c r="AQ3114" s="1">
        <v>3.7</v>
      </c>
      <c r="AR3114" s="1">
        <v>4.1</v>
      </c>
      <c r="AS3114" s="1">
        <v>16.5</v>
      </c>
      <c r="AT3114" s="1">
        <v>22.4</v>
      </c>
      <c r="AU3114" s="1">
        <v>9.9</v>
      </c>
      <c r="AV3114" s="1">
        <v>10.5</v>
      </c>
      <c r="AW3114" s="1">
        <v>0.8</v>
      </c>
      <c r="AX3114" s="1">
        <v>0.0267</v>
      </c>
      <c r="AY3114" s="1">
        <v>4.7</v>
      </c>
      <c r="AZ3114" s="1">
        <v>5.5</v>
      </c>
      <c r="BA3114" s="1">
        <v>9.7</v>
      </c>
      <c r="BB3114" s="1">
        <v>3.11</v>
      </c>
      <c r="BC3114" s="1" t="s">
        <v>4958</v>
      </c>
      <c r="BD3114" s="1">
        <v>3.8</v>
      </c>
      <c r="BE3114" s="1">
        <v>22.7</v>
      </c>
      <c r="BF3114" s="1">
        <v>29.1</v>
      </c>
      <c r="BG3114" s="1">
        <v>44.5</v>
      </c>
      <c r="BH3114" s="1" t="s">
        <v>5057</v>
      </c>
    </row>
    <row r="3115">
      <c r="A3115" s="1">
        <v>55135.0</v>
      </c>
      <c r="B3115" s="2" t="str">
        <f>IFERROR(__xludf.DUMMYFUNCTION("TO_TEXT(A3115)"),"55135")</f>
        <v>55135</v>
      </c>
      <c r="C3115" s="1">
        <v>51974.0</v>
      </c>
      <c r="D3115" s="1">
        <v>747.696444276992</v>
      </c>
      <c r="E3115" s="1" t="s">
        <v>5058</v>
      </c>
      <c r="F3115" s="1" t="s">
        <v>5059</v>
      </c>
      <c r="G3115" s="1">
        <v>69.5121668664051</v>
      </c>
      <c r="H3115" s="1">
        <v>12.14973861</v>
      </c>
      <c r="I3115" s="1">
        <v>3.6171160885</v>
      </c>
      <c r="J3115" s="1">
        <v>6.43274853799999</v>
      </c>
      <c r="K3115" s="1">
        <v>15.294101259</v>
      </c>
      <c r="L3115" s="1">
        <v>36.8</v>
      </c>
      <c r="M3115" s="1">
        <v>8.7</v>
      </c>
      <c r="N3115" s="1">
        <v>22.4</v>
      </c>
      <c r="O3115" s="1">
        <v>83.14825415</v>
      </c>
      <c r="P3115" s="1">
        <v>6.7038410794</v>
      </c>
      <c r="Q3115" s="1">
        <v>52.70864</v>
      </c>
      <c r="R3115" s="1">
        <v>88.9046941679999</v>
      </c>
      <c r="S3115" s="1">
        <v>13.9</v>
      </c>
      <c r="T3115" s="1">
        <v>10443.0</v>
      </c>
      <c r="U3115" s="1">
        <v>30.039260749</v>
      </c>
      <c r="V3115" s="1">
        <v>187.44412723</v>
      </c>
      <c r="W3115" s="1">
        <v>11.326482952</v>
      </c>
      <c r="X3115" s="1">
        <v>9.5495072736</v>
      </c>
      <c r="Y3115" s="1">
        <v>77.516923979</v>
      </c>
      <c r="Z3115" s="1">
        <v>11.4</v>
      </c>
      <c r="AA3115" s="1">
        <v>3.0072918922</v>
      </c>
      <c r="AB3115" s="1">
        <v>58648.0</v>
      </c>
      <c r="AC3115" s="1">
        <v>37.8659569319999</v>
      </c>
      <c r="AD3115" s="1">
        <v>74.414275336</v>
      </c>
      <c r="AE3115" s="1">
        <v>9.1877558616</v>
      </c>
      <c r="AF3115" s="1">
        <v>0.4654983571</v>
      </c>
      <c r="AG3115" s="1">
        <v>0.7960413081</v>
      </c>
      <c r="AH3115" s="1">
        <v>0.5613362541</v>
      </c>
      <c r="AI3115" s="1">
        <v>0.0215146299</v>
      </c>
      <c r="AJ3115" s="1">
        <v>3.2584884995</v>
      </c>
      <c r="AK3115" s="1">
        <v>94.091300266</v>
      </c>
      <c r="AL3115" s="1">
        <v>0.702098130499999</v>
      </c>
      <c r="AM3115" s="1">
        <v>49.264590831</v>
      </c>
      <c r="AN3115" s="1">
        <v>64.939896966</v>
      </c>
      <c r="AO3115" s="1">
        <v>28145.0</v>
      </c>
      <c r="AP3115" s="1">
        <v>10.6</v>
      </c>
      <c r="AQ3115" s="1">
        <v>4.5</v>
      </c>
      <c r="AR3115" s="1">
        <v>9.1</v>
      </c>
      <c r="AS3115" s="1">
        <v>19.5</v>
      </c>
      <c r="AT3115" s="1">
        <v>21.3</v>
      </c>
      <c r="AU3115" s="1">
        <v>14.0</v>
      </c>
      <c r="AV3115" s="1">
        <v>5.1</v>
      </c>
      <c r="AW3115" s="1">
        <v>0.8</v>
      </c>
      <c r="AX3115" s="1">
        <v>0.192</v>
      </c>
      <c r="AY3115" s="1">
        <v>8.8</v>
      </c>
      <c r="AZ3115" s="1">
        <v>8.8</v>
      </c>
      <c r="BA3115" s="1">
        <v>16.1</v>
      </c>
      <c r="BB3115" s="1">
        <v>2.69</v>
      </c>
      <c r="BC3115" s="1" t="s">
        <v>4958</v>
      </c>
      <c r="BD3115" s="1">
        <v>8.2</v>
      </c>
      <c r="BE3115" s="1">
        <v>40.8</v>
      </c>
      <c r="BF3115" s="1">
        <v>31.1</v>
      </c>
      <c r="BG3115" s="1">
        <v>19.9</v>
      </c>
      <c r="BH3115" s="1" t="s">
        <v>5059</v>
      </c>
    </row>
    <row r="3116">
      <c r="A3116" s="1">
        <v>55137.0</v>
      </c>
      <c r="B3116" s="2" t="str">
        <f>IFERROR(__xludf.DUMMYFUNCTION("TO_TEXT(A3116)"),"55137")</f>
        <v>55137</v>
      </c>
      <c r="C3116" s="1">
        <v>24238.0</v>
      </c>
      <c r="D3116" s="1">
        <v>626.168098838893</v>
      </c>
      <c r="E3116" s="1" t="s">
        <v>5060</v>
      </c>
      <c r="F3116" s="1" t="s">
        <v>5061</v>
      </c>
      <c r="G3116" s="1">
        <v>38.7084555168885</v>
      </c>
      <c r="H3116" s="1">
        <v>13.348682217</v>
      </c>
      <c r="I3116" s="1">
        <v>3.5790409717</v>
      </c>
      <c r="J3116" s="1">
        <v>7.0733290071</v>
      </c>
      <c r="K3116" s="1">
        <v>16.186324387</v>
      </c>
      <c r="L3116" s="1">
        <v>36.3</v>
      </c>
      <c r="M3116" s="1">
        <v>9.0</v>
      </c>
      <c r="N3116" s="1">
        <v>25.6</v>
      </c>
      <c r="O3116" s="1">
        <v>59.638308295</v>
      </c>
      <c r="P3116" s="1">
        <v>8.4331077564</v>
      </c>
      <c r="Q3116" s="1">
        <v>28.72502</v>
      </c>
      <c r="R3116" s="1">
        <v>90.340909091</v>
      </c>
      <c r="S3116" s="1">
        <v>16.2</v>
      </c>
      <c r="T3116" s="1">
        <v>4445.0</v>
      </c>
      <c r="U3116" s="1">
        <v>25.12935883</v>
      </c>
      <c r="V3116" s="1">
        <v>101.67240735</v>
      </c>
      <c r="W3116" s="1">
        <v>13.743589744</v>
      </c>
      <c r="X3116" s="1">
        <v>12.105535437</v>
      </c>
      <c r="Y3116" s="1">
        <v>79.65758963</v>
      </c>
      <c r="Z3116" s="1">
        <v>10.4</v>
      </c>
      <c r="AA3116" s="1">
        <v>0.4643703768</v>
      </c>
      <c r="AB3116" s="1">
        <v>52340.0</v>
      </c>
      <c r="AC3116" s="1">
        <v>52.297347777</v>
      </c>
      <c r="AD3116" s="1">
        <v>81.801600973</v>
      </c>
      <c r="AE3116" s="1">
        <v>11.208607542</v>
      </c>
      <c r="AF3116" s="1">
        <v>1.9865639039</v>
      </c>
      <c r="AG3116" s="1">
        <v>0.799571363799999</v>
      </c>
      <c r="AH3116" s="1">
        <v>0.5687672588</v>
      </c>
      <c r="AI3116" s="1">
        <v>0.0700655319</v>
      </c>
      <c r="AJ3116" s="1">
        <v>6.2811688579</v>
      </c>
      <c r="AK3116" s="1">
        <v>89.551992746</v>
      </c>
      <c r="AL3116" s="1">
        <v>1.1716538177</v>
      </c>
      <c r="AM3116" s="1">
        <v>47.393150064</v>
      </c>
      <c r="AN3116" s="1">
        <v>89.496244285</v>
      </c>
      <c r="AO3116" s="1">
        <v>24861.0</v>
      </c>
      <c r="AP3116" s="1">
        <v>11.5</v>
      </c>
      <c r="AQ3116" s="1">
        <v>6.3</v>
      </c>
      <c r="AR3116" s="1">
        <v>13.8</v>
      </c>
      <c r="AS3116" s="1">
        <v>22.4</v>
      </c>
      <c r="AT3116" s="1">
        <v>18.8</v>
      </c>
      <c r="AU3116" s="1">
        <v>15.6</v>
      </c>
      <c r="AV3116" s="1">
        <v>10.2</v>
      </c>
      <c r="AW3116" s="1">
        <v>1.5</v>
      </c>
      <c r="AX3116" s="1">
        <v>0.382</v>
      </c>
      <c r="AY3116" s="1">
        <v>12.4</v>
      </c>
      <c r="AZ3116" s="1">
        <v>9.0</v>
      </c>
      <c r="BA3116" s="1">
        <v>16.6</v>
      </c>
      <c r="BB3116" s="1">
        <v>3.06</v>
      </c>
      <c r="BC3116" s="1" t="s">
        <v>4958</v>
      </c>
      <c r="BD3116" s="1">
        <v>13.2</v>
      </c>
      <c r="BE3116" s="1">
        <v>42.0</v>
      </c>
      <c r="BF3116" s="1">
        <v>28.6</v>
      </c>
      <c r="BG3116" s="1">
        <v>16.3</v>
      </c>
      <c r="BH3116" s="1" t="s">
        <v>5061</v>
      </c>
    </row>
    <row r="3117">
      <c r="A3117" s="1">
        <v>55139.0</v>
      </c>
      <c r="B3117" s="2" t="str">
        <f>IFERROR(__xludf.DUMMYFUNCTION("TO_TEXT(A3117)"),"55139")</f>
        <v>55139</v>
      </c>
      <c r="C3117" s="1">
        <v>169487.0</v>
      </c>
      <c r="D3117" s="1">
        <v>434.486304562149</v>
      </c>
      <c r="E3117" s="1" t="s">
        <v>1304</v>
      </c>
      <c r="F3117" s="1" t="s">
        <v>5062</v>
      </c>
      <c r="G3117" s="1">
        <v>390.08594337812</v>
      </c>
      <c r="H3117" s="1">
        <v>12.6521282279999</v>
      </c>
      <c r="I3117" s="1">
        <v>3.837059827</v>
      </c>
      <c r="J3117" s="1">
        <v>7.0313101008</v>
      </c>
      <c r="K3117" s="1">
        <v>15.2588783609999</v>
      </c>
      <c r="L3117" s="1">
        <v>36.7</v>
      </c>
      <c r="M3117" s="1">
        <v>8.4</v>
      </c>
      <c r="N3117" s="1">
        <v>21.8</v>
      </c>
      <c r="O3117" s="1">
        <v>87.095344743</v>
      </c>
      <c r="P3117" s="1">
        <v>5.340178591</v>
      </c>
      <c r="Q3117" s="1">
        <v>80.39246</v>
      </c>
      <c r="R3117" s="1">
        <v>90.510948905</v>
      </c>
      <c r="S3117" s="1">
        <v>11.6</v>
      </c>
      <c r="T3117" s="1">
        <v>34625.0</v>
      </c>
      <c r="U3117" s="1">
        <v>30.599277978</v>
      </c>
      <c r="V3117" s="1">
        <v>168.53684721</v>
      </c>
      <c r="W3117" s="1">
        <v>12.4042214829999</v>
      </c>
      <c r="X3117" s="1">
        <v>11.14992722</v>
      </c>
      <c r="Y3117" s="1">
        <v>79.690118587</v>
      </c>
      <c r="Z3117" s="1">
        <v>9.0</v>
      </c>
      <c r="AA3117" s="1">
        <v>4.9894597264</v>
      </c>
      <c r="AB3117" s="1">
        <v>57785.0</v>
      </c>
      <c r="AC3117" s="1">
        <v>36.401528308</v>
      </c>
      <c r="AD3117" s="1">
        <v>64.986533282</v>
      </c>
      <c r="AE3117" s="1">
        <v>11.023929253</v>
      </c>
      <c r="AF3117" s="1">
        <v>2.1705063735</v>
      </c>
      <c r="AG3117" s="1">
        <v>0.7461115659</v>
      </c>
      <c r="AH3117" s="1">
        <v>3.0458425915</v>
      </c>
      <c r="AI3117" s="1">
        <v>0.0532101509</v>
      </c>
      <c r="AJ3117" s="1">
        <v>4.2000935563</v>
      </c>
      <c r="AK3117" s="1">
        <v>88.382060578</v>
      </c>
      <c r="AL3117" s="1">
        <v>0.9313887349</v>
      </c>
      <c r="AM3117" s="1">
        <v>49.676646006</v>
      </c>
      <c r="AN3117" s="1">
        <v>13.431021474</v>
      </c>
      <c r="AO3117" s="1">
        <v>28446.0</v>
      </c>
      <c r="AP3117" s="1">
        <v>12.2</v>
      </c>
      <c r="AQ3117" s="1">
        <v>4.4</v>
      </c>
      <c r="AR3117" s="1">
        <v>7.9</v>
      </c>
      <c r="AS3117" s="1">
        <v>14.7</v>
      </c>
      <c r="AT3117" s="1">
        <v>20.9</v>
      </c>
      <c r="AU3117" s="1">
        <v>11.3</v>
      </c>
      <c r="AV3117" s="1">
        <v>10.5</v>
      </c>
      <c r="AW3117" s="1">
        <v>0.8</v>
      </c>
      <c r="AX3117" s="1">
        <v>0.1544</v>
      </c>
      <c r="AY3117" s="1">
        <v>9.7</v>
      </c>
      <c r="AZ3117" s="1">
        <v>8.5</v>
      </c>
      <c r="BA3117" s="1">
        <v>14.3</v>
      </c>
      <c r="BB3117" s="1">
        <v>3.07</v>
      </c>
      <c r="BC3117" s="1" t="s">
        <v>4958</v>
      </c>
      <c r="BD3117" s="1">
        <v>7.1</v>
      </c>
      <c r="BE3117" s="1">
        <v>33.4</v>
      </c>
      <c r="BF3117" s="1">
        <v>31.1</v>
      </c>
      <c r="BG3117" s="1">
        <v>28.3</v>
      </c>
      <c r="BH3117" s="1" t="s">
        <v>5062</v>
      </c>
    </row>
    <row r="3118">
      <c r="A3118" s="1">
        <v>55141.0</v>
      </c>
      <c r="B3118" s="2" t="str">
        <f>IFERROR(__xludf.DUMMYFUNCTION("TO_TEXT(A3118)"),"55141")</f>
        <v>55141</v>
      </c>
      <c r="C3118" s="1">
        <v>73621.0</v>
      </c>
      <c r="D3118" s="1">
        <v>792.9439129473</v>
      </c>
      <c r="E3118" s="1" t="s">
        <v>3537</v>
      </c>
      <c r="F3118" s="1" t="s">
        <v>5063</v>
      </c>
      <c r="G3118" s="1">
        <v>92.8451543645217</v>
      </c>
      <c r="H3118" s="1">
        <v>12.4447325409999</v>
      </c>
      <c r="I3118" s="1">
        <v>3.3720102938</v>
      </c>
      <c r="J3118" s="1">
        <v>7.1278458844</v>
      </c>
      <c r="K3118" s="1">
        <v>15.938731469</v>
      </c>
      <c r="L3118" s="1">
        <v>29.1</v>
      </c>
      <c r="M3118" s="1">
        <v>8.3</v>
      </c>
      <c r="N3118" s="1">
        <v>20.0</v>
      </c>
      <c r="O3118" s="1">
        <v>77.015077125</v>
      </c>
      <c r="P3118" s="1">
        <v>5.5242993235</v>
      </c>
      <c r="Q3118" s="1">
        <v>147.69029</v>
      </c>
      <c r="R3118" s="1">
        <v>92.417582418</v>
      </c>
      <c r="S3118" s="1">
        <v>13.2</v>
      </c>
      <c r="T3118" s="1">
        <v>15645.0</v>
      </c>
      <c r="U3118" s="1">
        <v>28.558644934</v>
      </c>
      <c r="V3118" s="1">
        <v>32.693984307</v>
      </c>
      <c r="W3118" s="1">
        <v>10.475145053</v>
      </c>
      <c r="X3118" s="1">
        <v>9.1785601015</v>
      </c>
      <c r="Y3118" s="1">
        <v>78.844740962</v>
      </c>
      <c r="Z3118" s="1">
        <v>8.3</v>
      </c>
      <c r="AA3118" s="1">
        <v>6.4908550715</v>
      </c>
      <c r="AB3118" s="1">
        <v>55879.0</v>
      </c>
      <c r="AC3118" s="1">
        <v>36.273925989</v>
      </c>
      <c r="AD3118" s="1">
        <v>72.560086835</v>
      </c>
      <c r="AE3118" s="1">
        <v>9.205994898</v>
      </c>
      <c r="AF3118" s="1">
        <v>0.8801587845</v>
      </c>
      <c r="AG3118" s="1">
        <v>0.9321743892</v>
      </c>
      <c r="AH3118" s="1">
        <v>2.0039696119</v>
      </c>
      <c r="AI3118" s="1">
        <v>0.0314831291</v>
      </c>
      <c r="AJ3118" s="1">
        <v>3.0921908151</v>
      </c>
      <c r="AK3118" s="1">
        <v>92.170282664</v>
      </c>
      <c r="AL3118" s="1">
        <v>0.717322766299999</v>
      </c>
      <c r="AM3118" s="1">
        <v>50.79186914</v>
      </c>
      <c r="AN3118" s="1">
        <v>36.682764987</v>
      </c>
      <c r="AO3118" s="1">
        <v>27687.0</v>
      </c>
      <c r="AP3118" s="1">
        <v>10.6</v>
      </c>
      <c r="AQ3118" s="1">
        <v>5.7</v>
      </c>
      <c r="AR3118" s="1">
        <v>7.7</v>
      </c>
      <c r="AS3118" s="1">
        <v>18.6</v>
      </c>
      <c r="AT3118" s="1">
        <v>21.9</v>
      </c>
      <c r="AU3118" s="1">
        <v>12.7</v>
      </c>
      <c r="AV3118" s="1">
        <v>6.9</v>
      </c>
      <c r="AW3118" s="1">
        <v>0.6</v>
      </c>
      <c r="AX3118" s="1">
        <v>0.1668</v>
      </c>
      <c r="AY3118" s="1">
        <v>10.7</v>
      </c>
      <c r="AZ3118" s="1">
        <v>9.1</v>
      </c>
      <c r="BA3118" s="1">
        <v>16.0</v>
      </c>
      <c r="BB3118" s="1">
        <v>2.97</v>
      </c>
      <c r="BC3118" s="1" t="s">
        <v>4958</v>
      </c>
      <c r="BD3118" s="1">
        <v>7.3</v>
      </c>
      <c r="BE3118" s="1">
        <v>38.0</v>
      </c>
      <c r="BF3118" s="1">
        <v>33.0</v>
      </c>
      <c r="BG3118" s="1">
        <v>21.6</v>
      </c>
      <c r="BH3118" s="1" t="s">
        <v>5063</v>
      </c>
    </row>
    <row r="3119">
      <c r="A3119" s="1">
        <v>56001.0</v>
      </c>
      <c r="B3119" s="2" t="str">
        <f>IFERROR(__xludf.DUMMYFUNCTION("TO_TEXT(A3119)"),"56001")</f>
        <v>56001</v>
      </c>
      <c r="C3119" s="1">
        <v>37836.0</v>
      </c>
      <c r="D3119" s="1">
        <v>4274.3250086888</v>
      </c>
      <c r="E3119" s="1" t="s">
        <v>3073</v>
      </c>
      <c r="F3119" s="1" t="s">
        <v>5064</v>
      </c>
      <c r="G3119" s="1">
        <v>8.85192397000401</v>
      </c>
      <c r="H3119" s="1">
        <v>15.8121108579999</v>
      </c>
      <c r="I3119" s="1">
        <v>3.8261641484</v>
      </c>
      <c r="J3119" s="1">
        <v>8.5285505124</v>
      </c>
      <c r="K3119" s="1">
        <v>15.64749358</v>
      </c>
      <c r="L3119" s="1">
        <v>23.6</v>
      </c>
      <c r="M3119" s="1">
        <v>6.4</v>
      </c>
      <c r="N3119" s="1">
        <v>16.9</v>
      </c>
      <c r="O3119" s="1">
        <v>91.01628144</v>
      </c>
      <c r="P3119" s="1">
        <v>12.539732004</v>
      </c>
      <c r="Q3119" s="1">
        <v>70.43723</v>
      </c>
      <c r="R3119" s="1">
        <v>82.394366197</v>
      </c>
      <c r="S3119" s="1">
        <v>13.5</v>
      </c>
      <c r="T3119" s="1">
        <v>6306.0</v>
      </c>
      <c r="U3119" s="1">
        <v>15.287028227</v>
      </c>
      <c r="V3119" s="1">
        <v>137.93286383</v>
      </c>
      <c r="W3119" s="1">
        <v>22.389977514</v>
      </c>
      <c r="X3119" s="1">
        <v>20.201691607</v>
      </c>
      <c r="Y3119" s="1">
        <v>80.804432398</v>
      </c>
      <c r="Z3119" s="1">
        <v>5.2</v>
      </c>
      <c r="AA3119" s="1">
        <v>14.198408897</v>
      </c>
      <c r="AB3119" s="1">
        <v>47561.0</v>
      </c>
      <c r="AC3119" s="1">
        <v>21.784841076</v>
      </c>
      <c r="AD3119" s="1">
        <v>49.7348224869999</v>
      </c>
      <c r="AE3119" s="1">
        <v>19.434788207</v>
      </c>
      <c r="AF3119" s="1">
        <v>1.7719748193</v>
      </c>
      <c r="AG3119" s="1">
        <v>1.2072226108</v>
      </c>
      <c r="AH3119" s="1">
        <v>3.6113054066</v>
      </c>
      <c r="AI3119" s="1">
        <v>0.1088054714</v>
      </c>
      <c r="AJ3119" s="1">
        <v>9.8132172742</v>
      </c>
      <c r="AK3119" s="1">
        <v>82.07300329</v>
      </c>
      <c r="AL3119" s="1">
        <v>0.7133574806</v>
      </c>
      <c r="AM3119" s="1">
        <v>47.8122328439999</v>
      </c>
      <c r="AN3119" s="1">
        <v>11.939722857</v>
      </c>
      <c r="AO3119" s="1">
        <v>25227.0</v>
      </c>
      <c r="AP3119" s="1">
        <v>25.5</v>
      </c>
      <c r="AQ3119" s="1">
        <v>4.6</v>
      </c>
      <c r="AR3119" s="1">
        <v>4.2</v>
      </c>
      <c r="AS3119" s="1">
        <v>9.5</v>
      </c>
      <c r="AT3119" s="1">
        <v>16.5</v>
      </c>
      <c r="AU3119" s="1">
        <v>9.5</v>
      </c>
      <c r="AV3119" s="1">
        <v>16.7</v>
      </c>
      <c r="AW3119" s="1">
        <v>0.6</v>
      </c>
      <c r="AX3119" s="1">
        <v>0.2069</v>
      </c>
      <c r="AY3119" s="1">
        <v>16.0</v>
      </c>
      <c r="AZ3119" s="1">
        <v>12.9</v>
      </c>
      <c r="BA3119" s="1">
        <v>14.0</v>
      </c>
      <c r="BB3119" s="1">
        <v>3.52</v>
      </c>
      <c r="BC3119" s="1" t="s">
        <v>5065</v>
      </c>
      <c r="BD3119" s="1">
        <v>4.1</v>
      </c>
      <c r="BE3119" s="1">
        <v>14.7</v>
      </c>
      <c r="BF3119" s="1">
        <v>29.5</v>
      </c>
      <c r="BG3119" s="1">
        <v>51.8</v>
      </c>
      <c r="BH3119" s="1" t="s">
        <v>5064</v>
      </c>
    </row>
    <row r="3120">
      <c r="A3120" s="1">
        <v>56003.0</v>
      </c>
      <c r="B3120" s="2" t="str">
        <f>IFERROR(__xludf.DUMMYFUNCTION("TO_TEXT(A3120)"),"56003")</f>
        <v>56003</v>
      </c>
      <c r="C3120" s="1">
        <v>11931.0</v>
      </c>
      <c r="D3120" s="1">
        <v>3136.48981201701</v>
      </c>
      <c r="E3120" s="1" t="s">
        <v>2711</v>
      </c>
      <c r="F3120" s="1" t="s">
        <v>5066</v>
      </c>
      <c r="G3120" s="1">
        <v>3.8039339245701</v>
      </c>
      <c r="H3120" s="1">
        <v>14.722362362</v>
      </c>
      <c r="I3120" s="1">
        <v>3.636309408</v>
      </c>
      <c r="J3120" s="1">
        <v>6.7864271457</v>
      </c>
      <c r="K3120" s="1">
        <v>15.6082002879999</v>
      </c>
      <c r="L3120" s="1">
        <v>32.7</v>
      </c>
      <c r="M3120" s="1">
        <v>7.9</v>
      </c>
      <c r="N3120" s="1">
        <v>28.1</v>
      </c>
      <c r="O3120" s="1">
        <v>68.21220432</v>
      </c>
      <c r="P3120" s="1">
        <v>19.792557742</v>
      </c>
      <c r="Q3120" s="1">
        <v>16.79825</v>
      </c>
      <c r="R3120" s="1">
        <v>68.928571429</v>
      </c>
      <c r="S3120" s="1">
        <v>17.2</v>
      </c>
      <c r="T3120" s="1">
        <v>3047.0</v>
      </c>
      <c r="U3120" s="1">
        <v>20.577617329</v>
      </c>
      <c r="V3120" s="1">
        <v>100.33798057</v>
      </c>
      <c r="W3120" s="1">
        <v>12.331838565</v>
      </c>
      <c r="X3120" s="1">
        <v>9.4441934026</v>
      </c>
      <c r="Y3120" s="1">
        <v>77.04390375</v>
      </c>
      <c r="Z3120" s="1">
        <v>13.5</v>
      </c>
      <c r="AA3120" s="1">
        <v>5.3666440404</v>
      </c>
      <c r="AB3120" s="1">
        <v>55195.0</v>
      </c>
      <c r="AC3120" s="1">
        <v>42.6776599919999</v>
      </c>
      <c r="AD3120" s="1">
        <v>72.741433022</v>
      </c>
      <c r="AE3120" s="1">
        <v>8.84271563179999</v>
      </c>
      <c r="AF3120" s="1">
        <v>0.5975927952</v>
      </c>
      <c r="AG3120" s="1">
        <v>1.51502398789999</v>
      </c>
      <c r="AH3120" s="1">
        <v>0.4797575962</v>
      </c>
      <c r="AI3120" s="1">
        <v>0.0168335999</v>
      </c>
      <c r="AJ3120" s="1">
        <v>9.2332295261</v>
      </c>
      <c r="AK3120" s="1">
        <v>87.686221699</v>
      </c>
      <c r="AL3120" s="1">
        <v>0.8068130883</v>
      </c>
      <c r="AM3120" s="1">
        <v>49.650702803</v>
      </c>
      <c r="AN3120" s="1">
        <v>100.0</v>
      </c>
      <c r="AO3120" s="1">
        <v>23041.0</v>
      </c>
      <c r="AP3120" s="1">
        <v>11.9</v>
      </c>
      <c r="AQ3120" s="1">
        <v>3.3</v>
      </c>
      <c r="AR3120" s="1">
        <v>10.4</v>
      </c>
      <c r="AS3120" s="1">
        <v>19.9</v>
      </c>
      <c r="AT3120" s="1">
        <v>25.3</v>
      </c>
      <c r="AU3120" s="1">
        <v>16.4</v>
      </c>
      <c r="AV3120" s="1">
        <v>12.1</v>
      </c>
      <c r="AW3120" s="1">
        <v>0.8</v>
      </c>
      <c r="AX3120" s="1">
        <v>0.333</v>
      </c>
      <c r="AY3120" s="1">
        <v>12.1</v>
      </c>
      <c r="AZ3120" s="1">
        <v>13.4</v>
      </c>
      <c r="BA3120" s="1">
        <v>17.7</v>
      </c>
      <c r="BB3120" s="1">
        <v>3.2</v>
      </c>
      <c r="BC3120" s="1" t="s">
        <v>5065</v>
      </c>
      <c r="BD3120" s="1">
        <v>10.3</v>
      </c>
      <c r="BE3120" s="1">
        <v>29.1</v>
      </c>
      <c r="BF3120" s="1">
        <v>41.6</v>
      </c>
      <c r="BG3120" s="1">
        <v>19.0</v>
      </c>
      <c r="BH3120" s="1" t="s">
        <v>5066</v>
      </c>
    </row>
    <row r="3121">
      <c r="A3121" s="1">
        <v>56005.0</v>
      </c>
      <c r="B3121" s="2" t="str">
        <f>IFERROR(__xludf.DUMMYFUNCTION("TO_TEXT(A3121)"),"56005")</f>
        <v>56005</v>
      </c>
      <c r="C3121" s="1">
        <v>48473.0</v>
      </c>
      <c r="D3121" s="1">
        <v>4802.32093346315</v>
      </c>
      <c r="E3121" s="1" t="s">
        <v>1791</v>
      </c>
      <c r="F3121" s="1" t="s">
        <v>5067</v>
      </c>
      <c r="G3121" s="1">
        <v>10.0936611008719</v>
      </c>
      <c r="H3121" s="1">
        <v>12.618905049</v>
      </c>
      <c r="I3121" s="1">
        <v>3.3308676603</v>
      </c>
      <c r="J3121" s="1">
        <v>9.1724825523</v>
      </c>
      <c r="K3121" s="1">
        <v>18.489142936</v>
      </c>
      <c r="L3121" s="1">
        <v>31.9</v>
      </c>
      <c r="M3121" s="1">
        <v>8.2</v>
      </c>
      <c r="N3121" s="1">
        <v>26.2</v>
      </c>
      <c r="O3121" s="1">
        <v>55.931762513</v>
      </c>
      <c r="P3121" s="1">
        <v>12.841595551</v>
      </c>
      <c r="Q3121" s="1">
        <v>49.73833</v>
      </c>
      <c r="R3121" s="1">
        <v>83.012820513</v>
      </c>
      <c r="S3121" s="1">
        <v>11.5</v>
      </c>
      <c r="T3121" s="1">
        <v>13104.0</v>
      </c>
      <c r="U3121" s="1">
        <v>23.344017094</v>
      </c>
      <c r="V3121" s="1">
        <v>278.07311687</v>
      </c>
      <c r="W3121" s="1">
        <v>11.006558312</v>
      </c>
      <c r="X3121" s="1">
        <v>8.3118372026</v>
      </c>
      <c r="Y3121" s="1">
        <v>79.348984515</v>
      </c>
      <c r="Z3121" s="1">
        <v>7.5</v>
      </c>
      <c r="AA3121" s="1">
        <v>4.0973803568</v>
      </c>
      <c r="AB3121" s="1">
        <v>78112.0</v>
      </c>
      <c r="AC3121" s="1">
        <v>36.659064994</v>
      </c>
      <c r="AD3121" s="1">
        <v>72.198078683</v>
      </c>
      <c r="AE3121" s="1">
        <v>11.118917969</v>
      </c>
      <c r="AF3121" s="1">
        <v>0.4919809276</v>
      </c>
      <c r="AG3121" s="1">
        <v>1.5344603381</v>
      </c>
      <c r="AH3121" s="1">
        <v>0.734720416099999</v>
      </c>
      <c r="AI3121" s="1">
        <v>0.078023407</v>
      </c>
      <c r="AJ3121" s="1">
        <v>8.6605981795</v>
      </c>
      <c r="AK3121" s="1">
        <v>87.399219766</v>
      </c>
      <c r="AL3121" s="1">
        <v>1.1511738795</v>
      </c>
      <c r="AM3121" s="1">
        <v>48.463372345</v>
      </c>
      <c r="AN3121" s="1">
        <v>29.0724643959999</v>
      </c>
      <c r="AO3121" s="1">
        <v>33317.0</v>
      </c>
      <c r="AP3121" s="1">
        <v>8.1</v>
      </c>
      <c r="AQ3121" s="1">
        <v>4.7</v>
      </c>
      <c r="AR3121" s="1">
        <v>8.3</v>
      </c>
      <c r="AS3121" s="1">
        <v>7.0</v>
      </c>
      <c r="AT3121" s="1">
        <v>28.4</v>
      </c>
      <c r="AU3121" s="1">
        <v>8.8</v>
      </c>
      <c r="AV3121" s="1">
        <v>12.2</v>
      </c>
      <c r="AW3121" s="1">
        <v>1.3</v>
      </c>
      <c r="AX3121" s="1">
        <v>0.227</v>
      </c>
      <c r="AY3121" s="1">
        <v>7.7</v>
      </c>
      <c r="AZ3121" s="1">
        <v>11.3</v>
      </c>
      <c r="BA3121" s="1">
        <v>15.9</v>
      </c>
      <c r="BB3121" s="1">
        <v>3.28</v>
      </c>
      <c r="BC3121" s="1" t="s">
        <v>5065</v>
      </c>
      <c r="BD3121" s="1">
        <v>7.1</v>
      </c>
      <c r="BE3121" s="1">
        <v>35.6</v>
      </c>
      <c r="BF3121" s="1">
        <v>38.4</v>
      </c>
      <c r="BG3121" s="1">
        <v>18.9</v>
      </c>
      <c r="BH3121" s="1" t="s">
        <v>5067</v>
      </c>
    </row>
    <row r="3122">
      <c r="A3122" s="1">
        <v>56007.0</v>
      </c>
      <c r="B3122" s="2" t="str">
        <f>IFERROR(__xludf.DUMMYFUNCTION("TO_TEXT(A3122)"),"56007")</f>
        <v>56007</v>
      </c>
      <c r="C3122" s="1">
        <v>15696.0</v>
      </c>
      <c r="D3122" s="1">
        <v>7897.56147383112</v>
      </c>
      <c r="E3122" s="1" t="s">
        <v>2716</v>
      </c>
      <c r="F3122" s="1" t="s">
        <v>5068</v>
      </c>
      <c r="G3122" s="1">
        <v>1.98744891723974</v>
      </c>
      <c r="H3122" s="1">
        <v>15.655325805</v>
      </c>
      <c r="I3122" s="1">
        <v>3.6088046505</v>
      </c>
      <c r="J3122" s="1">
        <v>9.2696629213</v>
      </c>
      <c r="K3122" s="1">
        <v>16.958454735</v>
      </c>
      <c r="L3122" s="1">
        <v>30.4</v>
      </c>
      <c r="M3122" s="1">
        <v>7.3</v>
      </c>
      <c r="N3122" s="1">
        <v>28.7</v>
      </c>
      <c r="O3122" s="1">
        <v>73.843248347</v>
      </c>
      <c r="P3122" s="1">
        <v>16.2661584359999</v>
      </c>
      <c r="Q3122" s="1">
        <v>52.27733</v>
      </c>
      <c r="R3122" s="1">
        <v>81.818181818</v>
      </c>
      <c r="S3122" s="1">
        <v>15.9</v>
      </c>
      <c r="T3122" s="1">
        <v>3611.0</v>
      </c>
      <c r="U3122" s="1">
        <v>28.357795624</v>
      </c>
      <c r="V3122" s="1">
        <v>235.51265466</v>
      </c>
      <c r="W3122" s="1">
        <v>11.1566858079999</v>
      </c>
      <c r="X3122" s="1">
        <v>8.3582089552</v>
      </c>
      <c r="Y3122" s="1">
        <v>77.238528819</v>
      </c>
      <c r="Z3122" s="1">
        <v>7.5</v>
      </c>
      <c r="AA3122" s="1">
        <v>14.931462112</v>
      </c>
      <c r="AB3122" s="1">
        <v>61773.0</v>
      </c>
      <c r="AC3122" s="1">
        <v>39.534883721</v>
      </c>
      <c r="AD3122" s="1">
        <v>68.301529727</v>
      </c>
      <c r="AE3122" s="1">
        <v>9.2148403796</v>
      </c>
      <c r="AF3122" s="1">
        <v>1.1822857525</v>
      </c>
      <c r="AG3122" s="1">
        <v>1.7032930332</v>
      </c>
      <c r="AH3122" s="1">
        <v>0.9217821121</v>
      </c>
      <c r="AI3122" s="1">
        <v>0.1001937078</v>
      </c>
      <c r="AJ3122" s="1">
        <v>18.235254826</v>
      </c>
      <c r="AK3122" s="1">
        <v>77.209271258</v>
      </c>
      <c r="AL3122" s="1">
        <v>2.7727838473</v>
      </c>
      <c r="AM3122" s="1">
        <v>46.022309799</v>
      </c>
      <c r="AN3122" s="1">
        <v>41.630468996</v>
      </c>
      <c r="AO3122" s="1">
        <v>27399.0</v>
      </c>
      <c r="AP3122" s="1">
        <v>14.3</v>
      </c>
      <c r="AQ3122" s="1">
        <v>4.1</v>
      </c>
      <c r="AR3122" s="1">
        <v>9.6</v>
      </c>
      <c r="AS3122" s="1">
        <v>13.8</v>
      </c>
      <c r="AT3122" s="1">
        <v>24.0</v>
      </c>
      <c r="AU3122" s="1">
        <v>12.4</v>
      </c>
      <c r="AV3122" s="1">
        <v>22.1</v>
      </c>
      <c r="AW3122" s="1">
        <v>2.1</v>
      </c>
      <c r="AX3122" s="1">
        <v>0.4696</v>
      </c>
      <c r="AY3122" s="1">
        <v>11.7</v>
      </c>
      <c r="AZ3122" s="1">
        <v>12.2</v>
      </c>
      <c r="BA3122" s="1">
        <v>14.9</v>
      </c>
      <c r="BB3122" s="1">
        <v>3.53</v>
      </c>
      <c r="BC3122" s="1" t="s">
        <v>5065</v>
      </c>
      <c r="BD3122" s="1">
        <v>9.0</v>
      </c>
      <c r="BE3122" s="1">
        <v>38.2</v>
      </c>
      <c r="BF3122" s="1">
        <v>32.3</v>
      </c>
      <c r="BG3122" s="1">
        <v>20.6</v>
      </c>
      <c r="BH3122" s="1" t="s">
        <v>5068</v>
      </c>
    </row>
    <row r="3123">
      <c r="A3123" s="1">
        <v>56009.0</v>
      </c>
      <c r="B3123" s="2" t="str">
        <f>IFERROR(__xludf.DUMMYFUNCTION("TO_TEXT(A3123)"),"56009")</f>
        <v>56009</v>
      </c>
      <c r="C3123" s="1">
        <v>14223.0</v>
      </c>
      <c r="D3123" s="1">
        <v>4254.87090111614</v>
      </c>
      <c r="E3123" s="1" t="s">
        <v>5069</v>
      </c>
      <c r="F3123" s="1" t="s">
        <v>5070</v>
      </c>
      <c r="G3123" s="1">
        <v>3.34275712014412</v>
      </c>
      <c r="H3123" s="1">
        <v>14.342613117</v>
      </c>
      <c r="I3123" s="1">
        <v>3.4087251019</v>
      </c>
      <c r="J3123" s="1">
        <v>8.7301587302</v>
      </c>
      <c r="K3123" s="1">
        <v>15.3815356309999</v>
      </c>
      <c r="L3123" s="1">
        <v>31.7</v>
      </c>
      <c r="M3123" s="1">
        <v>8.4</v>
      </c>
      <c r="N3123" s="1">
        <v>26.2</v>
      </c>
      <c r="O3123" s="1">
        <v>83.944191426</v>
      </c>
      <c r="P3123" s="1">
        <v>12.734665629</v>
      </c>
      <c r="Q3123" s="1">
        <v>50.69158</v>
      </c>
      <c r="R3123" s="1">
        <v>84.357541899</v>
      </c>
      <c r="S3123" s="1">
        <v>12.1</v>
      </c>
      <c r="T3123" s="1">
        <v>3385.0</v>
      </c>
      <c r="U3123" s="1">
        <v>18.670605613</v>
      </c>
      <c r="V3123" s="1">
        <v>364.7158609</v>
      </c>
      <c r="W3123" s="1">
        <v>7.7130044843</v>
      </c>
      <c r="X3123" s="1">
        <v>4.688908927</v>
      </c>
      <c r="Y3123" s="1">
        <v>78.039398258</v>
      </c>
      <c r="Z3123" s="1">
        <v>9.7</v>
      </c>
      <c r="AA3123" s="1">
        <v>3.0124351719</v>
      </c>
      <c r="AB3123" s="1">
        <v>68162.0</v>
      </c>
      <c r="AC3123" s="1">
        <v>32.555066079</v>
      </c>
      <c r="AD3123" s="1">
        <v>71.983790753</v>
      </c>
      <c r="AE3123" s="1">
        <v>5.0946710912</v>
      </c>
      <c r="AF3123" s="1">
        <v>0.4838709677</v>
      </c>
      <c r="AG3123" s="1">
        <v>1.2390029326</v>
      </c>
      <c r="AH3123" s="1">
        <v>0.4545454545</v>
      </c>
      <c r="AI3123" s="1">
        <v>0.0879765396</v>
      </c>
      <c r="AJ3123" s="1">
        <v>8.4824046921</v>
      </c>
      <c r="AK3123" s="1">
        <v>88.482404692</v>
      </c>
      <c r="AL3123" s="1">
        <v>0.1839926403</v>
      </c>
      <c r="AM3123" s="1">
        <v>49.215542522</v>
      </c>
      <c r="AN3123" s="1">
        <v>55.3603701289999</v>
      </c>
      <c r="AO3123" s="1">
        <v>31470.0</v>
      </c>
      <c r="AP3123" s="1">
        <v>8.4</v>
      </c>
      <c r="AQ3123" s="1">
        <v>5.3</v>
      </c>
      <c r="AR3123" s="1">
        <v>9.8</v>
      </c>
      <c r="AS3123" s="1">
        <v>13.7</v>
      </c>
      <c r="AT3123" s="1">
        <v>25.2</v>
      </c>
      <c r="AU3123" s="1">
        <v>15.7</v>
      </c>
      <c r="AV3123" s="1">
        <v>11.2</v>
      </c>
      <c r="AW3123" s="1">
        <v>0.2</v>
      </c>
      <c r="AX3123" s="1">
        <v>0.2015</v>
      </c>
      <c r="AY3123" s="1">
        <v>9.2</v>
      </c>
      <c r="AZ3123" s="1">
        <v>12.0</v>
      </c>
      <c r="BA3123" s="1">
        <v>15.3</v>
      </c>
      <c r="BB3123" s="1">
        <v>3.2</v>
      </c>
      <c r="BC3123" s="1" t="s">
        <v>5065</v>
      </c>
      <c r="BD3123" s="1">
        <v>9.2</v>
      </c>
      <c r="BE3123" s="1">
        <v>39.0</v>
      </c>
      <c r="BF3123" s="1">
        <v>34.6</v>
      </c>
      <c r="BG3123" s="1">
        <v>17.3</v>
      </c>
      <c r="BH3123" s="1" t="s">
        <v>5070</v>
      </c>
    </row>
    <row r="3124">
      <c r="A3124" s="1">
        <v>56011.0</v>
      </c>
      <c r="B3124" s="2" t="str">
        <f>IFERROR(__xludf.DUMMYFUNCTION("TO_TEXT(A3124)"),"56011")</f>
        <v>56011</v>
      </c>
      <c r="C3124" s="1">
        <v>7284.0</v>
      </c>
      <c r="D3124" s="1">
        <v>2854.47870194136</v>
      </c>
      <c r="E3124" s="1" t="s">
        <v>3669</v>
      </c>
      <c r="F3124" s="1" t="s">
        <v>5071</v>
      </c>
      <c r="G3124" s="1">
        <v>2.55177941774308</v>
      </c>
      <c r="H3124" s="1">
        <v>12.604823635</v>
      </c>
      <c r="I3124" s="1">
        <v>3.3774721764</v>
      </c>
      <c r="J3124" s="1">
        <v>6.6395663957</v>
      </c>
      <c r="K3124" s="1">
        <v>14.318553991</v>
      </c>
      <c r="L3124" s="1">
        <v>26.7</v>
      </c>
      <c r="M3124" s="1">
        <v>8.3</v>
      </c>
      <c r="N3124" s="1">
        <v>27.9</v>
      </c>
      <c r="O3124" s="1">
        <v>70.59155725</v>
      </c>
      <c r="P3124" s="1">
        <v>14.715775311</v>
      </c>
      <c r="Q3124" s="1">
        <v>40.48583</v>
      </c>
      <c r="R3124" s="1">
        <v>86.666666667</v>
      </c>
      <c r="S3124" s="1">
        <v>12.3</v>
      </c>
      <c r="T3124" s="1">
        <v>1775.0</v>
      </c>
      <c r="U3124" s="1">
        <v>11.154929577</v>
      </c>
      <c r="V3124" s="1">
        <v>119.75204283</v>
      </c>
      <c r="W3124" s="1">
        <v>9.7478991597</v>
      </c>
      <c r="X3124" s="1">
        <v>6.3247863248</v>
      </c>
      <c r="Y3124" s="1">
        <v>81.003407648</v>
      </c>
      <c r="Z3124" s="1">
        <v>8.5</v>
      </c>
      <c r="AA3124" s="1">
        <v>6.3296799255</v>
      </c>
      <c r="AB3124" s="1">
        <v>64053.0</v>
      </c>
      <c r="AC3124" s="1">
        <v>40.96069869</v>
      </c>
      <c r="AD3124" s="1">
        <v>83.720930233</v>
      </c>
      <c r="AE3124" s="1">
        <v>9.2057761733</v>
      </c>
      <c r="AF3124" s="1">
        <v>1.1812080537</v>
      </c>
      <c r="AG3124" s="1">
        <v>1.0201342282</v>
      </c>
      <c r="AH3124" s="1">
        <v>0.2416107383</v>
      </c>
      <c r="AI3124" s="1">
        <v>0.0268456376</v>
      </c>
      <c r="AJ3124" s="1">
        <v>2.4026845638</v>
      </c>
      <c r="AK3124" s="1">
        <v>94.174496644</v>
      </c>
      <c r="AL3124" s="1">
        <v>0.1015522994</v>
      </c>
      <c r="AM3124" s="1">
        <v>49.194630872</v>
      </c>
      <c r="AN3124" s="1">
        <v>100.0</v>
      </c>
      <c r="AO3124" s="1">
        <v>32817.0</v>
      </c>
      <c r="AP3124" s="1">
        <v>6.1</v>
      </c>
      <c r="AQ3124" s="1">
        <v>4.4</v>
      </c>
      <c r="AR3124" s="1">
        <v>6.1</v>
      </c>
      <c r="AS3124" s="1">
        <v>18.0</v>
      </c>
      <c r="AT3124" s="1">
        <v>23.4</v>
      </c>
      <c r="AU3124" s="1">
        <v>10.4</v>
      </c>
      <c r="AV3124" s="1">
        <v>3.3</v>
      </c>
      <c r="AW3124" s="1">
        <v>0.0</v>
      </c>
      <c r="AX3124" s="1">
        <v>0.0105</v>
      </c>
      <c r="AY3124" s="1">
        <v>8.0</v>
      </c>
      <c r="AZ3124" s="1">
        <v>9.5</v>
      </c>
      <c r="BA3124" s="1">
        <v>11.1</v>
      </c>
      <c r="BB3124" s="1">
        <v>3.27</v>
      </c>
      <c r="BC3124" s="1" t="s">
        <v>5065</v>
      </c>
      <c r="BD3124" s="1">
        <v>7.3</v>
      </c>
      <c r="BE3124" s="1">
        <v>29.0</v>
      </c>
      <c r="BF3124" s="1">
        <v>41.3</v>
      </c>
      <c r="BG3124" s="1">
        <v>22.3</v>
      </c>
      <c r="BH3124" s="1" t="s">
        <v>5071</v>
      </c>
    </row>
    <row r="3125">
      <c r="A3125" s="1">
        <v>56013.0</v>
      </c>
      <c r="B3125" s="2" t="str">
        <f>IFERROR(__xludf.DUMMYFUNCTION("TO_TEXT(A3125)"),"56013")</f>
        <v>56013</v>
      </c>
      <c r="C3125" s="1">
        <v>40683.0</v>
      </c>
      <c r="D3125" s="1">
        <v>9183.83437591202</v>
      </c>
      <c r="E3125" s="1" t="s">
        <v>577</v>
      </c>
      <c r="F3125" s="1" t="s">
        <v>5072</v>
      </c>
      <c r="G3125" s="1">
        <v>4.42984905157982</v>
      </c>
      <c r="H3125" s="1">
        <v>14.353774607</v>
      </c>
      <c r="I3125" s="1">
        <v>3.9263915639</v>
      </c>
      <c r="J3125" s="1">
        <v>8.9961880559</v>
      </c>
      <c r="K3125" s="1">
        <v>19.399937196</v>
      </c>
      <c r="L3125" s="1">
        <v>29.1</v>
      </c>
      <c r="M3125" s="1">
        <v>7.8</v>
      </c>
      <c r="N3125" s="1">
        <v>26.0</v>
      </c>
      <c r="O3125" s="1">
        <v>65.745333101</v>
      </c>
      <c r="P3125" s="1">
        <v>20.112342019</v>
      </c>
      <c r="Q3125" s="1">
        <v>82.9083199999999</v>
      </c>
      <c r="R3125" s="1">
        <v>75.106382979</v>
      </c>
      <c r="S3125" s="1">
        <v>22.1</v>
      </c>
      <c r="T3125" s="1">
        <v>10097.0</v>
      </c>
      <c r="U3125" s="1">
        <v>37.8726354359999</v>
      </c>
      <c r="V3125" s="1">
        <v>160.59692642</v>
      </c>
      <c r="W3125" s="1">
        <v>12.1042216359999</v>
      </c>
      <c r="X3125" s="1">
        <v>7.5041542041</v>
      </c>
      <c r="Y3125" s="1">
        <v>75.217716107</v>
      </c>
      <c r="Z3125" s="1">
        <v>9.9</v>
      </c>
      <c r="AA3125" s="1">
        <v>4.3491256511</v>
      </c>
      <c r="AB3125" s="1">
        <v>51204.0</v>
      </c>
      <c r="AC3125" s="1">
        <v>51.181102362</v>
      </c>
      <c r="AD3125" s="1">
        <v>69.906018796</v>
      </c>
      <c r="AE3125" s="1">
        <v>8.1955580785</v>
      </c>
      <c r="AF3125" s="1">
        <v>0.5236396752</v>
      </c>
      <c r="AG3125" s="1">
        <v>22.086463788</v>
      </c>
      <c r="AH3125" s="1">
        <v>0.4831651109</v>
      </c>
      <c r="AI3125" s="1">
        <v>0.0581821861</v>
      </c>
      <c r="AJ3125" s="1">
        <v>6.9666843743</v>
      </c>
      <c r="AK3125" s="1">
        <v>69.54542005</v>
      </c>
      <c r="AL3125" s="1">
        <v>0.2310337417</v>
      </c>
      <c r="AM3125" s="1">
        <v>49.846955554</v>
      </c>
      <c r="AN3125" s="1">
        <v>51.424370062</v>
      </c>
      <c r="AO3125" s="1">
        <v>26606.0</v>
      </c>
      <c r="AP3125" s="1">
        <v>14.1</v>
      </c>
      <c r="AQ3125" s="1">
        <v>7.3</v>
      </c>
      <c r="AR3125" s="1">
        <v>8.5</v>
      </c>
      <c r="AS3125" s="1">
        <v>16.4</v>
      </c>
      <c r="AT3125" s="1">
        <v>25.2</v>
      </c>
      <c r="AU3125" s="1">
        <v>14.4</v>
      </c>
      <c r="AV3125" s="1">
        <v>29.8</v>
      </c>
      <c r="AW3125" s="1">
        <v>0.3</v>
      </c>
      <c r="AX3125" s="1">
        <v>0.51</v>
      </c>
      <c r="AY3125" s="1">
        <v>12.9</v>
      </c>
      <c r="AZ3125" s="1">
        <v>14.2</v>
      </c>
      <c r="BA3125" s="1">
        <v>19.9</v>
      </c>
      <c r="BB3125" s="1">
        <v>3.37</v>
      </c>
      <c r="BC3125" s="1" t="s">
        <v>5065</v>
      </c>
      <c r="BD3125" s="1">
        <v>7.9</v>
      </c>
      <c r="BE3125" s="1">
        <v>29.7</v>
      </c>
      <c r="BF3125" s="1">
        <v>38.1</v>
      </c>
      <c r="BG3125" s="1">
        <v>24.3</v>
      </c>
      <c r="BH3125" s="1" t="s">
        <v>5072</v>
      </c>
    </row>
    <row r="3126">
      <c r="A3126" s="1">
        <v>56015.0</v>
      </c>
      <c r="B3126" s="2" t="str">
        <f>IFERROR(__xludf.DUMMYFUNCTION("TO_TEXT(A3126)"),"56015")</f>
        <v>56015</v>
      </c>
      <c r="C3126" s="1">
        <v>13546.0</v>
      </c>
      <c r="D3126" s="1">
        <v>2225.37601786299</v>
      </c>
      <c r="E3126" s="1" t="s">
        <v>5073</v>
      </c>
      <c r="F3126" s="1" t="s">
        <v>5074</v>
      </c>
      <c r="G3126" s="1">
        <v>6.08706119382382</v>
      </c>
      <c r="H3126" s="1">
        <v>14.7083807609999</v>
      </c>
      <c r="I3126" s="1">
        <v>3.6303231901</v>
      </c>
      <c r="J3126" s="1">
        <v>7.7231695085</v>
      </c>
      <c r="K3126" s="1">
        <v>16.09760664</v>
      </c>
      <c r="L3126" s="1">
        <v>31.8</v>
      </c>
      <c r="M3126" s="1">
        <v>7.7</v>
      </c>
      <c r="N3126" s="1">
        <v>32.3</v>
      </c>
      <c r="O3126" s="1">
        <v>70.314740735</v>
      </c>
      <c r="P3126" s="1">
        <v>16.526729727</v>
      </c>
      <c r="Q3126" s="1">
        <v>82.22455</v>
      </c>
      <c r="R3126" s="1">
        <v>86.7132867129999</v>
      </c>
      <c r="S3126" s="1">
        <v>18.0</v>
      </c>
      <c r="T3126" s="1">
        <v>2731.0</v>
      </c>
      <c r="U3126" s="1">
        <v>22.189674112</v>
      </c>
      <c r="V3126" s="1">
        <v>350.1061492</v>
      </c>
      <c r="W3126" s="1">
        <v>10.654205607</v>
      </c>
      <c r="X3126" s="1">
        <v>9.7268986158</v>
      </c>
      <c r="Y3126" s="1">
        <v>80.318798637</v>
      </c>
      <c r="Z3126" s="1">
        <v>11.6</v>
      </c>
      <c r="AA3126" s="1">
        <v>10.700927924</v>
      </c>
      <c r="AB3126" s="1">
        <v>51676.0</v>
      </c>
      <c r="AC3126" s="1">
        <v>47.1967963389999</v>
      </c>
      <c r="AD3126" s="1">
        <v>73.891341908</v>
      </c>
      <c r="AE3126" s="1">
        <v>9.514370664</v>
      </c>
      <c r="AF3126" s="1">
        <v>0.9494617225</v>
      </c>
      <c r="AG3126" s="1">
        <v>1.40550239229999</v>
      </c>
      <c r="AH3126" s="1">
        <v>0.8597488038</v>
      </c>
      <c r="AI3126" s="1">
        <v>0.0747607656</v>
      </c>
      <c r="AJ3126" s="1">
        <v>10.862739234</v>
      </c>
      <c r="AK3126" s="1">
        <v>85.406698565</v>
      </c>
      <c r="AL3126" s="1">
        <v>1.1140080588</v>
      </c>
      <c r="AM3126" s="1">
        <v>47.794557416</v>
      </c>
      <c r="AN3126" s="1">
        <v>45.995924221</v>
      </c>
      <c r="AO3126" s="1">
        <v>25883.0</v>
      </c>
      <c r="AP3126" s="1">
        <v>15.9</v>
      </c>
      <c r="AQ3126" s="1">
        <v>6.9</v>
      </c>
      <c r="AR3126" s="1">
        <v>8.4</v>
      </c>
      <c r="AS3126" s="1">
        <v>20.4</v>
      </c>
      <c r="AT3126" s="1">
        <v>20.3</v>
      </c>
      <c r="AU3126" s="1">
        <v>14.4</v>
      </c>
      <c r="AV3126" s="1">
        <v>13.6</v>
      </c>
      <c r="AW3126" s="1">
        <v>1.1</v>
      </c>
      <c r="AX3126" s="1">
        <v>0.297</v>
      </c>
      <c r="AY3126" s="1">
        <v>13.0</v>
      </c>
      <c r="AZ3126" s="1">
        <v>12.1</v>
      </c>
      <c r="BA3126" s="1">
        <v>16.2</v>
      </c>
      <c r="BB3126" s="1">
        <v>3.14</v>
      </c>
      <c r="BC3126" s="1" t="s">
        <v>5065</v>
      </c>
      <c r="BD3126" s="1">
        <v>7.9</v>
      </c>
      <c r="BE3126" s="1">
        <v>28.2</v>
      </c>
      <c r="BF3126" s="1">
        <v>38.1</v>
      </c>
      <c r="BG3126" s="1">
        <v>25.9</v>
      </c>
      <c r="BH3126" s="1" t="s">
        <v>5074</v>
      </c>
    </row>
    <row r="3127">
      <c r="A3127" s="1">
        <v>56017.0</v>
      </c>
      <c r="B3127" s="2" t="str">
        <f>IFERROR(__xludf.DUMMYFUNCTION("TO_TEXT(A3127)"),"56017")</f>
        <v>56017</v>
      </c>
      <c r="C3127" s="1">
        <v>4781.0</v>
      </c>
      <c r="D3127" s="1">
        <v>2004.09706087448</v>
      </c>
      <c r="E3127" s="1" t="s">
        <v>5075</v>
      </c>
      <c r="F3127" s="1" t="s">
        <v>5076</v>
      </c>
      <c r="G3127" s="1">
        <v>2.38561299915975</v>
      </c>
      <c r="H3127" s="1">
        <v>14.233778266</v>
      </c>
      <c r="I3127" s="1">
        <v>3.5149490288</v>
      </c>
      <c r="J3127" s="1">
        <v>6.8047337278</v>
      </c>
      <c r="K3127" s="1">
        <v>15.268707934</v>
      </c>
      <c r="L3127" s="1">
        <v>32.8</v>
      </c>
      <c r="M3127" s="1">
        <v>8.1</v>
      </c>
      <c r="N3127" s="1">
        <v>26.7</v>
      </c>
      <c r="O3127" s="1">
        <v>80.257689111</v>
      </c>
      <c r="P3127" s="1">
        <v>13.554913295</v>
      </c>
      <c r="Q3127" s="1">
        <v>63.88416</v>
      </c>
      <c r="R3127" s="1">
        <v>80.357142857</v>
      </c>
      <c r="S3127" s="1">
        <v>18.4</v>
      </c>
      <c r="T3127" s="1">
        <v>836.0</v>
      </c>
      <c r="U3127" s="1">
        <v>27.033492823</v>
      </c>
      <c r="V3127" s="1">
        <v>105.07512872</v>
      </c>
      <c r="W3127" s="1">
        <v>13.053097345</v>
      </c>
      <c r="X3127" s="1">
        <v>8.9887640449</v>
      </c>
      <c r="Y3127" s="1">
        <v>75.988107965</v>
      </c>
      <c r="Z3127" s="1">
        <v>13.8</v>
      </c>
      <c r="AA3127" s="1">
        <v>2.0946848989</v>
      </c>
      <c r="AB3127" s="1">
        <v>49356.0</v>
      </c>
      <c r="AC3127" s="1">
        <v>45.4680534919999</v>
      </c>
      <c r="AD3127" s="1">
        <v>76.097781802</v>
      </c>
      <c r="AE3127" s="1">
        <v>8.486562942</v>
      </c>
      <c r="AF3127" s="1">
        <v>0.7025246981</v>
      </c>
      <c r="AG3127" s="1">
        <v>1.5806805708</v>
      </c>
      <c r="AH3127" s="1">
        <v>0.5049396268</v>
      </c>
      <c r="AI3127" s="1">
        <v>0.0658616905</v>
      </c>
      <c r="AJ3127" s="1">
        <v>4.0395170143</v>
      </c>
      <c r="AK3127" s="1">
        <v>91.767288694</v>
      </c>
      <c r="AL3127" s="1">
        <v>0.2254791432</v>
      </c>
      <c r="AM3127" s="1">
        <v>49.549945115</v>
      </c>
      <c r="AN3127" s="1">
        <v>31.483790524</v>
      </c>
      <c r="AO3127" s="1">
        <v>29499.0</v>
      </c>
      <c r="AP3127" s="1">
        <v>11.2</v>
      </c>
      <c r="AQ3127" s="1">
        <v>3.5</v>
      </c>
      <c r="AR3127" s="1">
        <v>8.4</v>
      </c>
      <c r="AS3127" s="1">
        <v>24.6</v>
      </c>
      <c r="AT3127" s="1">
        <v>20.4</v>
      </c>
      <c r="AU3127" s="1">
        <v>16.3</v>
      </c>
      <c r="AV3127" s="1">
        <v>5.8</v>
      </c>
      <c r="AW3127" s="1">
        <v>0.0</v>
      </c>
      <c r="AX3127" s="1">
        <v>0.2146</v>
      </c>
      <c r="AY3127" s="1">
        <v>10.9</v>
      </c>
      <c r="AZ3127" s="1">
        <v>13.5</v>
      </c>
      <c r="BA3127" s="1">
        <v>19.8</v>
      </c>
      <c r="BB3127" s="1">
        <v>3.39</v>
      </c>
      <c r="BC3127" s="1" t="s">
        <v>5065</v>
      </c>
      <c r="BD3127" s="1">
        <v>5.3</v>
      </c>
      <c r="BE3127" s="1">
        <v>29.5</v>
      </c>
      <c r="BF3127" s="1">
        <v>41.4</v>
      </c>
      <c r="BG3127" s="1">
        <v>23.7</v>
      </c>
      <c r="BH3127" s="1" t="s">
        <v>5076</v>
      </c>
    </row>
    <row r="3128">
      <c r="A3128" s="1">
        <v>56019.0</v>
      </c>
      <c r="B3128" s="2" t="str">
        <f>IFERROR(__xludf.DUMMYFUNCTION("TO_TEXT(A3128)"),"56019")</f>
        <v>56019</v>
      </c>
      <c r="C3128" s="1">
        <v>8572.0</v>
      </c>
      <c r="D3128" s="1">
        <v>4154.15202412844</v>
      </c>
      <c r="E3128" s="1" t="s">
        <v>347</v>
      </c>
      <c r="F3128" s="1" t="s">
        <v>5077</v>
      </c>
      <c r="G3128" s="1">
        <v>2.06347768454585</v>
      </c>
      <c r="H3128" s="1">
        <v>12.494350559</v>
      </c>
      <c r="I3128" s="1">
        <v>3.4398348442</v>
      </c>
      <c r="J3128" s="1">
        <v>7.2790294627</v>
      </c>
      <c r="K3128" s="1">
        <v>15.0285268909999</v>
      </c>
      <c r="L3128" s="1">
        <v>24.2</v>
      </c>
      <c r="M3128" s="1">
        <v>7.8</v>
      </c>
      <c r="N3128" s="1">
        <v>23.3</v>
      </c>
      <c r="O3128" s="1">
        <v>64.710001167</v>
      </c>
      <c r="P3128" s="1">
        <v>14.995357474</v>
      </c>
      <c r="Q3128" s="1">
        <v>141.57622</v>
      </c>
      <c r="R3128" s="1">
        <v>87.7777777779999</v>
      </c>
      <c r="S3128" s="1">
        <v>13.4</v>
      </c>
      <c r="T3128" s="1">
        <v>1858.0</v>
      </c>
      <c r="U3128" s="1">
        <v>21.474703983</v>
      </c>
      <c r="V3128" s="1">
        <v>134.44788683</v>
      </c>
      <c r="W3128" s="1">
        <v>11.171662125</v>
      </c>
      <c r="X3128" s="1">
        <v>9.5041322314</v>
      </c>
      <c r="Y3128" s="1">
        <v>78.159488415</v>
      </c>
      <c r="Z3128" s="1">
        <v>7.7</v>
      </c>
      <c r="AA3128" s="1">
        <v>6.3941906822</v>
      </c>
      <c r="AB3128" s="1">
        <v>57676.0</v>
      </c>
      <c r="AC3128" s="1">
        <v>32.428238945</v>
      </c>
      <c r="AD3128" s="1">
        <v>71.003134796</v>
      </c>
      <c r="AE3128" s="1">
        <v>16.14872364</v>
      </c>
      <c r="AF3128" s="1">
        <v>0.6619385343</v>
      </c>
      <c r="AG3128" s="1">
        <v>1.6903073286</v>
      </c>
      <c r="AH3128" s="1">
        <v>0.709219858199999</v>
      </c>
      <c r="AI3128" s="1">
        <v>0.011820331</v>
      </c>
      <c r="AJ3128" s="1">
        <v>4.7754137116</v>
      </c>
      <c r="AK3128" s="1">
        <v>91.288416076</v>
      </c>
      <c r="AL3128" s="1">
        <v>0.0494804552</v>
      </c>
      <c r="AM3128" s="1">
        <v>49.586288416</v>
      </c>
      <c r="AN3128" s="1">
        <v>49.025557241</v>
      </c>
      <c r="AO3128" s="1">
        <v>31888.0</v>
      </c>
      <c r="AP3128" s="1">
        <v>5.9</v>
      </c>
      <c r="AQ3128" s="1">
        <v>4.5</v>
      </c>
      <c r="AR3128" s="1">
        <v>5.1</v>
      </c>
      <c r="AS3128" s="1">
        <v>20.5</v>
      </c>
      <c r="AT3128" s="1">
        <v>22.1</v>
      </c>
      <c r="AU3128" s="1">
        <v>13.3</v>
      </c>
      <c r="AV3128" s="1">
        <v>8.4</v>
      </c>
      <c r="AW3128" s="1">
        <v>0.0</v>
      </c>
      <c r="AX3128" s="1">
        <v>0.0869</v>
      </c>
      <c r="AY3128" s="1">
        <v>9.0</v>
      </c>
      <c r="AZ3128" s="1">
        <v>13.1</v>
      </c>
      <c r="BA3128" s="1">
        <v>17.2</v>
      </c>
      <c r="BB3128" s="1">
        <v>3.27</v>
      </c>
      <c r="BC3128" s="1" t="s">
        <v>5065</v>
      </c>
      <c r="BD3128" s="1">
        <v>4.0</v>
      </c>
      <c r="BE3128" s="1">
        <v>26.8</v>
      </c>
      <c r="BF3128" s="1">
        <v>37.4</v>
      </c>
      <c r="BG3128" s="1">
        <v>31.7</v>
      </c>
      <c r="BH3128" s="1" t="s">
        <v>5077</v>
      </c>
    </row>
    <row r="3129">
      <c r="A3129" s="1">
        <v>56021.0</v>
      </c>
      <c r="B3129" s="2" t="str">
        <f>IFERROR(__xludf.DUMMYFUNCTION("TO_TEXT(A3129)"),"56021")</f>
        <v>56021</v>
      </c>
      <c r="C3129" s="1">
        <v>96459.0</v>
      </c>
      <c r="D3129" s="1">
        <v>2685.91325950293</v>
      </c>
      <c r="E3129" s="1" t="s">
        <v>5078</v>
      </c>
      <c r="F3129" s="1" t="s">
        <v>5079</v>
      </c>
      <c r="G3129" s="1">
        <v>35.9129244619952</v>
      </c>
      <c r="H3129" s="1">
        <v>13.152948181</v>
      </c>
      <c r="I3129" s="1">
        <v>3.3502899442</v>
      </c>
      <c r="J3129" s="1">
        <v>9.5248767369</v>
      </c>
      <c r="K3129" s="1">
        <v>17.04288647</v>
      </c>
      <c r="L3129" s="1">
        <v>30.0</v>
      </c>
      <c r="M3129" s="1">
        <v>7.7</v>
      </c>
      <c r="N3129" s="1">
        <v>23.4</v>
      </c>
      <c r="O3129" s="1">
        <v>71.260546338</v>
      </c>
      <c r="P3129" s="1">
        <v>11.433545429</v>
      </c>
      <c r="Q3129" s="1">
        <v>70.17401</v>
      </c>
      <c r="R3129" s="1">
        <v>79.944802208</v>
      </c>
      <c r="S3129" s="1">
        <v>12.8</v>
      </c>
      <c r="T3129" s="1">
        <v>22610.0</v>
      </c>
      <c r="U3129" s="1">
        <v>28.934099956</v>
      </c>
      <c r="V3129" s="1">
        <v>206.189829</v>
      </c>
      <c r="W3129" s="1">
        <v>11.014453961</v>
      </c>
      <c r="X3129" s="1">
        <v>9.5846817691</v>
      </c>
      <c r="Y3129" s="1">
        <v>78.954468242</v>
      </c>
      <c r="Z3129" s="1">
        <v>9.4</v>
      </c>
      <c r="AA3129" s="1">
        <v>10.489117773</v>
      </c>
      <c r="AB3129" s="1">
        <v>63839.0</v>
      </c>
      <c r="AC3129" s="1">
        <v>42.610289305</v>
      </c>
      <c r="AD3129" s="1">
        <v>69.761862222</v>
      </c>
      <c r="AE3129" s="1">
        <v>11.371333299</v>
      </c>
      <c r="AF3129" s="1">
        <v>2.4177578403</v>
      </c>
      <c r="AG3129" s="1">
        <v>1.1699806014</v>
      </c>
      <c r="AH3129" s="1">
        <v>1.3659877142</v>
      </c>
      <c r="AI3129" s="1">
        <v>0.1343760103</v>
      </c>
      <c r="AJ3129" s="1">
        <v>14.795505981</v>
      </c>
      <c r="AK3129" s="1">
        <v>78.501859037</v>
      </c>
      <c r="AL3129" s="1">
        <v>0.8233107369</v>
      </c>
      <c r="AM3129" s="1">
        <v>49.310944067</v>
      </c>
      <c r="AN3129" s="1">
        <v>19.784603981</v>
      </c>
      <c r="AO3129" s="1">
        <v>30249.0</v>
      </c>
      <c r="AP3129" s="1">
        <v>10.4</v>
      </c>
      <c r="AQ3129" s="1">
        <v>5.6</v>
      </c>
      <c r="AR3129" s="1">
        <v>6.7</v>
      </c>
      <c r="AS3129" s="1">
        <v>14.1</v>
      </c>
      <c r="AT3129" s="1">
        <v>23.5</v>
      </c>
      <c r="AU3129" s="1">
        <v>12.6</v>
      </c>
      <c r="AV3129" s="1">
        <v>21.0</v>
      </c>
      <c r="AW3129" s="1">
        <v>0.8</v>
      </c>
      <c r="AX3129" s="1">
        <v>0.2276</v>
      </c>
      <c r="AY3129" s="1">
        <v>9.5</v>
      </c>
      <c r="AZ3129" s="1">
        <v>11.7</v>
      </c>
      <c r="BA3129" s="1">
        <v>15.1</v>
      </c>
      <c r="BB3129" s="1">
        <v>3.15</v>
      </c>
      <c r="BC3129" s="1" t="s">
        <v>5065</v>
      </c>
      <c r="BD3129" s="1">
        <v>7.0</v>
      </c>
      <c r="BE3129" s="1">
        <v>25.8</v>
      </c>
      <c r="BF3129" s="1">
        <v>38.7</v>
      </c>
      <c r="BG3129" s="1">
        <v>28.5</v>
      </c>
      <c r="BH3129" s="1" t="s">
        <v>5079</v>
      </c>
    </row>
    <row r="3130">
      <c r="A3130" s="1">
        <v>56023.0</v>
      </c>
      <c r="B3130" s="2" t="str">
        <f>IFERROR(__xludf.DUMMYFUNCTION("TO_TEXT(A3130)"),"56023")</f>
        <v>56023</v>
      </c>
      <c r="C3130" s="1">
        <v>18543.0</v>
      </c>
      <c r="D3130" s="1">
        <v>4076.21261378708</v>
      </c>
      <c r="E3130" s="1" t="s">
        <v>353</v>
      </c>
      <c r="F3130" s="1" t="s">
        <v>5080</v>
      </c>
      <c r="G3130" s="1">
        <v>4.54907576147562</v>
      </c>
      <c r="H3130" s="1">
        <v>12.4654970809999</v>
      </c>
      <c r="I3130" s="1">
        <v>3.401730763</v>
      </c>
      <c r="J3130" s="1">
        <v>7.9952267303</v>
      </c>
      <c r="K3130" s="1">
        <v>14.588038108</v>
      </c>
      <c r="L3130" s="1">
        <v>26.8</v>
      </c>
      <c r="M3130" s="1">
        <v>8.4</v>
      </c>
      <c r="N3130" s="1">
        <v>23.5</v>
      </c>
      <c r="O3130" s="1">
        <v>80.089473103</v>
      </c>
      <c r="P3130" s="1">
        <v>13.764044944</v>
      </c>
      <c r="Q3130" s="1">
        <v>67.47989</v>
      </c>
      <c r="R3130" s="1">
        <v>89.156626506</v>
      </c>
      <c r="S3130" s="1">
        <v>9.2</v>
      </c>
      <c r="T3130" s="1">
        <v>5188.0</v>
      </c>
      <c r="U3130" s="1">
        <v>19.718581342</v>
      </c>
      <c r="V3130" s="1">
        <v>117.67069426</v>
      </c>
      <c r="W3130" s="1">
        <v>8.9285714286</v>
      </c>
      <c r="X3130" s="1">
        <v>6.0043196544</v>
      </c>
      <c r="Y3130" s="1">
        <v>80.804229737</v>
      </c>
      <c r="Z3130" s="1">
        <v>8.2</v>
      </c>
      <c r="AA3130" s="1">
        <v>3.0214102092</v>
      </c>
      <c r="AB3130" s="1">
        <v>69598.0</v>
      </c>
      <c r="AC3130" s="1">
        <v>23.401858631</v>
      </c>
      <c r="AD3130" s="1">
        <v>78.74204947</v>
      </c>
      <c r="AE3130" s="1">
        <v>7.21076495539999</v>
      </c>
      <c r="AF3130" s="1">
        <v>0.5299989709</v>
      </c>
      <c r="AG3130" s="1">
        <v>1.0291242153</v>
      </c>
      <c r="AH3130" s="1">
        <v>0.5042708655</v>
      </c>
      <c r="AI3130" s="1">
        <v>0.0566018318</v>
      </c>
      <c r="AJ3130" s="1">
        <v>4.7339713903</v>
      </c>
      <c r="AK3130" s="1">
        <v>92.307296491</v>
      </c>
      <c r="AL3130" s="1">
        <v>0.3395585739</v>
      </c>
      <c r="AM3130" s="1">
        <v>48.903982711</v>
      </c>
      <c r="AN3130" s="1">
        <v>82.72948194</v>
      </c>
      <c r="AO3130" s="1">
        <v>29748.0</v>
      </c>
      <c r="AP3130" s="1">
        <v>8.8</v>
      </c>
      <c r="AQ3130" s="1">
        <v>5.6</v>
      </c>
      <c r="AR3130" s="1">
        <v>6.9</v>
      </c>
      <c r="AS3130" s="1">
        <v>14.4</v>
      </c>
      <c r="AT3130" s="1">
        <v>27.5</v>
      </c>
      <c r="AU3130" s="1">
        <v>11.9</v>
      </c>
      <c r="AV3130" s="1">
        <v>7.4</v>
      </c>
      <c r="AW3130" s="1">
        <v>0.3</v>
      </c>
      <c r="AX3130" s="1">
        <v>0.0481</v>
      </c>
      <c r="AY3130" s="1">
        <v>7.0</v>
      </c>
      <c r="AZ3130" s="1">
        <v>11.1</v>
      </c>
      <c r="BA3130" s="1">
        <v>15.1</v>
      </c>
      <c r="BB3130" s="1">
        <v>2.97</v>
      </c>
      <c r="BC3130" s="1" t="s">
        <v>5065</v>
      </c>
      <c r="BD3130" s="1">
        <v>7.2</v>
      </c>
      <c r="BE3130" s="1">
        <v>31.8</v>
      </c>
      <c r="BF3130" s="1">
        <v>37.3</v>
      </c>
      <c r="BG3130" s="1">
        <v>23.7</v>
      </c>
      <c r="BH3130" s="1" t="s">
        <v>5080</v>
      </c>
    </row>
    <row r="3131">
      <c r="A3131" s="1">
        <v>56025.0</v>
      </c>
      <c r="B3131" s="2" t="str">
        <f>IFERROR(__xludf.DUMMYFUNCTION("TO_TEXT(A3131)"),"56025")</f>
        <v>56025</v>
      </c>
      <c r="C3131" s="1">
        <v>80871.0</v>
      </c>
      <c r="D3131" s="1">
        <v>5340.49767569663</v>
      </c>
      <c r="E3131" s="1" t="s">
        <v>5081</v>
      </c>
      <c r="F3131" s="1" t="s">
        <v>5082</v>
      </c>
      <c r="G3131" s="1">
        <v>15.142970732489</v>
      </c>
      <c r="H3131" s="1">
        <v>14.526518992</v>
      </c>
      <c r="I3131" s="1">
        <v>3.4808337461</v>
      </c>
      <c r="J3131" s="1">
        <v>9.3928386092</v>
      </c>
      <c r="K3131" s="1">
        <v>17.793200257</v>
      </c>
      <c r="L3131" s="1">
        <v>31.8</v>
      </c>
      <c r="M3131" s="1">
        <v>7.2</v>
      </c>
      <c r="N3131" s="1">
        <v>25.0</v>
      </c>
      <c r="O3131" s="1">
        <v>85.585155732</v>
      </c>
      <c r="P3131" s="1">
        <v>14.221374848</v>
      </c>
      <c r="Q3131" s="1">
        <v>72.91287</v>
      </c>
      <c r="R3131" s="1">
        <v>77.978723404</v>
      </c>
      <c r="S3131" s="1">
        <v>13.0</v>
      </c>
      <c r="T3131" s="1">
        <v>18880.0</v>
      </c>
      <c r="U3131" s="1">
        <v>34.332627119</v>
      </c>
      <c r="V3131" s="1">
        <v>193.53273069</v>
      </c>
      <c r="W3131" s="1">
        <v>11.073411474</v>
      </c>
      <c r="X3131" s="1">
        <v>8.9096573209</v>
      </c>
      <c r="Y3131" s="1">
        <v>77.9354393289999</v>
      </c>
      <c r="Z3131" s="1">
        <v>8.5</v>
      </c>
      <c r="AA3131" s="1">
        <v>12.221507224</v>
      </c>
      <c r="AB3131" s="1">
        <v>64714.0</v>
      </c>
      <c r="AC3131" s="1">
        <v>36.129905277</v>
      </c>
      <c r="AD3131" s="1">
        <v>67.039055128</v>
      </c>
      <c r="AE3131" s="1">
        <v>9.1127772571</v>
      </c>
      <c r="AF3131" s="1">
        <v>1.1616002022</v>
      </c>
      <c r="AG3131" s="1">
        <v>1.4662200594</v>
      </c>
      <c r="AH3131" s="1">
        <v>0.8279087404</v>
      </c>
      <c r="AI3131" s="1">
        <v>0.0985906592</v>
      </c>
      <c r="AJ3131" s="1">
        <v>8.581179296</v>
      </c>
      <c r="AK3131" s="1">
        <v>86.59925425</v>
      </c>
      <c r="AL3131" s="1">
        <v>0.7311226528</v>
      </c>
      <c r="AM3131" s="1">
        <v>49.6176452</v>
      </c>
      <c r="AN3131" s="1">
        <v>14.449304175</v>
      </c>
      <c r="AO3131" s="1">
        <v>30902.0</v>
      </c>
      <c r="AP3131" s="1">
        <v>10.5</v>
      </c>
      <c r="AQ3131" s="1">
        <v>4.9</v>
      </c>
      <c r="AR3131" s="1">
        <v>8.3</v>
      </c>
      <c r="AS3131" s="1">
        <v>12.8</v>
      </c>
      <c r="AT3131" s="1">
        <v>24.0</v>
      </c>
      <c r="AU3131" s="1">
        <v>14.1</v>
      </c>
      <c r="AV3131" s="1">
        <v>13.0</v>
      </c>
      <c r="AW3131" s="1">
        <v>0.9</v>
      </c>
      <c r="AX3131" s="1">
        <v>0.2958</v>
      </c>
      <c r="AY3131" s="1">
        <v>9.9</v>
      </c>
      <c r="AZ3131" s="1">
        <v>12.7</v>
      </c>
      <c r="BA3131" s="1">
        <v>16.7</v>
      </c>
      <c r="BB3131" s="1">
        <v>3.13</v>
      </c>
      <c r="BC3131" s="1" t="s">
        <v>5065</v>
      </c>
      <c r="BD3131" s="1">
        <v>7.5</v>
      </c>
      <c r="BE3131" s="1">
        <v>30.3</v>
      </c>
      <c r="BF3131" s="1">
        <v>39.3</v>
      </c>
      <c r="BG3131" s="1">
        <v>22.8</v>
      </c>
      <c r="BH3131" s="1" t="s">
        <v>5082</v>
      </c>
    </row>
    <row r="3132">
      <c r="A3132" s="1">
        <v>56027.0</v>
      </c>
      <c r="B3132" s="2" t="str">
        <f>IFERROR(__xludf.DUMMYFUNCTION("TO_TEXT(A3132)"),"56027")</f>
        <v>56027</v>
      </c>
      <c r="C3132" s="1">
        <v>2498.0</v>
      </c>
      <c r="D3132" s="1">
        <v>2626.02668292326</v>
      </c>
      <c r="E3132" s="1" t="s">
        <v>5083</v>
      </c>
      <c r="F3132" s="1" t="s">
        <v>5084</v>
      </c>
      <c r="G3132" s="1">
        <v>0.951246998457479</v>
      </c>
      <c r="H3132" s="1">
        <v>15.5586742429999</v>
      </c>
      <c r="I3132" s="1">
        <v>4.0172299621</v>
      </c>
      <c r="J3132" s="1">
        <v>7.80443539465</v>
      </c>
      <c r="K3132" s="1">
        <v>17.895307838</v>
      </c>
      <c r="L3132" s="1">
        <v>26.5</v>
      </c>
      <c r="M3132" s="1">
        <v>7.5</v>
      </c>
      <c r="N3132" s="1">
        <v>28.4</v>
      </c>
      <c r="O3132" s="1">
        <v>71.9806763289999</v>
      </c>
      <c r="P3132" s="1">
        <v>19.233110164</v>
      </c>
      <c r="Q3132" s="1">
        <v>83.43763</v>
      </c>
      <c r="R3132" s="1">
        <v>57.281553398</v>
      </c>
      <c r="S3132" s="1">
        <v>16.4</v>
      </c>
      <c r="T3132" s="1">
        <v>474.0</v>
      </c>
      <c r="U3132" s="1">
        <v>19.620253165</v>
      </c>
      <c r="V3132" s="1">
        <v>204.509002055</v>
      </c>
      <c r="W3132" s="1">
        <v>15.306122449</v>
      </c>
      <c r="X3132" s="1">
        <v>15.463917526</v>
      </c>
      <c r="Y3132" s="1">
        <v>81.271522278</v>
      </c>
      <c r="Z3132" s="1">
        <v>8.6</v>
      </c>
      <c r="AA3132" s="1">
        <v>7.9164047067</v>
      </c>
      <c r="AB3132" s="1">
        <v>51036.0</v>
      </c>
      <c r="AC3132" s="1">
        <v>41.995073892</v>
      </c>
      <c r="AD3132" s="1">
        <v>75.971370143</v>
      </c>
      <c r="AE3132" s="1">
        <v>16.515837104</v>
      </c>
      <c r="AF3132" s="1">
        <v>0.9212730318</v>
      </c>
      <c r="AG3132" s="1">
        <v>1.2144053601</v>
      </c>
      <c r="AH3132" s="1">
        <v>0.4606365159</v>
      </c>
      <c r="AI3132" s="1">
        <v>0.0</v>
      </c>
      <c r="AJ3132" s="1">
        <v>3.6432160804</v>
      </c>
      <c r="AK3132" s="1">
        <v>91.62479062</v>
      </c>
      <c r="AL3132" s="1">
        <v>0.3439380911</v>
      </c>
      <c r="AM3132" s="1">
        <v>54.313232831</v>
      </c>
      <c r="AN3132" s="1">
        <v>100.0</v>
      </c>
      <c r="AO3132" s="1">
        <v>23356.0</v>
      </c>
      <c r="AP3132" s="1">
        <v>13.6</v>
      </c>
      <c r="AQ3132" s="1">
        <v>0.5</v>
      </c>
      <c r="AR3132" s="1">
        <v>11.1</v>
      </c>
      <c r="AS3132" s="1">
        <v>18.3</v>
      </c>
      <c r="AT3132" s="1">
        <v>20.2</v>
      </c>
      <c r="AU3132" s="1">
        <v>19.0</v>
      </c>
      <c r="AV3132" s="1">
        <v>10.5</v>
      </c>
      <c r="AW3132" s="1">
        <v>0.3</v>
      </c>
      <c r="AX3132" s="1">
        <v>0.3063</v>
      </c>
      <c r="AY3132" s="1">
        <v>15.1</v>
      </c>
      <c r="AZ3132" s="1">
        <v>14.3</v>
      </c>
      <c r="BA3132" s="1">
        <v>17.1</v>
      </c>
      <c r="BB3132" s="1">
        <v>3.14</v>
      </c>
      <c r="BC3132" s="1" t="s">
        <v>5065</v>
      </c>
      <c r="BD3132" s="1">
        <v>12.9</v>
      </c>
      <c r="BE3132" s="1">
        <v>34.7</v>
      </c>
      <c r="BF3132" s="1">
        <v>34.4</v>
      </c>
      <c r="BG3132" s="1">
        <v>18.0</v>
      </c>
      <c r="BH3132" s="1" t="s">
        <v>5084</v>
      </c>
    </row>
    <row r="3133">
      <c r="A3133" s="1">
        <v>56029.0</v>
      </c>
      <c r="B3133" s="2" t="str">
        <f>IFERROR(__xludf.DUMMYFUNCTION("TO_TEXT(A3133)"),"56029")</f>
        <v>56029</v>
      </c>
      <c r="C3133" s="1">
        <v>29083.0</v>
      </c>
      <c r="D3133" s="1">
        <v>6939.80492525175</v>
      </c>
      <c r="E3133" s="1" t="s">
        <v>621</v>
      </c>
      <c r="F3133" s="1" t="s">
        <v>5085</v>
      </c>
      <c r="G3133" s="1">
        <v>4.19075180257246</v>
      </c>
      <c r="H3133" s="1">
        <v>13.335458734</v>
      </c>
      <c r="I3133" s="1">
        <v>3.4792469015</v>
      </c>
      <c r="J3133" s="1">
        <v>7.5323475046</v>
      </c>
      <c r="K3133" s="1">
        <v>13.105719973</v>
      </c>
      <c r="L3133" s="1">
        <v>25.1</v>
      </c>
      <c r="M3133" s="1">
        <v>8.2</v>
      </c>
      <c r="N3133" s="1">
        <v>23.7</v>
      </c>
      <c r="O3133" s="1">
        <v>60.8260946639999</v>
      </c>
      <c r="P3133" s="1">
        <v>13.985795328</v>
      </c>
      <c r="Q3133" s="1">
        <v>114.98918</v>
      </c>
      <c r="R3133" s="1">
        <v>90.443686007</v>
      </c>
      <c r="S3133" s="1">
        <v>13.5</v>
      </c>
      <c r="T3133" s="1">
        <v>5953.0</v>
      </c>
      <c r="U3133" s="1">
        <v>22.0393079119999</v>
      </c>
      <c r="V3133" s="1">
        <v>193.22845417</v>
      </c>
      <c r="W3133" s="1">
        <v>8.71035940799999</v>
      </c>
      <c r="X3133" s="1">
        <v>7.2519083969</v>
      </c>
      <c r="Y3133" s="1">
        <v>80.811196766</v>
      </c>
      <c r="Z3133" s="1">
        <v>9.2</v>
      </c>
      <c r="AA3133" s="1">
        <v>4.85873563339999</v>
      </c>
      <c r="AB3133" s="1">
        <v>58873.0</v>
      </c>
      <c r="AC3133" s="1">
        <v>34.53685259</v>
      </c>
      <c r="AD3133" s="1">
        <v>71.729147533</v>
      </c>
      <c r="AE3133" s="1">
        <v>8.3238412337</v>
      </c>
      <c r="AF3133" s="1">
        <v>0.682035192999999</v>
      </c>
      <c r="AG3133" s="1">
        <v>0.9446187423</v>
      </c>
      <c r="AH3133" s="1">
        <v>0.8218524076</v>
      </c>
      <c r="AI3133" s="1">
        <v>0.0579729914</v>
      </c>
      <c r="AJ3133" s="1">
        <v>5.6233801664</v>
      </c>
      <c r="AK3133" s="1">
        <v>90.9152912289999</v>
      </c>
      <c r="AL3133" s="1">
        <v>0.6278352386</v>
      </c>
      <c r="AM3133" s="1">
        <v>50.19438003</v>
      </c>
      <c r="AN3133" s="1">
        <v>44.240382911</v>
      </c>
      <c r="AO3133" s="1">
        <v>30179.0</v>
      </c>
      <c r="AP3133" s="1">
        <v>8.1</v>
      </c>
      <c r="AQ3133" s="1">
        <v>3.8</v>
      </c>
      <c r="AR3133" s="1">
        <v>5.7</v>
      </c>
      <c r="AS3133" s="1">
        <v>19.4</v>
      </c>
      <c r="AT3133" s="1">
        <v>20.7</v>
      </c>
      <c r="AU3133" s="1">
        <v>12.0</v>
      </c>
      <c r="AV3133" s="1">
        <v>9.4</v>
      </c>
      <c r="AW3133" s="1">
        <v>0.5</v>
      </c>
      <c r="AX3133" s="1">
        <v>0.0837</v>
      </c>
      <c r="AY3133" s="1">
        <v>10.3</v>
      </c>
      <c r="AZ3133" s="1">
        <v>11.5</v>
      </c>
      <c r="BA3133" s="1">
        <v>15.1</v>
      </c>
      <c r="BB3133" s="1">
        <v>3.42</v>
      </c>
      <c r="BC3133" s="1" t="s">
        <v>5065</v>
      </c>
      <c r="BD3133" s="1">
        <v>4.5</v>
      </c>
      <c r="BE3133" s="1">
        <v>25.8</v>
      </c>
      <c r="BF3133" s="1">
        <v>35.7</v>
      </c>
      <c r="BG3133" s="1">
        <v>34.0</v>
      </c>
      <c r="BH3133" s="1" t="s">
        <v>5085</v>
      </c>
    </row>
    <row r="3134">
      <c r="A3134" s="1">
        <v>56031.0</v>
      </c>
      <c r="B3134" s="2" t="str">
        <f>IFERROR(__xludf.DUMMYFUNCTION("TO_TEXT(A3134)"),"56031")</f>
        <v>56031</v>
      </c>
      <c r="C3134" s="1">
        <v>8740.0</v>
      </c>
      <c r="D3134" s="1">
        <v>2084.18620838703</v>
      </c>
      <c r="E3134" s="1" t="s">
        <v>2663</v>
      </c>
      <c r="F3134" s="1" t="s">
        <v>5086</v>
      </c>
      <c r="G3134" s="1">
        <v>4.19348327171014</v>
      </c>
      <c r="H3134" s="1">
        <v>15.383828742</v>
      </c>
      <c r="I3134" s="1">
        <v>3.3995155122</v>
      </c>
      <c r="J3134" s="1">
        <v>8.24915824919999</v>
      </c>
      <c r="K3134" s="1">
        <v>14.149228477</v>
      </c>
      <c r="L3134" s="1">
        <v>30.1</v>
      </c>
      <c r="M3134" s="1">
        <v>7.9</v>
      </c>
      <c r="N3134" s="1">
        <v>24.4</v>
      </c>
      <c r="O3134" s="1">
        <v>77.97392408</v>
      </c>
      <c r="P3134" s="1">
        <v>14.88254769</v>
      </c>
      <c r="Q3134" s="1">
        <v>35.03854</v>
      </c>
      <c r="R3134" s="1">
        <v>91.56626506</v>
      </c>
      <c r="S3134" s="1">
        <v>17.0</v>
      </c>
      <c r="T3134" s="1">
        <v>1744.0</v>
      </c>
      <c r="U3134" s="1">
        <v>24.7706422019999</v>
      </c>
      <c r="V3134" s="1">
        <v>184.09425626</v>
      </c>
      <c r="W3134" s="1">
        <v>8.9673913043</v>
      </c>
      <c r="X3134" s="1">
        <v>8.4330794342</v>
      </c>
      <c r="Y3134" s="1">
        <v>79.16228909</v>
      </c>
      <c r="Z3134" s="1">
        <v>15.0</v>
      </c>
      <c r="AA3134" s="1">
        <v>7.1856357214</v>
      </c>
      <c r="AB3134" s="1">
        <v>54165.0</v>
      </c>
      <c r="AC3134" s="1">
        <v>37.92557403</v>
      </c>
      <c r="AD3134" s="1">
        <v>73.780487805</v>
      </c>
      <c r="AE3134" s="1">
        <v>9.8189797038</v>
      </c>
      <c r="AF3134" s="1">
        <v>0.5837030119</v>
      </c>
      <c r="AG3134" s="1">
        <v>1.02731730099999</v>
      </c>
      <c r="AH3134" s="1">
        <v>0.9455988793</v>
      </c>
      <c r="AI3134" s="1">
        <v>0.0700443613999999</v>
      </c>
      <c r="AJ3134" s="1">
        <v>8.47536773289999</v>
      </c>
      <c r="AK3134" s="1">
        <v>87.672192389</v>
      </c>
      <c r="AL3134" s="1">
        <v>0.8293694353</v>
      </c>
      <c r="AM3134" s="1">
        <v>49.684800374</v>
      </c>
      <c r="AN3134" s="1">
        <v>58.647744318</v>
      </c>
      <c r="AO3134" s="1">
        <v>30054.0</v>
      </c>
      <c r="AP3134" s="1">
        <v>15.6</v>
      </c>
      <c r="AQ3134" s="1">
        <v>3.9</v>
      </c>
      <c r="AR3134" s="1">
        <v>9.7</v>
      </c>
      <c r="AS3134" s="1">
        <v>22.0</v>
      </c>
      <c r="AT3134" s="1">
        <v>20.4</v>
      </c>
      <c r="AU3134" s="1">
        <v>18.3</v>
      </c>
      <c r="AV3134" s="1">
        <v>10.6</v>
      </c>
      <c r="AW3134" s="1">
        <v>0.7</v>
      </c>
      <c r="AX3134" s="1">
        <v>0.2222</v>
      </c>
      <c r="AY3134" s="1">
        <v>11.5</v>
      </c>
      <c r="AZ3134" s="1">
        <v>13.0</v>
      </c>
      <c r="BA3134" s="1">
        <v>18.9</v>
      </c>
      <c r="BB3134" s="1">
        <v>3.21</v>
      </c>
      <c r="BC3134" s="1" t="s">
        <v>5065</v>
      </c>
      <c r="BD3134" s="1">
        <v>8.9</v>
      </c>
      <c r="BE3134" s="1">
        <v>38.3</v>
      </c>
      <c r="BF3134" s="1">
        <v>32.1</v>
      </c>
      <c r="BG3134" s="1">
        <v>20.7</v>
      </c>
      <c r="BH3134" s="1" t="s">
        <v>5086</v>
      </c>
    </row>
    <row r="3135">
      <c r="A3135" s="1">
        <v>56033.0</v>
      </c>
      <c r="B3135" s="2" t="str">
        <f>IFERROR(__xludf.DUMMYFUNCTION("TO_TEXT(A3135)"),"56033")</f>
        <v>56033</v>
      </c>
      <c r="C3135" s="1">
        <v>29924.0</v>
      </c>
      <c r="D3135" s="1">
        <v>2523.3600255931</v>
      </c>
      <c r="E3135" s="1" t="s">
        <v>1730</v>
      </c>
      <c r="F3135" s="1" t="s">
        <v>5087</v>
      </c>
      <c r="G3135" s="1">
        <v>11.8587913323888</v>
      </c>
      <c r="H3135" s="1">
        <v>12.545186764</v>
      </c>
      <c r="I3135" s="1">
        <v>3.6847012818</v>
      </c>
      <c r="J3135" s="1">
        <v>6.6075388027</v>
      </c>
      <c r="K3135" s="1">
        <v>15.214185127</v>
      </c>
      <c r="L3135" s="1">
        <v>28.2</v>
      </c>
      <c r="M3135" s="1">
        <v>7.5</v>
      </c>
      <c r="N3135" s="1">
        <v>24.3</v>
      </c>
      <c r="O3135" s="1">
        <v>88.975133947</v>
      </c>
      <c r="P3135" s="1">
        <v>13.386562473</v>
      </c>
      <c r="Q3135" s="1">
        <v>69.51341</v>
      </c>
      <c r="R3135" s="1">
        <v>88.695652174</v>
      </c>
      <c r="S3135" s="1">
        <v>11.0</v>
      </c>
      <c r="T3135" s="1">
        <v>6448.0</v>
      </c>
      <c r="U3135" s="1">
        <v>24.4882134</v>
      </c>
      <c r="V3135" s="1">
        <v>151.37341611</v>
      </c>
      <c r="W3135" s="1">
        <v>12.83970067</v>
      </c>
      <c r="X3135" s="1">
        <v>11.325835577</v>
      </c>
      <c r="Y3135" s="1">
        <v>78.237398773</v>
      </c>
      <c r="Z3135" s="1">
        <v>9.5</v>
      </c>
      <c r="AA3135" s="1">
        <v>11.260593612</v>
      </c>
      <c r="AB3135" s="1">
        <v>58307.0</v>
      </c>
      <c r="AC3135" s="1">
        <v>32.82294587</v>
      </c>
      <c r="AD3135" s="1">
        <v>67.900296375</v>
      </c>
      <c r="AE3135" s="1">
        <v>11.440944882</v>
      </c>
      <c r="AF3135" s="1">
        <v>0.7971421956</v>
      </c>
      <c r="AG3135" s="1">
        <v>1.3660569576</v>
      </c>
      <c r="AH3135" s="1">
        <v>0.8236033473</v>
      </c>
      <c r="AI3135" s="1">
        <v>0.1124598948</v>
      </c>
      <c r="AJ3135" s="1">
        <v>4.3429365263</v>
      </c>
      <c r="AK3135" s="1">
        <v>91.48281679</v>
      </c>
      <c r="AL3135" s="1">
        <v>0.3487266195</v>
      </c>
      <c r="AM3135" s="1">
        <v>49.793272252</v>
      </c>
      <c r="AN3135" s="1">
        <v>35.478774557</v>
      </c>
      <c r="AO3135" s="1">
        <v>29630.0</v>
      </c>
      <c r="AP3135" s="1">
        <v>8.2</v>
      </c>
      <c r="AQ3135" s="1">
        <v>3.8</v>
      </c>
      <c r="AR3135" s="1">
        <v>6.1</v>
      </c>
      <c r="AS3135" s="1">
        <v>18.2</v>
      </c>
      <c r="AT3135" s="1">
        <v>21.6</v>
      </c>
      <c r="AU3135" s="1">
        <v>14.1</v>
      </c>
      <c r="AV3135" s="1">
        <v>8.3</v>
      </c>
      <c r="AW3135" s="1">
        <v>0.3</v>
      </c>
      <c r="AX3135" s="1">
        <v>0.1028</v>
      </c>
      <c r="AY3135" s="1">
        <v>8.5</v>
      </c>
      <c r="AZ3135" s="1">
        <v>11.3</v>
      </c>
      <c r="BA3135" s="1">
        <v>14.4</v>
      </c>
      <c r="BB3135" s="1">
        <v>3.41</v>
      </c>
      <c r="BC3135" s="1" t="s">
        <v>5065</v>
      </c>
      <c r="BD3135" s="1">
        <v>4.7</v>
      </c>
      <c r="BE3135" s="1">
        <v>25.6</v>
      </c>
      <c r="BF3135" s="1">
        <v>38.7</v>
      </c>
      <c r="BG3135" s="1">
        <v>31.0</v>
      </c>
      <c r="BH3135" s="1" t="s">
        <v>5087</v>
      </c>
    </row>
    <row r="3136">
      <c r="A3136" s="1">
        <v>56035.0</v>
      </c>
      <c r="B3136" s="2" t="str">
        <f>IFERROR(__xludf.DUMMYFUNCTION("TO_TEXT(A3136)"),"56035")</f>
        <v>56035</v>
      </c>
      <c r="C3136" s="1">
        <v>10032.0</v>
      </c>
      <c r="D3136" s="1">
        <v>4886.47955204008</v>
      </c>
      <c r="E3136" s="1" t="s">
        <v>5088</v>
      </c>
      <c r="F3136" s="1" t="s">
        <v>5089</v>
      </c>
      <c r="G3136" s="1">
        <v>2.05301176300056</v>
      </c>
      <c r="H3136" s="1">
        <v>12.23739559</v>
      </c>
      <c r="I3136" s="1">
        <v>3.0505482948</v>
      </c>
      <c r="J3136" s="1">
        <v>7.8527607362</v>
      </c>
      <c r="K3136" s="1">
        <v>13.91299376</v>
      </c>
      <c r="L3136" s="1">
        <v>29.9</v>
      </c>
      <c r="M3136" s="1">
        <v>8.5</v>
      </c>
      <c r="N3136" s="1">
        <v>22.4</v>
      </c>
      <c r="O3136" s="1">
        <v>47.545623109</v>
      </c>
      <c r="P3136" s="1">
        <v>14.601548838</v>
      </c>
      <c r="Q3136" s="1">
        <v>51.02561</v>
      </c>
      <c r="R3136" s="1">
        <v>94.1176470589999</v>
      </c>
      <c r="S3136" s="1">
        <v>7.3</v>
      </c>
      <c r="T3136" s="1">
        <v>2398.0</v>
      </c>
      <c r="U3136" s="1">
        <v>22.685571309</v>
      </c>
      <c r="V3136" s="1">
        <v>66.030069078</v>
      </c>
      <c r="W3136" s="1">
        <v>4.8361934477</v>
      </c>
      <c r="X3136" s="1">
        <v>3.8932496075</v>
      </c>
      <c r="Y3136" s="1">
        <v>82.851608153</v>
      </c>
      <c r="Z3136" s="1">
        <v>9.2</v>
      </c>
      <c r="AA3136" s="1">
        <v>3.9075760019</v>
      </c>
      <c r="AB3136" s="1">
        <v>74570.0</v>
      </c>
      <c r="AC3136" s="1">
        <v>17.495158167</v>
      </c>
      <c r="AD3136" s="1">
        <v>81.0381679389999</v>
      </c>
      <c r="AE3136" s="1">
        <v>5.5537823173</v>
      </c>
      <c r="AF3136" s="1">
        <v>0.7642922654</v>
      </c>
      <c r="AG3136" s="1">
        <v>1.192295934</v>
      </c>
      <c r="AH3136" s="1">
        <v>0.7337205747</v>
      </c>
      <c r="AI3136" s="1">
        <v>0.0407622542</v>
      </c>
      <c r="AJ3136" s="1">
        <v>7.4594925099</v>
      </c>
      <c r="AK3136" s="1">
        <v>89.024763069</v>
      </c>
      <c r="AL3136" s="1">
        <v>0.5472690203</v>
      </c>
      <c r="AM3136" s="1">
        <v>46.040966065</v>
      </c>
      <c r="AN3136" s="1">
        <v>100.0</v>
      </c>
      <c r="AO3136" s="1">
        <v>30295.0</v>
      </c>
      <c r="AP3136" s="1">
        <v>7.8</v>
      </c>
      <c r="AQ3136" s="1">
        <v>2.8</v>
      </c>
      <c r="AR3136" s="1">
        <v>4.7</v>
      </c>
      <c r="AS3136" s="1">
        <v>13.3</v>
      </c>
      <c r="AT3136" s="1">
        <v>24.1</v>
      </c>
      <c r="AU3136" s="1">
        <v>12.6</v>
      </c>
      <c r="AV3136" s="1">
        <v>8.4</v>
      </c>
      <c r="AW3136" s="1">
        <v>0.6</v>
      </c>
      <c r="AX3136" s="1">
        <v>0.0134</v>
      </c>
      <c r="AY3136" s="1">
        <v>7.2</v>
      </c>
      <c r="AZ3136" s="1">
        <v>10.8</v>
      </c>
      <c r="BA3136" s="1">
        <v>14.8</v>
      </c>
      <c r="BB3136" s="1">
        <v>3.57</v>
      </c>
      <c r="BC3136" s="1" t="s">
        <v>5065</v>
      </c>
      <c r="BD3136" s="1">
        <v>4.0</v>
      </c>
      <c r="BE3136" s="1">
        <v>34.6</v>
      </c>
      <c r="BF3136" s="1">
        <v>38.6</v>
      </c>
      <c r="BG3136" s="1">
        <v>22.8</v>
      </c>
      <c r="BH3136" s="1" t="s">
        <v>5089</v>
      </c>
    </row>
    <row r="3137">
      <c r="A3137" s="1">
        <v>56037.0</v>
      </c>
      <c r="B3137" s="2" t="str">
        <f>IFERROR(__xludf.DUMMYFUNCTION("TO_TEXT(A3137)"),"56037")</f>
        <v>56037</v>
      </c>
      <c r="C3137" s="1">
        <v>44812.0</v>
      </c>
      <c r="D3137" s="1">
        <v>10426.722045292</v>
      </c>
      <c r="E3137" s="1" t="s">
        <v>5090</v>
      </c>
      <c r="F3137" s="1" t="s">
        <v>5091</v>
      </c>
      <c r="G3137" s="1">
        <v>4.29780326025225</v>
      </c>
      <c r="H3137" s="1">
        <v>14.813082253</v>
      </c>
      <c r="I3137" s="1">
        <v>3.6235540951</v>
      </c>
      <c r="J3137" s="1">
        <v>9.705248023</v>
      </c>
      <c r="K3137" s="1">
        <v>18.073421592</v>
      </c>
      <c r="L3137" s="1">
        <v>29.8</v>
      </c>
      <c r="M3137" s="1">
        <v>7.7</v>
      </c>
      <c r="N3137" s="1">
        <v>25.0</v>
      </c>
      <c r="O3137" s="1">
        <v>89.686344336</v>
      </c>
      <c r="P3137" s="1">
        <v>14.464995133</v>
      </c>
      <c r="Q3137" s="1">
        <v>36.75288</v>
      </c>
      <c r="R3137" s="1">
        <v>80.5</v>
      </c>
      <c r="S3137" s="1">
        <v>10.0</v>
      </c>
      <c r="T3137" s="1">
        <v>11789.0</v>
      </c>
      <c r="U3137" s="1">
        <v>25.320213759</v>
      </c>
      <c r="V3137" s="1">
        <v>300.49414593</v>
      </c>
      <c r="W3137" s="1">
        <v>9.8578772301</v>
      </c>
      <c r="X3137" s="1">
        <v>7.0039622066</v>
      </c>
      <c r="Y3137" s="1">
        <v>77.285777712</v>
      </c>
      <c r="Z3137" s="1">
        <v>8.8</v>
      </c>
      <c r="AA3137" s="1">
        <v>10.845330812</v>
      </c>
      <c r="AB3137" s="1">
        <v>73315.0</v>
      </c>
      <c r="AC3137" s="1">
        <v>39.333579245</v>
      </c>
      <c r="AD3137" s="1">
        <v>75.370172012</v>
      </c>
      <c r="AE3137" s="1">
        <v>8.385595138</v>
      </c>
      <c r="AF3137" s="1">
        <v>1.1451534227</v>
      </c>
      <c r="AG3137" s="1">
        <v>1.5446795661</v>
      </c>
      <c r="AH3137" s="1">
        <v>1.0104294906</v>
      </c>
      <c r="AI3137" s="1">
        <v>0.157952196199999</v>
      </c>
      <c r="AJ3137" s="1">
        <v>16.083250099</v>
      </c>
      <c r="AK3137" s="1">
        <v>79.312907946</v>
      </c>
      <c r="AL3137" s="1">
        <v>1.6332210341</v>
      </c>
      <c r="AM3137" s="1">
        <v>48.544749251</v>
      </c>
      <c r="AN3137" s="1">
        <v>10.916312834</v>
      </c>
      <c r="AO3137" s="1">
        <v>30945.0</v>
      </c>
      <c r="AP3137" s="1">
        <v>11.0</v>
      </c>
      <c r="AQ3137" s="1">
        <v>5.1</v>
      </c>
      <c r="AR3137" s="1">
        <v>9.3</v>
      </c>
      <c r="AS3137" s="1">
        <v>9.4</v>
      </c>
      <c r="AT3137" s="1">
        <v>27.5</v>
      </c>
      <c r="AU3137" s="1">
        <v>11.6</v>
      </c>
      <c r="AV3137" s="1">
        <v>20.2</v>
      </c>
      <c r="AW3137" s="1">
        <v>2.1</v>
      </c>
      <c r="AX3137" s="1">
        <v>0.3808</v>
      </c>
      <c r="AY3137" s="1">
        <v>8.3</v>
      </c>
      <c r="AZ3137" s="1">
        <v>11.7</v>
      </c>
      <c r="BA3137" s="1">
        <v>15.4</v>
      </c>
      <c r="BB3137" s="1">
        <v>3.29</v>
      </c>
      <c r="BC3137" s="1" t="s">
        <v>5065</v>
      </c>
      <c r="BD3137" s="1">
        <v>7.2</v>
      </c>
      <c r="BE3137" s="1">
        <v>33.0</v>
      </c>
      <c r="BF3137" s="1">
        <v>37.2</v>
      </c>
      <c r="BG3137" s="1">
        <v>22.5</v>
      </c>
      <c r="BH3137" s="1" t="s">
        <v>5091</v>
      </c>
    </row>
    <row r="3138">
      <c r="A3138" s="1">
        <v>56039.0</v>
      </c>
      <c r="B3138" s="2" t="str">
        <f>IFERROR(__xludf.DUMMYFUNCTION("TO_TEXT(A3138)"),"56039")</f>
        <v>56039</v>
      </c>
      <c r="C3138" s="1">
        <v>22623.0</v>
      </c>
      <c r="D3138" s="1">
        <v>3995.9363546816</v>
      </c>
      <c r="E3138" s="1" t="s">
        <v>1144</v>
      </c>
      <c r="F3138" s="1" t="s">
        <v>5092</v>
      </c>
      <c r="G3138" s="1">
        <v>5.66150158360133</v>
      </c>
      <c r="H3138" s="1">
        <v>11.91435829</v>
      </c>
      <c r="I3138" s="1">
        <v>3.1806125761</v>
      </c>
      <c r="J3138" s="1">
        <v>7.7367205543</v>
      </c>
      <c r="K3138" s="1">
        <v>14.546369416</v>
      </c>
      <c r="L3138" s="1">
        <v>12.4</v>
      </c>
      <c r="M3138" s="1">
        <v>8.2</v>
      </c>
      <c r="N3138" s="1">
        <v>11.6</v>
      </c>
      <c r="O3138" s="1">
        <v>99.718230487</v>
      </c>
      <c r="P3138" s="1">
        <v>16.034517359</v>
      </c>
      <c r="Q3138" s="1">
        <v>116.05416</v>
      </c>
      <c r="R3138" s="1">
        <v>87.765957447</v>
      </c>
      <c r="S3138" s="1">
        <v>6.7</v>
      </c>
      <c r="T3138" s="1">
        <v>4415.0</v>
      </c>
      <c r="U3138" s="1">
        <v>27.9048697619999</v>
      </c>
      <c r="V3138" s="1">
        <v>204.509002055</v>
      </c>
      <c r="W3138" s="1">
        <v>16.967930029</v>
      </c>
      <c r="X3138" s="1">
        <v>11.428571429</v>
      </c>
      <c r="Y3138" s="1">
        <v>89.4894448289999</v>
      </c>
      <c r="Z3138" s="1">
        <v>2.2</v>
      </c>
      <c r="AA3138" s="1">
        <v>7.4094628168</v>
      </c>
      <c r="AB3138" s="1">
        <v>99087.0</v>
      </c>
      <c r="AC3138" s="1">
        <v>22.20699109</v>
      </c>
      <c r="AD3138" s="1">
        <v>57.730945621</v>
      </c>
      <c r="AE3138" s="1">
        <v>10.769058547</v>
      </c>
      <c r="AF3138" s="1">
        <v>0.6325549153</v>
      </c>
      <c r="AG3138" s="1">
        <v>0.9141718296</v>
      </c>
      <c r="AH3138" s="1">
        <v>1.4124171396</v>
      </c>
      <c r="AI3138" s="1">
        <v>0.151639877</v>
      </c>
      <c r="AJ3138" s="1">
        <v>14.878038213</v>
      </c>
      <c r="AK3138" s="1">
        <v>81.504267579</v>
      </c>
      <c r="AL3138" s="1">
        <v>4.3144774688</v>
      </c>
      <c r="AM3138" s="1">
        <v>48.4034487239999</v>
      </c>
      <c r="AN3138" s="1">
        <v>46.430919508</v>
      </c>
      <c r="AO3138" s="1">
        <v>46499.0</v>
      </c>
      <c r="AP3138" s="1">
        <v>7.3</v>
      </c>
      <c r="AQ3138" s="1">
        <v>2.1</v>
      </c>
      <c r="AR3138" s="1">
        <v>4.6</v>
      </c>
      <c r="AS3138" s="1">
        <v>11.8</v>
      </c>
      <c r="AT3138" s="1">
        <v>19.5</v>
      </c>
      <c r="AU3138" s="1">
        <v>6.3</v>
      </c>
      <c r="AV3138" s="1">
        <v>18.8</v>
      </c>
      <c r="AW3138" s="1">
        <v>3.6</v>
      </c>
      <c r="AX3138" s="1">
        <v>0.0764</v>
      </c>
      <c r="AY3138" s="1">
        <v>6.0</v>
      </c>
      <c r="AZ3138" s="1">
        <v>9.5</v>
      </c>
      <c r="BA3138" s="1">
        <v>8.4</v>
      </c>
      <c r="BB3138" s="1">
        <v>4.52</v>
      </c>
      <c r="BC3138" s="1" t="s">
        <v>5065</v>
      </c>
      <c r="BD3138" s="1">
        <v>4.8</v>
      </c>
      <c r="BE3138" s="1">
        <v>14.9</v>
      </c>
      <c r="BF3138" s="1">
        <v>23.3</v>
      </c>
      <c r="BG3138" s="1">
        <v>57.0</v>
      </c>
      <c r="BH3138" s="1" t="s">
        <v>5092</v>
      </c>
    </row>
    <row r="3139">
      <c r="A3139" s="1">
        <v>56041.0</v>
      </c>
      <c r="B3139" s="2" t="str">
        <f>IFERROR(__xludf.DUMMYFUNCTION("TO_TEXT(A3139)"),"56041")</f>
        <v>56041</v>
      </c>
      <c r="C3139" s="1">
        <v>20893.0</v>
      </c>
      <c r="D3139" s="1">
        <v>2081.827988105</v>
      </c>
      <c r="E3139" s="1" t="s">
        <v>5093</v>
      </c>
      <c r="F3139" s="1" t="s">
        <v>5094</v>
      </c>
      <c r="G3139" s="1">
        <v>10.035891591129</v>
      </c>
      <c r="H3139" s="1">
        <v>15.537463775</v>
      </c>
      <c r="I3139" s="1">
        <v>3.6698046433</v>
      </c>
      <c r="J3139" s="1">
        <v>10.110206037</v>
      </c>
      <c r="K3139" s="1">
        <v>17.212674636</v>
      </c>
      <c r="L3139" s="1">
        <v>35.8</v>
      </c>
      <c r="M3139" s="1">
        <v>7.4</v>
      </c>
      <c r="N3139" s="1">
        <v>27.2</v>
      </c>
      <c r="O3139" s="1">
        <v>84.0183729519999</v>
      </c>
      <c r="P3139" s="1">
        <v>13.66473726</v>
      </c>
      <c r="Q3139" s="1">
        <v>43.91315</v>
      </c>
      <c r="R3139" s="1">
        <v>84.6875</v>
      </c>
      <c r="S3139" s="1">
        <v>12.1</v>
      </c>
      <c r="T3139" s="1">
        <v>5978.0</v>
      </c>
      <c r="U3139" s="1">
        <v>17.447306792</v>
      </c>
      <c r="V3139" s="1">
        <v>71.0065173839999</v>
      </c>
      <c r="W3139" s="1">
        <v>11.440107672</v>
      </c>
      <c r="X3139" s="1">
        <v>8.0081577158</v>
      </c>
      <c r="Y3139" s="1">
        <v>79.245996758</v>
      </c>
      <c r="Z3139" s="1">
        <v>11.3</v>
      </c>
      <c r="AA3139" s="1">
        <v>9.7271513765</v>
      </c>
      <c r="AB3139" s="1">
        <v>63401.0</v>
      </c>
      <c r="AC3139" s="1">
        <v>37.784557616</v>
      </c>
      <c r="AD3139" s="1">
        <v>75.268261151</v>
      </c>
      <c r="AE3139" s="1">
        <v>7.7076677316</v>
      </c>
      <c r="AF3139" s="1">
        <v>0.6847627962</v>
      </c>
      <c r="AG3139" s="1">
        <v>1.4187891029</v>
      </c>
      <c r="AH3139" s="1">
        <v>0.472929701</v>
      </c>
      <c r="AI3139" s="1">
        <v>0.1477905316</v>
      </c>
      <c r="AJ3139" s="1">
        <v>9.2369082221</v>
      </c>
      <c r="AK3139" s="1">
        <v>87.39839401</v>
      </c>
      <c r="AL3139" s="1">
        <v>0.696079970699999</v>
      </c>
      <c r="AM3139" s="1">
        <v>49.332479432</v>
      </c>
      <c r="AN3139" s="1">
        <v>43.095937115</v>
      </c>
      <c r="AO3139" s="1">
        <v>25636.0</v>
      </c>
      <c r="AP3139" s="1">
        <v>16.8</v>
      </c>
      <c r="AQ3139" s="1">
        <v>6.4</v>
      </c>
      <c r="AR3139" s="1">
        <v>10.4</v>
      </c>
      <c r="AS3139" s="1">
        <v>10.7</v>
      </c>
      <c r="AT3139" s="1">
        <v>29.6</v>
      </c>
      <c r="AU3139" s="1">
        <v>14.6</v>
      </c>
      <c r="AV3139" s="1">
        <v>12.3</v>
      </c>
      <c r="AW3139" s="1">
        <v>1.3</v>
      </c>
      <c r="AX3139" s="1">
        <v>0.5352</v>
      </c>
      <c r="AY3139" s="1">
        <v>8.5</v>
      </c>
      <c r="AZ3139" s="1">
        <v>13.5</v>
      </c>
      <c r="BA3139" s="1">
        <v>18.7</v>
      </c>
      <c r="BB3139" s="1">
        <v>3.07</v>
      </c>
      <c r="BC3139" s="1" t="s">
        <v>5065</v>
      </c>
      <c r="BD3139" s="1">
        <v>7.3</v>
      </c>
      <c r="BE3139" s="1">
        <v>41.5</v>
      </c>
      <c r="BF3139" s="1">
        <v>35.2</v>
      </c>
      <c r="BG3139" s="1">
        <v>16.0</v>
      </c>
      <c r="BH3139" s="1" t="s">
        <v>5094</v>
      </c>
    </row>
    <row r="3140">
      <c r="A3140" s="1">
        <v>56043.0</v>
      </c>
      <c r="B3140" s="2" t="str">
        <f>IFERROR(__xludf.DUMMYFUNCTION("TO_TEXT(A3140)"),"56043")</f>
        <v>56043</v>
      </c>
      <c r="C3140" s="1">
        <v>8351.0</v>
      </c>
      <c r="D3140" s="1">
        <v>2238.55044281601</v>
      </c>
      <c r="E3140" s="1" t="s">
        <v>5095</v>
      </c>
      <c r="F3140" s="1" t="s">
        <v>5096</v>
      </c>
      <c r="G3140" s="1">
        <v>3.73053912043846</v>
      </c>
      <c r="H3140" s="1">
        <v>15.955971129</v>
      </c>
      <c r="I3140" s="1">
        <v>3.6825139326</v>
      </c>
      <c r="J3140" s="1">
        <v>7.0287539936</v>
      </c>
      <c r="K3140" s="1">
        <v>16.859400095</v>
      </c>
      <c r="L3140" s="1">
        <v>28.8</v>
      </c>
      <c r="M3140" s="1">
        <v>8.3</v>
      </c>
      <c r="N3140" s="1">
        <v>28.2</v>
      </c>
      <c r="O3140" s="1">
        <v>83.182936833</v>
      </c>
      <c r="P3140" s="1">
        <v>16.730279898</v>
      </c>
      <c r="Q3140" s="1">
        <v>49.60317</v>
      </c>
      <c r="R3140" s="1">
        <v>84.536082474</v>
      </c>
      <c r="S3140" s="1">
        <v>16.1</v>
      </c>
      <c r="T3140" s="1">
        <v>1890.0</v>
      </c>
      <c r="U3140" s="1">
        <v>25.026455026</v>
      </c>
      <c r="V3140" s="1">
        <v>78.266104756</v>
      </c>
      <c r="W3140" s="1">
        <v>10.014306152</v>
      </c>
      <c r="X3140" s="1">
        <v>8.0813953488</v>
      </c>
      <c r="Y3140" s="1">
        <v>79.451504214</v>
      </c>
      <c r="Z3140" s="1">
        <v>11.7</v>
      </c>
      <c r="AA3140" s="1">
        <v>3.6215906565</v>
      </c>
      <c r="AB3140" s="1">
        <v>55190.0</v>
      </c>
      <c r="AC3140" s="1">
        <v>37.508650519</v>
      </c>
      <c r="AD3140" s="1">
        <v>76.8264172999999</v>
      </c>
      <c r="AE3140" s="1">
        <v>6.8167797656</v>
      </c>
      <c r="AF3140" s="1">
        <v>0.4692454027</v>
      </c>
      <c r="AG3140" s="1">
        <v>1.8135700698</v>
      </c>
      <c r="AH3140" s="1">
        <v>0.8243500317</v>
      </c>
      <c r="AI3140" s="1">
        <v>0.1014584654</v>
      </c>
      <c r="AJ3140" s="1">
        <v>14.051997464</v>
      </c>
      <c r="AK3140" s="1">
        <v>82.409638554</v>
      </c>
      <c r="AL3140" s="1">
        <v>0.3248862898</v>
      </c>
      <c r="AM3140" s="1">
        <v>49.422954978</v>
      </c>
      <c r="AN3140" s="1">
        <v>35.954529474</v>
      </c>
      <c r="AO3140" s="1">
        <v>26325.0</v>
      </c>
      <c r="AP3140" s="1">
        <v>14.7</v>
      </c>
      <c r="AQ3140" s="1">
        <v>7.4</v>
      </c>
      <c r="AR3140" s="1">
        <v>12.6</v>
      </c>
      <c r="AS3140" s="1">
        <v>19.7</v>
      </c>
      <c r="AT3140" s="1">
        <v>24.8</v>
      </c>
      <c r="AU3140" s="1">
        <v>19.0</v>
      </c>
      <c r="AV3140" s="1">
        <v>17.6</v>
      </c>
      <c r="AW3140" s="1">
        <v>0.7</v>
      </c>
      <c r="AX3140" s="1">
        <v>0.5928</v>
      </c>
      <c r="AY3140" s="1">
        <v>11.1</v>
      </c>
      <c r="AZ3140" s="1">
        <v>12.6</v>
      </c>
      <c r="BA3140" s="1">
        <v>18.4</v>
      </c>
      <c r="BB3140" s="1">
        <v>3.26</v>
      </c>
      <c r="BC3140" s="1" t="s">
        <v>5065</v>
      </c>
      <c r="BD3140" s="1">
        <v>10.2</v>
      </c>
      <c r="BE3140" s="1">
        <v>29.8</v>
      </c>
      <c r="BF3140" s="1">
        <v>36.6</v>
      </c>
      <c r="BG3140" s="1">
        <v>23.4</v>
      </c>
      <c r="BH3140" s="1" t="s">
        <v>5096</v>
      </c>
    </row>
    <row r="3141">
      <c r="A3141" s="1">
        <v>56045.0</v>
      </c>
      <c r="B3141" s="2" t="str">
        <f>IFERROR(__xludf.DUMMYFUNCTION("TO_TEXT(A3141)"),"56045")</f>
        <v>56045</v>
      </c>
      <c r="C3141" s="1">
        <v>7175.0</v>
      </c>
      <c r="D3141" s="1">
        <v>2398.09029579021</v>
      </c>
      <c r="E3141" s="1" t="s">
        <v>5097</v>
      </c>
      <c r="F3141" s="1" t="s">
        <v>5098</v>
      </c>
      <c r="G3141" s="1">
        <v>2.99196406932447</v>
      </c>
      <c r="H3141" s="1">
        <v>13.934024744</v>
      </c>
      <c r="I3141" s="1">
        <v>3.660439827</v>
      </c>
      <c r="J3141" s="1">
        <v>6.58914728679999</v>
      </c>
      <c r="K3141" s="1">
        <v>16.693133565</v>
      </c>
      <c r="L3141" s="1">
        <v>33.3</v>
      </c>
      <c r="M3141" s="1">
        <v>7.9</v>
      </c>
      <c r="N3141" s="1">
        <v>26.9</v>
      </c>
      <c r="O3141" s="1">
        <v>63.027192009</v>
      </c>
      <c r="P3141" s="1">
        <v>13.370998117</v>
      </c>
      <c r="Q3141" s="1">
        <v>43.30879</v>
      </c>
      <c r="R3141" s="1">
        <v>90.476190476</v>
      </c>
      <c r="S3141" s="1">
        <v>16.1</v>
      </c>
      <c r="T3141" s="1">
        <v>1505.0</v>
      </c>
      <c r="U3141" s="1">
        <v>34.750830565</v>
      </c>
      <c r="V3141" s="1">
        <v>157.12868012</v>
      </c>
      <c r="W3141" s="1">
        <v>14.194577352</v>
      </c>
      <c r="X3141" s="1">
        <v>12.3824959479999</v>
      </c>
      <c r="Y3141" s="1">
        <v>80.549081393</v>
      </c>
      <c r="Z3141" s="1">
        <v>9.0</v>
      </c>
      <c r="AA3141" s="1">
        <v>4.19946697899999</v>
      </c>
      <c r="AB3141" s="1">
        <v>54319.0</v>
      </c>
      <c r="AC3141" s="1">
        <v>30.654761905</v>
      </c>
      <c r="AD3141" s="1">
        <v>77.69431744</v>
      </c>
      <c r="AE3141" s="1">
        <v>11.050290797</v>
      </c>
      <c r="AF3141" s="1">
        <v>0.6459021099</v>
      </c>
      <c r="AG3141" s="1">
        <v>1.7654657672</v>
      </c>
      <c r="AH3141" s="1">
        <v>1.9377063298</v>
      </c>
      <c r="AI3141" s="1">
        <v>0.0287067604</v>
      </c>
      <c r="AJ3141" s="1">
        <v>4.0763599828</v>
      </c>
      <c r="AK3141" s="1">
        <v>89.952633845</v>
      </c>
      <c r="AL3141" s="1">
        <v>0.8620689655</v>
      </c>
      <c r="AM3141" s="1">
        <v>47.050380365</v>
      </c>
      <c r="AN3141" s="1">
        <v>54.536625971</v>
      </c>
      <c r="AO3141" s="1">
        <v>29493.0</v>
      </c>
      <c r="AP3141" s="1">
        <v>14.7</v>
      </c>
      <c r="AQ3141" s="1">
        <v>3.6</v>
      </c>
      <c r="AR3141" s="1">
        <v>8.6</v>
      </c>
      <c r="AS3141" s="1">
        <v>18.4</v>
      </c>
      <c r="AT3141" s="1">
        <v>21.1</v>
      </c>
      <c r="AU3141" s="1">
        <v>14.0</v>
      </c>
      <c r="AV3141" s="1">
        <v>7.8</v>
      </c>
      <c r="AW3141" s="1">
        <v>1.1</v>
      </c>
      <c r="AX3141" s="1">
        <v>0.2716</v>
      </c>
      <c r="AY3141" s="1">
        <v>10.5</v>
      </c>
      <c r="AZ3141" s="1">
        <v>14.0</v>
      </c>
      <c r="BA3141" s="1">
        <v>22.3</v>
      </c>
      <c r="BB3141" s="1">
        <v>3.16</v>
      </c>
      <c r="BC3141" s="1" t="s">
        <v>5065</v>
      </c>
      <c r="BD3141" s="1">
        <v>6.3</v>
      </c>
      <c r="BE3141" s="1">
        <v>37.4</v>
      </c>
      <c r="BF3141" s="1">
        <v>36.2</v>
      </c>
      <c r="BG3141" s="1">
        <v>20.0</v>
      </c>
      <c r="BH3141" s="1" t="s">
        <v>5098</v>
      </c>
    </row>
  </sheetData>
  <drawing r:id="rId1"/>
</worksheet>
</file>